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full_power_B2_1B_OUTSIDE" sheetId="1" r:id="rId1"/>
  </sheets>
  <calcPr calcId="0"/>
</workbook>
</file>

<file path=xl/calcChain.xml><?xml version="1.0" encoding="utf-8"?>
<calcChain xmlns="http://schemas.openxmlformats.org/spreadsheetml/2006/main">
  <c r="B12725" i="1" l="1"/>
  <c r="B12724" i="1"/>
  <c r="B12723" i="1"/>
  <c r="B12722" i="1"/>
  <c r="B12721" i="1"/>
  <c r="B12720" i="1"/>
  <c r="B12719" i="1"/>
  <c r="B12718" i="1"/>
  <c r="B12717" i="1"/>
  <c r="B12716" i="1"/>
  <c r="B12715" i="1"/>
  <c r="B12714" i="1"/>
  <c r="B12713" i="1"/>
  <c r="B12712" i="1"/>
  <c r="B12711" i="1"/>
  <c r="B12710" i="1"/>
  <c r="B12709" i="1"/>
  <c r="B12708" i="1"/>
  <c r="B12707" i="1"/>
  <c r="B12706" i="1"/>
  <c r="B12705" i="1"/>
  <c r="B12704" i="1"/>
  <c r="B12703" i="1"/>
  <c r="B12702" i="1"/>
  <c r="B12701" i="1"/>
  <c r="B12700" i="1"/>
  <c r="B12699" i="1"/>
  <c r="B12698" i="1"/>
  <c r="B12697" i="1"/>
  <c r="B12696" i="1"/>
  <c r="B12695" i="1"/>
  <c r="B12694" i="1"/>
  <c r="B12693" i="1"/>
  <c r="B12692" i="1"/>
  <c r="B12691" i="1"/>
  <c r="B12690" i="1"/>
  <c r="B12689" i="1"/>
  <c r="B12688" i="1"/>
  <c r="B12687" i="1"/>
  <c r="B12686" i="1"/>
  <c r="B12685" i="1"/>
  <c r="B12684" i="1"/>
  <c r="B12683" i="1"/>
  <c r="B12682" i="1"/>
  <c r="B12681" i="1"/>
  <c r="B12680" i="1"/>
  <c r="B12679" i="1"/>
  <c r="B12678" i="1"/>
  <c r="B12677" i="1"/>
  <c r="B12676" i="1"/>
  <c r="B12675" i="1"/>
  <c r="B12674" i="1"/>
  <c r="B12673" i="1"/>
  <c r="B12672" i="1"/>
  <c r="B12671" i="1"/>
  <c r="B12670" i="1"/>
  <c r="B12669" i="1"/>
  <c r="B12668" i="1"/>
  <c r="B12667" i="1"/>
  <c r="B12666" i="1"/>
  <c r="B12665" i="1"/>
  <c r="B12664" i="1"/>
  <c r="B12663" i="1"/>
  <c r="B12662" i="1"/>
  <c r="B12661" i="1"/>
  <c r="B12660" i="1"/>
  <c r="B12659" i="1"/>
  <c r="B12658" i="1"/>
  <c r="B12657" i="1"/>
  <c r="B12656" i="1"/>
  <c r="B12655" i="1"/>
  <c r="B12654" i="1"/>
  <c r="B12653" i="1"/>
  <c r="B12652" i="1"/>
  <c r="B12651" i="1"/>
  <c r="B12650" i="1"/>
  <c r="B12649" i="1"/>
  <c r="B12648" i="1"/>
  <c r="B12647" i="1"/>
  <c r="B12646" i="1"/>
  <c r="B12645" i="1"/>
  <c r="B12644" i="1"/>
  <c r="B12643" i="1"/>
  <c r="B12642" i="1"/>
  <c r="B12641" i="1"/>
  <c r="B12640" i="1"/>
  <c r="B12639" i="1"/>
  <c r="B12638" i="1"/>
  <c r="B12637" i="1"/>
  <c r="B12636" i="1"/>
  <c r="B12635" i="1"/>
  <c r="B12634" i="1"/>
  <c r="B12633" i="1"/>
  <c r="B12632" i="1"/>
  <c r="B12631" i="1"/>
  <c r="B12630" i="1"/>
  <c r="B12629" i="1"/>
  <c r="B12628" i="1"/>
  <c r="B12627" i="1"/>
  <c r="B12626" i="1"/>
  <c r="B12625" i="1"/>
  <c r="B12624" i="1"/>
  <c r="B12623" i="1"/>
  <c r="B12622" i="1"/>
  <c r="B12621" i="1"/>
  <c r="B12620" i="1"/>
  <c r="B12619" i="1"/>
  <c r="B12618" i="1"/>
  <c r="B12617" i="1"/>
  <c r="B12616" i="1"/>
  <c r="B12615" i="1"/>
  <c r="B12614" i="1"/>
  <c r="B12613" i="1"/>
  <c r="B12612" i="1"/>
  <c r="B12611" i="1"/>
  <c r="B12610" i="1"/>
  <c r="B12609" i="1"/>
  <c r="B12608" i="1"/>
  <c r="B12607" i="1"/>
  <c r="B12606" i="1"/>
  <c r="B12605" i="1"/>
  <c r="B12604" i="1"/>
  <c r="B12603" i="1"/>
  <c r="B12602" i="1"/>
  <c r="B12601" i="1"/>
  <c r="B12600" i="1"/>
  <c r="B12599" i="1"/>
  <c r="B12598" i="1"/>
  <c r="B12597" i="1"/>
  <c r="B12596" i="1"/>
  <c r="B12595" i="1"/>
  <c r="B12594" i="1"/>
  <c r="B12593" i="1"/>
  <c r="B12592" i="1"/>
  <c r="B12591" i="1"/>
  <c r="B12590" i="1"/>
  <c r="B12589" i="1"/>
  <c r="B12588" i="1"/>
  <c r="B12587" i="1"/>
  <c r="B12586" i="1"/>
  <c r="B12585" i="1"/>
  <c r="B12584" i="1"/>
  <c r="B12583" i="1"/>
  <c r="B12582" i="1"/>
  <c r="B12581" i="1"/>
  <c r="B12580" i="1"/>
  <c r="B12579" i="1"/>
  <c r="B12578" i="1"/>
  <c r="B12577" i="1"/>
  <c r="B12576" i="1"/>
  <c r="B12575" i="1"/>
  <c r="B12574" i="1"/>
  <c r="B12573" i="1"/>
  <c r="B12572" i="1"/>
  <c r="B12571" i="1"/>
  <c r="B12570" i="1"/>
  <c r="B12569" i="1"/>
  <c r="B12568" i="1"/>
  <c r="B12567" i="1"/>
  <c r="B12566" i="1"/>
  <c r="B12565" i="1"/>
  <c r="B12564" i="1"/>
  <c r="B12563" i="1"/>
  <c r="B12562" i="1"/>
  <c r="B12561" i="1"/>
  <c r="B12560" i="1"/>
  <c r="B12559" i="1"/>
  <c r="B12558" i="1"/>
  <c r="B12557" i="1"/>
  <c r="B12556" i="1"/>
  <c r="B12555" i="1"/>
  <c r="B12554" i="1"/>
  <c r="B12553" i="1"/>
  <c r="B12552" i="1"/>
  <c r="B12551" i="1"/>
  <c r="B12550" i="1"/>
  <c r="B12549" i="1"/>
  <c r="B12548" i="1"/>
  <c r="B12547" i="1"/>
  <c r="B12546" i="1"/>
  <c r="B12545" i="1"/>
  <c r="B12544" i="1"/>
  <c r="B12543" i="1"/>
  <c r="B12542" i="1"/>
  <c r="B12541" i="1"/>
  <c r="B12540" i="1"/>
  <c r="B12539" i="1"/>
  <c r="B12538" i="1"/>
  <c r="B12537" i="1"/>
  <c r="B12536" i="1"/>
  <c r="B12535" i="1"/>
  <c r="B12534" i="1"/>
  <c r="B12533" i="1"/>
  <c r="B12532" i="1"/>
  <c r="B12531" i="1"/>
  <c r="B12530" i="1"/>
  <c r="B12529" i="1"/>
  <c r="B12528" i="1"/>
  <c r="B12527" i="1"/>
  <c r="B12526" i="1"/>
  <c r="B12525" i="1"/>
  <c r="B12524" i="1"/>
  <c r="B12523" i="1"/>
  <c r="B12522" i="1"/>
  <c r="B12521" i="1"/>
  <c r="B12520" i="1"/>
  <c r="B12519" i="1"/>
  <c r="B12518" i="1"/>
  <c r="B12517" i="1"/>
  <c r="B12516" i="1"/>
  <c r="B12515" i="1"/>
  <c r="B12514" i="1"/>
  <c r="B12513" i="1"/>
  <c r="B12512" i="1"/>
  <c r="B12511" i="1"/>
  <c r="B12510" i="1"/>
  <c r="B12509" i="1"/>
  <c r="B12508" i="1"/>
  <c r="B12507" i="1"/>
  <c r="B12506" i="1"/>
  <c r="B12505" i="1"/>
  <c r="B12504" i="1"/>
  <c r="B12503" i="1"/>
  <c r="B12502" i="1"/>
  <c r="B12501" i="1"/>
  <c r="B12500" i="1"/>
  <c r="B12499" i="1"/>
  <c r="B12498" i="1"/>
  <c r="B12497" i="1"/>
  <c r="B12496" i="1"/>
  <c r="B12495" i="1"/>
  <c r="B12494" i="1"/>
  <c r="B12493" i="1"/>
  <c r="B12492" i="1"/>
  <c r="B12491" i="1"/>
  <c r="B12490" i="1"/>
  <c r="B12489" i="1"/>
  <c r="B12488" i="1"/>
  <c r="B12487" i="1"/>
  <c r="B12486" i="1"/>
  <c r="B12485" i="1"/>
  <c r="B12484" i="1"/>
  <c r="B12483" i="1"/>
  <c r="B12482" i="1"/>
  <c r="B12481" i="1"/>
  <c r="B12480" i="1"/>
  <c r="B12479" i="1"/>
  <c r="B12478" i="1"/>
  <c r="B12477" i="1"/>
  <c r="B12476" i="1"/>
  <c r="B12475" i="1"/>
  <c r="B12474" i="1"/>
  <c r="B12473" i="1"/>
  <c r="B12472" i="1"/>
  <c r="B12471" i="1"/>
  <c r="B12470" i="1"/>
  <c r="B12469" i="1"/>
  <c r="B12468" i="1"/>
  <c r="B12467" i="1"/>
  <c r="B12466" i="1"/>
  <c r="B12465" i="1"/>
  <c r="B12464" i="1"/>
  <c r="B12463" i="1"/>
  <c r="B12462" i="1"/>
  <c r="B12461" i="1"/>
  <c r="B12460" i="1"/>
  <c r="B12459" i="1"/>
  <c r="B12458" i="1"/>
  <c r="B12457" i="1"/>
  <c r="B12456" i="1"/>
  <c r="B12455" i="1"/>
  <c r="B12454" i="1"/>
  <c r="B12453" i="1"/>
  <c r="B12452" i="1"/>
  <c r="B12451" i="1"/>
  <c r="B12450" i="1"/>
  <c r="B12449" i="1"/>
  <c r="B12448" i="1"/>
  <c r="B12447" i="1"/>
  <c r="B12446" i="1"/>
  <c r="B12445" i="1"/>
  <c r="B12444" i="1"/>
  <c r="B12443" i="1"/>
  <c r="B12442" i="1"/>
  <c r="B12441" i="1"/>
  <c r="B12440" i="1"/>
  <c r="B12439" i="1"/>
  <c r="B12438" i="1"/>
  <c r="B12437" i="1"/>
  <c r="B12436" i="1"/>
  <c r="B12435" i="1"/>
  <c r="B12434" i="1"/>
  <c r="B12433" i="1"/>
  <c r="B12432" i="1"/>
  <c r="B12431" i="1"/>
  <c r="B12430" i="1"/>
  <c r="B12429" i="1"/>
  <c r="B12428" i="1"/>
  <c r="B12427" i="1"/>
  <c r="B12426" i="1"/>
  <c r="B12425" i="1"/>
  <c r="B12424" i="1"/>
  <c r="B12423" i="1"/>
  <c r="B12422" i="1"/>
  <c r="B12421" i="1"/>
  <c r="B12420" i="1"/>
  <c r="B12419" i="1"/>
  <c r="B12418" i="1"/>
  <c r="B12417" i="1"/>
  <c r="B12416" i="1"/>
  <c r="B12415" i="1"/>
  <c r="B12414" i="1"/>
  <c r="B12413" i="1"/>
  <c r="B12412" i="1"/>
  <c r="B12411" i="1"/>
  <c r="B12410" i="1"/>
  <c r="B12409" i="1"/>
  <c r="B12408" i="1"/>
  <c r="B12407" i="1"/>
  <c r="B12406" i="1"/>
  <c r="B12405" i="1"/>
  <c r="B12404" i="1"/>
  <c r="B12403" i="1"/>
  <c r="B12402" i="1"/>
  <c r="B12401" i="1"/>
  <c r="B12400" i="1"/>
  <c r="B12399" i="1"/>
  <c r="B12398" i="1"/>
  <c r="B12397" i="1"/>
  <c r="B12396" i="1"/>
  <c r="B12395" i="1"/>
  <c r="B12394" i="1"/>
  <c r="B12393" i="1"/>
  <c r="B12392" i="1"/>
  <c r="B12391" i="1"/>
  <c r="B12390" i="1"/>
  <c r="B12389" i="1"/>
  <c r="B12388" i="1"/>
  <c r="B12387" i="1"/>
  <c r="B12386" i="1"/>
  <c r="B12385" i="1"/>
  <c r="B12384" i="1"/>
  <c r="B12383" i="1"/>
  <c r="B12382" i="1"/>
  <c r="B12381" i="1"/>
  <c r="B12380" i="1"/>
  <c r="B12379" i="1"/>
  <c r="B12378" i="1"/>
  <c r="B12377" i="1"/>
  <c r="B12376" i="1"/>
  <c r="B12375" i="1"/>
  <c r="B12374" i="1"/>
  <c r="B12373" i="1"/>
  <c r="B12372" i="1"/>
  <c r="B12371" i="1"/>
  <c r="B12370" i="1"/>
  <c r="B12369" i="1"/>
  <c r="B12368" i="1"/>
  <c r="B12367" i="1"/>
  <c r="B12366" i="1"/>
  <c r="B12365" i="1"/>
  <c r="B12364" i="1"/>
  <c r="B12363" i="1"/>
  <c r="B12362" i="1"/>
  <c r="B12361" i="1"/>
  <c r="B12360" i="1"/>
  <c r="B12359" i="1"/>
  <c r="B12358" i="1"/>
  <c r="B12357" i="1"/>
  <c r="B12356" i="1"/>
  <c r="B12355" i="1"/>
  <c r="B12354" i="1"/>
  <c r="B12353" i="1"/>
  <c r="B12352" i="1"/>
  <c r="B12351" i="1"/>
  <c r="B12350" i="1"/>
  <c r="B12349" i="1"/>
  <c r="B12348" i="1"/>
  <c r="B12347" i="1"/>
  <c r="B12346" i="1"/>
  <c r="B12345" i="1"/>
  <c r="B12344" i="1"/>
  <c r="B12343" i="1"/>
  <c r="B12342" i="1"/>
  <c r="B12341" i="1"/>
  <c r="B12340" i="1"/>
  <c r="B12339" i="1"/>
  <c r="B12338" i="1"/>
  <c r="B12337" i="1"/>
  <c r="B12336" i="1"/>
  <c r="B12335" i="1"/>
  <c r="B12334" i="1"/>
  <c r="B12333" i="1"/>
  <c r="B12332" i="1"/>
  <c r="B12331" i="1"/>
  <c r="B12330" i="1"/>
  <c r="B12329" i="1"/>
  <c r="B12328" i="1"/>
  <c r="B12327" i="1"/>
  <c r="B12326" i="1"/>
  <c r="B12325" i="1"/>
  <c r="B12324" i="1"/>
  <c r="B12323" i="1"/>
  <c r="B12322" i="1"/>
  <c r="B12321" i="1"/>
  <c r="B12320" i="1"/>
  <c r="B12319" i="1"/>
  <c r="B12318" i="1"/>
  <c r="B12317" i="1"/>
  <c r="B12316" i="1"/>
  <c r="B12315" i="1"/>
  <c r="B12314" i="1"/>
  <c r="B12313" i="1"/>
  <c r="B12312" i="1"/>
  <c r="B12311" i="1"/>
  <c r="B12310" i="1"/>
  <c r="B12309" i="1"/>
  <c r="B12308" i="1"/>
  <c r="B12307" i="1"/>
  <c r="B12306" i="1"/>
  <c r="B12305" i="1"/>
  <c r="B12304" i="1"/>
  <c r="B12303" i="1"/>
  <c r="B12302" i="1"/>
  <c r="B12301" i="1"/>
  <c r="B12300" i="1"/>
  <c r="B12299" i="1"/>
  <c r="B12298" i="1"/>
  <c r="B12297" i="1"/>
  <c r="B12296" i="1"/>
  <c r="B12295" i="1"/>
  <c r="B12294" i="1"/>
  <c r="B12293" i="1"/>
  <c r="B12292" i="1"/>
  <c r="B12291" i="1"/>
  <c r="B12290" i="1"/>
  <c r="B12289" i="1"/>
  <c r="B12288" i="1"/>
  <c r="B12287" i="1"/>
  <c r="B12286" i="1"/>
  <c r="B12285" i="1"/>
  <c r="B12284" i="1"/>
  <c r="B12283" i="1"/>
  <c r="B12282" i="1"/>
  <c r="B12281" i="1"/>
  <c r="B12280" i="1"/>
  <c r="B12279" i="1"/>
  <c r="B12278" i="1"/>
  <c r="B12277" i="1"/>
  <c r="B12276" i="1"/>
  <c r="B12275" i="1"/>
  <c r="B12274" i="1"/>
  <c r="B12273" i="1"/>
  <c r="B12272" i="1"/>
  <c r="B12271" i="1"/>
  <c r="B12270" i="1"/>
  <c r="B12269" i="1"/>
  <c r="B12268" i="1"/>
  <c r="B12267" i="1"/>
  <c r="B12266" i="1"/>
  <c r="B12265" i="1"/>
  <c r="B12264" i="1"/>
  <c r="B12263" i="1"/>
  <c r="B12262" i="1"/>
  <c r="B12261" i="1"/>
  <c r="B12260" i="1"/>
  <c r="B12259" i="1"/>
  <c r="B12258" i="1"/>
  <c r="B12257" i="1"/>
  <c r="B12256" i="1"/>
  <c r="B12255" i="1"/>
  <c r="B12254" i="1"/>
  <c r="B12253" i="1"/>
  <c r="B12252" i="1"/>
  <c r="B12251" i="1"/>
  <c r="B12250" i="1"/>
  <c r="B12249" i="1"/>
  <c r="B12248" i="1"/>
  <c r="B12247" i="1"/>
  <c r="B12246" i="1"/>
  <c r="B12245" i="1"/>
  <c r="B12244" i="1"/>
  <c r="B12243" i="1"/>
  <c r="B12242" i="1"/>
  <c r="B12241" i="1"/>
  <c r="B12240" i="1"/>
  <c r="B12239" i="1"/>
  <c r="B12238" i="1"/>
  <c r="B12237" i="1"/>
  <c r="B12236" i="1"/>
  <c r="B12235" i="1"/>
  <c r="B12234" i="1"/>
  <c r="B12233" i="1"/>
  <c r="B12232" i="1"/>
  <c r="B12231" i="1"/>
  <c r="B12230" i="1"/>
  <c r="B12229" i="1"/>
  <c r="B12228" i="1"/>
  <c r="B12227" i="1"/>
  <c r="B12226" i="1"/>
  <c r="B12225" i="1"/>
  <c r="B12224" i="1"/>
  <c r="B12223" i="1"/>
  <c r="B12222" i="1"/>
  <c r="B12221" i="1"/>
  <c r="B12220" i="1"/>
  <c r="B12219" i="1"/>
  <c r="B12218" i="1"/>
  <c r="B12217" i="1"/>
  <c r="B12216" i="1"/>
  <c r="B12215" i="1"/>
  <c r="B12214" i="1"/>
  <c r="B12213" i="1"/>
  <c r="B12212" i="1"/>
  <c r="B12211" i="1"/>
  <c r="B12210" i="1"/>
  <c r="B12209" i="1"/>
  <c r="B12208" i="1"/>
  <c r="B12207" i="1"/>
  <c r="B12206" i="1"/>
  <c r="B12205" i="1"/>
  <c r="B12204" i="1"/>
  <c r="B12203" i="1"/>
  <c r="B12202" i="1"/>
  <c r="B12201" i="1"/>
  <c r="B12200" i="1"/>
  <c r="B12199" i="1"/>
  <c r="B12198" i="1"/>
  <c r="B12197" i="1"/>
  <c r="B12196" i="1"/>
  <c r="B12195" i="1"/>
  <c r="B12194" i="1"/>
  <c r="B12193" i="1"/>
  <c r="B12192" i="1"/>
  <c r="B12191" i="1"/>
  <c r="B12190" i="1"/>
  <c r="B12189" i="1"/>
  <c r="B12188" i="1"/>
  <c r="B12187" i="1"/>
  <c r="B12186" i="1"/>
  <c r="B12185" i="1"/>
  <c r="B12184" i="1"/>
  <c r="B12183" i="1"/>
  <c r="B12182" i="1"/>
  <c r="B12181" i="1"/>
  <c r="B12180" i="1"/>
  <c r="B12179" i="1"/>
  <c r="B12178" i="1"/>
  <c r="B12177" i="1"/>
  <c r="B12176" i="1"/>
  <c r="B12175" i="1"/>
  <c r="B12174" i="1"/>
  <c r="B12173" i="1"/>
  <c r="B12172" i="1"/>
  <c r="B12171" i="1"/>
  <c r="B12170" i="1"/>
  <c r="B12169" i="1"/>
  <c r="B12168" i="1"/>
  <c r="B12167" i="1"/>
  <c r="B12166" i="1"/>
  <c r="B12165" i="1"/>
  <c r="B12164" i="1"/>
  <c r="B12163" i="1"/>
  <c r="B12162" i="1"/>
  <c r="B12161" i="1"/>
  <c r="B12160" i="1"/>
  <c r="B12159" i="1"/>
  <c r="B12158" i="1"/>
  <c r="B12157" i="1"/>
  <c r="B12156" i="1"/>
  <c r="B12155" i="1"/>
  <c r="B12154" i="1"/>
  <c r="B12153" i="1"/>
  <c r="B12152" i="1"/>
  <c r="B12151" i="1"/>
  <c r="B12150" i="1"/>
  <c r="B12149" i="1"/>
  <c r="B12148" i="1"/>
  <c r="B12147" i="1"/>
  <c r="B12146" i="1"/>
  <c r="B12145" i="1"/>
  <c r="B12144" i="1"/>
  <c r="B12143" i="1"/>
  <c r="B12142" i="1"/>
  <c r="B12141" i="1"/>
  <c r="B12140" i="1"/>
  <c r="B12139" i="1"/>
  <c r="B12138" i="1"/>
  <c r="B12137" i="1"/>
  <c r="B12136" i="1"/>
  <c r="B12135" i="1"/>
  <c r="B12134" i="1"/>
  <c r="B12133" i="1"/>
  <c r="B12132" i="1"/>
  <c r="B12131" i="1"/>
  <c r="B12130" i="1"/>
  <c r="B12129" i="1"/>
  <c r="B12128" i="1"/>
  <c r="B12127" i="1"/>
  <c r="B12126" i="1"/>
  <c r="B12125" i="1"/>
  <c r="B12124" i="1"/>
  <c r="B12123" i="1"/>
  <c r="B12122" i="1"/>
  <c r="B12121" i="1"/>
  <c r="B12120" i="1"/>
  <c r="B12119" i="1"/>
  <c r="B12118" i="1"/>
  <c r="B12117" i="1"/>
  <c r="B12116" i="1"/>
  <c r="B12115" i="1"/>
  <c r="B12114" i="1"/>
  <c r="B12113" i="1"/>
  <c r="B12112" i="1"/>
  <c r="B12111" i="1"/>
  <c r="B12110" i="1"/>
  <c r="B12109" i="1"/>
  <c r="B12108" i="1"/>
  <c r="B12107" i="1"/>
  <c r="B12106" i="1"/>
  <c r="B12105" i="1"/>
  <c r="B12104" i="1"/>
  <c r="B12103" i="1"/>
  <c r="B12102" i="1"/>
  <c r="B12101" i="1"/>
  <c r="B12100" i="1"/>
  <c r="B12099" i="1"/>
  <c r="B12098" i="1"/>
  <c r="B12097" i="1"/>
  <c r="B12096" i="1"/>
  <c r="B12095" i="1"/>
  <c r="B12094" i="1"/>
  <c r="B12093" i="1"/>
  <c r="B12092" i="1"/>
  <c r="B12091" i="1"/>
  <c r="B12090" i="1"/>
  <c r="B12089" i="1"/>
  <c r="B12088" i="1"/>
  <c r="B12087" i="1"/>
  <c r="B12086" i="1"/>
  <c r="B12085" i="1"/>
  <c r="B12084" i="1"/>
  <c r="B12083" i="1"/>
  <c r="B12082" i="1"/>
  <c r="B12081" i="1"/>
  <c r="B12080" i="1"/>
  <c r="B12079" i="1"/>
  <c r="B12078" i="1"/>
  <c r="B12077" i="1"/>
  <c r="B12076" i="1"/>
  <c r="B12075" i="1"/>
  <c r="B12074" i="1"/>
  <c r="B12073" i="1"/>
  <c r="B12072" i="1"/>
  <c r="B12071" i="1"/>
  <c r="B12070" i="1"/>
  <c r="B12069" i="1"/>
  <c r="B12068" i="1"/>
  <c r="B12067" i="1"/>
  <c r="B12066" i="1"/>
  <c r="B12065" i="1"/>
  <c r="B12064" i="1"/>
  <c r="B12063" i="1"/>
  <c r="B12062" i="1"/>
  <c r="B12061" i="1"/>
  <c r="B12060" i="1"/>
  <c r="B12059" i="1"/>
  <c r="B12058" i="1"/>
  <c r="B12057" i="1"/>
  <c r="B12056" i="1"/>
  <c r="B12055" i="1"/>
  <c r="B12054" i="1"/>
  <c r="B12053" i="1"/>
  <c r="B12052" i="1"/>
  <c r="B12051" i="1"/>
  <c r="B12050" i="1"/>
  <c r="B12049" i="1"/>
  <c r="B12048" i="1"/>
  <c r="B12047" i="1"/>
  <c r="B12046" i="1"/>
  <c r="B12045" i="1"/>
  <c r="B12044" i="1"/>
  <c r="B12043" i="1"/>
  <c r="B12042" i="1"/>
  <c r="B12041" i="1"/>
  <c r="B12040" i="1"/>
  <c r="B12039" i="1"/>
  <c r="B12038" i="1"/>
  <c r="B12037" i="1"/>
  <c r="B12036" i="1"/>
  <c r="B12035" i="1"/>
  <c r="B12034" i="1"/>
  <c r="B12033" i="1"/>
  <c r="B12032" i="1"/>
  <c r="B12031" i="1"/>
  <c r="B12030" i="1"/>
  <c r="B12029" i="1"/>
  <c r="B12028" i="1"/>
  <c r="B12027" i="1"/>
  <c r="B12026" i="1"/>
  <c r="B12025" i="1"/>
  <c r="B12024" i="1"/>
  <c r="B12023" i="1"/>
  <c r="B12022" i="1"/>
  <c r="B12021" i="1"/>
  <c r="B12020" i="1"/>
  <c r="B12019" i="1"/>
  <c r="B12018" i="1"/>
  <c r="B12017" i="1"/>
  <c r="B12016" i="1"/>
  <c r="B12015" i="1"/>
  <c r="B12014" i="1"/>
  <c r="B12013" i="1"/>
  <c r="B12012" i="1"/>
  <c r="B12011" i="1"/>
  <c r="B12010" i="1"/>
  <c r="B12009" i="1"/>
  <c r="B12008" i="1"/>
  <c r="B12007" i="1"/>
  <c r="B12006" i="1"/>
  <c r="B12005" i="1"/>
  <c r="B12004" i="1"/>
  <c r="B12003" i="1"/>
  <c r="B12002" i="1"/>
  <c r="B12001" i="1"/>
  <c r="B12000" i="1"/>
  <c r="B11999" i="1"/>
  <c r="B11998" i="1"/>
  <c r="B11997" i="1"/>
  <c r="B11996" i="1"/>
  <c r="B11995" i="1"/>
  <c r="B11994" i="1"/>
  <c r="B11993" i="1"/>
  <c r="B11992" i="1"/>
  <c r="B11991" i="1"/>
  <c r="B11990" i="1"/>
  <c r="B11989" i="1"/>
  <c r="B11988" i="1"/>
  <c r="B11987" i="1"/>
  <c r="B11986" i="1"/>
  <c r="B11985" i="1"/>
  <c r="B11984" i="1"/>
  <c r="B11983" i="1"/>
  <c r="B11982" i="1"/>
  <c r="B11981" i="1"/>
  <c r="B11980" i="1"/>
  <c r="B11979" i="1"/>
  <c r="B11978" i="1"/>
  <c r="B11977" i="1"/>
  <c r="B11976" i="1"/>
  <c r="B11975" i="1"/>
  <c r="B11974" i="1"/>
  <c r="B11973" i="1"/>
  <c r="B11972" i="1"/>
  <c r="B11971" i="1"/>
  <c r="B11970" i="1"/>
  <c r="B11969" i="1"/>
  <c r="B11968" i="1"/>
  <c r="B11967" i="1"/>
  <c r="B11966" i="1"/>
  <c r="B11965" i="1"/>
  <c r="B11964" i="1"/>
  <c r="B11963" i="1"/>
  <c r="B11962" i="1"/>
  <c r="B11961" i="1"/>
  <c r="B11960" i="1"/>
  <c r="B11959" i="1"/>
  <c r="B11958" i="1"/>
  <c r="B11957" i="1"/>
  <c r="B11956" i="1"/>
  <c r="B11955" i="1"/>
  <c r="B11954" i="1"/>
  <c r="B11953" i="1"/>
  <c r="B11952" i="1"/>
  <c r="B11951" i="1"/>
  <c r="B11950" i="1"/>
  <c r="B11949" i="1"/>
  <c r="B11948" i="1"/>
  <c r="B11947" i="1"/>
  <c r="B11946" i="1"/>
  <c r="B11945" i="1"/>
  <c r="B11944" i="1"/>
  <c r="B11943" i="1"/>
  <c r="B11942" i="1"/>
  <c r="B11941" i="1"/>
  <c r="B11940" i="1"/>
  <c r="B11939" i="1"/>
  <c r="B11938" i="1"/>
  <c r="B11937" i="1"/>
  <c r="B11936" i="1"/>
  <c r="B11935" i="1"/>
  <c r="B11934" i="1"/>
  <c r="B11933" i="1"/>
  <c r="B11932" i="1"/>
  <c r="B11931" i="1"/>
  <c r="B11930" i="1"/>
  <c r="B11929" i="1"/>
  <c r="B11928" i="1"/>
  <c r="B11927" i="1"/>
  <c r="B11926" i="1"/>
  <c r="B11925" i="1"/>
  <c r="B11924" i="1"/>
  <c r="B11923" i="1"/>
  <c r="B11922" i="1"/>
  <c r="B11921" i="1"/>
  <c r="B11920" i="1"/>
  <c r="B11919" i="1"/>
  <c r="B11918" i="1"/>
  <c r="B11917" i="1"/>
  <c r="B11916" i="1"/>
  <c r="B11915" i="1"/>
  <c r="B11914" i="1"/>
  <c r="B11913" i="1"/>
  <c r="B11912" i="1"/>
  <c r="B11911" i="1"/>
  <c r="B11910" i="1"/>
  <c r="B11909" i="1"/>
  <c r="B11908" i="1"/>
  <c r="B11907" i="1"/>
  <c r="B11906" i="1"/>
  <c r="B11905" i="1"/>
  <c r="B11904" i="1"/>
  <c r="B11903" i="1"/>
  <c r="B11902" i="1"/>
  <c r="B11901" i="1"/>
  <c r="B11900" i="1"/>
  <c r="B11899" i="1"/>
  <c r="B11898" i="1"/>
  <c r="B11897" i="1"/>
  <c r="B11896" i="1"/>
  <c r="B11895" i="1"/>
  <c r="B11894" i="1"/>
  <c r="B11893" i="1"/>
  <c r="B11892" i="1"/>
  <c r="B11891" i="1"/>
  <c r="B11890" i="1"/>
  <c r="B11889" i="1"/>
  <c r="B11888" i="1"/>
  <c r="B11887" i="1"/>
  <c r="B11886" i="1"/>
  <c r="B11885" i="1"/>
  <c r="B11884" i="1"/>
  <c r="B11883" i="1"/>
  <c r="B11882" i="1"/>
  <c r="B11881" i="1"/>
  <c r="B11880" i="1"/>
  <c r="B11879" i="1"/>
  <c r="B11878" i="1"/>
  <c r="B11877" i="1"/>
  <c r="B11876" i="1"/>
  <c r="B11875" i="1"/>
  <c r="B11874" i="1"/>
  <c r="B11873" i="1"/>
  <c r="B11872" i="1"/>
  <c r="B11871" i="1"/>
  <c r="B11870" i="1"/>
  <c r="B11869" i="1"/>
  <c r="B11868" i="1"/>
  <c r="B11867" i="1"/>
  <c r="B11866" i="1"/>
  <c r="B11865" i="1"/>
  <c r="B11864" i="1"/>
  <c r="B11863" i="1"/>
  <c r="B11862" i="1"/>
  <c r="B11861" i="1"/>
  <c r="B11860" i="1"/>
  <c r="B11859" i="1"/>
  <c r="B11858" i="1"/>
  <c r="B11857" i="1"/>
  <c r="B11856" i="1"/>
  <c r="B11855" i="1"/>
  <c r="B11854" i="1"/>
  <c r="B11853" i="1"/>
  <c r="B11852" i="1"/>
  <c r="B11851" i="1"/>
  <c r="B11850" i="1"/>
  <c r="B11849" i="1"/>
  <c r="B11848" i="1"/>
  <c r="B11847" i="1"/>
  <c r="B11846" i="1"/>
  <c r="B11845" i="1"/>
  <c r="B11844" i="1"/>
  <c r="B11843" i="1"/>
  <c r="B11842" i="1"/>
  <c r="B11841" i="1"/>
  <c r="B11840" i="1"/>
  <c r="B11839" i="1"/>
  <c r="B11838" i="1"/>
  <c r="B11837" i="1"/>
  <c r="B11836" i="1"/>
  <c r="B11835" i="1"/>
  <c r="B11834" i="1"/>
  <c r="B11833" i="1"/>
  <c r="B11832" i="1"/>
  <c r="B11831" i="1"/>
  <c r="B11830" i="1"/>
  <c r="B11829" i="1"/>
  <c r="B11828" i="1"/>
  <c r="B11827" i="1"/>
  <c r="B11826" i="1"/>
  <c r="B11825" i="1"/>
  <c r="B11824" i="1"/>
  <c r="B11823" i="1"/>
  <c r="B11822" i="1"/>
  <c r="B11821" i="1"/>
  <c r="B11820" i="1"/>
  <c r="B11819" i="1"/>
  <c r="B11818" i="1"/>
  <c r="B11817" i="1"/>
  <c r="B11816" i="1"/>
  <c r="B11815" i="1"/>
  <c r="B11814" i="1"/>
  <c r="B11813" i="1"/>
  <c r="B11812" i="1"/>
  <c r="B11811" i="1"/>
  <c r="B11810" i="1"/>
  <c r="B11809" i="1"/>
  <c r="B11808" i="1"/>
  <c r="B11807" i="1"/>
  <c r="B11806" i="1"/>
  <c r="B11805" i="1"/>
  <c r="B11804" i="1"/>
  <c r="B11803" i="1"/>
  <c r="B11802" i="1"/>
  <c r="B11801" i="1"/>
  <c r="B11800" i="1"/>
  <c r="B11799" i="1"/>
  <c r="B11798" i="1"/>
  <c r="B11797" i="1"/>
  <c r="B11796" i="1"/>
  <c r="B11795" i="1"/>
  <c r="B11794" i="1"/>
  <c r="B11793" i="1"/>
  <c r="B11792" i="1"/>
  <c r="B11791" i="1"/>
  <c r="B11790" i="1"/>
  <c r="B11789" i="1"/>
  <c r="B11788" i="1"/>
  <c r="B11787" i="1"/>
  <c r="B11786" i="1"/>
  <c r="B11785" i="1"/>
  <c r="B11784" i="1"/>
  <c r="B11783" i="1"/>
  <c r="B11782" i="1"/>
  <c r="B11781" i="1"/>
  <c r="B11780" i="1"/>
  <c r="B11779" i="1"/>
  <c r="B11778" i="1"/>
  <c r="B11777" i="1"/>
  <c r="B11776" i="1"/>
  <c r="B11775" i="1"/>
  <c r="B11774" i="1"/>
  <c r="B11773" i="1"/>
  <c r="B11772" i="1"/>
  <c r="B11771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11755" i="1"/>
  <c r="B11754" i="1"/>
  <c r="B11753" i="1"/>
  <c r="B11752" i="1"/>
  <c r="B11751" i="1"/>
  <c r="B11750" i="1"/>
  <c r="B11749" i="1"/>
  <c r="B11748" i="1"/>
  <c r="B11747" i="1"/>
  <c r="B11746" i="1"/>
  <c r="B11745" i="1"/>
  <c r="B11744" i="1"/>
  <c r="B11743" i="1"/>
  <c r="B11742" i="1"/>
  <c r="B11741" i="1"/>
  <c r="B11740" i="1"/>
  <c r="B11739" i="1"/>
  <c r="B11738" i="1"/>
  <c r="B11737" i="1"/>
  <c r="B11736" i="1"/>
  <c r="B11735" i="1"/>
  <c r="B11734" i="1"/>
  <c r="B11733" i="1"/>
  <c r="B11732" i="1"/>
  <c r="B11731" i="1"/>
  <c r="B11730" i="1"/>
  <c r="B11729" i="1"/>
  <c r="B11728" i="1"/>
  <c r="B11727" i="1"/>
  <c r="B11726" i="1"/>
  <c r="B11725" i="1"/>
  <c r="B11724" i="1"/>
  <c r="B11723" i="1"/>
  <c r="B11722" i="1"/>
  <c r="B11721" i="1"/>
  <c r="B11720" i="1"/>
  <c r="B11719" i="1"/>
  <c r="B11718" i="1"/>
  <c r="B11717" i="1"/>
  <c r="B11716" i="1"/>
  <c r="B11715" i="1"/>
  <c r="B11714" i="1"/>
  <c r="B11713" i="1"/>
  <c r="B11712" i="1"/>
  <c r="B11711" i="1"/>
  <c r="B11710" i="1"/>
  <c r="B11709" i="1"/>
  <c r="B11708" i="1"/>
  <c r="B11707" i="1"/>
  <c r="B11706" i="1"/>
  <c r="B11705" i="1"/>
  <c r="B11704" i="1"/>
  <c r="B11703" i="1"/>
  <c r="B11702" i="1"/>
  <c r="B11701" i="1"/>
  <c r="B11700" i="1"/>
  <c r="B11699" i="1"/>
  <c r="B11698" i="1"/>
  <c r="B11697" i="1"/>
  <c r="B11696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11670" i="1"/>
  <c r="B11669" i="1"/>
  <c r="B11668" i="1"/>
  <c r="B11667" i="1"/>
  <c r="B11666" i="1"/>
  <c r="B11665" i="1"/>
  <c r="B11664" i="1"/>
  <c r="B11663" i="1"/>
  <c r="B11662" i="1"/>
  <c r="B11661" i="1"/>
  <c r="B11660" i="1"/>
  <c r="B11659" i="1"/>
  <c r="B11658" i="1"/>
  <c r="B11657" i="1"/>
  <c r="B11656" i="1"/>
  <c r="B11655" i="1"/>
  <c r="B11654" i="1"/>
  <c r="B11653" i="1"/>
  <c r="B11652" i="1"/>
  <c r="B11651" i="1"/>
  <c r="B11650" i="1"/>
  <c r="B11649" i="1"/>
  <c r="B11648" i="1"/>
  <c r="B11647" i="1"/>
  <c r="B11646" i="1"/>
  <c r="B11645" i="1"/>
  <c r="B11644" i="1"/>
  <c r="B11643" i="1"/>
  <c r="B11642" i="1"/>
  <c r="B11641" i="1"/>
  <c r="B11640" i="1"/>
  <c r="B11639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1625" i="1"/>
  <c r="B11624" i="1"/>
  <c r="B11623" i="1"/>
  <c r="B11622" i="1"/>
  <c r="B11621" i="1"/>
  <c r="B11620" i="1"/>
  <c r="B11619" i="1"/>
  <c r="B11618" i="1"/>
  <c r="B11617" i="1"/>
  <c r="B11616" i="1"/>
  <c r="B11615" i="1"/>
  <c r="B11614" i="1"/>
  <c r="B11613" i="1"/>
  <c r="B11612" i="1"/>
  <c r="B11611" i="1"/>
  <c r="B11610" i="1"/>
  <c r="B11609" i="1"/>
  <c r="B11608" i="1"/>
  <c r="B11607" i="1"/>
  <c r="B11606" i="1"/>
  <c r="B11605" i="1"/>
  <c r="B11604" i="1"/>
  <c r="B11603" i="1"/>
  <c r="B11602" i="1"/>
  <c r="B11601" i="1"/>
  <c r="B11600" i="1"/>
  <c r="B11599" i="1"/>
  <c r="B11598" i="1"/>
  <c r="B11597" i="1"/>
  <c r="B11596" i="1"/>
  <c r="B11595" i="1"/>
  <c r="B11594" i="1"/>
  <c r="B11593" i="1"/>
  <c r="B11592" i="1"/>
  <c r="B11591" i="1"/>
  <c r="B11590" i="1"/>
  <c r="B11589" i="1"/>
  <c r="B11588" i="1"/>
  <c r="B11587" i="1"/>
  <c r="B11586" i="1"/>
  <c r="B11585" i="1"/>
  <c r="B11584" i="1"/>
  <c r="B11583" i="1"/>
  <c r="B11582" i="1"/>
  <c r="B11581" i="1"/>
  <c r="B11580" i="1"/>
  <c r="B11579" i="1"/>
  <c r="B11578" i="1"/>
  <c r="B11577" i="1"/>
  <c r="B11576" i="1"/>
  <c r="B11575" i="1"/>
  <c r="B11574" i="1"/>
  <c r="B11573" i="1"/>
  <c r="B11572" i="1"/>
  <c r="B11571" i="1"/>
  <c r="B11570" i="1"/>
  <c r="B11569" i="1"/>
  <c r="B11568" i="1"/>
  <c r="B11567" i="1"/>
  <c r="B11566" i="1"/>
  <c r="B11565" i="1"/>
  <c r="B11564" i="1"/>
  <c r="B11563" i="1"/>
  <c r="B11562" i="1"/>
  <c r="B11561" i="1"/>
  <c r="B11560" i="1"/>
  <c r="B11559" i="1"/>
  <c r="B11558" i="1"/>
  <c r="B11557" i="1"/>
  <c r="B11556" i="1"/>
  <c r="B11555" i="1"/>
  <c r="B11554" i="1"/>
  <c r="B11553" i="1"/>
  <c r="B11552" i="1"/>
  <c r="B11551" i="1"/>
  <c r="B11550" i="1"/>
  <c r="B11549" i="1"/>
  <c r="B11548" i="1"/>
  <c r="B11547" i="1"/>
  <c r="B11546" i="1"/>
  <c r="B11545" i="1"/>
  <c r="B11544" i="1"/>
  <c r="B11543" i="1"/>
  <c r="B11542" i="1"/>
  <c r="B11541" i="1"/>
  <c r="B11540" i="1"/>
  <c r="B11539" i="1"/>
  <c r="B11538" i="1"/>
  <c r="B11537" i="1"/>
  <c r="B11536" i="1"/>
  <c r="B11535" i="1"/>
  <c r="B11534" i="1"/>
  <c r="B11533" i="1"/>
  <c r="B11532" i="1"/>
  <c r="B11531" i="1"/>
  <c r="B11530" i="1"/>
  <c r="B11529" i="1"/>
  <c r="B11528" i="1"/>
  <c r="B11527" i="1"/>
  <c r="B11526" i="1"/>
  <c r="B11525" i="1"/>
  <c r="B11524" i="1"/>
  <c r="B11523" i="1"/>
  <c r="B11522" i="1"/>
  <c r="B11521" i="1"/>
  <c r="B11520" i="1"/>
  <c r="B11519" i="1"/>
  <c r="B11518" i="1"/>
  <c r="B11517" i="1"/>
  <c r="B11516" i="1"/>
  <c r="B11515" i="1"/>
  <c r="B11514" i="1"/>
  <c r="B11513" i="1"/>
  <c r="B11512" i="1"/>
  <c r="B11511" i="1"/>
  <c r="B11510" i="1"/>
  <c r="B11509" i="1"/>
  <c r="B11508" i="1"/>
  <c r="B11507" i="1"/>
  <c r="B11506" i="1"/>
  <c r="B11505" i="1"/>
  <c r="B11504" i="1"/>
  <c r="B11503" i="1"/>
  <c r="B11502" i="1"/>
  <c r="B11501" i="1"/>
  <c r="B11500" i="1"/>
  <c r="B11499" i="1"/>
  <c r="B11498" i="1"/>
  <c r="B11497" i="1"/>
  <c r="B11496" i="1"/>
  <c r="B11495" i="1"/>
  <c r="B11494" i="1"/>
  <c r="B11493" i="1"/>
  <c r="B11492" i="1"/>
  <c r="B11491" i="1"/>
  <c r="B11490" i="1"/>
  <c r="B11489" i="1"/>
  <c r="B11488" i="1"/>
  <c r="B11487" i="1"/>
  <c r="B11486" i="1"/>
  <c r="B11485" i="1"/>
  <c r="B11484" i="1"/>
  <c r="B11483" i="1"/>
  <c r="B11482" i="1"/>
  <c r="B11481" i="1"/>
  <c r="B11480" i="1"/>
  <c r="B11479" i="1"/>
  <c r="B11478" i="1"/>
  <c r="B11477" i="1"/>
  <c r="B11476" i="1"/>
  <c r="B11475" i="1"/>
  <c r="B11474" i="1"/>
  <c r="B11473" i="1"/>
  <c r="B11472" i="1"/>
  <c r="B11471" i="1"/>
  <c r="B11470" i="1"/>
  <c r="B11469" i="1"/>
  <c r="B11468" i="1"/>
  <c r="B11467" i="1"/>
  <c r="B11466" i="1"/>
  <c r="B11465" i="1"/>
  <c r="B11464" i="1"/>
  <c r="B11463" i="1"/>
  <c r="B11462" i="1"/>
  <c r="B11461" i="1"/>
  <c r="B11460" i="1"/>
  <c r="B11459" i="1"/>
  <c r="B11458" i="1"/>
  <c r="B11457" i="1"/>
  <c r="B11456" i="1"/>
  <c r="B11455" i="1"/>
  <c r="B11454" i="1"/>
  <c r="B11453" i="1"/>
  <c r="B11452" i="1"/>
  <c r="B11451" i="1"/>
  <c r="B11450" i="1"/>
  <c r="B11449" i="1"/>
  <c r="B11448" i="1"/>
  <c r="B11447" i="1"/>
  <c r="B11446" i="1"/>
  <c r="B11445" i="1"/>
  <c r="B11444" i="1"/>
  <c r="B11443" i="1"/>
  <c r="B11442" i="1"/>
  <c r="B11441" i="1"/>
  <c r="B11440" i="1"/>
  <c r="B11439" i="1"/>
  <c r="B11438" i="1"/>
  <c r="B11437" i="1"/>
  <c r="B11436" i="1"/>
  <c r="B11435" i="1"/>
  <c r="B11434" i="1"/>
  <c r="B11433" i="1"/>
  <c r="B11432" i="1"/>
  <c r="B11431" i="1"/>
  <c r="B11430" i="1"/>
  <c r="B11429" i="1"/>
  <c r="B11428" i="1"/>
  <c r="B11427" i="1"/>
  <c r="B11426" i="1"/>
  <c r="B11425" i="1"/>
  <c r="B11424" i="1"/>
  <c r="B11423" i="1"/>
  <c r="B11422" i="1"/>
  <c r="B11421" i="1"/>
  <c r="B11420" i="1"/>
  <c r="B11419" i="1"/>
  <c r="B11418" i="1"/>
  <c r="B11417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2" i="1"/>
  <c r="B11391" i="1"/>
  <c r="B11390" i="1"/>
  <c r="B11389" i="1"/>
  <c r="B11388" i="1"/>
  <c r="B11387" i="1"/>
  <c r="B11386" i="1"/>
  <c r="B11385" i="1"/>
  <c r="B11384" i="1"/>
  <c r="B11383" i="1"/>
  <c r="B11382" i="1"/>
  <c r="B11381" i="1"/>
  <c r="B11380" i="1"/>
  <c r="B11379" i="1"/>
  <c r="B11378" i="1"/>
  <c r="B11377" i="1"/>
  <c r="B11376" i="1"/>
  <c r="B11375" i="1"/>
  <c r="B11374" i="1"/>
  <c r="B11373" i="1"/>
  <c r="B11372" i="1"/>
  <c r="B11371" i="1"/>
  <c r="B11370" i="1"/>
  <c r="B11369" i="1"/>
  <c r="B11368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2" i="1"/>
  <c r="B11351" i="1"/>
  <c r="B11350" i="1"/>
  <c r="B11349" i="1"/>
  <c r="B11348" i="1"/>
  <c r="B11347" i="1"/>
  <c r="B11346" i="1"/>
  <c r="B11345" i="1"/>
  <c r="B11344" i="1"/>
  <c r="B11343" i="1"/>
  <c r="B11342" i="1"/>
  <c r="B11341" i="1"/>
  <c r="B11340" i="1"/>
  <c r="B11339" i="1"/>
  <c r="B11338" i="1"/>
  <c r="B11337" i="1"/>
  <c r="B11336" i="1"/>
  <c r="B11335" i="1"/>
  <c r="B11334" i="1"/>
  <c r="B11333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8" i="1"/>
  <c r="B11307" i="1"/>
  <c r="B11306" i="1"/>
  <c r="B11305" i="1"/>
  <c r="B11304" i="1"/>
  <c r="B11303" i="1"/>
  <c r="B11302" i="1"/>
  <c r="B11301" i="1"/>
  <c r="B11300" i="1"/>
  <c r="B11299" i="1"/>
  <c r="B11298" i="1"/>
  <c r="B11297" i="1"/>
  <c r="B11296" i="1"/>
  <c r="B11295" i="1"/>
  <c r="B11294" i="1"/>
  <c r="B11293" i="1"/>
  <c r="B11292" i="1"/>
  <c r="B11291" i="1"/>
  <c r="B11290" i="1"/>
  <c r="B11289" i="1"/>
  <c r="B11288" i="1"/>
  <c r="B11287" i="1"/>
  <c r="B11286" i="1"/>
  <c r="B11285" i="1"/>
  <c r="B11284" i="1"/>
  <c r="B11283" i="1"/>
  <c r="B11282" i="1"/>
  <c r="B11281" i="1"/>
  <c r="B11280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6" i="1"/>
  <c r="B11265" i="1"/>
  <c r="B11264" i="1"/>
  <c r="B11263" i="1"/>
  <c r="B11262" i="1"/>
  <c r="B11261" i="1"/>
  <c r="B11260" i="1"/>
  <c r="B11259" i="1"/>
  <c r="B11258" i="1"/>
  <c r="B11257" i="1"/>
  <c r="B11256" i="1"/>
  <c r="B11255" i="1"/>
  <c r="B11254" i="1"/>
  <c r="B11253" i="1"/>
  <c r="B11252" i="1"/>
  <c r="B11251" i="1"/>
  <c r="B11250" i="1"/>
  <c r="B11249" i="1"/>
  <c r="B11248" i="1"/>
  <c r="B11247" i="1"/>
  <c r="B11246" i="1"/>
  <c r="B11245" i="1"/>
  <c r="B11244" i="1"/>
  <c r="B11243" i="1"/>
  <c r="B11242" i="1"/>
  <c r="B11241" i="1"/>
  <c r="B11240" i="1"/>
  <c r="B11239" i="1"/>
  <c r="B11238" i="1"/>
  <c r="B11237" i="1"/>
  <c r="B11236" i="1"/>
  <c r="B11235" i="1"/>
  <c r="B11234" i="1"/>
  <c r="B11233" i="1"/>
  <c r="B11232" i="1"/>
  <c r="B11231" i="1"/>
  <c r="B11230" i="1"/>
  <c r="B11229" i="1"/>
  <c r="B11228" i="1"/>
  <c r="B11227" i="1"/>
  <c r="B11226" i="1"/>
  <c r="B11225" i="1"/>
  <c r="B11224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1" i="1"/>
  <c r="B11200" i="1"/>
  <c r="B11199" i="1"/>
  <c r="B11198" i="1"/>
  <c r="B11197" i="1"/>
  <c r="B11196" i="1"/>
  <c r="B11195" i="1"/>
  <c r="B11194" i="1"/>
  <c r="B11193" i="1"/>
  <c r="B11192" i="1"/>
  <c r="B11191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9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4" i="1"/>
  <c r="B11153" i="1"/>
  <c r="B11152" i="1"/>
  <c r="B11151" i="1"/>
  <c r="B11150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7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2" i="1"/>
  <c r="B11111" i="1"/>
  <c r="B11110" i="1"/>
  <c r="B11109" i="1"/>
  <c r="B11108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9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5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2" i="1"/>
  <c r="B11051" i="1"/>
  <c r="B11050" i="1"/>
  <c r="B11049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4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6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1" i="1"/>
  <c r="B10980" i="1"/>
  <c r="B10979" i="1"/>
  <c r="B10978" i="1"/>
  <c r="B10977" i="1"/>
  <c r="B10976" i="1"/>
  <c r="B10975" i="1"/>
  <c r="B10974" i="1"/>
  <c r="B10973" i="1"/>
  <c r="B10972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7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5" i="1"/>
  <c r="B10934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<sst xmlns="http://schemas.openxmlformats.org/spreadsheetml/2006/main" count="3" uniqueCount="3">
  <si>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Chan</t>
  </si>
  <si>
    <t>Timestamp</t>
  </si>
  <si>
    <t>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</si>
</sst>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25"/>
  <sheetViews>
    <sheetView tabSelected="1" workbookViewId="0">
      <selection activeCell="E22" sqref="E22"/>
    </sheetView>
  </sheetViews>
  <sheetFormatPr defaultRowHeight="15" x14ac:dyDescent="0.25"/>
  <cols>
    <col min="2" max="2" width="26.42578125" bestFit="1" customWidth="1"/>
    <col min="3" max="3" width="21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37</v>
      </c>
      <c r="B2" t="str">
        <f>"8:52:19.744333"</f>
        <v>8:52:19.744333</v>
      </c>
      <c r="C2">
        <v>-44</v>
      </c>
    </row>
    <row r="3" spans="1:3" x14ac:dyDescent="0.25">
      <c r="A3">
        <v>37</v>
      </c>
      <c r="B3" t="str">
        <f>"8:52:19.744851"</f>
        <v>8:52:19.744851</v>
      </c>
      <c r="C3">
        <v>-81</v>
      </c>
    </row>
    <row r="4" spans="1:3" x14ac:dyDescent="0.25">
      <c r="A4">
        <v>38</v>
      </c>
      <c r="B4" t="str">
        <f>"8:52:19.745492"</f>
        <v>8:52:19.745492</v>
      </c>
      <c r="C4">
        <v>-41</v>
      </c>
    </row>
    <row r="5" spans="1:3" x14ac:dyDescent="0.25">
      <c r="A5">
        <v>39</v>
      </c>
      <c r="B5" t="str">
        <f>"8:52:19.746518"</f>
        <v>8:52:19.746518</v>
      </c>
      <c r="C5">
        <v>-46</v>
      </c>
    </row>
    <row r="6" spans="1:3" x14ac:dyDescent="0.25">
      <c r="A6">
        <v>37</v>
      </c>
      <c r="B6" t="str">
        <f>"8:52:20.099451"</f>
        <v>8:52:20.099451</v>
      </c>
      <c r="C6">
        <v>-44</v>
      </c>
    </row>
    <row r="7" spans="1:3" x14ac:dyDescent="0.25">
      <c r="A7">
        <v>38</v>
      </c>
      <c r="B7" t="str">
        <f>"8:52:20.100479"</f>
        <v>8:52:20.100479</v>
      </c>
      <c r="C7">
        <v>-41</v>
      </c>
    </row>
    <row r="8" spans="1:3" x14ac:dyDescent="0.25">
      <c r="A8">
        <v>39</v>
      </c>
      <c r="B8" t="str">
        <f>"8:52:20.101505"</f>
        <v>8:52:20.101505</v>
      </c>
      <c r="C8">
        <v>-45</v>
      </c>
    </row>
    <row r="9" spans="1:3" x14ac:dyDescent="0.25">
      <c r="A9">
        <v>37</v>
      </c>
      <c r="B9" t="str">
        <f>"8:52:20.457340"</f>
        <v>8:52:20.457340</v>
      </c>
      <c r="C9">
        <v>-44</v>
      </c>
    </row>
    <row r="10" spans="1:3" x14ac:dyDescent="0.25">
      <c r="A10">
        <v>38</v>
      </c>
      <c r="B10" t="str">
        <f>"8:52:20.458367"</f>
        <v>8:52:20.458367</v>
      </c>
      <c r="C10">
        <v>-41</v>
      </c>
    </row>
    <row r="11" spans="1:3" x14ac:dyDescent="0.25">
      <c r="A11">
        <v>39</v>
      </c>
      <c r="B11" t="str">
        <f>"8:52:20.459393"</f>
        <v>8:52:20.459393</v>
      </c>
      <c r="C11">
        <v>-45</v>
      </c>
    </row>
    <row r="12" spans="1:3" x14ac:dyDescent="0.25">
      <c r="A12">
        <v>37</v>
      </c>
      <c r="B12" t="str">
        <f>"8:52:20.811354"</f>
        <v>8:52:20.811354</v>
      </c>
      <c r="C12">
        <v>-44</v>
      </c>
    </row>
    <row r="13" spans="1:3" x14ac:dyDescent="0.25">
      <c r="A13">
        <v>38</v>
      </c>
      <c r="B13" t="str">
        <f>"8:52:20.812382"</f>
        <v>8:52:20.812382</v>
      </c>
      <c r="C13">
        <v>-41</v>
      </c>
    </row>
    <row r="14" spans="1:3" x14ac:dyDescent="0.25">
      <c r="A14">
        <v>39</v>
      </c>
      <c r="B14" t="str">
        <f>"8:52:20.813408"</f>
        <v>8:52:20.813408</v>
      </c>
      <c r="C14">
        <v>-45</v>
      </c>
    </row>
    <row r="15" spans="1:3" x14ac:dyDescent="0.25">
      <c r="A15">
        <v>37</v>
      </c>
      <c r="B15" t="str">
        <f>"8:52:21.167765"</f>
        <v>8:52:21.167765</v>
      </c>
      <c r="C15">
        <v>-44</v>
      </c>
    </row>
    <row r="16" spans="1:3" x14ac:dyDescent="0.25">
      <c r="A16">
        <v>38</v>
      </c>
      <c r="B16" t="str">
        <f>"8:52:21.168792"</f>
        <v>8:52:21.168792</v>
      </c>
      <c r="C16">
        <v>-41</v>
      </c>
    </row>
    <row r="17" spans="1:3" x14ac:dyDescent="0.25">
      <c r="A17">
        <v>39</v>
      </c>
      <c r="B17" t="str">
        <f>"8:52:21.169818"</f>
        <v>8:52:21.169818</v>
      </c>
      <c r="C17">
        <v>-45</v>
      </c>
    </row>
    <row r="18" spans="1:3" x14ac:dyDescent="0.25">
      <c r="A18">
        <v>37</v>
      </c>
      <c r="B18" t="str">
        <f>"8:52:21.524641"</f>
        <v>8:52:21.524641</v>
      </c>
      <c r="C18">
        <v>-43</v>
      </c>
    </row>
    <row r="19" spans="1:3" x14ac:dyDescent="0.25">
      <c r="A19">
        <v>38</v>
      </c>
      <c r="B19" t="str">
        <f>"8:52:21.525668"</f>
        <v>8:52:21.525668</v>
      </c>
      <c r="C19">
        <v>-41</v>
      </c>
    </row>
    <row r="20" spans="1:3" x14ac:dyDescent="0.25">
      <c r="A20">
        <v>39</v>
      </c>
      <c r="B20" t="str">
        <f>"8:52:21.526694"</f>
        <v>8:52:21.526694</v>
      </c>
      <c r="C20">
        <v>-45</v>
      </c>
    </row>
    <row r="21" spans="1:3" x14ac:dyDescent="0.25">
      <c r="A21">
        <v>37</v>
      </c>
      <c r="B21" t="str">
        <f>"8:52:21.878461"</f>
        <v>8:52:21.878461</v>
      </c>
      <c r="C21">
        <v>-43</v>
      </c>
    </row>
    <row r="22" spans="1:3" x14ac:dyDescent="0.25">
      <c r="A22">
        <v>38</v>
      </c>
      <c r="B22" t="str">
        <f>"8:52:21.879488"</f>
        <v>8:52:21.879488</v>
      </c>
      <c r="C22">
        <v>-41</v>
      </c>
    </row>
    <row r="23" spans="1:3" x14ac:dyDescent="0.25">
      <c r="A23">
        <v>39</v>
      </c>
      <c r="B23" t="str">
        <f>"8:52:21.880514"</f>
        <v>8:52:21.880514</v>
      </c>
      <c r="C23">
        <v>-45</v>
      </c>
    </row>
    <row r="24" spans="1:3" x14ac:dyDescent="0.25">
      <c r="A24">
        <v>37</v>
      </c>
      <c r="B24" t="str">
        <f>"8:52:22.232283"</f>
        <v>8:52:22.232283</v>
      </c>
      <c r="C24">
        <v>-44</v>
      </c>
    </row>
    <row r="25" spans="1:3" x14ac:dyDescent="0.25">
      <c r="A25">
        <v>38</v>
      </c>
      <c r="B25" t="str">
        <f>"8:52:22.233310"</f>
        <v>8:52:22.233310</v>
      </c>
      <c r="C25">
        <v>-42</v>
      </c>
    </row>
    <row r="26" spans="1:3" x14ac:dyDescent="0.25">
      <c r="A26">
        <v>39</v>
      </c>
      <c r="B26" t="str">
        <f>"8:52:22.234336"</f>
        <v>8:52:22.234336</v>
      </c>
      <c r="C26">
        <v>-45</v>
      </c>
    </row>
    <row r="27" spans="1:3" x14ac:dyDescent="0.25">
      <c r="A27">
        <v>37</v>
      </c>
      <c r="B27" t="str">
        <f>"8:52:22.584031"</f>
        <v>8:52:22.584031</v>
      </c>
      <c r="C27">
        <v>-43</v>
      </c>
    </row>
    <row r="28" spans="1:3" x14ac:dyDescent="0.25">
      <c r="A28">
        <v>38</v>
      </c>
      <c r="B28" t="str">
        <f>"8:52:22.585058"</f>
        <v>8:52:22.585058</v>
      </c>
      <c r="C28">
        <v>-41</v>
      </c>
    </row>
    <row r="29" spans="1:3" x14ac:dyDescent="0.25">
      <c r="A29">
        <v>39</v>
      </c>
      <c r="B29" t="str">
        <f>"8:52:22.586084"</f>
        <v>8:52:22.586084</v>
      </c>
      <c r="C29">
        <v>-45</v>
      </c>
    </row>
    <row r="30" spans="1:3" x14ac:dyDescent="0.25">
      <c r="A30">
        <v>37</v>
      </c>
      <c r="B30" t="str">
        <f>"8:52:22.943732"</f>
        <v>8:52:22.943732</v>
      </c>
      <c r="C30">
        <v>-43</v>
      </c>
    </row>
    <row r="31" spans="1:3" x14ac:dyDescent="0.25">
      <c r="A31">
        <v>38</v>
      </c>
      <c r="B31" t="str">
        <f>"8:52:22.944759"</f>
        <v>8:52:22.944759</v>
      </c>
      <c r="C31">
        <v>-41</v>
      </c>
    </row>
    <row r="32" spans="1:3" x14ac:dyDescent="0.25">
      <c r="A32">
        <v>39</v>
      </c>
      <c r="B32" t="str">
        <f>"8:52:22.945785"</f>
        <v>8:52:22.945785</v>
      </c>
      <c r="C32">
        <v>-45</v>
      </c>
    </row>
    <row r="33" spans="1:3" x14ac:dyDescent="0.25">
      <c r="A33">
        <v>37</v>
      </c>
      <c r="B33" t="str">
        <f>"8:52:23.296039"</f>
        <v>8:52:23.296039</v>
      </c>
      <c r="C33">
        <v>-43</v>
      </c>
    </row>
    <row r="34" spans="1:3" x14ac:dyDescent="0.25">
      <c r="A34">
        <v>38</v>
      </c>
      <c r="B34" t="str">
        <f>"8:52:23.297067"</f>
        <v>8:52:23.297067</v>
      </c>
      <c r="C34">
        <v>-42</v>
      </c>
    </row>
    <row r="35" spans="1:3" x14ac:dyDescent="0.25">
      <c r="A35">
        <v>39</v>
      </c>
      <c r="B35" t="str">
        <f>"8:52:23.298093"</f>
        <v>8:52:23.298093</v>
      </c>
      <c r="C35">
        <v>-45</v>
      </c>
    </row>
    <row r="36" spans="1:3" x14ac:dyDescent="0.25">
      <c r="A36">
        <v>37</v>
      </c>
      <c r="B36" t="str">
        <f>"8:52:23.653681"</f>
        <v>8:52:23.653681</v>
      </c>
      <c r="C36">
        <v>-43</v>
      </c>
    </row>
    <row r="37" spans="1:3" x14ac:dyDescent="0.25">
      <c r="A37">
        <v>38</v>
      </c>
      <c r="B37" t="str">
        <f>"8:52:23.654709"</f>
        <v>8:52:23.654709</v>
      </c>
      <c r="C37">
        <v>-41</v>
      </c>
    </row>
    <row r="38" spans="1:3" x14ac:dyDescent="0.25">
      <c r="A38">
        <v>39</v>
      </c>
      <c r="B38" t="str">
        <f>"8:52:23.655735"</f>
        <v>8:52:23.655735</v>
      </c>
      <c r="C38">
        <v>-45</v>
      </c>
    </row>
    <row r="39" spans="1:3" x14ac:dyDescent="0.25">
      <c r="A39">
        <v>37</v>
      </c>
      <c r="B39" t="str">
        <f>"8:52:24.010358"</f>
        <v>8:52:24.010358</v>
      </c>
      <c r="C39">
        <v>-43</v>
      </c>
    </row>
    <row r="40" spans="1:3" x14ac:dyDescent="0.25">
      <c r="A40">
        <v>38</v>
      </c>
      <c r="B40" t="str">
        <f>"8:52:24.011385"</f>
        <v>8:52:24.011385</v>
      </c>
      <c r="C40">
        <v>-41</v>
      </c>
    </row>
    <row r="41" spans="1:3" x14ac:dyDescent="0.25">
      <c r="A41">
        <v>39</v>
      </c>
      <c r="B41" t="str">
        <f>"8:52:24.012411"</f>
        <v>8:52:24.012411</v>
      </c>
      <c r="C41">
        <v>-45</v>
      </c>
    </row>
    <row r="42" spans="1:3" x14ac:dyDescent="0.25">
      <c r="A42">
        <v>37</v>
      </c>
      <c r="B42" t="str">
        <f>"8:52:24.360638"</f>
        <v>8:52:24.360638</v>
      </c>
      <c r="C42">
        <v>-43</v>
      </c>
    </row>
    <row r="43" spans="1:3" x14ac:dyDescent="0.25">
      <c r="A43">
        <v>38</v>
      </c>
      <c r="B43" t="str">
        <f>"8:52:24.361666"</f>
        <v>8:52:24.361666</v>
      </c>
      <c r="C43">
        <v>-42</v>
      </c>
    </row>
    <row r="44" spans="1:3" x14ac:dyDescent="0.25">
      <c r="A44">
        <v>39</v>
      </c>
      <c r="B44" t="str">
        <f>"8:52:24.362692"</f>
        <v>8:52:24.362692</v>
      </c>
      <c r="C44">
        <v>-45</v>
      </c>
    </row>
    <row r="45" spans="1:3" x14ac:dyDescent="0.25">
      <c r="A45">
        <v>37</v>
      </c>
      <c r="B45" t="str">
        <f>"8:52:24.720639"</f>
        <v>8:52:24.720639</v>
      </c>
      <c r="C45">
        <v>-43</v>
      </c>
    </row>
    <row r="46" spans="1:3" x14ac:dyDescent="0.25">
      <c r="A46">
        <v>38</v>
      </c>
      <c r="B46" t="str">
        <f>"8:52:24.721666"</f>
        <v>8:52:24.721666</v>
      </c>
      <c r="C46">
        <v>-41</v>
      </c>
    </row>
    <row r="47" spans="1:3" x14ac:dyDescent="0.25">
      <c r="A47">
        <v>39</v>
      </c>
      <c r="B47" t="str">
        <f>"8:52:24.722693"</f>
        <v>8:52:24.722693</v>
      </c>
      <c r="C47">
        <v>-45</v>
      </c>
    </row>
    <row r="48" spans="1:3" x14ac:dyDescent="0.25">
      <c r="A48">
        <v>37</v>
      </c>
      <c r="B48" t="str">
        <f>"8:52:25.080384"</f>
        <v>8:52:25.080384</v>
      </c>
      <c r="C48">
        <v>-43</v>
      </c>
    </row>
    <row r="49" spans="1:3" x14ac:dyDescent="0.25">
      <c r="A49">
        <v>38</v>
      </c>
      <c r="B49" t="str">
        <f>"8:52:25.081412"</f>
        <v>8:52:25.081412</v>
      </c>
      <c r="C49">
        <v>-41</v>
      </c>
    </row>
    <row r="50" spans="1:3" x14ac:dyDescent="0.25">
      <c r="A50">
        <v>39</v>
      </c>
      <c r="B50" t="str">
        <f>"8:52:25.082438"</f>
        <v>8:52:25.082438</v>
      </c>
      <c r="C50">
        <v>-45</v>
      </c>
    </row>
    <row r="51" spans="1:3" x14ac:dyDescent="0.25">
      <c r="A51">
        <v>37</v>
      </c>
      <c r="B51" t="str">
        <f>"8:52:25.433443"</f>
        <v>8:52:25.433443</v>
      </c>
      <c r="C51">
        <v>-44</v>
      </c>
    </row>
    <row r="52" spans="1:3" x14ac:dyDescent="0.25">
      <c r="A52">
        <v>38</v>
      </c>
      <c r="B52" t="str">
        <f>"8:52:25.434470"</f>
        <v>8:52:25.434470</v>
      </c>
      <c r="C52">
        <v>-41</v>
      </c>
    </row>
    <row r="53" spans="1:3" x14ac:dyDescent="0.25">
      <c r="A53">
        <v>39</v>
      </c>
      <c r="B53" t="str">
        <f>"8:52:25.435496"</f>
        <v>8:52:25.435496</v>
      </c>
      <c r="C53">
        <v>-45</v>
      </c>
    </row>
    <row r="54" spans="1:3" x14ac:dyDescent="0.25">
      <c r="A54">
        <v>37</v>
      </c>
      <c r="B54" t="str">
        <f>"8:52:25.784740"</f>
        <v>8:52:25.784740</v>
      </c>
      <c r="C54">
        <v>-43</v>
      </c>
    </row>
    <row r="55" spans="1:3" x14ac:dyDescent="0.25">
      <c r="A55">
        <v>38</v>
      </c>
      <c r="B55" t="str">
        <f>"8:52:25.785768"</f>
        <v>8:52:25.785768</v>
      </c>
      <c r="C55">
        <v>-41</v>
      </c>
    </row>
    <row r="56" spans="1:3" x14ac:dyDescent="0.25">
      <c r="A56">
        <v>39</v>
      </c>
      <c r="B56" t="str">
        <f>"8:52:25.786794"</f>
        <v>8:52:25.786794</v>
      </c>
      <c r="C56">
        <v>-45</v>
      </c>
    </row>
    <row r="57" spans="1:3" x14ac:dyDescent="0.25">
      <c r="A57">
        <v>37</v>
      </c>
      <c r="B57" t="str">
        <f>"8:52:26.138320"</f>
        <v>8:52:26.138320</v>
      </c>
      <c r="C57">
        <v>-44</v>
      </c>
    </row>
    <row r="58" spans="1:3" x14ac:dyDescent="0.25">
      <c r="A58">
        <v>38</v>
      </c>
      <c r="B58" t="str">
        <f>"8:52:26.139347"</f>
        <v>8:52:26.139347</v>
      </c>
      <c r="C58">
        <v>-41</v>
      </c>
    </row>
    <row r="59" spans="1:3" x14ac:dyDescent="0.25">
      <c r="A59">
        <v>39</v>
      </c>
      <c r="B59" t="str">
        <f>"8:52:26.140373"</f>
        <v>8:52:26.140373</v>
      </c>
      <c r="C59">
        <v>-45</v>
      </c>
    </row>
    <row r="60" spans="1:3" x14ac:dyDescent="0.25">
      <c r="A60">
        <v>37</v>
      </c>
      <c r="B60" t="str">
        <f>"8:52:26.490809"</f>
        <v>8:52:26.490809</v>
      </c>
      <c r="C60">
        <v>-44</v>
      </c>
    </row>
    <row r="61" spans="1:3" x14ac:dyDescent="0.25">
      <c r="A61">
        <v>38</v>
      </c>
      <c r="B61" t="str">
        <f>"8:52:26.491836"</f>
        <v>8:52:26.491836</v>
      </c>
      <c r="C61">
        <v>-41</v>
      </c>
    </row>
    <row r="62" spans="1:3" x14ac:dyDescent="0.25">
      <c r="A62">
        <v>39</v>
      </c>
      <c r="B62" t="str">
        <f>"8:52:26.492862"</f>
        <v>8:52:26.492862</v>
      </c>
      <c r="C62">
        <v>-46</v>
      </c>
    </row>
    <row r="63" spans="1:3" x14ac:dyDescent="0.25">
      <c r="A63">
        <v>37</v>
      </c>
      <c r="B63" t="str">
        <f>"8:52:26.849479"</f>
        <v>8:52:26.849479</v>
      </c>
      <c r="C63">
        <v>-44</v>
      </c>
    </row>
    <row r="64" spans="1:3" x14ac:dyDescent="0.25">
      <c r="A64">
        <v>38</v>
      </c>
      <c r="B64" t="str">
        <f>"8:52:26.850506"</f>
        <v>8:52:26.850506</v>
      </c>
      <c r="C64">
        <v>-41</v>
      </c>
    </row>
    <row r="65" spans="1:3" x14ac:dyDescent="0.25">
      <c r="A65">
        <v>39</v>
      </c>
      <c r="B65" t="str">
        <f>"8:52:26.851533"</f>
        <v>8:52:26.851533</v>
      </c>
      <c r="C65">
        <v>-45</v>
      </c>
    </row>
    <row r="66" spans="1:3" x14ac:dyDescent="0.25">
      <c r="A66">
        <v>37</v>
      </c>
      <c r="B66" t="str">
        <f>"8:52:27.203545"</f>
        <v>8:52:27.203545</v>
      </c>
      <c r="C66">
        <v>-44</v>
      </c>
    </row>
    <row r="67" spans="1:3" x14ac:dyDescent="0.25">
      <c r="A67">
        <v>38</v>
      </c>
      <c r="B67" t="str">
        <f>"8:52:27.204573"</f>
        <v>8:52:27.204573</v>
      </c>
      <c r="C67">
        <v>-41</v>
      </c>
    </row>
    <row r="68" spans="1:3" x14ac:dyDescent="0.25">
      <c r="A68">
        <v>39</v>
      </c>
      <c r="B68" t="str">
        <f>"8:52:27.205599"</f>
        <v>8:52:27.205599</v>
      </c>
      <c r="C68">
        <v>-45</v>
      </c>
    </row>
    <row r="69" spans="1:3" x14ac:dyDescent="0.25">
      <c r="A69">
        <v>37</v>
      </c>
      <c r="B69" t="str">
        <f>"8:52:27.562967"</f>
        <v>8:52:27.562967</v>
      </c>
      <c r="C69">
        <v>-44</v>
      </c>
    </row>
    <row r="70" spans="1:3" x14ac:dyDescent="0.25">
      <c r="A70">
        <v>38</v>
      </c>
      <c r="B70" t="str">
        <f>"8:52:27.563994"</f>
        <v>8:52:27.563994</v>
      </c>
      <c r="C70">
        <v>-42</v>
      </c>
    </row>
    <row r="71" spans="1:3" x14ac:dyDescent="0.25">
      <c r="A71">
        <v>39</v>
      </c>
      <c r="B71" t="str">
        <f>"8:52:27.565020"</f>
        <v>8:52:27.565020</v>
      </c>
      <c r="C71">
        <v>-45</v>
      </c>
    </row>
    <row r="72" spans="1:3" x14ac:dyDescent="0.25">
      <c r="A72">
        <v>37</v>
      </c>
      <c r="B72" t="str">
        <f>"8:52:27.915747"</f>
        <v>8:52:27.915747</v>
      </c>
      <c r="C72">
        <v>-44</v>
      </c>
    </row>
    <row r="73" spans="1:3" x14ac:dyDescent="0.25">
      <c r="A73">
        <v>38</v>
      </c>
      <c r="B73" t="str">
        <f>"8:52:27.916774"</f>
        <v>8:52:27.916774</v>
      </c>
      <c r="C73">
        <v>-41</v>
      </c>
    </row>
    <row r="74" spans="1:3" x14ac:dyDescent="0.25">
      <c r="A74">
        <v>39</v>
      </c>
      <c r="B74" t="str">
        <f>"8:52:27.917800"</f>
        <v>8:52:27.917800</v>
      </c>
      <c r="C74">
        <v>-45</v>
      </c>
    </row>
    <row r="75" spans="1:3" x14ac:dyDescent="0.25">
      <c r="A75">
        <v>39</v>
      </c>
      <c r="B75" t="str">
        <f>"8:52:27.918645"</f>
        <v>8:52:27.918645</v>
      </c>
      <c r="C75">
        <v>-45</v>
      </c>
    </row>
    <row r="76" spans="1:3" x14ac:dyDescent="0.25">
      <c r="A76">
        <v>37</v>
      </c>
      <c r="B76" t="str">
        <f>"8:52:28.270549"</f>
        <v>8:52:28.270549</v>
      </c>
      <c r="C76">
        <v>-43</v>
      </c>
    </row>
    <row r="77" spans="1:3" x14ac:dyDescent="0.25">
      <c r="A77">
        <v>38</v>
      </c>
      <c r="B77" t="str">
        <f>"8:52:28.271577"</f>
        <v>8:52:28.271577</v>
      </c>
      <c r="C77">
        <v>-40</v>
      </c>
    </row>
    <row r="78" spans="1:3" x14ac:dyDescent="0.25">
      <c r="A78">
        <v>39</v>
      </c>
      <c r="B78" t="str">
        <f>"8:52:28.272603"</f>
        <v>8:52:28.272603</v>
      </c>
      <c r="C78">
        <v>-45</v>
      </c>
    </row>
    <row r="79" spans="1:3" x14ac:dyDescent="0.25">
      <c r="A79">
        <v>37</v>
      </c>
      <c r="B79" t="str">
        <f>"8:52:28.620757"</f>
        <v>8:52:28.620757</v>
      </c>
      <c r="C79">
        <v>-43</v>
      </c>
    </row>
    <row r="80" spans="1:3" x14ac:dyDescent="0.25">
      <c r="A80">
        <v>38</v>
      </c>
      <c r="B80" t="str">
        <f>"8:52:28.621784"</f>
        <v>8:52:28.621784</v>
      </c>
      <c r="C80">
        <v>-40</v>
      </c>
    </row>
    <row r="81" spans="1:3" x14ac:dyDescent="0.25">
      <c r="A81">
        <v>39</v>
      </c>
      <c r="B81" t="str">
        <f>"8:52:28.622811"</f>
        <v>8:52:28.622811</v>
      </c>
      <c r="C81">
        <v>-45</v>
      </c>
    </row>
    <row r="82" spans="1:3" x14ac:dyDescent="0.25">
      <c r="A82">
        <v>37</v>
      </c>
      <c r="B82" t="str">
        <f>"8:52:28.975569"</f>
        <v>8:52:28.975569</v>
      </c>
      <c r="C82">
        <v>-44</v>
      </c>
    </row>
    <row r="83" spans="1:3" x14ac:dyDescent="0.25">
      <c r="A83">
        <v>37</v>
      </c>
      <c r="B83" t="str">
        <f>"8:52:28.976088"</f>
        <v>8:52:28.976088</v>
      </c>
      <c r="C83">
        <v>-78</v>
      </c>
    </row>
    <row r="84" spans="1:3" x14ac:dyDescent="0.25">
      <c r="A84">
        <v>37</v>
      </c>
      <c r="B84" t="str">
        <f>"8:52:28.976414"</f>
        <v>8:52:28.976414</v>
      </c>
      <c r="C84">
        <v>-44</v>
      </c>
    </row>
    <row r="85" spans="1:3" x14ac:dyDescent="0.25">
      <c r="A85">
        <v>38</v>
      </c>
      <c r="B85" t="str">
        <f>"8:52:28.977190"</f>
        <v>8:52:28.977190</v>
      </c>
      <c r="C85">
        <v>-40</v>
      </c>
    </row>
    <row r="86" spans="1:3" x14ac:dyDescent="0.25">
      <c r="A86">
        <v>39</v>
      </c>
      <c r="B86" t="str">
        <f>"8:52:28.978216"</f>
        <v>8:52:28.978216</v>
      </c>
      <c r="C86">
        <v>-44</v>
      </c>
    </row>
    <row r="87" spans="1:3" x14ac:dyDescent="0.25">
      <c r="A87">
        <v>37</v>
      </c>
      <c r="B87" t="str">
        <f>"8:52:29.332450"</f>
        <v>8:52:29.332450</v>
      </c>
      <c r="C87">
        <v>-45</v>
      </c>
    </row>
    <row r="88" spans="1:3" x14ac:dyDescent="0.25">
      <c r="A88">
        <v>38</v>
      </c>
      <c r="B88" t="str">
        <f>"8:52:29.333477"</f>
        <v>8:52:29.333477</v>
      </c>
      <c r="C88">
        <v>-43</v>
      </c>
    </row>
    <row r="89" spans="1:3" x14ac:dyDescent="0.25">
      <c r="A89">
        <v>39</v>
      </c>
      <c r="B89" t="str">
        <f>"8:52:29.334503"</f>
        <v>8:52:29.334503</v>
      </c>
      <c r="C89">
        <v>-47</v>
      </c>
    </row>
    <row r="90" spans="1:3" x14ac:dyDescent="0.25">
      <c r="A90">
        <v>37</v>
      </c>
      <c r="B90" t="str">
        <f>"8:52:29.682648"</f>
        <v>8:52:29.682648</v>
      </c>
      <c r="C90">
        <v>-45</v>
      </c>
    </row>
    <row r="91" spans="1:3" x14ac:dyDescent="0.25">
      <c r="A91">
        <v>38</v>
      </c>
      <c r="B91" t="str">
        <f>"8:52:29.683675"</f>
        <v>8:52:29.683675</v>
      </c>
      <c r="C91">
        <v>-41</v>
      </c>
    </row>
    <row r="92" spans="1:3" x14ac:dyDescent="0.25">
      <c r="A92">
        <v>39</v>
      </c>
      <c r="B92" t="str">
        <f>"8:52:29.684701"</f>
        <v>8:52:29.684701</v>
      </c>
      <c r="C92">
        <v>-46</v>
      </c>
    </row>
    <row r="93" spans="1:3" x14ac:dyDescent="0.25">
      <c r="A93">
        <v>37</v>
      </c>
      <c r="B93" t="str">
        <f>"8:52:30.040795"</f>
        <v>8:52:30.040795</v>
      </c>
      <c r="C93">
        <v>-42</v>
      </c>
    </row>
    <row r="94" spans="1:3" x14ac:dyDescent="0.25">
      <c r="A94">
        <v>38</v>
      </c>
      <c r="B94" t="str">
        <f>"8:52:30.041823"</f>
        <v>8:52:30.041823</v>
      </c>
      <c r="C94">
        <v>-39</v>
      </c>
    </row>
    <row r="95" spans="1:3" x14ac:dyDescent="0.25">
      <c r="A95">
        <v>39</v>
      </c>
      <c r="B95" t="str">
        <f>"8:52:30.042849"</f>
        <v>8:52:30.042849</v>
      </c>
      <c r="C95">
        <v>-43</v>
      </c>
    </row>
    <row r="96" spans="1:3" x14ac:dyDescent="0.25">
      <c r="A96">
        <v>37</v>
      </c>
      <c r="B96" t="str">
        <f>"8:52:30.397711"</f>
        <v>8:52:30.397711</v>
      </c>
      <c r="C96">
        <v>-42</v>
      </c>
    </row>
    <row r="97" spans="1:3" x14ac:dyDescent="0.25">
      <c r="A97">
        <v>38</v>
      </c>
      <c r="B97" t="str">
        <f>"8:52:30.398738"</f>
        <v>8:52:30.398738</v>
      </c>
      <c r="C97">
        <v>-39</v>
      </c>
    </row>
    <row r="98" spans="1:3" x14ac:dyDescent="0.25">
      <c r="A98">
        <v>39</v>
      </c>
      <c r="B98" t="str">
        <f>"8:52:30.399764"</f>
        <v>8:52:30.399764</v>
      </c>
      <c r="C98">
        <v>-43</v>
      </c>
    </row>
    <row r="99" spans="1:3" x14ac:dyDescent="0.25">
      <c r="A99">
        <v>37</v>
      </c>
      <c r="B99" t="str">
        <f>"8:52:30.751332"</f>
        <v>8:52:30.751332</v>
      </c>
      <c r="C99">
        <v>-42</v>
      </c>
    </row>
    <row r="100" spans="1:3" x14ac:dyDescent="0.25">
      <c r="A100">
        <v>38</v>
      </c>
      <c r="B100" t="str">
        <f>"8:52:30.752359"</f>
        <v>8:52:30.752359</v>
      </c>
      <c r="C100">
        <v>-40</v>
      </c>
    </row>
    <row r="101" spans="1:3" x14ac:dyDescent="0.25">
      <c r="A101">
        <v>39</v>
      </c>
      <c r="B101" t="str">
        <f>"8:52:30.753385"</f>
        <v>8:52:30.753385</v>
      </c>
      <c r="C101">
        <v>-44</v>
      </c>
    </row>
    <row r="102" spans="1:3" x14ac:dyDescent="0.25">
      <c r="A102">
        <v>37</v>
      </c>
      <c r="B102" t="str">
        <f>"8:52:31.103836"</f>
        <v>8:52:31.103836</v>
      </c>
      <c r="C102">
        <v>-43</v>
      </c>
    </row>
    <row r="103" spans="1:3" x14ac:dyDescent="0.25">
      <c r="A103">
        <v>37</v>
      </c>
      <c r="B103" t="str">
        <f>"8:52:31.104356"</f>
        <v>8:52:31.104356</v>
      </c>
      <c r="C103">
        <v>-85</v>
      </c>
    </row>
    <row r="104" spans="1:3" x14ac:dyDescent="0.25">
      <c r="A104">
        <v>37</v>
      </c>
      <c r="B104" t="str">
        <f>"8:52:31.104681"</f>
        <v>8:52:31.104681</v>
      </c>
      <c r="C104">
        <v>-44</v>
      </c>
    </row>
    <row r="105" spans="1:3" x14ac:dyDescent="0.25">
      <c r="A105">
        <v>38</v>
      </c>
      <c r="B105" t="str">
        <f>"8:52:31.105458"</f>
        <v>8:52:31.105458</v>
      </c>
      <c r="C105">
        <v>-40</v>
      </c>
    </row>
    <row r="106" spans="1:3" x14ac:dyDescent="0.25">
      <c r="A106">
        <v>39</v>
      </c>
      <c r="B106" t="str">
        <f>"8:52:31.106484"</f>
        <v>8:52:31.106484</v>
      </c>
      <c r="C106">
        <v>-44</v>
      </c>
    </row>
    <row r="107" spans="1:3" x14ac:dyDescent="0.25">
      <c r="A107">
        <v>37</v>
      </c>
      <c r="B107" t="str">
        <f>"8:52:31.459965"</f>
        <v>8:52:31.459965</v>
      </c>
      <c r="C107">
        <v>-44</v>
      </c>
    </row>
    <row r="108" spans="1:3" x14ac:dyDescent="0.25">
      <c r="A108">
        <v>38</v>
      </c>
      <c r="B108" t="str">
        <f>"8:52:31.460992"</f>
        <v>8:52:31.460992</v>
      </c>
      <c r="C108">
        <v>-40</v>
      </c>
    </row>
    <row r="109" spans="1:3" x14ac:dyDescent="0.25">
      <c r="A109">
        <v>39</v>
      </c>
      <c r="B109" t="str">
        <f>"8:52:31.462018"</f>
        <v>8:52:31.462018</v>
      </c>
      <c r="C109">
        <v>-45</v>
      </c>
    </row>
    <row r="110" spans="1:3" x14ac:dyDescent="0.25">
      <c r="A110">
        <v>37</v>
      </c>
      <c r="B110" t="str">
        <f>"8:52:31.813323"</f>
        <v>8:52:31.813323</v>
      </c>
      <c r="C110">
        <v>-44</v>
      </c>
    </row>
    <row r="111" spans="1:3" x14ac:dyDescent="0.25">
      <c r="A111">
        <v>38</v>
      </c>
      <c r="B111" t="str">
        <f>"8:52:31.814350"</f>
        <v>8:52:31.814350</v>
      </c>
      <c r="C111">
        <v>-40</v>
      </c>
    </row>
    <row r="112" spans="1:3" x14ac:dyDescent="0.25">
      <c r="A112">
        <v>39</v>
      </c>
      <c r="B112" t="str">
        <f>"8:52:31.815376"</f>
        <v>8:52:31.815376</v>
      </c>
      <c r="C112">
        <v>-45</v>
      </c>
    </row>
    <row r="113" spans="1:3" x14ac:dyDescent="0.25">
      <c r="A113">
        <v>37</v>
      </c>
      <c r="B113" t="str">
        <f>"8:52:32.168930"</f>
        <v>8:52:32.168930</v>
      </c>
      <c r="C113">
        <v>-44</v>
      </c>
    </row>
    <row r="114" spans="1:3" x14ac:dyDescent="0.25">
      <c r="A114">
        <v>38</v>
      </c>
      <c r="B114" t="str">
        <f>"8:52:32.169957"</f>
        <v>8:52:32.169957</v>
      </c>
      <c r="C114">
        <v>-40</v>
      </c>
    </row>
    <row r="115" spans="1:3" x14ac:dyDescent="0.25">
      <c r="A115">
        <v>38</v>
      </c>
      <c r="B115" t="str">
        <f>"8:52:32.170475"</f>
        <v>8:52:32.170475</v>
      </c>
      <c r="C115">
        <v>-74</v>
      </c>
    </row>
    <row r="116" spans="1:3" x14ac:dyDescent="0.25">
      <c r="A116">
        <v>39</v>
      </c>
      <c r="B116" t="str">
        <f>"8:52:32.170983"</f>
        <v>8:52:32.170983</v>
      </c>
      <c r="C116">
        <v>-46</v>
      </c>
    </row>
    <row r="117" spans="1:3" x14ac:dyDescent="0.25">
      <c r="A117">
        <v>37</v>
      </c>
      <c r="B117" t="str">
        <f>"8:52:32.528393"</f>
        <v>8:52:32.528393</v>
      </c>
      <c r="C117">
        <v>-44</v>
      </c>
    </row>
    <row r="118" spans="1:3" x14ac:dyDescent="0.25">
      <c r="A118">
        <v>38</v>
      </c>
      <c r="B118" t="str">
        <f>"8:52:32.529420"</f>
        <v>8:52:32.529420</v>
      </c>
      <c r="C118">
        <v>-41</v>
      </c>
    </row>
    <row r="119" spans="1:3" x14ac:dyDescent="0.25">
      <c r="A119">
        <v>39</v>
      </c>
      <c r="B119" t="str">
        <f>"8:52:32.530446"</f>
        <v>8:52:32.530446</v>
      </c>
      <c r="C119">
        <v>-47</v>
      </c>
    </row>
    <row r="120" spans="1:3" x14ac:dyDescent="0.25">
      <c r="A120">
        <v>37</v>
      </c>
      <c r="B120" t="str">
        <f>"8:52:32.883727"</f>
        <v>8:52:32.883727</v>
      </c>
      <c r="C120">
        <v>-45</v>
      </c>
    </row>
    <row r="121" spans="1:3" x14ac:dyDescent="0.25">
      <c r="A121">
        <v>37</v>
      </c>
      <c r="B121" t="str">
        <f>"8:52:32.884246"</f>
        <v>8:52:32.884246</v>
      </c>
      <c r="C121">
        <v>-36</v>
      </c>
    </row>
    <row r="122" spans="1:3" x14ac:dyDescent="0.25">
      <c r="A122">
        <v>37</v>
      </c>
      <c r="B122" t="str">
        <f>"8:52:32.884573"</f>
        <v>8:52:32.884573</v>
      </c>
      <c r="C122">
        <v>-45</v>
      </c>
    </row>
    <row r="123" spans="1:3" x14ac:dyDescent="0.25">
      <c r="A123">
        <v>38</v>
      </c>
      <c r="B123" t="str">
        <f>"8:52:32.885349"</f>
        <v>8:52:32.885349</v>
      </c>
      <c r="C123">
        <v>-41</v>
      </c>
    </row>
    <row r="124" spans="1:3" x14ac:dyDescent="0.25">
      <c r="A124">
        <v>39</v>
      </c>
      <c r="B124" t="str">
        <f>"8:52:32.886375"</f>
        <v>8:52:32.886375</v>
      </c>
      <c r="C124">
        <v>-46</v>
      </c>
    </row>
    <row r="125" spans="1:3" x14ac:dyDescent="0.25">
      <c r="A125">
        <v>37</v>
      </c>
      <c r="B125" t="str">
        <f>"8:52:33.239605"</f>
        <v>8:52:33.239605</v>
      </c>
      <c r="C125">
        <v>-44</v>
      </c>
    </row>
    <row r="126" spans="1:3" x14ac:dyDescent="0.25">
      <c r="A126">
        <v>37</v>
      </c>
      <c r="B126" t="str">
        <f>"8:52:33.240124"</f>
        <v>8:52:33.240124</v>
      </c>
      <c r="C126">
        <v>-38</v>
      </c>
    </row>
    <row r="127" spans="1:3" x14ac:dyDescent="0.25">
      <c r="A127">
        <v>37</v>
      </c>
      <c r="B127" t="str">
        <f>"8:52:33.240450"</f>
        <v>8:52:33.240450</v>
      </c>
      <c r="C127">
        <v>-44</v>
      </c>
    </row>
    <row r="128" spans="1:3" x14ac:dyDescent="0.25">
      <c r="A128">
        <v>38</v>
      </c>
      <c r="B128" t="str">
        <f>"8:52:33.241227"</f>
        <v>8:52:33.241227</v>
      </c>
      <c r="C128">
        <v>-40</v>
      </c>
    </row>
    <row r="129" spans="1:3" x14ac:dyDescent="0.25">
      <c r="A129">
        <v>39</v>
      </c>
      <c r="B129" t="str">
        <f>"8:52:33.242253"</f>
        <v>8:52:33.242253</v>
      </c>
      <c r="C129">
        <v>-45</v>
      </c>
    </row>
    <row r="130" spans="1:3" x14ac:dyDescent="0.25">
      <c r="A130">
        <v>37</v>
      </c>
      <c r="B130" t="str">
        <f>"8:52:33.591913"</f>
        <v>8:52:33.591913</v>
      </c>
      <c r="C130">
        <v>-43</v>
      </c>
    </row>
    <row r="131" spans="1:3" x14ac:dyDescent="0.25">
      <c r="A131">
        <v>38</v>
      </c>
      <c r="B131" t="str">
        <f>"8:52:33.592941"</f>
        <v>8:52:33.592941</v>
      </c>
      <c r="C131">
        <v>-40</v>
      </c>
    </row>
    <row r="132" spans="1:3" x14ac:dyDescent="0.25">
      <c r="A132">
        <v>39</v>
      </c>
      <c r="B132" t="str">
        <f>"8:52:33.593967"</f>
        <v>8:52:33.593967</v>
      </c>
      <c r="C132">
        <v>-45</v>
      </c>
    </row>
    <row r="133" spans="1:3" x14ac:dyDescent="0.25">
      <c r="A133">
        <v>37</v>
      </c>
      <c r="B133" t="str">
        <f>"8:52:33.950091"</f>
        <v>8:52:33.950091</v>
      </c>
      <c r="C133">
        <v>-44</v>
      </c>
    </row>
    <row r="134" spans="1:3" x14ac:dyDescent="0.25">
      <c r="A134">
        <v>37</v>
      </c>
      <c r="B134" t="str">
        <f>"8:52:33.950610"</f>
        <v>8:52:33.950610</v>
      </c>
      <c r="C134">
        <v>-38</v>
      </c>
    </row>
    <row r="135" spans="1:3" x14ac:dyDescent="0.25">
      <c r="A135">
        <v>37</v>
      </c>
      <c r="B135" t="str">
        <f>"8:52:33.950936"</f>
        <v>8:52:33.950936</v>
      </c>
      <c r="C135">
        <v>-45</v>
      </c>
    </row>
    <row r="136" spans="1:3" x14ac:dyDescent="0.25">
      <c r="A136">
        <v>38</v>
      </c>
      <c r="B136" t="str">
        <f>"8:52:33.951713"</f>
        <v>8:52:33.951713</v>
      </c>
      <c r="C136">
        <v>-41</v>
      </c>
    </row>
    <row r="137" spans="1:3" x14ac:dyDescent="0.25">
      <c r="A137">
        <v>39</v>
      </c>
      <c r="B137" t="str">
        <f>"8:52:33.952739"</f>
        <v>8:52:33.952739</v>
      </c>
      <c r="C137">
        <v>-45</v>
      </c>
    </row>
    <row r="138" spans="1:3" x14ac:dyDescent="0.25">
      <c r="A138">
        <v>37</v>
      </c>
      <c r="B138" t="str">
        <f>"8:52:34.306765"</f>
        <v>8:52:34.306765</v>
      </c>
      <c r="C138">
        <v>-46</v>
      </c>
    </row>
    <row r="139" spans="1:3" x14ac:dyDescent="0.25">
      <c r="A139">
        <v>38</v>
      </c>
      <c r="B139" t="str">
        <f>"8:52:34.307792"</f>
        <v>8:52:34.307792</v>
      </c>
      <c r="C139">
        <v>-41</v>
      </c>
    </row>
    <row r="140" spans="1:3" x14ac:dyDescent="0.25">
      <c r="A140">
        <v>39</v>
      </c>
      <c r="B140" t="str">
        <f>"8:52:34.308818"</f>
        <v>8:52:34.308818</v>
      </c>
      <c r="C140">
        <v>-46</v>
      </c>
    </row>
    <row r="141" spans="1:3" x14ac:dyDescent="0.25">
      <c r="A141">
        <v>37</v>
      </c>
      <c r="B141" t="str">
        <f>"8:52:34.660381"</f>
        <v>8:52:34.660381</v>
      </c>
      <c r="C141">
        <v>-44</v>
      </c>
    </row>
    <row r="142" spans="1:3" x14ac:dyDescent="0.25">
      <c r="A142">
        <v>37</v>
      </c>
      <c r="B142" t="str">
        <f>"8:52:34.661227"</f>
        <v>8:52:34.661227</v>
      </c>
      <c r="C142">
        <v>-44</v>
      </c>
    </row>
    <row r="143" spans="1:3" x14ac:dyDescent="0.25">
      <c r="A143">
        <v>38</v>
      </c>
      <c r="B143" t="str">
        <f>"8:52:34.662004"</f>
        <v>8:52:34.662004</v>
      </c>
      <c r="C143">
        <v>-41</v>
      </c>
    </row>
    <row r="144" spans="1:3" x14ac:dyDescent="0.25">
      <c r="A144">
        <v>38</v>
      </c>
      <c r="B144" t="str">
        <f>"8:52:34.662522"</f>
        <v>8:52:34.662522</v>
      </c>
      <c r="C144">
        <v>-32</v>
      </c>
    </row>
    <row r="145" spans="1:3" x14ac:dyDescent="0.25">
      <c r="A145">
        <v>38</v>
      </c>
      <c r="B145" t="str">
        <f>"8:52:34.662848"</f>
        <v>8:52:34.662848</v>
      </c>
      <c r="C145">
        <v>-41</v>
      </c>
    </row>
    <row r="146" spans="1:3" x14ac:dyDescent="0.25">
      <c r="A146">
        <v>39</v>
      </c>
      <c r="B146" t="str">
        <f>"8:52:34.663624"</f>
        <v>8:52:34.663624</v>
      </c>
      <c r="C146">
        <v>-46</v>
      </c>
    </row>
    <row r="147" spans="1:3" x14ac:dyDescent="0.25">
      <c r="A147">
        <v>37</v>
      </c>
      <c r="B147" t="str">
        <f>"8:52:35.020127"</f>
        <v>8:52:35.020127</v>
      </c>
      <c r="C147">
        <v>-44</v>
      </c>
    </row>
    <row r="148" spans="1:3" x14ac:dyDescent="0.25">
      <c r="A148">
        <v>38</v>
      </c>
      <c r="B148" t="str">
        <f>"8:52:35.021154"</f>
        <v>8:52:35.021154</v>
      </c>
      <c r="C148">
        <v>-41</v>
      </c>
    </row>
    <row r="149" spans="1:3" x14ac:dyDescent="0.25">
      <c r="A149">
        <v>39</v>
      </c>
      <c r="B149" t="str">
        <f>"8:52:35.022180"</f>
        <v>8:52:35.022180</v>
      </c>
      <c r="C149">
        <v>-45</v>
      </c>
    </row>
    <row r="150" spans="1:3" x14ac:dyDescent="0.25">
      <c r="A150">
        <v>37</v>
      </c>
      <c r="B150" t="str">
        <f>"8:52:35.375021"</f>
        <v>8:52:35.375021</v>
      </c>
      <c r="C150">
        <v>-44</v>
      </c>
    </row>
    <row r="151" spans="1:3" x14ac:dyDescent="0.25">
      <c r="A151">
        <v>38</v>
      </c>
      <c r="B151" t="str">
        <f>"8:52:35.376048"</f>
        <v>8:52:35.376048</v>
      </c>
      <c r="C151">
        <v>-41</v>
      </c>
    </row>
    <row r="152" spans="1:3" x14ac:dyDescent="0.25">
      <c r="A152">
        <v>38</v>
      </c>
      <c r="B152" t="str">
        <f>"8:52:35.376567"</f>
        <v>8:52:35.376567</v>
      </c>
      <c r="C152">
        <v>-32</v>
      </c>
    </row>
    <row r="153" spans="1:3" x14ac:dyDescent="0.25">
      <c r="A153">
        <v>38</v>
      </c>
      <c r="B153" t="str">
        <f>"8:52:35.376893"</f>
        <v>8:52:35.376893</v>
      </c>
      <c r="C153">
        <v>-41</v>
      </c>
    </row>
    <row r="154" spans="1:3" x14ac:dyDescent="0.25">
      <c r="A154">
        <v>39</v>
      </c>
      <c r="B154" t="str">
        <f>"8:52:35.377669"</f>
        <v>8:52:35.377669</v>
      </c>
      <c r="C154">
        <v>-46</v>
      </c>
    </row>
    <row r="155" spans="1:3" x14ac:dyDescent="0.25">
      <c r="A155">
        <v>39</v>
      </c>
      <c r="B155" t="str">
        <f>"8:52:35.378187"</f>
        <v>8:52:35.378187</v>
      </c>
      <c r="C155">
        <v>-82</v>
      </c>
    </row>
    <row r="156" spans="1:3" x14ac:dyDescent="0.25">
      <c r="A156">
        <v>39</v>
      </c>
      <c r="B156" t="str">
        <f>"8:52:35.378513"</f>
        <v>8:52:35.378513</v>
      </c>
      <c r="C156">
        <v>-45</v>
      </c>
    </row>
    <row r="157" spans="1:3" x14ac:dyDescent="0.25">
      <c r="A157">
        <v>37</v>
      </c>
      <c r="B157" t="str">
        <f>"8:52:35.726289"</f>
        <v>8:52:35.726289</v>
      </c>
      <c r="C157">
        <v>-44</v>
      </c>
    </row>
    <row r="158" spans="1:3" x14ac:dyDescent="0.25">
      <c r="A158">
        <v>38</v>
      </c>
      <c r="B158" t="str">
        <f>"8:52:35.727316"</f>
        <v>8:52:35.727316</v>
      </c>
      <c r="C158">
        <v>-41</v>
      </c>
    </row>
    <row r="159" spans="1:3" x14ac:dyDescent="0.25">
      <c r="A159">
        <v>38</v>
      </c>
      <c r="B159" t="str">
        <f>"8:52:35.727834"</f>
        <v>8:52:35.727834</v>
      </c>
      <c r="C159">
        <v>-32</v>
      </c>
    </row>
    <row r="160" spans="1:3" x14ac:dyDescent="0.25">
      <c r="A160">
        <v>38</v>
      </c>
      <c r="B160" t="str">
        <f>"8:52:35.728160"</f>
        <v>8:52:35.728160</v>
      </c>
      <c r="C160">
        <v>-41</v>
      </c>
    </row>
    <row r="161" spans="1:3" x14ac:dyDescent="0.25">
      <c r="A161">
        <v>39</v>
      </c>
      <c r="B161" t="str">
        <f>"8:52:35.728936"</f>
        <v>8:52:35.728936</v>
      </c>
      <c r="C161">
        <v>-45</v>
      </c>
    </row>
    <row r="162" spans="1:3" x14ac:dyDescent="0.25">
      <c r="A162">
        <v>37</v>
      </c>
      <c r="B162" t="str">
        <f>"8:52:36.079630"</f>
        <v>8:52:36.079630</v>
      </c>
      <c r="C162">
        <v>-44</v>
      </c>
    </row>
    <row r="163" spans="1:3" x14ac:dyDescent="0.25">
      <c r="A163">
        <v>39</v>
      </c>
      <c r="B163" t="str">
        <f>"8:52:36.081683"</f>
        <v>8:52:36.081683</v>
      </c>
      <c r="C163">
        <v>-45</v>
      </c>
    </row>
    <row r="164" spans="1:3" x14ac:dyDescent="0.25">
      <c r="A164">
        <v>37</v>
      </c>
      <c r="B164" t="str">
        <f>"8:52:36.433404"</f>
        <v>8:52:36.433404</v>
      </c>
      <c r="C164">
        <v>-44</v>
      </c>
    </row>
    <row r="165" spans="1:3" x14ac:dyDescent="0.25">
      <c r="A165">
        <v>38</v>
      </c>
      <c r="B165" t="str">
        <f>"8:52:36.434431"</f>
        <v>8:52:36.434431</v>
      </c>
      <c r="C165">
        <v>-41</v>
      </c>
    </row>
    <row r="166" spans="1:3" x14ac:dyDescent="0.25">
      <c r="A166">
        <v>39</v>
      </c>
      <c r="B166" t="str">
        <f>"8:52:36.435457"</f>
        <v>8:52:36.435457</v>
      </c>
      <c r="C166">
        <v>-45</v>
      </c>
    </row>
    <row r="167" spans="1:3" x14ac:dyDescent="0.25">
      <c r="A167">
        <v>37</v>
      </c>
      <c r="B167" t="str">
        <f>"8:52:36.784153"</f>
        <v>8:52:36.784153</v>
      </c>
      <c r="C167">
        <v>-44</v>
      </c>
    </row>
    <row r="168" spans="1:3" x14ac:dyDescent="0.25">
      <c r="A168">
        <v>38</v>
      </c>
      <c r="B168" t="str">
        <f>"8:52:36.785180"</f>
        <v>8:52:36.785180</v>
      </c>
      <c r="C168">
        <v>-41</v>
      </c>
    </row>
    <row r="169" spans="1:3" x14ac:dyDescent="0.25">
      <c r="A169">
        <v>38</v>
      </c>
      <c r="B169" t="str">
        <f>"8:52:36.785699"</f>
        <v>8:52:36.785699</v>
      </c>
      <c r="C169">
        <v>-32</v>
      </c>
    </row>
    <row r="170" spans="1:3" x14ac:dyDescent="0.25">
      <c r="A170">
        <v>38</v>
      </c>
      <c r="B170" t="str">
        <f>"8:52:36.786024"</f>
        <v>8:52:36.786024</v>
      </c>
      <c r="C170">
        <v>-41</v>
      </c>
    </row>
    <row r="171" spans="1:3" x14ac:dyDescent="0.25">
      <c r="A171">
        <v>39</v>
      </c>
      <c r="B171" t="str">
        <f>"8:52:36.786800"</f>
        <v>8:52:36.786800</v>
      </c>
      <c r="C171">
        <v>-45</v>
      </c>
    </row>
    <row r="172" spans="1:3" x14ac:dyDescent="0.25">
      <c r="A172">
        <v>37</v>
      </c>
      <c r="B172" t="str">
        <f>"8:52:37.135445"</f>
        <v>8:52:37.135445</v>
      </c>
      <c r="C172">
        <v>-44</v>
      </c>
    </row>
    <row r="173" spans="1:3" x14ac:dyDescent="0.25">
      <c r="A173">
        <v>38</v>
      </c>
      <c r="B173" t="str">
        <f>"8:52:37.136473"</f>
        <v>8:52:37.136473</v>
      </c>
      <c r="C173">
        <v>-41</v>
      </c>
    </row>
    <row r="174" spans="1:3" x14ac:dyDescent="0.25">
      <c r="A174">
        <v>38</v>
      </c>
      <c r="B174" t="str">
        <f>"8:52:37.136991"</f>
        <v>8:52:37.136991</v>
      </c>
      <c r="C174">
        <v>-32</v>
      </c>
    </row>
    <row r="175" spans="1:3" x14ac:dyDescent="0.25">
      <c r="A175">
        <v>38</v>
      </c>
      <c r="B175" t="str">
        <f>"8:52:37.137318"</f>
        <v>8:52:37.137318</v>
      </c>
      <c r="C175">
        <v>-41</v>
      </c>
    </row>
    <row r="176" spans="1:3" x14ac:dyDescent="0.25">
      <c r="A176">
        <v>39</v>
      </c>
      <c r="B176" t="str">
        <f>"8:52:37.138094"</f>
        <v>8:52:37.138094</v>
      </c>
      <c r="C176">
        <v>-46</v>
      </c>
    </row>
    <row r="177" spans="1:3" x14ac:dyDescent="0.25">
      <c r="A177">
        <v>37</v>
      </c>
      <c r="B177" t="str">
        <f>"8:52:37.488249"</f>
        <v>8:52:37.488249</v>
      </c>
      <c r="C177">
        <v>-44</v>
      </c>
    </row>
    <row r="178" spans="1:3" x14ac:dyDescent="0.25">
      <c r="A178">
        <v>38</v>
      </c>
      <c r="B178" t="str">
        <f>"8:52:37.489276"</f>
        <v>8:52:37.489276</v>
      </c>
      <c r="C178">
        <v>-41</v>
      </c>
    </row>
    <row r="179" spans="1:3" x14ac:dyDescent="0.25">
      <c r="A179">
        <v>38</v>
      </c>
      <c r="B179" t="str">
        <f>"8:52:37.489795"</f>
        <v>8:52:37.489795</v>
      </c>
      <c r="C179">
        <v>-32</v>
      </c>
    </row>
    <row r="180" spans="1:3" x14ac:dyDescent="0.25">
      <c r="A180">
        <v>38</v>
      </c>
      <c r="B180" t="str">
        <f>"8:52:37.490121"</f>
        <v>8:52:37.490121</v>
      </c>
      <c r="C180">
        <v>-41</v>
      </c>
    </row>
    <row r="181" spans="1:3" x14ac:dyDescent="0.25">
      <c r="A181">
        <v>39</v>
      </c>
      <c r="B181" t="str">
        <f>"8:52:37.490896"</f>
        <v>8:52:37.490896</v>
      </c>
      <c r="C181">
        <v>-46</v>
      </c>
    </row>
    <row r="182" spans="1:3" x14ac:dyDescent="0.25">
      <c r="A182">
        <v>37</v>
      </c>
      <c r="B182" t="str">
        <f>"8:52:37.846207"</f>
        <v>8:52:37.846207</v>
      </c>
      <c r="C182">
        <v>-44</v>
      </c>
    </row>
    <row r="183" spans="1:3" x14ac:dyDescent="0.25">
      <c r="A183">
        <v>38</v>
      </c>
      <c r="B183" t="str">
        <f>"8:52:37.847234"</f>
        <v>8:52:37.847234</v>
      </c>
      <c r="C183">
        <v>-41</v>
      </c>
    </row>
    <row r="184" spans="1:3" x14ac:dyDescent="0.25">
      <c r="A184">
        <v>39</v>
      </c>
      <c r="B184" t="str">
        <f>"8:52:37.848260"</f>
        <v>8:52:37.848260</v>
      </c>
      <c r="C184">
        <v>-46</v>
      </c>
    </row>
    <row r="185" spans="1:3" x14ac:dyDescent="0.25">
      <c r="A185">
        <v>37</v>
      </c>
      <c r="B185" t="str">
        <f>"8:52:38.197172"</f>
        <v>8:52:38.197172</v>
      </c>
      <c r="C185">
        <v>-45</v>
      </c>
    </row>
    <row r="186" spans="1:3" x14ac:dyDescent="0.25">
      <c r="A186">
        <v>38</v>
      </c>
      <c r="B186" t="str">
        <f>"8:52:38.198199"</f>
        <v>8:52:38.198199</v>
      </c>
      <c r="C186">
        <v>-41</v>
      </c>
    </row>
    <row r="187" spans="1:3" x14ac:dyDescent="0.25">
      <c r="A187">
        <v>38</v>
      </c>
      <c r="B187" t="str">
        <f>"8:52:38.198718"</f>
        <v>8:52:38.198718</v>
      </c>
      <c r="C187">
        <v>-31</v>
      </c>
    </row>
    <row r="188" spans="1:3" x14ac:dyDescent="0.25">
      <c r="A188">
        <v>38</v>
      </c>
      <c r="B188" t="str">
        <f>"8:52:38.199045"</f>
        <v>8:52:38.199045</v>
      </c>
      <c r="C188">
        <v>-41</v>
      </c>
    </row>
    <row r="189" spans="1:3" x14ac:dyDescent="0.25">
      <c r="A189">
        <v>39</v>
      </c>
      <c r="B189" t="str">
        <f>"8:52:38.199821"</f>
        <v>8:52:38.199821</v>
      </c>
      <c r="C189">
        <v>-46</v>
      </c>
    </row>
    <row r="190" spans="1:3" x14ac:dyDescent="0.25">
      <c r="A190">
        <v>37</v>
      </c>
      <c r="B190" t="str">
        <f>"8:52:38.552760"</f>
        <v>8:52:38.552760</v>
      </c>
      <c r="C190">
        <v>-44</v>
      </c>
    </row>
    <row r="191" spans="1:3" x14ac:dyDescent="0.25">
      <c r="A191">
        <v>38</v>
      </c>
      <c r="B191" t="str">
        <f>"8:52:38.553788"</f>
        <v>8:52:38.553788</v>
      </c>
      <c r="C191">
        <v>-41</v>
      </c>
    </row>
    <row r="192" spans="1:3" x14ac:dyDescent="0.25">
      <c r="A192">
        <v>38</v>
      </c>
      <c r="B192" t="str">
        <f>"8:52:38.554306"</f>
        <v>8:52:38.554306</v>
      </c>
      <c r="C192">
        <v>-32</v>
      </c>
    </row>
    <row r="193" spans="1:3" x14ac:dyDescent="0.25">
      <c r="A193">
        <v>38</v>
      </c>
      <c r="B193" t="str">
        <f>"8:52:38.554632"</f>
        <v>8:52:38.554632</v>
      </c>
      <c r="C193">
        <v>-41</v>
      </c>
    </row>
    <row r="194" spans="1:3" x14ac:dyDescent="0.25">
      <c r="A194">
        <v>39</v>
      </c>
      <c r="B194" t="str">
        <f>"8:52:38.555408"</f>
        <v>8:52:38.555408</v>
      </c>
      <c r="C194">
        <v>-46</v>
      </c>
    </row>
    <row r="195" spans="1:3" x14ac:dyDescent="0.25">
      <c r="A195">
        <v>37</v>
      </c>
      <c r="B195" t="str">
        <f>"8:52:38.905558"</f>
        <v>8:52:38.905558</v>
      </c>
      <c r="C195">
        <v>-44</v>
      </c>
    </row>
    <row r="196" spans="1:3" x14ac:dyDescent="0.25">
      <c r="A196">
        <v>38</v>
      </c>
      <c r="B196" t="str">
        <f>"8:52:38.906585"</f>
        <v>8:52:38.906585</v>
      </c>
      <c r="C196">
        <v>-41</v>
      </c>
    </row>
    <row r="197" spans="1:3" x14ac:dyDescent="0.25">
      <c r="A197">
        <v>38</v>
      </c>
      <c r="B197" t="str">
        <f>"8:52:38.907104"</f>
        <v>8:52:38.907104</v>
      </c>
      <c r="C197">
        <v>-32</v>
      </c>
    </row>
    <row r="198" spans="1:3" x14ac:dyDescent="0.25">
      <c r="A198">
        <v>38</v>
      </c>
      <c r="B198" t="str">
        <f>"8:52:38.907430"</f>
        <v>8:52:38.907430</v>
      </c>
      <c r="C198">
        <v>-41</v>
      </c>
    </row>
    <row r="199" spans="1:3" x14ac:dyDescent="0.25">
      <c r="A199">
        <v>39</v>
      </c>
      <c r="B199" t="str">
        <f>"8:52:38.908205"</f>
        <v>8:52:38.908205</v>
      </c>
      <c r="C199">
        <v>-46</v>
      </c>
    </row>
    <row r="200" spans="1:3" x14ac:dyDescent="0.25">
      <c r="A200">
        <v>37</v>
      </c>
      <c r="B200" t="str">
        <f>"8:52:39.264551"</f>
        <v>8:52:39.264551</v>
      </c>
      <c r="C200">
        <v>-44</v>
      </c>
    </row>
    <row r="201" spans="1:3" x14ac:dyDescent="0.25">
      <c r="A201">
        <v>38</v>
      </c>
      <c r="B201" t="str">
        <f>"8:52:39.265578"</f>
        <v>8:52:39.265578</v>
      </c>
      <c r="C201">
        <v>-41</v>
      </c>
    </row>
    <row r="202" spans="1:3" x14ac:dyDescent="0.25">
      <c r="A202">
        <v>38</v>
      </c>
      <c r="B202" t="str">
        <f>"8:52:39.266097"</f>
        <v>8:52:39.266097</v>
      </c>
      <c r="C202">
        <v>-32</v>
      </c>
    </row>
    <row r="203" spans="1:3" x14ac:dyDescent="0.25">
      <c r="A203">
        <v>38</v>
      </c>
      <c r="B203" t="str">
        <f>"8:52:39.266422"</f>
        <v>8:52:39.266422</v>
      </c>
      <c r="C203">
        <v>-41</v>
      </c>
    </row>
    <row r="204" spans="1:3" x14ac:dyDescent="0.25">
      <c r="A204">
        <v>39</v>
      </c>
      <c r="B204" t="str">
        <f>"8:52:39.267198"</f>
        <v>8:52:39.267198</v>
      </c>
      <c r="C204">
        <v>-46</v>
      </c>
    </row>
    <row r="205" spans="1:3" x14ac:dyDescent="0.25">
      <c r="A205">
        <v>37</v>
      </c>
      <c r="B205" t="str">
        <f>"8:52:39.617610"</f>
        <v>8:52:39.617610</v>
      </c>
      <c r="C205">
        <v>-43</v>
      </c>
    </row>
    <row r="206" spans="1:3" x14ac:dyDescent="0.25">
      <c r="A206">
        <v>38</v>
      </c>
      <c r="B206" t="str">
        <f>"8:52:39.618637"</f>
        <v>8:52:39.618637</v>
      </c>
      <c r="C206">
        <v>-41</v>
      </c>
    </row>
    <row r="207" spans="1:3" x14ac:dyDescent="0.25">
      <c r="A207">
        <v>39</v>
      </c>
      <c r="B207" t="str">
        <f>"8:52:39.619663"</f>
        <v>8:52:39.619663</v>
      </c>
      <c r="C207">
        <v>-45</v>
      </c>
    </row>
    <row r="208" spans="1:3" x14ac:dyDescent="0.25">
      <c r="A208">
        <v>39</v>
      </c>
      <c r="B208" t="str">
        <f>"8:52:39.620181"</f>
        <v>8:52:39.620181</v>
      </c>
      <c r="C208">
        <v>-30</v>
      </c>
    </row>
    <row r="209" spans="1:3" x14ac:dyDescent="0.25">
      <c r="A209">
        <v>39</v>
      </c>
      <c r="B209" t="str">
        <f>"8:52:39.620507"</f>
        <v>8:52:39.620507</v>
      </c>
      <c r="C209">
        <v>-44</v>
      </c>
    </row>
    <row r="210" spans="1:3" x14ac:dyDescent="0.25">
      <c r="A210">
        <v>37</v>
      </c>
      <c r="B210" t="str">
        <f>"8:52:39.976022"</f>
        <v>8:52:39.976022</v>
      </c>
      <c r="C210">
        <v>-44</v>
      </c>
    </row>
    <row r="211" spans="1:3" x14ac:dyDescent="0.25">
      <c r="A211">
        <v>38</v>
      </c>
      <c r="B211" t="str">
        <f>"8:52:39.977050"</f>
        <v>8:52:39.977050</v>
      </c>
      <c r="C211">
        <v>-41</v>
      </c>
    </row>
    <row r="212" spans="1:3" x14ac:dyDescent="0.25">
      <c r="A212">
        <v>38</v>
      </c>
      <c r="B212" t="str">
        <f>"8:52:39.977895"</f>
        <v>8:52:39.977895</v>
      </c>
      <c r="C212">
        <v>-41</v>
      </c>
    </row>
    <row r="213" spans="1:3" x14ac:dyDescent="0.25">
      <c r="A213">
        <v>39</v>
      </c>
      <c r="B213" t="str">
        <f>"8:52:39.978671"</f>
        <v>8:52:39.978671</v>
      </c>
      <c r="C213">
        <v>-45</v>
      </c>
    </row>
    <row r="214" spans="1:3" x14ac:dyDescent="0.25">
      <c r="A214">
        <v>39</v>
      </c>
      <c r="B214" t="str">
        <f>"8:52:39.979189"</f>
        <v>8:52:39.979189</v>
      </c>
      <c r="C214">
        <v>-31</v>
      </c>
    </row>
    <row r="215" spans="1:3" x14ac:dyDescent="0.25">
      <c r="A215">
        <v>39</v>
      </c>
      <c r="B215" t="str">
        <f>"8:52:39.979515"</f>
        <v>8:52:39.979515</v>
      </c>
      <c r="C215">
        <v>-45</v>
      </c>
    </row>
    <row r="216" spans="1:3" x14ac:dyDescent="0.25">
      <c r="A216">
        <v>37</v>
      </c>
      <c r="B216" t="str">
        <f>"8:52:40.328253"</f>
        <v>8:52:40.328253</v>
      </c>
      <c r="C216">
        <v>-44</v>
      </c>
    </row>
    <row r="217" spans="1:3" x14ac:dyDescent="0.25">
      <c r="A217">
        <v>38</v>
      </c>
      <c r="B217" t="str">
        <f>"8:52:40.329281"</f>
        <v>8:52:40.329281</v>
      </c>
      <c r="C217">
        <v>-41</v>
      </c>
    </row>
    <row r="218" spans="1:3" x14ac:dyDescent="0.25">
      <c r="A218">
        <v>39</v>
      </c>
      <c r="B218" t="str">
        <f>"8:52:40.330307"</f>
        <v>8:52:40.330307</v>
      </c>
      <c r="C218">
        <v>-45</v>
      </c>
    </row>
    <row r="219" spans="1:3" x14ac:dyDescent="0.25">
      <c r="A219">
        <v>37</v>
      </c>
      <c r="B219" t="str">
        <f>"8:52:40.680077"</f>
        <v>8:52:40.680077</v>
      </c>
      <c r="C219">
        <v>-44</v>
      </c>
    </row>
    <row r="220" spans="1:3" x14ac:dyDescent="0.25">
      <c r="A220">
        <v>38</v>
      </c>
      <c r="B220" t="str">
        <f>"8:52:40.681104"</f>
        <v>8:52:40.681104</v>
      </c>
      <c r="C220">
        <v>-41</v>
      </c>
    </row>
    <row r="221" spans="1:3" x14ac:dyDescent="0.25">
      <c r="A221">
        <v>39</v>
      </c>
      <c r="B221" t="str">
        <f>"8:52:40.682130"</f>
        <v>8:52:40.682130</v>
      </c>
      <c r="C221">
        <v>-45</v>
      </c>
    </row>
    <row r="222" spans="1:3" x14ac:dyDescent="0.25">
      <c r="A222">
        <v>39</v>
      </c>
      <c r="B222" t="str">
        <f>"8:52:40.682648"</f>
        <v>8:52:40.682648</v>
      </c>
      <c r="C222">
        <v>-30</v>
      </c>
    </row>
    <row r="223" spans="1:3" x14ac:dyDescent="0.25">
      <c r="A223">
        <v>39</v>
      </c>
      <c r="B223" t="str">
        <f>"8:52:40.682974"</f>
        <v>8:52:40.682974</v>
      </c>
      <c r="C223">
        <v>-45</v>
      </c>
    </row>
    <row r="224" spans="1:3" x14ac:dyDescent="0.25">
      <c r="A224">
        <v>37</v>
      </c>
      <c r="B224" t="str">
        <f>"8:52:41.037470"</f>
        <v>8:52:41.037470</v>
      </c>
      <c r="C224">
        <v>-44</v>
      </c>
    </row>
    <row r="225" spans="1:3" x14ac:dyDescent="0.25">
      <c r="A225">
        <v>38</v>
      </c>
      <c r="B225" t="str">
        <f>"8:52:41.038497"</f>
        <v>8:52:41.038497</v>
      </c>
      <c r="C225">
        <v>-41</v>
      </c>
    </row>
    <row r="226" spans="1:3" x14ac:dyDescent="0.25">
      <c r="A226">
        <v>39</v>
      </c>
      <c r="B226" t="str">
        <f>"8:52:41.039523"</f>
        <v>8:52:41.039523</v>
      </c>
      <c r="C226">
        <v>-46</v>
      </c>
    </row>
    <row r="227" spans="1:3" x14ac:dyDescent="0.25">
      <c r="A227">
        <v>39</v>
      </c>
      <c r="B227" t="str">
        <f>"8:52:41.040042"</f>
        <v>8:52:41.040042</v>
      </c>
      <c r="C227">
        <v>-31</v>
      </c>
    </row>
    <row r="228" spans="1:3" x14ac:dyDescent="0.25">
      <c r="A228">
        <v>39</v>
      </c>
      <c r="B228" t="str">
        <f>"8:52:41.040368"</f>
        <v>8:52:41.040368</v>
      </c>
      <c r="C228">
        <v>-45</v>
      </c>
    </row>
    <row r="229" spans="1:3" x14ac:dyDescent="0.25">
      <c r="A229">
        <v>37</v>
      </c>
      <c r="B229" t="str">
        <f>"8:52:41.393633"</f>
        <v>8:52:41.393633</v>
      </c>
      <c r="C229">
        <v>-44</v>
      </c>
    </row>
    <row r="230" spans="1:3" x14ac:dyDescent="0.25">
      <c r="A230">
        <v>38</v>
      </c>
      <c r="B230" t="str">
        <f>"8:52:41.394660"</f>
        <v>8:52:41.394660</v>
      </c>
      <c r="C230">
        <v>-41</v>
      </c>
    </row>
    <row r="231" spans="1:3" x14ac:dyDescent="0.25">
      <c r="A231">
        <v>39</v>
      </c>
      <c r="B231" t="str">
        <f>"8:52:41.395686"</f>
        <v>8:52:41.395686</v>
      </c>
      <c r="C231">
        <v>-46</v>
      </c>
    </row>
    <row r="232" spans="1:3" x14ac:dyDescent="0.25">
      <c r="A232">
        <v>39</v>
      </c>
      <c r="B232" t="str">
        <f>"8:52:41.396205"</f>
        <v>8:52:41.396205</v>
      </c>
      <c r="C232">
        <v>-31</v>
      </c>
    </row>
    <row r="233" spans="1:3" x14ac:dyDescent="0.25">
      <c r="A233">
        <v>39</v>
      </c>
      <c r="B233" t="str">
        <f>"8:52:41.396531"</f>
        <v>8:52:41.396531</v>
      </c>
      <c r="C233">
        <v>-45</v>
      </c>
    </row>
    <row r="234" spans="1:3" x14ac:dyDescent="0.25">
      <c r="A234">
        <v>37</v>
      </c>
      <c r="B234" t="str">
        <f>"8:52:41.747965"</f>
        <v>8:52:41.747965</v>
      </c>
      <c r="C234">
        <v>-44</v>
      </c>
    </row>
    <row r="235" spans="1:3" x14ac:dyDescent="0.25">
      <c r="A235">
        <v>38</v>
      </c>
      <c r="B235" t="str">
        <f>"8:52:41.748992"</f>
        <v>8:52:41.748992</v>
      </c>
      <c r="C235">
        <v>-41</v>
      </c>
    </row>
    <row r="236" spans="1:3" x14ac:dyDescent="0.25">
      <c r="A236">
        <v>39</v>
      </c>
      <c r="B236" t="str">
        <f>"8:52:41.750018"</f>
        <v>8:52:41.750018</v>
      </c>
      <c r="C236">
        <v>-46</v>
      </c>
    </row>
    <row r="237" spans="1:3" x14ac:dyDescent="0.25">
      <c r="A237">
        <v>37</v>
      </c>
      <c r="B237" t="str">
        <f>"8:52:42.107953"</f>
        <v>8:52:42.107953</v>
      </c>
      <c r="C237">
        <v>-44</v>
      </c>
    </row>
    <row r="238" spans="1:3" x14ac:dyDescent="0.25">
      <c r="A238">
        <v>38</v>
      </c>
      <c r="B238" t="str">
        <f>"8:52:42.108981"</f>
        <v>8:52:42.108981</v>
      </c>
      <c r="C238">
        <v>-41</v>
      </c>
    </row>
    <row r="239" spans="1:3" x14ac:dyDescent="0.25">
      <c r="A239">
        <v>39</v>
      </c>
      <c r="B239" t="str">
        <f>"8:52:42.110007"</f>
        <v>8:52:42.110007</v>
      </c>
      <c r="C239">
        <v>-46</v>
      </c>
    </row>
    <row r="240" spans="1:3" x14ac:dyDescent="0.25">
      <c r="A240">
        <v>37</v>
      </c>
      <c r="B240" t="str">
        <f>"8:52:42.463784"</f>
        <v>8:52:42.463784</v>
      </c>
      <c r="C240">
        <v>-44</v>
      </c>
    </row>
    <row r="241" spans="1:3" x14ac:dyDescent="0.25">
      <c r="A241">
        <v>38</v>
      </c>
      <c r="B241" t="str">
        <f>"8:52:42.464811"</f>
        <v>8:52:42.464811</v>
      </c>
      <c r="C241">
        <v>-41</v>
      </c>
    </row>
    <row r="242" spans="1:3" x14ac:dyDescent="0.25">
      <c r="A242">
        <v>39</v>
      </c>
      <c r="B242" t="str">
        <f>"8:52:42.465837"</f>
        <v>8:52:42.465837</v>
      </c>
      <c r="C242">
        <v>-46</v>
      </c>
    </row>
    <row r="243" spans="1:3" x14ac:dyDescent="0.25">
      <c r="A243">
        <v>39</v>
      </c>
      <c r="B243" t="str">
        <f>"8:52:42.466355"</f>
        <v>8:52:42.466355</v>
      </c>
      <c r="C243">
        <v>-31</v>
      </c>
    </row>
    <row r="244" spans="1:3" x14ac:dyDescent="0.25">
      <c r="A244">
        <v>39</v>
      </c>
      <c r="B244" t="str">
        <f>"8:52:42.466681"</f>
        <v>8:52:42.466681</v>
      </c>
      <c r="C244">
        <v>-45</v>
      </c>
    </row>
    <row r="245" spans="1:3" x14ac:dyDescent="0.25">
      <c r="A245">
        <v>37</v>
      </c>
      <c r="B245" t="str">
        <f>"8:52:42.814833"</f>
        <v>8:52:42.814833</v>
      </c>
      <c r="C245">
        <v>-44</v>
      </c>
    </row>
    <row r="246" spans="1:3" x14ac:dyDescent="0.25">
      <c r="A246">
        <v>38</v>
      </c>
      <c r="B246" t="str">
        <f>"8:52:42.815861"</f>
        <v>8:52:42.815861</v>
      </c>
      <c r="C246">
        <v>-41</v>
      </c>
    </row>
    <row r="247" spans="1:3" x14ac:dyDescent="0.25">
      <c r="A247">
        <v>39</v>
      </c>
      <c r="B247" t="str">
        <f>"8:52:42.816887"</f>
        <v>8:52:42.816887</v>
      </c>
      <c r="C247">
        <v>-46</v>
      </c>
    </row>
    <row r="248" spans="1:3" x14ac:dyDescent="0.25">
      <c r="A248">
        <v>39</v>
      </c>
      <c r="B248" t="str">
        <f>"8:52:42.817405"</f>
        <v>8:52:42.817405</v>
      </c>
      <c r="C248">
        <v>-31</v>
      </c>
    </row>
    <row r="249" spans="1:3" x14ac:dyDescent="0.25">
      <c r="A249">
        <v>39</v>
      </c>
      <c r="B249" t="str">
        <f>"8:52:42.817731"</f>
        <v>8:52:42.817731</v>
      </c>
      <c r="C249">
        <v>-45</v>
      </c>
    </row>
    <row r="250" spans="1:3" x14ac:dyDescent="0.25">
      <c r="A250">
        <v>37</v>
      </c>
      <c r="B250" t="str">
        <f>"8:52:43.172746"</f>
        <v>8:52:43.172746</v>
      </c>
      <c r="C250">
        <v>-44</v>
      </c>
    </row>
    <row r="251" spans="1:3" x14ac:dyDescent="0.25">
      <c r="A251">
        <v>38</v>
      </c>
      <c r="B251" t="str">
        <f>"8:52:43.173774"</f>
        <v>8:52:43.173774</v>
      </c>
      <c r="C251">
        <v>-41</v>
      </c>
    </row>
    <row r="252" spans="1:3" x14ac:dyDescent="0.25">
      <c r="A252">
        <v>39</v>
      </c>
      <c r="B252" t="str">
        <f>"8:52:43.174800"</f>
        <v>8:52:43.174800</v>
      </c>
      <c r="C252">
        <v>-46</v>
      </c>
    </row>
    <row r="253" spans="1:3" x14ac:dyDescent="0.25">
      <c r="A253">
        <v>39</v>
      </c>
      <c r="B253" t="str">
        <f>"8:52:43.175318"</f>
        <v>8:52:43.175318</v>
      </c>
      <c r="C253">
        <v>-31</v>
      </c>
    </row>
    <row r="254" spans="1:3" x14ac:dyDescent="0.25">
      <c r="A254">
        <v>39</v>
      </c>
      <c r="B254" t="str">
        <f>"8:52:43.175644"</f>
        <v>8:52:43.175644</v>
      </c>
      <c r="C254">
        <v>-45</v>
      </c>
    </row>
    <row r="255" spans="1:3" x14ac:dyDescent="0.25">
      <c r="A255">
        <v>37</v>
      </c>
      <c r="B255" t="str">
        <f>"8:52:43.522990"</f>
        <v>8:52:43.522990</v>
      </c>
      <c r="C255">
        <v>-44</v>
      </c>
    </row>
    <row r="256" spans="1:3" x14ac:dyDescent="0.25">
      <c r="A256">
        <v>38</v>
      </c>
      <c r="B256" t="str">
        <f>"8:52:43.524017"</f>
        <v>8:52:43.524017</v>
      </c>
      <c r="C256">
        <v>-41</v>
      </c>
    </row>
    <row r="257" spans="1:3" x14ac:dyDescent="0.25">
      <c r="A257">
        <v>38</v>
      </c>
      <c r="B257" t="str">
        <f>"8:52:43.524537"</f>
        <v>8:52:43.524537</v>
      </c>
      <c r="C257">
        <v>-77</v>
      </c>
    </row>
    <row r="258" spans="1:3" x14ac:dyDescent="0.25">
      <c r="A258">
        <v>38</v>
      </c>
      <c r="B258" t="str">
        <f>"8:52:43.524863"</f>
        <v>8:52:43.524863</v>
      </c>
      <c r="C258">
        <v>-41</v>
      </c>
    </row>
    <row r="259" spans="1:3" x14ac:dyDescent="0.25">
      <c r="A259">
        <v>39</v>
      </c>
      <c r="B259" t="str">
        <f>"8:52:43.525639"</f>
        <v>8:52:43.525639</v>
      </c>
      <c r="C259">
        <v>-45</v>
      </c>
    </row>
    <row r="260" spans="1:3" x14ac:dyDescent="0.25">
      <c r="A260">
        <v>37</v>
      </c>
      <c r="B260" t="str">
        <f>"8:52:43.873452"</f>
        <v>8:52:43.873452</v>
      </c>
      <c r="C260">
        <v>-44</v>
      </c>
    </row>
    <row r="261" spans="1:3" x14ac:dyDescent="0.25">
      <c r="A261">
        <v>38</v>
      </c>
      <c r="B261" t="str">
        <f>"8:52:43.874479"</f>
        <v>8:52:43.874479</v>
      </c>
      <c r="C261">
        <v>-41</v>
      </c>
    </row>
    <row r="262" spans="1:3" x14ac:dyDescent="0.25">
      <c r="A262">
        <v>39</v>
      </c>
      <c r="B262" t="str">
        <f>"8:52:43.875505"</f>
        <v>8:52:43.875505</v>
      </c>
      <c r="C262">
        <v>-45</v>
      </c>
    </row>
    <row r="263" spans="1:3" x14ac:dyDescent="0.25">
      <c r="A263">
        <v>39</v>
      </c>
      <c r="B263" t="str">
        <f>"8:52:43.876023"</f>
        <v>8:52:43.876023</v>
      </c>
      <c r="C263">
        <v>-31</v>
      </c>
    </row>
    <row r="264" spans="1:3" x14ac:dyDescent="0.25">
      <c r="A264">
        <v>39</v>
      </c>
      <c r="B264" t="str">
        <f>"8:52:43.876349"</f>
        <v>8:52:43.876349</v>
      </c>
      <c r="C264">
        <v>-45</v>
      </c>
    </row>
    <row r="265" spans="1:3" x14ac:dyDescent="0.25">
      <c r="A265">
        <v>37</v>
      </c>
      <c r="B265" t="str">
        <f>"8:52:44.224959"</f>
        <v>8:52:44.224959</v>
      </c>
      <c r="C265">
        <v>-44</v>
      </c>
    </row>
    <row r="266" spans="1:3" x14ac:dyDescent="0.25">
      <c r="A266">
        <v>38</v>
      </c>
      <c r="B266" t="str">
        <f>"8:52:44.225986"</f>
        <v>8:52:44.225986</v>
      </c>
      <c r="C266">
        <v>-41</v>
      </c>
    </row>
    <row r="267" spans="1:3" x14ac:dyDescent="0.25">
      <c r="A267">
        <v>37</v>
      </c>
      <c r="B267" t="str">
        <f>"8:52:44.577185"</f>
        <v>8:52:44.577185</v>
      </c>
      <c r="C267">
        <v>-44</v>
      </c>
    </row>
    <row r="268" spans="1:3" x14ac:dyDescent="0.25">
      <c r="A268">
        <v>37</v>
      </c>
      <c r="B268" t="str">
        <f>"8:52:44.577704"</f>
        <v>8:52:44.577704</v>
      </c>
      <c r="C268">
        <v>-40</v>
      </c>
    </row>
    <row r="269" spans="1:3" x14ac:dyDescent="0.25">
      <c r="A269">
        <v>37</v>
      </c>
      <c r="B269" t="str">
        <f>"8:52:44.578029"</f>
        <v>8:52:44.578029</v>
      </c>
      <c r="C269">
        <v>-44</v>
      </c>
    </row>
    <row r="270" spans="1:3" x14ac:dyDescent="0.25">
      <c r="A270">
        <v>38</v>
      </c>
      <c r="B270" t="str">
        <f>"8:52:44.578806"</f>
        <v>8:52:44.578806</v>
      </c>
      <c r="C270">
        <v>-41</v>
      </c>
    </row>
    <row r="271" spans="1:3" x14ac:dyDescent="0.25">
      <c r="A271">
        <v>39</v>
      </c>
      <c r="B271" t="str">
        <f>"8:52:44.579832"</f>
        <v>8:52:44.579832</v>
      </c>
      <c r="C271">
        <v>-45</v>
      </c>
    </row>
    <row r="272" spans="1:3" x14ac:dyDescent="0.25">
      <c r="A272">
        <v>39</v>
      </c>
      <c r="B272" t="str">
        <f>"8:52:44.580351"</f>
        <v>8:52:44.580351</v>
      </c>
      <c r="C272">
        <v>-84</v>
      </c>
    </row>
    <row r="273" spans="1:3" x14ac:dyDescent="0.25">
      <c r="A273">
        <v>39</v>
      </c>
      <c r="B273" t="str">
        <f>"8:52:44.580677"</f>
        <v>8:52:44.580677</v>
      </c>
      <c r="C273">
        <v>-45</v>
      </c>
    </row>
    <row r="274" spans="1:3" x14ac:dyDescent="0.25">
      <c r="A274">
        <v>37</v>
      </c>
      <c r="B274" t="str">
        <f>"8:52:44.930177"</f>
        <v>8:52:44.930177</v>
      </c>
      <c r="C274">
        <v>-44</v>
      </c>
    </row>
    <row r="275" spans="1:3" x14ac:dyDescent="0.25">
      <c r="A275">
        <v>38</v>
      </c>
      <c r="B275" t="str">
        <f>"8:52:44.931205"</f>
        <v>8:52:44.931205</v>
      </c>
      <c r="C275">
        <v>-41</v>
      </c>
    </row>
    <row r="276" spans="1:3" x14ac:dyDescent="0.25">
      <c r="A276">
        <v>39</v>
      </c>
      <c r="B276" t="str">
        <f>"8:52:44.932231"</f>
        <v>8:52:44.932231</v>
      </c>
      <c r="C276">
        <v>-45</v>
      </c>
    </row>
    <row r="277" spans="1:3" x14ac:dyDescent="0.25">
      <c r="A277">
        <v>37</v>
      </c>
      <c r="B277" t="str">
        <f>"8:52:45.282241"</f>
        <v>8:52:45.282241</v>
      </c>
      <c r="C277">
        <v>-44</v>
      </c>
    </row>
    <row r="278" spans="1:3" x14ac:dyDescent="0.25">
      <c r="A278">
        <v>38</v>
      </c>
      <c r="B278" t="str">
        <f>"8:52:45.283268"</f>
        <v>8:52:45.283268</v>
      </c>
      <c r="C278">
        <v>-41</v>
      </c>
    </row>
    <row r="279" spans="1:3" x14ac:dyDescent="0.25">
      <c r="A279">
        <v>39</v>
      </c>
      <c r="B279" t="str">
        <f>"8:52:45.284294"</f>
        <v>8:52:45.284294</v>
      </c>
      <c r="C279">
        <v>-45</v>
      </c>
    </row>
    <row r="280" spans="1:3" x14ac:dyDescent="0.25">
      <c r="A280">
        <v>37</v>
      </c>
      <c r="B280" t="str">
        <f>"8:52:45.640454"</f>
        <v>8:52:45.640454</v>
      </c>
      <c r="C280">
        <v>-44</v>
      </c>
    </row>
    <row r="281" spans="1:3" x14ac:dyDescent="0.25">
      <c r="A281">
        <v>38</v>
      </c>
      <c r="B281" t="str">
        <f>"8:52:45.641481"</f>
        <v>8:52:45.641481</v>
      </c>
      <c r="C281">
        <v>-41</v>
      </c>
    </row>
    <row r="282" spans="1:3" x14ac:dyDescent="0.25">
      <c r="A282">
        <v>39</v>
      </c>
      <c r="B282" t="str">
        <f>"8:52:45.642507"</f>
        <v>8:52:45.642507</v>
      </c>
      <c r="C282">
        <v>-45</v>
      </c>
    </row>
    <row r="283" spans="1:3" x14ac:dyDescent="0.25">
      <c r="A283">
        <v>37</v>
      </c>
      <c r="B283" t="str">
        <f>"8:52:45.993544"</f>
        <v>8:52:45.993544</v>
      </c>
      <c r="C283">
        <v>-44</v>
      </c>
    </row>
    <row r="284" spans="1:3" x14ac:dyDescent="0.25">
      <c r="A284">
        <v>37</v>
      </c>
      <c r="B284" t="str">
        <f>"8:52:45.994063"</f>
        <v>8:52:45.994063</v>
      </c>
      <c r="C284">
        <v>-40</v>
      </c>
    </row>
    <row r="285" spans="1:3" x14ac:dyDescent="0.25">
      <c r="A285">
        <v>37</v>
      </c>
      <c r="B285" t="str">
        <f>"8:52:45.994388"</f>
        <v>8:52:45.994388</v>
      </c>
      <c r="C285">
        <v>-44</v>
      </c>
    </row>
    <row r="286" spans="1:3" x14ac:dyDescent="0.25">
      <c r="A286">
        <v>38</v>
      </c>
      <c r="B286" t="str">
        <f>"8:52:45.995165"</f>
        <v>8:52:45.995165</v>
      </c>
      <c r="C286">
        <v>-41</v>
      </c>
    </row>
    <row r="287" spans="1:3" x14ac:dyDescent="0.25">
      <c r="A287">
        <v>39</v>
      </c>
      <c r="B287" t="str">
        <f>"8:52:45.996191"</f>
        <v>8:52:45.996191</v>
      </c>
      <c r="C287">
        <v>-45</v>
      </c>
    </row>
    <row r="288" spans="1:3" x14ac:dyDescent="0.25">
      <c r="A288">
        <v>37</v>
      </c>
      <c r="B288" t="str">
        <f>"8:52:46.348638"</f>
        <v>8:52:46.348638</v>
      </c>
      <c r="C288">
        <v>-44</v>
      </c>
    </row>
    <row r="289" spans="1:3" x14ac:dyDescent="0.25">
      <c r="A289">
        <v>37</v>
      </c>
      <c r="B289" t="str">
        <f>"8:52:46.349483"</f>
        <v>8:52:46.349483</v>
      </c>
      <c r="C289">
        <v>-44</v>
      </c>
    </row>
    <row r="290" spans="1:3" x14ac:dyDescent="0.25">
      <c r="A290">
        <v>38</v>
      </c>
      <c r="B290" t="str">
        <f>"8:52:46.350259"</f>
        <v>8:52:46.350259</v>
      </c>
      <c r="C290">
        <v>-41</v>
      </c>
    </row>
    <row r="291" spans="1:3" x14ac:dyDescent="0.25">
      <c r="A291">
        <v>39</v>
      </c>
      <c r="B291" t="str">
        <f>"8:52:46.351286"</f>
        <v>8:52:46.351286</v>
      </c>
      <c r="C291">
        <v>-45</v>
      </c>
    </row>
    <row r="292" spans="1:3" x14ac:dyDescent="0.25">
      <c r="A292">
        <v>37</v>
      </c>
      <c r="B292" t="str">
        <f>"8:52:46.702684"</f>
        <v>8:52:46.702684</v>
      </c>
      <c r="C292">
        <v>-44</v>
      </c>
    </row>
    <row r="293" spans="1:3" x14ac:dyDescent="0.25">
      <c r="A293">
        <v>37</v>
      </c>
      <c r="B293" t="str">
        <f>"8:52:46.703203"</f>
        <v>8:52:46.703203</v>
      </c>
      <c r="C293">
        <v>-40</v>
      </c>
    </row>
    <row r="294" spans="1:3" x14ac:dyDescent="0.25">
      <c r="A294">
        <v>37</v>
      </c>
      <c r="B294" t="str">
        <f>"8:52:46.703528"</f>
        <v>8:52:46.703528</v>
      </c>
      <c r="C294">
        <v>-44</v>
      </c>
    </row>
    <row r="295" spans="1:3" x14ac:dyDescent="0.25">
      <c r="A295">
        <v>38</v>
      </c>
      <c r="B295" t="str">
        <f>"8:52:46.704304"</f>
        <v>8:52:46.704304</v>
      </c>
      <c r="C295">
        <v>-41</v>
      </c>
    </row>
    <row r="296" spans="1:3" x14ac:dyDescent="0.25">
      <c r="A296">
        <v>39</v>
      </c>
      <c r="B296" t="str">
        <f>"8:52:46.705330"</f>
        <v>8:52:46.705330</v>
      </c>
      <c r="C296">
        <v>-45</v>
      </c>
    </row>
    <row r="297" spans="1:3" x14ac:dyDescent="0.25">
      <c r="A297">
        <v>39</v>
      </c>
      <c r="B297" t="str">
        <f>"8:52:46.705849"</f>
        <v>8:52:46.705849</v>
      </c>
      <c r="C297">
        <v>-77</v>
      </c>
    </row>
    <row r="298" spans="1:3" x14ac:dyDescent="0.25">
      <c r="A298">
        <v>39</v>
      </c>
      <c r="B298" t="str">
        <f>"8:52:46.706175"</f>
        <v>8:52:46.706175</v>
      </c>
      <c r="C298">
        <v>-45</v>
      </c>
    </row>
    <row r="299" spans="1:3" x14ac:dyDescent="0.25">
      <c r="A299">
        <v>37</v>
      </c>
      <c r="B299" t="str">
        <f>"8:52:47.061088"</f>
        <v>8:52:47.061088</v>
      </c>
      <c r="C299">
        <v>-44</v>
      </c>
    </row>
    <row r="300" spans="1:3" x14ac:dyDescent="0.25">
      <c r="A300">
        <v>37</v>
      </c>
      <c r="B300" t="str">
        <f>"8:52:47.061606"</f>
        <v>8:52:47.061606</v>
      </c>
      <c r="C300">
        <v>-40</v>
      </c>
    </row>
    <row r="301" spans="1:3" x14ac:dyDescent="0.25">
      <c r="A301">
        <v>37</v>
      </c>
      <c r="B301" t="str">
        <f>"8:52:47.061932"</f>
        <v>8:52:47.061932</v>
      </c>
      <c r="C301">
        <v>-45</v>
      </c>
    </row>
    <row r="302" spans="1:3" x14ac:dyDescent="0.25">
      <c r="A302">
        <v>38</v>
      </c>
      <c r="B302" t="str">
        <f>"8:52:47.062708"</f>
        <v>8:52:47.062708</v>
      </c>
      <c r="C302">
        <v>-41</v>
      </c>
    </row>
    <row r="303" spans="1:3" x14ac:dyDescent="0.25">
      <c r="A303">
        <v>39</v>
      </c>
      <c r="B303" t="str">
        <f>"8:52:47.063734"</f>
        <v>8:52:47.063734</v>
      </c>
      <c r="C303">
        <v>-45</v>
      </c>
    </row>
    <row r="304" spans="1:3" x14ac:dyDescent="0.25">
      <c r="A304">
        <v>37</v>
      </c>
      <c r="B304" t="str">
        <f>"8:52:47.417464"</f>
        <v>8:52:47.417464</v>
      </c>
      <c r="C304">
        <v>-44</v>
      </c>
    </row>
    <row r="305" spans="1:3" x14ac:dyDescent="0.25">
      <c r="A305">
        <v>37</v>
      </c>
      <c r="B305" t="str">
        <f>"8:52:47.417983"</f>
        <v>8:52:47.417983</v>
      </c>
      <c r="C305">
        <v>-40</v>
      </c>
    </row>
    <row r="306" spans="1:3" x14ac:dyDescent="0.25">
      <c r="A306">
        <v>37</v>
      </c>
      <c r="B306" t="str">
        <f>"8:52:47.418309"</f>
        <v>8:52:47.418309</v>
      </c>
      <c r="C306">
        <v>-44</v>
      </c>
    </row>
    <row r="307" spans="1:3" x14ac:dyDescent="0.25">
      <c r="A307">
        <v>38</v>
      </c>
      <c r="B307" t="str">
        <f>"8:52:47.419086"</f>
        <v>8:52:47.419086</v>
      </c>
      <c r="C307">
        <v>-41</v>
      </c>
    </row>
    <row r="308" spans="1:3" x14ac:dyDescent="0.25">
      <c r="A308">
        <v>39</v>
      </c>
      <c r="B308" t="str">
        <f>"8:52:47.420112"</f>
        <v>8:52:47.420112</v>
      </c>
      <c r="C308">
        <v>-45</v>
      </c>
    </row>
    <row r="309" spans="1:3" x14ac:dyDescent="0.25">
      <c r="A309">
        <v>37</v>
      </c>
      <c r="B309" t="str">
        <f>"8:52:47.769007"</f>
        <v>8:52:47.769007</v>
      </c>
      <c r="C309">
        <v>-44</v>
      </c>
    </row>
    <row r="310" spans="1:3" x14ac:dyDescent="0.25">
      <c r="A310">
        <v>37</v>
      </c>
      <c r="B310" t="str">
        <f>"8:52:47.769525"</f>
        <v>8:52:47.769525</v>
      </c>
      <c r="C310">
        <v>-39</v>
      </c>
    </row>
    <row r="311" spans="1:3" x14ac:dyDescent="0.25">
      <c r="A311">
        <v>37</v>
      </c>
      <c r="B311" t="str">
        <f>"8:52:47.769851"</f>
        <v>8:52:47.769851</v>
      </c>
      <c r="C311">
        <v>-44</v>
      </c>
    </row>
    <row r="312" spans="1:3" x14ac:dyDescent="0.25">
      <c r="A312">
        <v>38</v>
      </c>
      <c r="B312" t="str">
        <f>"8:52:47.770627"</f>
        <v>8:52:47.770627</v>
      </c>
      <c r="C312">
        <v>-41</v>
      </c>
    </row>
    <row r="313" spans="1:3" x14ac:dyDescent="0.25">
      <c r="A313">
        <v>39</v>
      </c>
      <c r="B313" t="str">
        <f>"8:52:47.771653"</f>
        <v>8:52:47.771653</v>
      </c>
      <c r="C313">
        <v>-45</v>
      </c>
    </row>
    <row r="314" spans="1:3" x14ac:dyDescent="0.25">
      <c r="A314">
        <v>37</v>
      </c>
      <c r="B314" t="str">
        <f>"8:52:48.125353"</f>
        <v>8:52:48.125353</v>
      </c>
      <c r="C314">
        <v>-44</v>
      </c>
    </row>
    <row r="315" spans="1:3" x14ac:dyDescent="0.25">
      <c r="A315">
        <v>37</v>
      </c>
      <c r="B315" t="str">
        <f>"8:52:48.125872"</f>
        <v>8:52:48.125872</v>
      </c>
      <c r="C315">
        <v>-39</v>
      </c>
    </row>
    <row r="316" spans="1:3" x14ac:dyDescent="0.25">
      <c r="A316">
        <v>37</v>
      </c>
      <c r="B316" t="str">
        <f>"8:52:48.126198"</f>
        <v>8:52:48.126198</v>
      </c>
      <c r="C316">
        <v>-44</v>
      </c>
    </row>
    <row r="317" spans="1:3" x14ac:dyDescent="0.25">
      <c r="A317">
        <v>38</v>
      </c>
      <c r="B317" t="str">
        <f>"8:52:48.126974"</f>
        <v>8:52:48.126974</v>
      </c>
      <c r="C317">
        <v>-41</v>
      </c>
    </row>
    <row r="318" spans="1:3" x14ac:dyDescent="0.25">
      <c r="A318">
        <v>39</v>
      </c>
      <c r="B318" t="str">
        <f>"8:52:48.128000"</f>
        <v>8:52:48.128000</v>
      </c>
      <c r="C318">
        <v>-45</v>
      </c>
    </row>
    <row r="319" spans="1:3" x14ac:dyDescent="0.25">
      <c r="A319">
        <v>37</v>
      </c>
      <c r="B319" t="str">
        <f>"8:52:48.482493"</f>
        <v>8:52:48.482493</v>
      </c>
      <c r="C319">
        <v>-44</v>
      </c>
    </row>
    <row r="320" spans="1:3" x14ac:dyDescent="0.25">
      <c r="A320">
        <v>37</v>
      </c>
      <c r="B320" t="str">
        <f>"8:52:48.483012"</f>
        <v>8:52:48.483012</v>
      </c>
      <c r="C320">
        <v>-39</v>
      </c>
    </row>
    <row r="321" spans="1:3" x14ac:dyDescent="0.25">
      <c r="A321">
        <v>37</v>
      </c>
      <c r="B321" t="str">
        <f>"8:52:48.483338"</f>
        <v>8:52:48.483338</v>
      </c>
      <c r="C321">
        <v>-44</v>
      </c>
    </row>
    <row r="322" spans="1:3" x14ac:dyDescent="0.25">
      <c r="A322">
        <v>38</v>
      </c>
      <c r="B322" t="str">
        <f>"8:52:48.484115"</f>
        <v>8:52:48.484115</v>
      </c>
      <c r="C322">
        <v>-41</v>
      </c>
    </row>
    <row r="323" spans="1:3" x14ac:dyDescent="0.25">
      <c r="A323">
        <v>39</v>
      </c>
      <c r="B323" t="str">
        <f>"8:52:48.485141"</f>
        <v>8:52:48.485141</v>
      </c>
      <c r="C323">
        <v>-45</v>
      </c>
    </row>
    <row r="324" spans="1:3" x14ac:dyDescent="0.25">
      <c r="A324">
        <v>37</v>
      </c>
      <c r="B324" t="str">
        <f>"8:52:48.837041"</f>
        <v>8:52:48.837041</v>
      </c>
      <c r="C324">
        <v>-44</v>
      </c>
    </row>
    <row r="325" spans="1:3" x14ac:dyDescent="0.25">
      <c r="A325">
        <v>37</v>
      </c>
      <c r="B325" t="str">
        <f>"8:52:48.837560"</f>
        <v>8:52:48.837560</v>
      </c>
      <c r="C325">
        <v>-39</v>
      </c>
    </row>
    <row r="326" spans="1:3" x14ac:dyDescent="0.25">
      <c r="A326">
        <v>37</v>
      </c>
      <c r="B326" t="str">
        <f>"8:52:48.837886"</f>
        <v>8:52:48.837886</v>
      </c>
      <c r="C326">
        <v>-44</v>
      </c>
    </row>
    <row r="327" spans="1:3" x14ac:dyDescent="0.25">
      <c r="A327">
        <v>38</v>
      </c>
      <c r="B327" t="str">
        <f>"8:52:48.838663"</f>
        <v>8:52:48.838663</v>
      </c>
      <c r="C327">
        <v>-41</v>
      </c>
    </row>
    <row r="328" spans="1:3" x14ac:dyDescent="0.25">
      <c r="A328">
        <v>39</v>
      </c>
      <c r="B328" t="str">
        <f>"8:52:48.839689"</f>
        <v>8:52:48.839689</v>
      </c>
      <c r="C328">
        <v>-45</v>
      </c>
    </row>
    <row r="329" spans="1:3" x14ac:dyDescent="0.25">
      <c r="A329">
        <v>37</v>
      </c>
      <c r="B329" t="str">
        <f>"8:52:49.190341"</f>
        <v>8:52:49.190341</v>
      </c>
      <c r="C329">
        <v>-44</v>
      </c>
    </row>
    <row r="330" spans="1:3" x14ac:dyDescent="0.25">
      <c r="A330">
        <v>37</v>
      </c>
      <c r="B330" t="str">
        <f>"8:52:49.190859"</f>
        <v>8:52:49.190859</v>
      </c>
      <c r="C330">
        <v>-40</v>
      </c>
    </row>
    <row r="331" spans="1:3" x14ac:dyDescent="0.25">
      <c r="A331">
        <v>37</v>
      </c>
      <c r="B331" t="str">
        <f>"8:52:49.191185"</f>
        <v>8:52:49.191185</v>
      </c>
      <c r="C331">
        <v>-44</v>
      </c>
    </row>
    <row r="332" spans="1:3" x14ac:dyDescent="0.25">
      <c r="A332">
        <v>38</v>
      </c>
      <c r="B332" t="str">
        <f>"8:52:49.191961"</f>
        <v>8:52:49.191961</v>
      </c>
      <c r="C332">
        <v>-41</v>
      </c>
    </row>
    <row r="333" spans="1:3" x14ac:dyDescent="0.25">
      <c r="A333">
        <v>39</v>
      </c>
      <c r="B333" t="str">
        <f>"8:52:49.192987"</f>
        <v>8:52:49.192987</v>
      </c>
      <c r="C333">
        <v>-45</v>
      </c>
    </row>
    <row r="334" spans="1:3" x14ac:dyDescent="0.25">
      <c r="A334">
        <v>37</v>
      </c>
      <c r="B334" t="str">
        <f>"8:52:49.546958"</f>
        <v>8:52:49.546958</v>
      </c>
      <c r="C334">
        <v>-44</v>
      </c>
    </row>
    <row r="335" spans="1:3" x14ac:dyDescent="0.25">
      <c r="A335">
        <v>38</v>
      </c>
      <c r="B335" t="str">
        <f>"8:52:49.547985"</f>
        <v>8:52:49.547985</v>
      </c>
      <c r="C335">
        <v>-41</v>
      </c>
    </row>
    <row r="336" spans="1:3" x14ac:dyDescent="0.25">
      <c r="A336">
        <v>38</v>
      </c>
      <c r="B336" t="str">
        <f>"8:52:49.548504"</f>
        <v>8:52:49.548504</v>
      </c>
      <c r="C336">
        <v>-32</v>
      </c>
    </row>
    <row r="337" spans="1:3" x14ac:dyDescent="0.25">
      <c r="A337">
        <v>38</v>
      </c>
      <c r="B337" t="str">
        <f>"8:52:49.548830"</f>
        <v>8:52:49.548830</v>
      </c>
      <c r="C337">
        <v>-41</v>
      </c>
    </row>
    <row r="338" spans="1:3" x14ac:dyDescent="0.25">
      <c r="A338">
        <v>39</v>
      </c>
      <c r="B338" t="str">
        <f>"8:52:49.549606"</f>
        <v>8:52:49.549606</v>
      </c>
      <c r="C338">
        <v>-45</v>
      </c>
    </row>
    <row r="339" spans="1:3" x14ac:dyDescent="0.25">
      <c r="A339">
        <v>37</v>
      </c>
      <c r="B339" t="str">
        <f>"8:52:49.906631"</f>
        <v>8:52:49.906631</v>
      </c>
      <c r="C339">
        <v>-44</v>
      </c>
    </row>
    <row r="340" spans="1:3" x14ac:dyDescent="0.25">
      <c r="A340">
        <v>38</v>
      </c>
      <c r="B340" t="str">
        <f>"8:52:49.907658"</f>
        <v>8:52:49.907658</v>
      </c>
      <c r="C340">
        <v>-41</v>
      </c>
    </row>
    <row r="341" spans="1:3" x14ac:dyDescent="0.25">
      <c r="A341">
        <v>38</v>
      </c>
      <c r="B341" t="str">
        <f>"8:52:49.908177"</f>
        <v>8:52:49.908177</v>
      </c>
      <c r="C341">
        <v>-32</v>
      </c>
    </row>
    <row r="342" spans="1:3" x14ac:dyDescent="0.25">
      <c r="A342">
        <v>38</v>
      </c>
      <c r="B342" t="str">
        <f>"8:52:49.908503"</f>
        <v>8:52:49.908503</v>
      </c>
      <c r="C342">
        <v>-41</v>
      </c>
    </row>
    <row r="343" spans="1:3" x14ac:dyDescent="0.25">
      <c r="A343">
        <v>39</v>
      </c>
      <c r="B343" t="str">
        <f>"8:52:49.909279"</f>
        <v>8:52:49.909279</v>
      </c>
      <c r="C343">
        <v>-45</v>
      </c>
    </row>
    <row r="344" spans="1:3" x14ac:dyDescent="0.25">
      <c r="A344">
        <v>37</v>
      </c>
      <c r="B344" t="str">
        <f>"8:52:50.266314"</f>
        <v>8:52:50.266314</v>
      </c>
      <c r="C344">
        <v>-44</v>
      </c>
    </row>
    <row r="345" spans="1:3" x14ac:dyDescent="0.25">
      <c r="A345">
        <v>38</v>
      </c>
      <c r="B345" t="str">
        <f>"8:52:50.267341"</f>
        <v>8:52:50.267341</v>
      </c>
      <c r="C345">
        <v>-41</v>
      </c>
    </row>
    <row r="346" spans="1:3" x14ac:dyDescent="0.25">
      <c r="A346">
        <v>38</v>
      </c>
      <c r="B346" t="str">
        <f>"8:52:50.267859"</f>
        <v>8:52:50.267859</v>
      </c>
      <c r="C346">
        <v>-33</v>
      </c>
    </row>
    <row r="347" spans="1:3" x14ac:dyDescent="0.25">
      <c r="A347">
        <v>38</v>
      </c>
      <c r="B347" t="str">
        <f>"8:52:50.268185"</f>
        <v>8:52:50.268185</v>
      </c>
      <c r="C347">
        <v>-41</v>
      </c>
    </row>
    <row r="348" spans="1:3" x14ac:dyDescent="0.25">
      <c r="A348">
        <v>39</v>
      </c>
      <c r="B348" t="str">
        <f>"8:52:50.268961"</f>
        <v>8:52:50.268961</v>
      </c>
      <c r="C348">
        <v>-45</v>
      </c>
    </row>
    <row r="349" spans="1:3" x14ac:dyDescent="0.25">
      <c r="A349">
        <v>39</v>
      </c>
      <c r="B349" t="str">
        <f>"8:52:50.269807"</f>
        <v>8:52:50.269807</v>
      </c>
      <c r="C349">
        <v>-45</v>
      </c>
    </row>
    <row r="350" spans="1:3" x14ac:dyDescent="0.25">
      <c r="A350">
        <v>37</v>
      </c>
      <c r="B350" t="str">
        <f>"8:52:50.619067"</f>
        <v>8:52:50.619067</v>
      </c>
      <c r="C350">
        <v>-44</v>
      </c>
    </row>
    <row r="351" spans="1:3" x14ac:dyDescent="0.25">
      <c r="A351">
        <v>38</v>
      </c>
      <c r="B351" t="str">
        <f>"8:52:50.620094"</f>
        <v>8:52:50.620094</v>
      </c>
      <c r="C351">
        <v>-41</v>
      </c>
    </row>
    <row r="352" spans="1:3" x14ac:dyDescent="0.25">
      <c r="A352">
        <v>38</v>
      </c>
      <c r="B352" t="str">
        <f>"8:52:50.620613"</f>
        <v>8:52:50.620613</v>
      </c>
      <c r="C352">
        <v>-33</v>
      </c>
    </row>
    <row r="353" spans="1:3" x14ac:dyDescent="0.25">
      <c r="A353">
        <v>38</v>
      </c>
      <c r="B353" t="str">
        <f>"8:52:50.620939"</f>
        <v>8:52:50.620939</v>
      </c>
      <c r="C353">
        <v>-41</v>
      </c>
    </row>
    <row r="354" spans="1:3" x14ac:dyDescent="0.25">
      <c r="A354">
        <v>39</v>
      </c>
      <c r="B354" t="str">
        <f>"8:52:50.621715"</f>
        <v>8:52:50.621715</v>
      </c>
      <c r="C354">
        <v>-45</v>
      </c>
    </row>
    <row r="355" spans="1:3" x14ac:dyDescent="0.25">
      <c r="A355">
        <v>37</v>
      </c>
      <c r="B355" t="str">
        <f>"8:52:50.970319"</f>
        <v>8:52:50.970319</v>
      </c>
      <c r="C355">
        <v>-44</v>
      </c>
    </row>
    <row r="356" spans="1:3" x14ac:dyDescent="0.25">
      <c r="A356">
        <v>38</v>
      </c>
      <c r="B356" t="str">
        <f>"8:52:50.971347"</f>
        <v>8:52:50.971347</v>
      </c>
      <c r="C356">
        <v>-41</v>
      </c>
    </row>
    <row r="357" spans="1:3" x14ac:dyDescent="0.25">
      <c r="A357">
        <v>38</v>
      </c>
      <c r="B357" t="str">
        <f>"8:52:50.971865"</f>
        <v>8:52:50.971865</v>
      </c>
      <c r="C357">
        <v>-33</v>
      </c>
    </row>
    <row r="358" spans="1:3" x14ac:dyDescent="0.25">
      <c r="A358">
        <v>38</v>
      </c>
      <c r="B358" t="str">
        <f>"8:52:50.972191"</f>
        <v>8:52:50.972191</v>
      </c>
      <c r="C358">
        <v>-41</v>
      </c>
    </row>
    <row r="359" spans="1:3" x14ac:dyDescent="0.25">
      <c r="A359">
        <v>39</v>
      </c>
      <c r="B359" t="str">
        <f>"8:52:50.972967"</f>
        <v>8:52:50.972967</v>
      </c>
      <c r="C359">
        <v>-46</v>
      </c>
    </row>
    <row r="360" spans="1:3" x14ac:dyDescent="0.25">
      <c r="A360">
        <v>37</v>
      </c>
      <c r="B360" t="str">
        <f>"8:52:51.324138"</f>
        <v>8:52:51.324138</v>
      </c>
      <c r="C360">
        <v>-45</v>
      </c>
    </row>
    <row r="361" spans="1:3" x14ac:dyDescent="0.25">
      <c r="A361">
        <v>38</v>
      </c>
      <c r="B361" t="str">
        <f>"8:52:51.325165"</f>
        <v>8:52:51.325165</v>
      </c>
      <c r="C361">
        <v>-41</v>
      </c>
    </row>
    <row r="362" spans="1:3" x14ac:dyDescent="0.25">
      <c r="A362">
        <v>38</v>
      </c>
      <c r="B362" t="str">
        <f>"8:52:51.325684"</f>
        <v>8:52:51.325684</v>
      </c>
      <c r="C362">
        <v>-32</v>
      </c>
    </row>
    <row r="363" spans="1:3" x14ac:dyDescent="0.25">
      <c r="A363">
        <v>38</v>
      </c>
      <c r="B363" t="str">
        <f>"8:52:51.326009"</f>
        <v>8:52:51.326009</v>
      </c>
      <c r="C363">
        <v>-41</v>
      </c>
    </row>
    <row r="364" spans="1:3" x14ac:dyDescent="0.25">
      <c r="A364">
        <v>39</v>
      </c>
      <c r="B364" t="str">
        <f>"8:52:51.326785"</f>
        <v>8:52:51.326785</v>
      </c>
      <c r="C364">
        <v>-46</v>
      </c>
    </row>
    <row r="365" spans="1:3" x14ac:dyDescent="0.25">
      <c r="A365">
        <v>37</v>
      </c>
      <c r="B365" t="str">
        <f>"8:52:51.675705"</f>
        <v>8:52:51.675705</v>
      </c>
      <c r="C365">
        <v>-44</v>
      </c>
    </row>
    <row r="366" spans="1:3" x14ac:dyDescent="0.25">
      <c r="A366">
        <v>38</v>
      </c>
      <c r="B366" t="str">
        <f>"8:52:51.676732"</f>
        <v>8:52:51.676732</v>
      </c>
      <c r="C366">
        <v>-41</v>
      </c>
    </row>
    <row r="367" spans="1:3" x14ac:dyDescent="0.25">
      <c r="A367">
        <v>38</v>
      </c>
      <c r="B367" t="str">
        <f>"8:52:51.677251"</f>
        <v>8:52:51.677251</v>
      </c>
      <c r="C367">
        <v>-32</v>
      </c>
    </row>
    <row r="368" spans="1:3" x14ac:dyDescent="0.25">
      <c r="A368">
        <v>38</v>
      </c>
      <c r="B368" t="str">
        <f>"8:52:51.677576"</f>
        <v>8:52:51.677576</v>
      </c>
      <c r="C368">
        <v>-41</v>
      </c>
    </row>
    <row r="369" spans="1:3" x14ac:dyDescent="0.25">
      <c r="A369">
        <v>39</v>
      </c>
      <c r="B369" t="str">
        <f>"8:52:51.678352"</f>
        <v>8:52:51.678352</v>
      </c>
      <c r="C369">
        <v>-45</v>
      </c>
    </row>
    <row r="370" spans="1:3" x14ac:dyDescent="0.25">
      <c r="A370">
        <v>37</v>
      </c>
      <c r="B370" t="str">
        <f>"8:52:52.025935"</f>
        <v>8:52:52.025935</v>
      </c>
      <c r="C370">
        <v>-44</v>
      </c>
    </row>
    <row r="371" spans="1:3" x14ac:dyDescent="0.25">
      <c r="A371">
        <v>38</v>
      </c>
      <c r="B371" t="str">
        <f>"8:52:52.026963"</f>
        <v>8:52:52.026963</v>
      </c>
      <c r="C371">
        <v>-41</v>
      </c>
    </row>
    <row r="372" spans="1:3" x14ac:dyDescent="0.25">
      <c r="A372">
        <v>38</v>
      </c>
      <c r="B372" t="str">
        <f>"8:52:52.027481"</f>
        <v>8:52:52.027481</v>
      </c>
      <c r="C372">
        <v>-32</v>
      </c>
    </row>
    <row r="373" spans="1:3" x14ac:dyDescent="0.25">
      <c r="A373">
        <v>38</v>
      </c>
      <c r="B373" t="str">
        <f>"8:52:52.027808"</f>
        <v>8:52:52.027808</v>
      </c>
      <c r="C373">
        <v>-41</v>
      </c>
    </row>
    <row r="374" spans="1:3" x14ac:dyDescent="0.25">
      <c r="A374">
        <v>39</v>
      </c>
      <c r="B374" t="str">
        <f>"8:52:52.028584"</f>
        <v>8:52:52.028584</v>
      </c>
      <c r="C374">
        <v>-46</v>
      </c>
    </row>
    <row r="375" spans="1:3" x14ac:dyDescent="0.25">
      <c r="A375">
        <v>37</v>
      </c>
      <c r="B375" t="str">
        <f>"8:52:52.385701"</f>
        <v>8:52:52.385701</v>
      </c>
      <c r="C375">
        <v>-44</v>
      </c>
    </row>
    <row r="376" spans="1:3" x14ac:dyDescent="0.25">
      <c r="A376">
        <v>38</v>
      </c>
      <c r="B376" t="str">
        <f>"8:52:52.386729"</f>
        <v>8:52:52.386729</v>
      </c>
      <c r="C376">
        <v>-41</v>
      </c>
    </row>
    <row r="377" spans="1:3" x14ac:dyDescent="0.25">
      <c r="A377">
        <v>38</v>
      </c>
      <c r="B377" t="str">
        <f>"8:52:52.387247"</f>
        <v>8:52:52.387247</v>
      </c>
      <c r="C377">
        <v>-32</v>
      </c>
    </row>
    <row r="378" spans="1:3" x14ac:dyDescent="0.25">
      <c r="A378">
        <v>38</v>
      </c>
      <c r="B378" t="str">
        <f>"8:52:52.387574"</f>
        <v>8:52:52.387574</v>
      </c>
      <c r="C378">
        <v>-41</v>
      </c>
    </row>
    <row r="379" spans="1:3" x14ac:dyDescent="0.25">
      <c r="A379">
        <v>39</v>
      </c>
      <c r="B379" t="str">
        <f>"8:52:52.388350"</f>
        <v>8:52:52.388350</v>
      </c>
      <c r="C379">
        <v>-46</v>
      </c>
    </row>
    <row r="380" spans="1:3" x14ac:dyDescent="0.25">
      <c r="A380">
        <v>37</v>
      </c>
      <c r="B380" t="str">
        <f>"8:52:52.744698"</f>
        <v>8:52:52.744698</v>
      </c>
      <c r="C380">
        <v>-45</v>
      </c>
    </row>
    <row r="381" spans="1:3" x14ac:dyDescent="0.25">
      <c r="A381">
        <v>38</v>
      </c>
      <c r="B381" t="str">
        <f>"8:52:52.745726"</f>
        <v>8:52:52.745726</v>
      </c>
      <c r="C381">
        <v>-41</v>
      </c>
    </row>
    <row r="382" spans="1:3" x14ac:dyDescent="0.25">
      <c r="A382">
        <v>38</v>
      </c>
      <c r="B382" t="str">
        <f>"8:52:52.746244"</f>
        <v>8:52:52.746244</v>
      </c>
      <c r="C382">
        <v>-32</v>
      </c>
    </row>
    <row r="383" spans="1:3" x14ac:dyDescent="0.25">
      <c r="A383">
        <v>38</v>
      </c>
      <c r="B383" t="str">
        <f>"8:52:52.746570"</f>
        <v>8:52:52.746570</v>
      </c>
      <c r="C383">
        <v>-41</v>
      </c>
    </row>
    <row r="384" spans="1:3" x14ac:dyDescent="0.25">
      <c r="A384">
        <v>39</v>
      </c>
      <c r="B384" t="str">
        <f>"8:52:52.747346"</f>
        <v>8:52:52.747346</v>
      </c>
      <c r="C384">
        <v>-45</v>
      </c>
    </row>
    <row r="385" spans="1:3" x14ac:dyDescent="0.25">
      <c r="A385">
        <v>37</v>
      </c>
      <c r="B385" t="str">
        <f>"8:52:53.097290"</f>
        <v>8:52:53.097290</v>
      </c>
      <c r="C385">
        <v>-44</v>
      </c>
    </row>
    <row r="386" spans="1:3" x14ac:dyDescent="0.25">
      <c r="A386">
        <v>38</v>
      </c>
      <c r="B386" t="str">
        <f>"8:52:53.098317"</f>
        <v>8:52:53.098317</v>
      </c>
      <c r="C386">
        <v>-41</v>
      </c>
    </row>
    <row r="387" spans="1:3" x14ac:dyDescent="0.25">
      <c r="A387">
        <v>38</v>
      </c>
      <c r="B387" t="str">
        <f>"8:52:53.098836"</f>
        <v>8:52:53.098836</v>
      </c>
      <c r="C387">
        <v>-32</v>
      </c>
    </row>
    <row r="388" spans="1:3" x14ac:dyDescent="0.25">
      <c r="A388">
        <v>38</v>
      </c>
      <c r="B388" t="str">
        <f>"8:52:53.099162"</f>
        <v>8:52:53.099162</v>
      </c>
      <c r="C388">
        <v>-41</v>
      </c>
    </row>
    <row r="389" spans="1:3" x14ac:dyDescent="0.25">
      <c r="A389">
        <v>39</v>
      </c>
      <c r="B389" t="str">
        <f>"8:52:53.099938"</f>
        <v>8:52:53.099938</v>
      </c>
      <c r="C389">
        <v>-46</v>
      </c>
    </row>
    <row r="390" spans="1:3" x14ac:dyDescent="0.25">
      <c r="A390">
        <v>37</v>
      </c>
      <c r="B390" t="str">
        <f>"8:52:53.456224"</f>
        <v>8:52:53.456224</v>
      </c>
      <c r="C390">
        <v>-44</v>
      </c>
    </row>
    <row r="391" spans="1:3" x14ac:dyDescent="0.25">
      <c r="A391">
        <v>38</v>
      </c>
      <c r="B391" t="str">
        <f>"8:52:53.457252"</f>
        <v>8:52:53.457252</v>
      </c>
      <c r="C391">
        <v>-41</v>
      </c>
    </row>
    <row r="392" spans="1:3" x14ac:dyDescent="0.25">
      <c r="A392">
        <v>38</v>
      </c>
      <c r="B392" t="str">
        <f>"8:52:53.457770"</f>
        <v>8:52:53.457770</v>
      </c>
      <c r="C392">
        <v>-32</v>
      </c>
    </row>
    <row r="393" spans="1:3" x14ac:dyDescent="0.25">
      <c r="A393">
        <v>38</v>
      </c>
      <c r="B393" t="str">
        <f>"8:52:53.458096"</f>
        <v>8:52:53.458096</v>
      </c>
      <c r="C393">
        <v>-41</v>
      </c>
    </row>
    <row r="394" spans="1:3" x14ac:dyDescent="0.25">
      <c r="A394">
        <v>39</v>
      </c>
      <c r="B394" t="str">
        <f>"8:52:53.458872"</f>
        <v>8:52:53.458872</v>
      </c>
      <c r="C394">
        <v>-46</v>
      </c>
    </row>
    <row r="395" spans="1:3" x14ac:dyDescent="0.25">
      <c r="A395">
        <v>37</v>
      </c>
      <c r="B395" t="str">
        <f>"8:52:53.810581"</f>
        <v>8:52:53.810581</v>
      </c>
      <c r="C395">
        <v>-44</v>
      </c>
    </row>
    <row r="396" spans="1:3" x14ac:dyDescent="0.25">
      <c r="A396">
        <v>38</v>
      </c>
      <c r="B396" t="str">
        <f>"8:52:53.811608"</f>
        <v>8:52:53.811608</v>
      </c>
      <c r="C396">
        <v>-41</v>
      </c>
    </row>
    <row r="397" spans="1:3" x14ac:dyDescent="0.25">
      <c r="A397">
        <v>38</v>
      </c>
      <c r="B397" t="str">
        <f>"8:52:53.812126"</f>
        <v>8:52:53.812126</v>
      </c>
      <c r="C397">
        <v>-32</v>
      </c>
    </row>
    <row r="398" spans="1:3" x14ac:dyDescent="0.25">
      <c r="A398">
        <v>38</v>
      </c>
      <c r="B398" t="str">
        <f>"8:52:53.812452"</f>
        <v>8:52:53.812452</v>
      </c>
      <c r="C398">
        <v>-41</v>
      </c>
    </row>
    <row r="399" spans="1:3" x14ac:dyDescent="0.25">
      <c r="A399">
        <v>39</v>
      </c>
      <c r="B399" t="str">
        <f>"8:52:53.813228"</f>
        <v>8:52:53.813228</v>
      </c>
      <c r="C399">
        <v>-45</v>
      </c>
    </row>
    <row r="400" spans="1:3" x14ac:dyDescent="0.25">
      <c r="A400">
        <v>37</v>
      </c>
      <c r="B400" t="str">
        <f>"8:52:54.161109"</f>
        <v>8:52:54.161109</v>
      </c>
      <c r="C400">
        <v>-44</v>
      </c>
    </row>
    <row r="401" spans="1:3" x14ac:dyDescent="0.25">
      <c r="A401">
        <v>38</v>
      </c>
      <c r="B401" t="str">
        <f>"8:52:54.162136"</f>
        <v>8:52:54.162136</v>
      </c>
      <c r="C401">
        <v>-41</v>
      </c>
    </row>
    <row r="402" spans="1:3" x14ac:dyDescent="0.25">
      <c r="A402">
        <v>38</v>
      </c>
      <c r="B402" t="str">
        <f>"8:52:54.162655"</f>
        <v>8:52:54.162655</v>
      </c>
      <c r="C402">
        <v>-32</v>
      </c>
    </row>
    <row r="403" spans="1:3" x14ac:dyDescent="0.25">
      <c r="A403">
        <v>38</v>
      </c>
      <c r="B403" t="str">
        <f>"8:52:54.162982"</f>
        <v>8:52:54.162982</v>
      </c>
      <c r="C403">
        <v>-41</v>
      </c>
    </row>
    <row r="404" spans="1:3" x14ac:dyDescent="0.25">
      <c r="A404">
        <v>39</v>
      </c>
      <c r="B404" t="str">
        <f>"8:52:54.163758"</f>
        <v>8:52:54.163758</v>
      </c>
      <c r="C404">
        <v>-46</v>
      </c>
    </row>
    <row r="405" spans="1:3" x14ac:dyDescent="0.25">
      <c r="A405">
        <v>37</v>
      </c>
      <c r="B405" t="str">
        <f>"8:52:54.511144"</f>
        <v>8:52:54.511144</v>
      </c>
      <c r="C405">
        <v>-44</v>
      </c>
    </row>
    <row r="406" spans="1:3" x14ac:dyDescent="0.25">
      <c r="A406">
        <v>38</v>
      </c>
      <c r="B406" t="str">
        <f>"8:52:54.512171"</f>
        <v>8:52:54.512171</v>
      </c>
      <c r="C406">
        <v>-41</v>
      </c>
    </row>
    <row r="407" spans="1:3" x14ac:dyDescent="0.25">
      <c r="A407">
        <v>39</v>
      </c>
      <c r="B407" t="str">
        <f>"8:52:54.513197"</f>
        <v>8:52:54.513197</v>
      </c>
      <c r="C407">
        <v>-45</v>
      </c>
    </row>
    <row r="408" spans="1:3" x14ac:dyDescent="0.25">
      <c r="A408">
        <v>39</v>
      </c>
      <c r="B408" t="str">
        <f>"8:52:54.513716"</f>
        <v>8:52:54.513716</v>
      </c>
      <c r="C408">
        <v>-31</v>
      </c>
    </row>
    <row r="409" spans="1:3" x14ac:dyDescent="0.25">
      <c r="A409">
        <v>39</v>
      </c>
      <c r="B409" t="str">
        <f>"8:52:54.514041"</f>
        <v>8:52:54.514041</v>
      </c>
      <c r="C409">
        <v>-45</v>
      </c>
    </row>
    <row r="410" spans="1:3" x14ac:dyDescent="0.25">
      <c r="A410">
        <v>37</v>
      </c>
      <c r="B410" t="str">
        <f>"8:52:54.869555"</f>
        <v>8:52:54.869555</v>
      </c>
      <c r="C410">
        <v>-44</v>
      </c>
    </row>
    <row r="411" spans="1:3" x14ac:dyDescent="0.25">
      <c r="A411">
        <v>38</v>
      </c>
      <c r="B411" t="str">
        <f>"8:52:54.870582"</f>
        <v>8:52:54.870582</v>
      </c>
      <c r="C411">
        <v>-41</v>
      </c>
    </row>
    <row r="412" spans="1:3" x14ac:dyDescent="0.25">
      <c r="A412">
        <v>39</v>
      </c>
      <c r="B412" t="str">
        <f>"8:52:54.871608"</f>
        <v>8:52:54.871608</v>
      </c>
      <c r="C412">
        <v>-45</v>
      </c>
    </row>
    <row r="413" spans="1:3" x14ac:dyDescent="0.25">
      <c r="A413">
        <v>37</v>
      </c>
      <c r="B413" t="str">
        <f>"8:52:55.221801"</f>
        <v>8:52:55.221801</v>
      </c>
      <c r="C413">
        <v>-44</v>
      </c>
    </row>
    <row r="414" spans="1:3" x14ac:dyDescent="0.25">
      <c r="A414">
        <v>38</v>
      </c>
      <c r="B414" t="str">
        <f>"8:52:55.222829"</f>
        <v>8:52:55.222829</v>
      </c>
      <c r="C414">
        <v>-41</v>
      </c>
    </row>
    <row r="415" spans="1:3" x14ac:dyDescent="0.25">
      <c r="A415">
        <v>39</v>
      </c>
      <c r="B415" t="str">
        <f>"8:52:55.223855"</f>
        <v>8:52:55.223855</v>
      </c>
      <c r="C415">
        <v>-45</v>
      </c>
    </row>
    <row r="416" spans="1:3" x14ac:dyDescent="0.25">
      <c r="A416">
        <v>39</v>
      </c>
      <c r="B416" t="str">
        <f>"8:52:55.224374"</f>
        <v>8:52:55.224374</v>
      </c>
      <c r="C416">
        <v>-31</v>
      </c>
    </row>
    <row r="417" spans="1:3" x14ac:dyDescent="0.25">
      <c r="A417">
        <v>39</v>
      </c>
      <c r="B417" t="str">
        <f>"8:52:55.224700"</f>
        <v>8:52:55.224700</v>
      </c>
      <c r="C417">
        <v>-44</v>
      </c>
    </row>
    <row r="418" spans="1:3" x14ac:dyDescent="0.25">
      <c r="A418">
        <v>37</v>
      </c>
      <c r="B418" t="str">
        <f>"8:52:55.572548"</f>
        <v>8:52:55.572548</v>
      </c>
      <c r="C418">
        <v>-44</v>
      </c>
    </row>
    <row r="419" spans="1:3" x14ac:dyDescent="0.25">
      <c r="A419">
        <v>38</v>
      </c>
      <c r="B419" t="str">
        <f>"8:52:55.573576"</f>
        <v>8:52:55.573576</v>
      </c>
      <c r="C419">
        <v>-41</v>
      </c>
    </row>
    <row r="420" spans="1:3" x14ac:dyDescent="0.25">
      <c r="A420">
        <v>39</v>
      </c>
      <c r="B420" t="str">
        <f>"8:52:55.574602"</f>
        <v>8:52:55.574602</v>
      </c>
      <c r="C420">
        <v>-45</v>
      </c>
    </row>
    <row r="421" spans="1:3" x14ac:dyDescent="0.25">
      <c r="A421">
        <v>39</v>
      </c>
      <c r="B421" t="str">
        <f>"8:52:55.575120"</f>
        <v>8:52:55.575120</v>
      </c>
      <c r="C421">
        <v>-31</v>
      </c>
    </row>
    <row r="422" spans="1:3" x14ac:dyDescent="0.25">
      <c r="A422">
        <v>39</v>
      </c>
      <c r="B422" t="str">
        <f>"8:52:55.575447"</f>
        <v>8:52:55.575447</v>
      </c>
      <c r="C422">
        <v>-44</v>
      </c>
    </row>
    <row r="423" spans="1:3" x14ac:dyDescent="0.25">
      <c r="A423">
        <v>37</v>
      </c>
      <c r="B423" t="str">
        <f>"8:52:55.931805"</f>
        <v>8:52:55.931805</v>
      </c>
      <c r="C423">
        <v>-44</v>
      </c>
    </row>
    <row r="424" spans="1:3" x14ac:dyDescent="0.25">
      <c r="A424">
        <v>38</v>
      </c>
      <c r="B424" t="str">
        <f>"8:52:55.932833"</f>
        <v>8:52:55.932833</v>
      </c>
      <c r="C424">
        <v>-41</v>
      </c>
    </row>
    <row r="425" spans="1:3" x14ac:dyDescent="0.25">
      <c r="A425">
        <v>38</v>
      </c>
      <c r="B425" t="str">
        <f>"8:52:55.933678"</f>
        <v>8:52:55.933678</v>
      </c>
      <c r="C425">
        <v>-41</v>
      </c>
    </row>
    <row r="426" spans="1:3" x14ac:dyDescent="0.25">
      <c r="A426">
        <v>39</v>
      </c>
      <c r="B426" t="str">
        <f>"8:52:55.934454"</f>
        <v>8:52:55.934454</v>
      </c>
      <c r="C426">
        <v>-45</v>
      </c>
    </row>
    <row r="427" spans="1:3" x14ac:dyDescent="0.25">
      <c r="A427">
        <v>39</v>
      </c>
      <c r="B427" t="str">
        <f>"8:52:55.934972"</f>
        <v>8:52:55.934972</v>
      </c>
      <c r="C427">
        <v>-31</v>
      </c>
    </row>
    <row r="428" spans="1:3" x14ac:dyDescent="0.25">
      <c r="A428">
        <v>39</v>
      </c>
      <c r="B428" t="str">
        <f>"8:52:55.935298"</f>
        <v>8:52:55.935298</v>
      </c>
      <c r="C428">
        <v>-44</v>
      </c>
    </row>
    <row r="429" spans="1:3" x14ac:dyDescent="0.25">
      <c r="A429">
        <v>37</v>
      </c>
      <c r="B429" t="str">
        <f>"8:52:56.289255"</f>
        <v>8:52:56.289255</v>
      </c>
      <c r="C429">
        <v>-44</v>
      </c>
    </row>
    <row r="430" spans="1:3" x14ac:dyDescent="0.25">
      <c r="A430">
        <v>38</v>
      </c>
      <c r="B430" t="str">
        <f>"8:52:56.290283"</f>
        <v>8:52:56.290283</v>
      </c>
      <c r="C430">
        <v>-41</v>
      </c>
    </row>
    <row r="431" spans="1:3" x14ac:dyDescent="0.25">
      <c r="A431">
        <v>39</v>
      </c>
      <c r="B431" t="str">
        <f>"8:52:56.291309"</f>
        <v>8:52:56.291309</v>
      </c>
      <c r="C431">
        <v>-45</v>
      </c>
    </row>
    <row r="432" spans="1:3" x14ac:dyDescent="0.25">
      <c r="A432">
        <v>37</v>
      </c>
      <c r="B432" t="str">
        <f>"8:52:56.643854"</f>
        <v>8:52:56.643854</v>
      </c>
      <c r="C432">
        <v>-44</v>
      </c>
    </row>
    <row r="433" spans="1:3" x14ac:dyDescent="0.25">
      <c r="A433">
        <v>38</v>
      </c>
      <c r="B433" t="str">
        <f>"8:52:56.644881"</f>
        <v>8:52:56.644881</v>
      </c>
      <c r="C433">
        <v>-41</v>
      </c>
    </row>
    <row r="434" spans="1:3" x14ac:dyDescent="0.25">
      <c r="A434">
        <v>39</v>
      </c>
      <c r="B434" t="str">
        <f>"8:52:56.645907"</f>
        <v>8:52:56.645907</v>
      </c>
      <c r="C434">
        <v>-45</v>
      </c>
    </row>
    <row r="435" spans="1:3" x14ac:dyDescent="0.25">
      <c r="A435">
        <v>39</v>
      </c>
      <c r="B435" t="str">
        <f>"8:52:56.646425"</f>
        <v>8:52:56.646425</v>
      </c>
      <c r="C435">
        <v>-31</v>
      </c>
    </row>
    <row r="436" spans="1:3" x14ac:dyDescent="0.25">
      <c r="A436">
        <v>39</v>
      </c>
      <c r="B436" t="str">
        <f>"8:52:56.646751"</f>
        <v>8:52:56.646751</v>
      </c>
      <c r="C436">
        <v>-44</v>
      </c>
    </row>
    <row r="437" spans="1:3" x14ac:dyDescent="0.25">
      <c r="A437">
        <v>37</v>
      </c>
      <c r="B437" t="str">
        <f>"8:52:57.001516"</f>
        <v>8:52:57.001516</v>
      </c>
      <c r="C437">
        <v>-44</v>
      </c>
    </row>
    <row r="438" spans="1:3" x14ac:dyDescent="0.25">
      <c r="A438">
        <v>38</v>
      </c>
      <c r="B438" t="str">
        <f>"8:52:57.002543"</f>
        <v>8:52:57.002543</v>
      </c>
      <c r="C438">
        <v>-41</v>
      </c>
    </row>
    <row r="439" spans="1:3" x14ac:dyDescent="0.25">
      <c r="A439">
        <v>39</v>
      </c>
      <c r="B439" t="str">
        <f>"8:52:57.003569"</f>
        <v>8:52:57.003569</v>
      </c>
      <c r="C439">
        <v>-45</v>
      </c>
    </row>
    <row r="440" spans="1:3" x14ac:dyDescent="0.25">
      <c r="A440">
        <v>39</v>
      </c>
      <c r="B440" t="str">
        <f>"8:52:57.004088"</f>
        <v>8:52:57.004088</v>
      </c>
      <c r="C440">
        <v>-31</v>
      </c>
    </row>
    <row r="441" spans="1:3" x14ac:dyDescent="0.25">
      <c r="A441">
        <v>39</v>
      </c>
      <c r="B441" t="str">
        <f>"8:52:57.004414"</f>
        <v>8:52:57.004414</v>
      </c>
      <c r="C441">
        <v>-45</v>
      </c>
    </row>
    <row r="442" spans="1:3" x14ac:dyDescent="0.25">
      <c r="A442">
        <v>37</v>
      </c>
      <c r="B442" t="str">
        <f>"8:52:57.357115"</f>
        <v>8:52:57.357115</v>
      </c>
      <c r="C442">
        <v>-44</v>
      </c>
    </row>
    <row r="443" spans="1:3" x14ac:dyDescent="0.25">
      <c r="A443">
        <v>38</v>
      </c>
      <c r="B443" t="str">
        <f>"8:52:57.358142"</f>
        <v>8:52:57.358142</v>
      </c>
      <c r="C443">
        <v>-41</v>
      </c>
    </row>
    <row r="444" spans="1:3" x14ac:dyDescent="0.25">
      <c r="A444">
        <v>39</v>
      </c>
      <c r="B444" t="str">
        <f>"8:52:57.359168"</f>
        <v>8:52:57.359168</v>
      </c>
      <c r="C444">
        <v>-45</v>
      </c>
    </row>
    <row r="445" spans="1:3" x14ac:dyDescent="0.25">
      <c r="A445">
        <v>39</v>
      </c>
      <c r="B445" t="str">
        <f>"8:52:57.359687"</f>
        <v>8:52:57.359687</v>
      </c>
      <c r="C445">
        <v>-31</v>
      </c>
    </row>
    <row r="446" spans="1:3" x14ac:dyDescent="0.25">
      <c r="A446">
        <v>39</v>
      </c>
      <c r="B446" t="str">
        <f>"8:52:57.360013"</f>
        <v>8:52:57.360013</v>
      </c>
      <c r="C446">
        <v>-45</v>
      </c>
    </row>
    <row r="447" spans="1:3" x14ac:dyDescent="0.25">
      <c r="A447">
        <v>37</v>
      </c>
      <c r="B447" t="str">
        <f>"8:52:57.711410"</f>
        <v>8:52:57.711410</v>
      </c>
      <c r="C447">
        <v>-44</v>
      </c>
    </row>
    <row r="448" spans="1:3" x14ac:dyDescent="0.25">
      <c r="A448">
        <v>38</v>
      </c>
      <c r="B448" t="str">
        <f>"8:52:57.712435"</f>
        <v>8:52:57.712435</v>
      </c>
      <c r="C448">
        <v>-41</v>
      </c>
    </row>
    <row r="449" spans="1:3" x14ac:dyDescent="0.25">
      <c r="A449">
        <v>38</v>
      </c>
      <c r="B449" t="str">
        <f>"8:52:57.713281"</f>
        <v>8:52:57.713281</v>
      </c>
      <c r="C449">
        <v>-41</v>
      </c>
    </row>
    <row r="450" spans="1:3" x14ac:dyDescent="0.25">
      <c r="A450">
        <v>39</v>
      </c>
      <c r="B450" t="str">
        <f>"8:52:57.714055"</f>
        <v>8:52:57.714055</v>
      </c>
      <c r="C450">
        <v>-45</v>
      </c>
    </row>
    <row r="451" spans="1:3" x14ac:dyDescent="0.25">
      <c r="A451">
        <v>39</v>
      </c>
      <c r="B451" t="str">
        <f>"8:52:57.714573"</f>
        <v>8:52:57.714573</v>
      </c>
      <c r="C451">
        <v>-31</v>
      </c>
    </row>
    <row r="452" spans="1:3" x14ac:dyDescent="0.25">
      <c r="A452">
        <v>39</v>
      </c>
      <c r="B452" t="str">
        <f>"8:52:57.714899"</f>
        <v>8:52:57.714899</v>
      </c>
      <c r="C452">
        <v>-45</v>
      </c>
    </row>
    <row r="453" spans="1:3" x14ac:dyDescent="0.25">
      <c r="A453">
        <v>37</v>
      </c>
      <c r="B453" t="str">
        <f>"8:52:58.067264"</f>
        <v>8:52:58.067264</v>
      </c>
      <c r="C453">
        <v>-44</v>
      </c>
    </row>
    <row r="454" spans="1:3" x14ac:dyDescent="0.25">
      <c r="A454">
        <v>38</v>
      </c>
      <c r="B454" t="str">
        <f>"8:52:58.068292"</f>
        <v>8:52:58.068292</v>
      </c>
      <c r="C454">
        <v>-41</v>
      </c>
    </row>
    <row r="455" spans="1:3" x14ac:dyDescent="0.25">
      <c r="A455">
        <v>39</v>
      </c>
      <c r="B455" t="str">
        <f>"8:52:58.069318"</f>
        <v>8:52:58.069318</v>
      </c>
      <c r="C455">
        <v>-45</v>
      </c>
    </row>
    <row r="456" spans="1:3" x14ac:dyDescent="0.25">
      <c r="A456">
        <v>39</v>
      </c>
      <c r="B456" t="str">
        <f>"8:52:58.069836"</f>
        <v>8:52:58.069836</v>
      </c>
      <c r="C456">
        <v>-31</v>
      </c>
    </row>
    <row r="457" spans="1:3" x14ac:dyDescent="0.25">
      <c r="A457">
        <v>39</v>
      </c>
      <c r="B457" t="str">
        <f>"8:52:58.070162"</f>
        <v>8:52:58.070162</v>
      </c>
      <c r="C457">
        <v>-45</v>
      </c>
    </row>
    <row r="458" spans="1:3" x14ac:dyDescent="0.25">
      <c r="A458">
        <v>37</v>
      </c>
      <c r="B458" t="str">
        <f>"8:52:58.420118"</f>
        <v>8:52:58.420118</v>
      </c>
      <c r="C458">
        <v>-44</v>
      </c>
    </row>
    <row r="459" spans="1:3" x14ac:dyDescent="0.25">
      <c r="A459">
        <v>38</v>
      </c>
      <c r="B459" t="str">
        <f>"8:52:58.421146"</f>
        <v>8:52:58.421146</v>
      </c>
      <c r="C459">
        <v>-41</v>
      </c>
    </row>
    <row r="460" spans="1:3" x14ac:dyDescent="0.25">
      <c r="A460">
        <v>39</v>
      </c>
      <c r="B460" t="str">
        <f>"8:52:58.422172"</f>
        <v>8:52:58.422172</v>
      </c>
      <c r="C460">
        <v>-45</v>
      </c>
    </row>
    <row r="461" spans="1:3" x14ac:dyDescent="0.25">
      <c r="A461">
        <v>39</v>
      </c>
      <c r="B461" t="str">
        <f>"8:52:58.422690"</f>
        <v>8:52:58.422690</v>
      </c>
      <c r="C461">
        <v>-31</v>
      </c>
    </row>
    <row r="462" spans="1:3" x14ac:dyDescent="0.25">
      <c r="A462">
        <v>39</v>
      </c>
      <c r="B462" t="str">
        <f>"8:52:58.423016"</f>
        <v>8:52:58.423016</v>
      </c>
      <c r="C462">
        <v>-45</v>
      </c>
    </row>
    <row r="463" spans="1:3" x14ac:dyDescent="0.25">
      <c r="A463">
        <v>37</v>
      </c>
      <c r="B463" t="str">
        <f>"8:52:58.778061"</f>
        <v>8:52:58.778061</v>
      </c>
      <c r="C463">
        <v>-45</v>
      </c>
    </row>
    <row r="464" spans="1:3" x14ac:dyDescent="0.25">
      <c r="A464">
        <v>38</v>
      </c>
      <c r="B464" t="str">
        <f>"8:52:58.779088"</f>
        <v>8:52:58.779088</v>
      </c>
      <c r="C464">
        <v>-41</v>
      </c>
    </row>
    <row r="465" spans="1:3" x14ac:dyDescent="0.25">
      <c r="A465">
        <v>39</v>
      </c>
      <c r="B465" t="str">
        <f>"8:52:58.780115"</f>
        <v>8:52:58.780115</v>
      </c>
      <c r="C465">
        <v>-45</v>
      </c>
    </row>
    <row r="466" spans="1:3" x14ac:dyDescent="0.25">
      <c r="A466">
        <v>39</v>
      </c>
      <c r="B466" t="str">
        <f>"8:52:58.780633"</f>
        <v>8:52:58.780633</v>
      </c>
      <c r="C466">
        <v>-31</v>
      </c>
    </row>
    <row r="467" spans="1:3" x14ac:dyDescent="0.25">
      <c r="A467">
        <v>39</v>
      </c>
      <c r="B467" t="str">
        <f>"8:52:58.780960"</f>
        <v>8:52:58.780960</v>
      </c>
      <c r="C467">
        <v>-44</v>
      </c>
    </row>
    <row r="468" spans="1:3" x14ac:dyDescent="0.25">
      <c r="A468">
        <v>37</v>
      </c>
      <c r="B468" t="str">
        <f>"8:52:59.134454"</f>
        <v>8:52:59.134454</v>
      </c>
      <c r="C468">
        <v>-45</v>
      </c>
    </row>
    <row r="469" spans="1:3" x14ac:dyDescent="0.25">
      <c r="A469">
        <v>37</v>
      </c>
      <c r="B469" t="str">
        <f>"8:52:59.135300"</f>
        <v>8:52:59.135300</v>
      </c>
      <c r="C469">
        <v>-45</v>
      </c>
    </row>
    <row r="470" spans="1:3" x14ac:dyDescent="0.25">
      <c r="A470">
        <v>38</v>
      </c>
      <c r="B470" t="str">
        <f>"8:52:59.136076"</f>
        <v>8:52:59.136076</v>
      </c>
      <c r="C470">
        <v>-41</v>
      </c>
    </row>
    <row r="471" spans="1:3" x14ac:dyDescent="0.25">
      <c r="A471">
        <v>39</v>
      </c>
      <c r="B471" t="str">
        <f>"8:52:59.137102"</f>
        <v>8:52:59.137102</v>
      </c>
      <c r="C471">
        <v>-45</v>
      </c>
    </row>
    <row r="472" spans="1:3" x14ac:dyDescent="0.25">
      <c r="A472">
        <v>39</v>
      </c>
      <c r="B472" t="str">
        <f>"8:52:59.137620"</f>
        <v>8:52:59.137620</v>
      </c>
      <c r="C472">
        <v>-31</v>
      </c>
    </row>
    <row r="473" spans="1:3" x14ac:dyDescent="0.25">
      <c r="A473">
        <v>39</v>
      </c>
      <c r="B473" t="str">
        <f>"8:52:59.137946"</f>
        <v>8:52:59.137946</v>
      </c>
      <c r="C473">
        <v>-45</v>
      </c>
    </row>
    <row r="474" spans="1:3" x14ac:dyDescent="0.25">
      <c r="A474">
        <v>37</v>
      </c>
      <c r="B474" t="str">
        <f>"8:52:59.489839"</f>
        <v>8:52:59.489839</v>
      </c>
      <c r="C474">
        <v>-44</v>
      </c>
    </row>
    <row r="475" spans="1:3" x14ac:dyDescent="0.25">
      <c r="A475">
        <v>37</v>
      </c>
      <c r="B475" t="str">
        <f>"8:52:59.490358"</f>
        <v>8:52:59.490358</v>
      </c>
      <c r="C475">
        <v>-39</v>
      </c>
    </row>
    <row r="476" spans="1:3" x14ac:dyDescent="0.25">
      <c r="A476">
        <v>37</v>
      </c>
      <c r="B476" t="str">
        <f>"8:52:59.490683"</f>
        <v>8:52:59.490683</v>
      </c>
      <c r="C476">
        <v>-44</v>
      </c>
    </row>
    <row r="477" spans="1:3" x14ac:dyDescent="0.25">
      <c r="A477">
        <v>38</v>
      </c>
      <c r="B477" t="str">
        <f>"8:52:59.491460"</f>
        <v>8:52:59.491460</v>
      </c>
      <c r="C477">
        <v>-41</v>
      </c>
    </row>
    <row r="478" spans="1:3" x14ac:dyDescent="0.25">
      <c r="A478">
        <v>39</v>
      </c>
      <c r="B478" t="str">
        <f>"8:52:59.492486"</f>
        <v>8:52:59.492486</v>
      </c>
      <c r="C478">
        <v>-45</v>
      </c>
    </row>
    <row r="479" spans="1:3" x14ac:dyDescent="0.25">
      <c r="A479">
        <v>37</v>
      </c>
      <c r="B479" t="str">
        <f>"8:52:59.848794"</f>
        <v>8:52:59.848794</v>
      </c>
      <c r="C479">
        <v>-44</v>
      </c>
    </row>
    <row r="480" spans="1:3" x14ac:dyDescent="0.25">
      <c r="A480">
        <v>37</v>
      </c>
      <c r="B480" t="str">
        <f>"8:52:59.849313"</f>
        <v>8:52:59.849313</v>
      </c>
      <c r="C480">
        <v>-39</v>
      </c>
    </row>
    <row r="481" spans="1:3" x14ac:dyDescent="0.25">
      <c r="A481">
        <v>37</v>
      </c>
      <c r="B481" t="str">
        <f>"8:52:59.849639"</f>
        <v>8:52:59.849639</v>
      </c>
      <c r="C481">
        <v>-45</v>
      </c>
    </row>
    <row r="482" spans="1:3" x14ac:dyDescent="0.25">
      <c r="A482">
        <v>38</v>
      </c>
      <c r="B482" t="str">
        <f>"8:52:59.850415"</f>
        <v>8:52:59.850415</v>
      </c>
      <c r="C482">
        <v>-41</v>
      </c>
    </row>
    <row r="483" spans="1:3" x14ac:dyDescent="0.25">
      <c r="A483">
        <v>39</v>
      </c>
      <c r="B483" t="str">
        <f>"8:52:59.851441"</f>
        <v>8:52:59.851441</v>
      </c>
      <c r="C483">
        <v>-46</v>
      </c>
    </row>
    <row r="484" spans="1:3" x14ac:dyDescent="0.25">
      <c r="A484">
        <v>37</v>
      </c>
      <c r="B484" t="str">
        <f>"8:53:00.204472"</f>
        <v>8:53:00.204472</v>
      </c>
      <c r="C484">
        <v>-44</v>
      </c>
    </row>
    <row r="485" spans="1:3" x14ac:dyDescent="0.25">
      <c r="A485">
        <v>37</v>
      </c>
      <c r="B485" t="str">
        <f>"8:53:00.204991"</f>
        <v>8:53:00.204991</v>
      </c>
      <c r="C485">
        <v>-39</v>
      </c>
    </row>
    <row r="486" spans="1:3" x14ac:dyDescent="0.25">
      <c r="A486">
        <v>37</v>
      </c>
      <c r="B486" t="str">
        <f>"8:53:00.205317"</f>
        <v>8:53:00.205317</v>
      </c>
      <c r="C486">
        <v>-44</v>
      </c>
    </row>
    <row r="487" spans="1:3" x14ac:dyDescent="0.25">
      <c r="A487">
        <v>38</v>
      </c>
      <c r="B487" t="str">
        <f>"8:53:00.206093"</f>
        <v>8:53:00.206093</v>
      </c>
      <c r="C487">
        <v>-41</v>
      </c>
    </row>
    <row r="488" spans="1:3" x14ac:dyDescent="0.25">
      <c r="A488">
        <v>39</v>
      </c>
      <c r="B488" t="str">
        <f>"8:53:00.207119"</f>
        <v>8:53:00.207119</v>
      </c>
      <c r="C488">
        <v>-46</v>
      </c>
    </row>
    <row r="489" spans="1:3" x14ac:dyDescent="0.25">
      <c r="A489">
        <v>37</v>
      </c>
      <c r="B489" t="str">
        <f>"8:53:00.557740"</f>
        <v>8:53:00.557740</v>
      </c>
      <c r="C489">
        <v>-44</v>
      </c>
    </row>
    <row r="490" spans="1:3" x14ac:dyDescent="0.25">
      <c r="A490">
        <v>37</v>
      </c>
      <c r="B490" t="str">
        <f>"8:53:00.558259"</f>
        <v>8:53:00.558259</v>
      </c>
      <c r="C490">
        <v>-40</v>
      </c>
    </row>
    <row r="491" spans="1:3" x14ac:dyDescent="0.25">
      <c r="A491">
        <v>37</v>
      </c>
      <c r="B491" t="str">
        <f>"8:53:00.558585"</f>
        <v>8:53:00.558585</v>
      </c>
      <c r="C491">
        <v>-44</v>
      </c>
    </row>
    <row r="492" spans="1:3" x14ac:dyDescent="0.25">
      <c r="A492">
        <v>38</v>
      </c>
      <c r="B492" t="str">
        <f>"8:53:00.559361"</f>
        <v>8:53:00.559361</v>
      </c>
      <c r="C492">
        <v>-41</v>
      </c>
    </row>
    <row r="493" spans="1:3" x14ac:dyDescent="0.25">
      <c r="A493">
        <v>39</v>
      </c>
      <c r="B493" t="str">
        <f>"8:53:00.560387"</f>
        <v>8:53:00.560387</v>
      </c>
      <c r="C493">
        <v>-46</v>
      </c>
    </row>
    <row r="494" spans="1:3" x14ac:dyDescent="0.25">
      <c r="A494">
        <v>37</v>
      </c>
      <c r="B494" t="str">
        <f>"8:53:00.908986"</f>
        <v>8:53:00.908986</v>
      </c>
      <c r="C494">
        <v>-44</v>
      </c>
    </row>
    <row r="495" spans="1:3" x14ac:dyDescent="0.25">
      <c r="A495">
        <v>37</v>
      </c>
      <c r="B495" t="str">
        <f>"8:53:00.909504"</f>
        <v>8:53:00.909504</v>
      </c>
      <c r="C495">
        <v>-40</v>
      </c>
    </row>
    <row r="496" spans="1:3" x14ac:dyDescent="0.25">
      <c r="A496">
        <v>37</v>
      </c>
      <c r="B496" t="str">
        <f>"8:53:00.909830"</f>
        <v>8:53:00.909830</v>
      </c>
      <c r="C496">
        <v>-44</v>
      </c>
    </row>
    <row r="497" spans="1:3" x14ac:dyDescent="0.25">
      <c r="A497">
        <v>38</v>
      </c>
      <c r="B497" t="str">
        <f>"8:53:00.910606"</f>
        <v>8:53:00.910606</v>
      </c>
      <c r="C497">
        <v>-41</v>
      </c>
    </row>
    <row r="498" spans="1:3" x14ac:dyDescent="0.25">
      <c r="A498">
        <v>39</v>
      </c>
      <c r="B498" t="str">
        <f>"8:53:00.911632"</f>
        <v>8:53:00.911632</v>
      </c>
      <c r="C498">
        <v>-46</v>
      </c>
    </row>
    <row r="499" spans="1:3" x14ac:dyDescent="0.25">
      <c r="A499">
        <v>37</v>
      </c>
      <c r="B499" t="str">
        <f>"8:53:01.266119"</f>
        <v>8:53:01.266119</v>
      </c>
      <c r="C499">
        <v>-44</v>
      </c>
    </row>
    <row r="500" spans="1:3" x14ac:dyDescent="0.25">
      <c r="A500">
        <v>37</v>
      </c>
      <c r="B500" t="str">
        <f>"8:53:01.266638"</f>
        <v>8:53:01.266638</v>
      </c>
      <c r="C500">
        <v>-40</v>
      </c>
    </row>
    <row r="501" spans="1:3" x14ac:dyDescent="0.25">
      <c r="A501">
        <v>37</v>
      </c>
      <c r="B501" t="str">
        <f>"8:53:01.266964"</f>
        <v>8:53:01.266964</v>
      </c>
      <c r="C501">
        <v>-44</v>
      </c>
    </row>
    <row r="502" spans="1:3" x14ac:dyDescent="0.25">
      <c r="A502">
        <v>38</v>
      </c>
      <c r="B502" t="str">
        <f>"8:53:01.267740"</f>
        <v>8:53:01.267740</v>
      </c>
      <c r="C502">
        <v>-41</v>
      </c>
    </row>
    <row r="503" spans="1:3" x14ac:dyDescent="0.25">
      <c r="A503">
        <v>39</v>
      </c>
      <c r="B503" t="str">
        <f>"8:53:01.268766"</f>
        <v>8:53:01.268766</v>
      </c>
      <c r="C503">
        <v>-46</v>
      </c>
    </row>
    <row r="504" spans="1:3" x14ac:dyDescent="0.25">
      <c r="A504">
        <v>37</v>
      </c>
      <c r="B504" t="str">
        <f>"8:53:01.626129"</f>
        <v>8:53:01.626129</v>
      </c>
      <c r="C504">
        <v>-44</v>
      </c>
    </row>
    <row r="505" spans="1:3" x14ac:dyDescent="0.25">
      <c r="A505">
        <v>37</v>
      </c>
      <c r="B505" t="str">
        <f>"8:53:01.626647"</f>
        <v>8:53:01.626647</v>
      </c>
      <c r="C505">
        <v>-40</v>
      </c>
    </row>
    <row r="506" spans="1:3" x14ac:dyDescent="0.25">
      <c r="A506">
        <v>37</v>
      </c>
      <c r="B506" t="str">
        <f>"8:53:01.626973"</f>
        <v>8:53:01.626973</v>
      </c>
      <c r="C506">
        <v>-44</v>
      </c>
    </row>
    <row r="507" spans="1:3" x14ac:dyDescent="0.25">
      <c r="A507">
        <v>38</v>
      </c>
      <c r="B507" t="str">
        <f>"8:53:01.627749"</f>
        <v>8:53:01.627749</v>
      </c>
      <c r="C507">
        <v>-41</v>
      </c>
    </row>
    <row r="508" spans="1:3" x14ac:dyDescent="0.25">
      <c r="A508">
        <v>39</v>
      </c>
      <c r="B508" t="str">
        <f>"8:53:01.628775"</f>
        <v>8:53:01.628775</v>
      </c>
      <c r="C508">
        <v>-46</v>
      </c>
    </row>
    <row r="509" spans="1:3" x14ac:dyDescent="0.25">
      <c r="A509">
        <v>38</v>
      </c>
      <c r="B509" t="str">
        <f>"8:53:01.982541"</f>
        <v>8:53:01.982541</v>
      </c>
      <c r="C509">
        <v>-41</v>
      </c>
    </row>
    <row r="510" spans="1:3" x14ac:dyDescent="0.25">
      <c r="A510">
        <v>39</v>
      </c>
      <c r="B510" t="str">
        <f>"8:53:01.983567"</f>
        <v>8:53:01.983567</v>
      </c>
      <c r="C510">
        <v>-46</v>
      </c>
    </row>
    <row r="511" spans="1:3" x14ac:dyDescent="0.25">
      <c r="A511">
        <v>37</v>
      </c>
      <c r="B511" t="str">
        <f>"8:53:02.336888"</f>
        <v>8:53:02.336888</v>
      </c>
      <c r="C511">
        <v>-44</v>
      </c>
    </row>
    <row r="512" spans="1:3" x14ac:dyDescent="0.25">
      <c r="A512">
        <v>38</v>
      </c>
      <c r="B512" t="str">
        <f>"8:53:02.337916"</f>
        <v>8:53:02.337916</v>
      </c>
      <c r="C512">
        <v>-41</v>
      </c>
    </row>
    <row r="513" spans="1:3" x14ac:dyDescent="0.25">
      <c r="A513">
        <v>38</v>
      </c>
      <c r="B513" t="str">
        <f>"8:53:02.338436"</f>
        <v>8:53:02.338436</v>
      </c>
      <c r="C513">
        <v>-77</v>
      </c>
    </row>
    <row r="514" spans="1:3" x14ac:dyDescent="0.25">
      <c r="A514">
        <v>38</v>
      </c>
      <c r="B514" t="str">
        <f>"8:53:02.338762"</f>
        <v>8:53:02.338762</v>
      </c>
      <c r="C514">
        <v>-41</v>
      </c>
    </row>
    <row r="515" spans="1:3" x14ac:dyDescent="0.25">
      <c r="A515">
        <v>39</v>
      </c>
      <c r="B515" t="str">
        <f>"8:53:02.339538"</f>
        <v>8:53:02.339538</v>
      </c>
      <c r="C515">
        <v>-45</v>
      </c>
    </row>
    <row r="516" spans="1:3" x14ac:dyDescent="0.25">
      <c r="A516">
        <v>37</v>
      </c>
      <c r="B516" t="str">
        <f>"8:53:02.687109"</f>
        <v>8:53:02.687109</v>
      </c>
      <c r="C516">
        <v>-44</v>
      </c>
    </row>
    <row r="517" spans="1:3" x14ac:dyDescent="0.25">
      <c r="A517">
        <v>37</v>
      </c>
      <c r="B517" t="str">
        <f>"8:53:02.687627"</f>
        <v>8:53:02.687627</v>
      </c>
      <c r="C517">
        <v>-40</v>
      </c>
    </row>
    <row r="518" spans="1:3" x14ac:dyDescent="0.25">
      <c r="A518">
        <v>37</v>
      </c>
      <c r="B518" t="str">
        <f>"8:53:02.687954"</f>
        <v>8:53:02.687954</v>
      </c>
      <c r="C518">
        <v>-44</v>
      </c>
    </row>
    <row r="519" spans="1:3" x14ac:dyDescent="0.25">
      <c r="A519">
        <v>38</v>
      </c>
      <c r="B519" t="str">
        <f>"8:53:02.688730"</f>
        <v>8:53:02.688730</v>
      </c>
      <c r="C519">
        <v>-41</v>
      </c>
    </row>
    <row r="520" spans="1:3" x14ac:dyDescent="0.25">
      <c r="A520">
        <v>39</v>
      </c>
      <c r="B520" t="str">
        <f>"8:53:02.689756"</f>
        <v>8:53:02.689756</v>
      </c>
      <c r="C520">
        <v>-45</v>
      </c>
    </row>
    <row r="521" spans="1:3" x14ac:dyDescent="0.25">
      <c r="A521">
        <v>37</v>
      </c>
      <c r="B521" t="str">
        <f>"8:53:03.038341"</f>
        <v>8:53:03.038341</v>
      </c>
      <c r="C521">
        <v>-44</v>
      </c>
    </row>
    <row r="522" spans="1:3" x14ac:dyDescent="0.25">
      <c r="A522">
        <v>37</v>
      </c>
      <c r="B522" t="str">
        <f>"8:53:03.038859"</f>
        <v>8:53:03.038859</v>
      </c>
      <c r="C522">
        <v>-40</v>
      </c>
    </row>
    <row r="523" spans="1:3" x14ac:dyDescent="0.25">
      <c r="A523">
        <v>37</v>
      </c>
      <c r="B523" t="str">
        <f>"8:53:03.039185"</f>
        <v>8:53:03.039185</v>
      </c>
      <c r="C523">
        <v>-44</v>
      </c>
    </row>
    <row r="524" spans="1:3" x14ac:dyDescent="0.25">
      <c r="A524">
        <v>38</v>
      </c>
      <c r="B524" t="str">
        <f>"8:53:03.039962"</f>
        <v>8:53:03.039962</v>
      </c>
      <c r="C524">
        <v>-41</v>
      </c>
    </row>
    <row r="525" spans="1:3" x14ac:dyDescent="0.25">
      <c r="A525">
        <v>39</v>
      </c>
      <c r="B525" t="str">
        <f>"8:53:03.040988"</f>
        <v>8:53:03.040988</v>
      </c>
      <c r="C525">
        <v>-45</v>
      </c>
    </row>
    <row r="526" spans="1:3" x14ac:dyDescent="0.25">
      <c r="A526">
        <v>37</v>
      </c>
      <c r="B526" t="str">
        <f>"8:53:03.397846"</f>
        <v>8:53:03.397846</v>
      </c>
      <c r="C526">
        <v>-44</v>
      </c>
    </row>
    <row r="527" spans="1:3" x14ac:dyDescent="0.25">
      <c r="A527">
        <v>37</v>
      </c>
      <c r="B527" t="str">
        <f>"8:53:03.398365"</f>
        <v>8:53:03.398365</v>
      </c>
      <c r="C527">
        <v>-40</v>
      </c>
    </row>
    <row r="528" spans="1:3" x14ac:dyDescent="0.25">
      <c r="A528">
        <v>37</v>
      </c>
      <c r="B528" t="str">
        <f>"8:53:03.398690"</f>
        <v>8:53:03.398690</v>
      </c>
      <c r="C528">
        <v>-44</v>
      </c>
    </row>
    <row r="529" spans="1:3" x14ac:dyDescent="0.25">
      <c r="A529">
        <v>38</v>
      </c>
      <c r="B529" t="str">
        <f>"8:53:03.399467"</f>
        <v>8:53:03.399467</v>
      </c>
      <c r="C529">
        <v>-41</v>
      </c>
    </row>
    <row r="530" spans="1:3" x14ac:dyDescent="0.25">
      <c r="A530">
        <v>39</v>
      </c>
      <c r="B530" t="str">
        <f>"8:53:03.400493"</f>
        <v>8:53:03.400493</v>
      </c>
      <c r="C530">
        <v>-45</v>
      </c>
    </row>
    <row r="531" spans="1:3" x14ac:dyDescent="0.25">
      <c r="A531">
        <v>39</v>
      </c>
      <c r="B531" t="str">
        <f>"8:53:03.401011"</f>
        <v>8:53:03.401011</v>
      </c>
      <c r="C531">
        <v>-82</v>
      </c>
    </row>
    <row r="532" spans="1:3" x14ac:dyDescent="0.25">
      <c r="A532">
        <v>39</v>
      </c>
      <c r="B532" t="str">
        <f>"8:53:03.401337"</f>
        <v>8:53:03.401337</v>
      </c>
      <c r="C532">
        <v>-45</v>
      </c>
    </row>
    <row r="533" spans="1:3" x14ac:dyDescent="0.25">
      <c r="A533">
        <v>37</v>
      </c>
      <c r="B533" t="str">
        <f>"8:53:03.748307"</f>
        <v>8:53:03.748307</v>
      </c>
      <c r="C533">
        <v>-44</v>
      </c>
    </row>
    <row r="534" spans="1:3" x14ac:dyDescent="0.25">
      <c r="A534">
        <v>37</v>
      </c>
      <c r="B534" t="str">
        <f>"8:53:03.748826"</f>
        <v>8:53:03.748826</v>
      </c>
      <c r="C534">
        <v>-40</v>
      </c>
    </row>
    <row r="535" spans="1:3" x14ac:dyDescent="0.25">
      <c r="A535">
        <v>37</v>
      </c>
      <c r="B535" t="str">
        <f>"8:53:03.749151"</f>
        <v>8:53:03.749151</v>
      </c>
      <c r="C535">
        <v>-44</v>
      </c>
    </row>
    <row r="536" spans="1:3" x14ac:dyDescent="0.25">
      <c r="A536">
        <v>38</v>
      </c>
      <c r="B536" t="str">
        <f>"8:53:03.749928"</f>
        <v>8:53:03.749928</v>
      </c>
      <c r="C536">
        <v>-41</v>
      </c>
    </row>
    <row r="537" spans="1:3" x14ac:dyDescent="0.25">
      <c r="A537">
        <v>39</v>
      </c>
      <c r="B537" t="str">
        <f>"8:53:03.750954"</f>
        <v>8:53:03.750954</v>
      </c>
      <c r="C537">
        <v>-45</v>
      </c>
    </row>
    <row r="538" spans="1:3" x14ac:dyDescent="0.25">
      <c r="A538">
        <v>37</v>
      </c>
      <c r="B538" t="str">
        <f>"8:53:04.101577"</f>
        <v>8:53:04.101577</v>
      </c>
      <c r="C538">
        <v>-44</v>
      </c>
    </row>
    <row r="539" spans="1:3" x14ac:dyDescent="0.25">
      <c r="A539">
        <v>38</v>
      </c>
      <c r="B539" t="str">
        <f>"8:53:04.102605"</f>
        <v>8:53:04.102605</v>
      </c>
      <c r="C539">
        <v>-41</v>
      </c>
    </row>
    <row r="540" spans="1:3" x14ac:dyDescent="0.25">
      <c r="A540">
        <v>39</v>
      </c>
      <c r="B540" t="str">
        <f>"8:53:04.103631"</f>
        <v>8:53:04.103631</v>
      </c>
      <c r="C540">
        <v>-45</v>
      </c>
    </row>
    <row r="541" spans="1:3" x14ac:dyDescent="0.25">
      <c r="A541">
        <v>37</v>
      </c>
      <c r="B541" t="str">
        <f>"8:53:04.453346"</f>
        <v>8:53:04.453346</v>
      </c>
      <c r="C541">
        <v>-44</v>
      </c>
    </row>
    <row r="542" spans="1:3" x14ac:dyDescent="0.25">
      <c r="A542">
        <v>38</v>
      </c>
      <c r="B542" t="str">
        <f>"8:53:04.454373"</f>
        <v>8:53:04.454373</v>
      </c>
      <c r="C542">
        <v>-41</v>
      </c>
    </row>
    <row r="543" spans="1:3" x14ac:dyDescent="0.25">
      <c r="A543">
        <v>38</v>
      </c>
      <c r="B543" t="str">
        <f>"8:53:04.454892"</f>
        <v>8:53:04.454892</v>
      </c>
      <c r="C543">
        <v>-32</v>
      </c>
    </row>
    <row r="544" spans="1:3" x14ac:dyDescent="0.25">
      <c r="A544">
        <v>38</v>
      </c>
      <c r="B544" t="str">
        <f>"8:53:04.455218"</f>
        <v>8:53:04.455218</v>
      </c>
      <c r="C544">
        <v>-41</v>
      </c>
    </row>
    <row r="545" spans="1:3" x14ac:dyDescent="0.25">
      <c r="A545">
        <v>39</v>
      </c>
      <c r="B545" t="str">
        <f>"8:53:04.455994"</f>
        <v>8:53:04.455994</v>
      </c>
      <c r="C545">
        <v>-45</v>
      </c>
    </row>
    <row r="546" spans="1:3" x14ac:dyDescent="0.25">
      <c r="A546">
        <v>37</v>
      </c>
      <c r="B546" t="str">
        <f>"8:53:04.803612"</f>
        <v>8:53:04.803612</v>
      </c>
      <c r="C546">
        <v>-44</v>
      </c>
    </row>
    <row r="547" spans="1:3" x14ac:dyDescent="0.25">
      <c r="A547">
        <v>38</v>
      </c>
      <c r="B547" t="str">
        <f>"8:53:04.804639"</f>
        <v>8:53:04.804639</v>
      </c>
      <c r="C547">
        <v>-41</v>
      </c>
    </row>
    <row r="548" spans="1:3" x14ac:dyDescent="0.25">
      <c r="A548">
        <v>38</v>
      </c>
      <c r="B548" t="str">
        <f>"8:53:04.805157"</f>
        <v>8:53:04.805157</v>
      </c>
      <c r="C548">
        <v>-33</v>
      </c>
    </row>
    <row r="549" spans="1:3" x14ac:dyDescent="0.25">
      <c r="A549">
        <v>38</v>
      </c>
      <c r="B549" t="str">
        <f>"8:53:04.805483"</f>
        <v>8:53:04.805483</v>
      </c>
      <c r="C549">
        <v>-40</v>
      </c>
    </row>
    <row r="550" spans="1:3" x14ac:dyDescent="0.25">
      <c r="A550">
        <v>39</v>
      </c>
      <c r="B550" t="str">
        <f>"8:53:04.806259"</f>
        <v>8:53:04.806259</v>
      </c>
      <c r="C550">
        <v>-45</v>
      </c>
    </row>
    <row r="551" spans="1:3" x14ac:dyDescent="0.25">
      <c r="A551">
        <v>37</v>
      </c>
      <c r="B551" t="str">
        <f>"8:53:05.159290"</f>
        <v>8:53:05.159290</v>
      </c>
      <c r="C551">
        <v>-44</v>
      </c>
    </row>
    <row r="552" spans="1:3" x14ac:dyDescent="0.25">
      <c r="A552">
        <v>38</v>
      </c>
      <c r="B552" t="str">
        <f>"8:53:05.160318"</f>
        <v>8:53:05.160318</v>
      </c>
      <c r="C552">
        <v>-41</v>
      </c>
    </row>
    <row r="553" spans="1:3" x14ac:dyDescent="0.25">
      <c r="A553">
        <v>38</v>
      </c>
      <c r="B553" t="str">
        <f>"8:53:05.160836"</f>
        <v>8:53:05.160836</v>
      </c>
      <c r="C553">
        <v>-32</v>
      </c>
    </row>
    <row r="554" spans="1:3" x14ac:dyDescent="0.25">
      <c r="A554">
        <v>38</v>
      </c>
      <c r="B554" t="str">
        <f>"8:53:05.161162"</f>
        <v>8:53:05.161162</v>
      </c>
      <c r="C554">
        <v>-41</v>
      </c>
    </row>
    <row r="555" spans="1:3" x14ac:dyDescent="0.25">
      <c r="A555">
        <v>39</v>
      </c>
      <c r="B555" t="str">
        <f>"8:53:05.161938"</f>
        <v>8:53:05.161938</v>
      </c>
      <c r="C555">
        <v>-45</v>
      </c>
    </row>
    <row r="556" spans="1:3" x14ac:dyDescent="0.25">
      <c r="A556">
        <v>37</v>
      </c>
      <c r="B556" t="str">
        <f>"8:53:05.511621"</f>
        <v>8:53:05.511621</v>
      </c>
      <c r="C556">
        <v>-44</v>
      </c>
    </row>
    <row r="557" spans="1:3" x14ac:dyDescent="0.25">
      <c r="A557">
        <v>38</v>
      </c>
      <c r="B557" t="str">
        <f>"8:53:05.512648"</f>
        <v>8:53:05.512648</v>
      </c>
      <c r="C557">
        <v>-41</v>
      </c>
    </row>
    <row r="558" spans="1:3" x14ac:dyDescent="0.25">
      <c r="A558">
        <v>38</v>
      </c>
      <c r="B558" t="str">
        <f>"8:53:05.513166"</f>
        <v>8:53:05.513166</v>
      </c>
      <c r="C558">
        <v>-33</v>
      </c>
    </row>
    <row r="559" spans="1:3" x14ac:dyDescent="0.25">
      <c r="A559">
        <v>38</v>
      </c>
      <c r="B559" t="str">
        <f>"8:53:05.513492"</f>
        <v>8:53:05.513492</v>
      </c>
      <c r="C559">
        <v>-41</v>
      </c>
    </row>
    <row r="560" spans="1:3" x14ac:dyDescent="0.25">
      <c r="A560">
        <v>39</v>
      </c>
      <c r="B560" t="str">
        <f>"8:53:05.514268"</f>
        <v>8:53:05.514268</v>
      </c>
      <c r="C560">
        <v>-45</v>
      </c>
    </row>
    <row r="561" spans="1:3" x14ac:dyDescent="0.25">
      <c r="A561">
        <v>37</v>
      </c>
      <c r="B561" t="str">
        <f>"8:53:05.865154"</f>
        <v>8:53:05.865154</v>
      </c>
      <c r="C561">
        <v>-44</v>
      </c>
    </row>
    <row r="562" spans="1:3" x14ac:dyDescent="0.25">
      <c r="A562">
        <v>38</v>
      </c>
      <c r="B562" t="str">
        <f>"8:53:05.866181"</f>
        <v>8:53:05.866181</v>
      </c>
      <c r="C562">
        <v>-41</v>
      </c>
    </row>
    <row r="563" spans="1:3" x14ac:dyDescent="0.25">
      <c r="A563">
        <v>38</v>
      </c>
      <c r="B563" t="str">
        <f>"8:53:05.866699"</f>
        <v>8:53:05.866699</v>
      </c>
      <c r="C563">
        <v>-32</v>
      </c>
    </row>
    <row r="564" spans="1:3" x14ac:dyDescent="0.25">
      <c r="A564">
        <v>38</v>
      </c>
      <c r="B564" t="str">
        <f>"8:53:05.867025"</f>
        <v>8:53:05.867025</v>
      </c>
      <c r="C564">
        <v>-41</v>
      </c>
    </row>
    <row r="565" spans="1:3" x14ac:dyDescent="0.25">
      <c r="A565">
        <v>39</v>
      </c>
      <c r="B565" t="str">
        <f>"8:53:05.867801"</f>
        <v>8:53:05.867801</v>
      </c>
      <c r="C565">
        <v>-45</v>
      </c>
    </row>
    <row r="566" spans="1:3" x14ac:dyDescent="0.25">
      <c r="A566">
        <v>37</v>
      </c>
      <c r="B566" t="str">
        <f>"8:53:06.221813"</f>
        <v>8:53:06.221813</v>
      </c>
      <c r="C566">
        <v>-44</v>
      </c>
    </row>
    <row r="567" spans="1:3" x14ac:dyDescent="0.25">
      <c r="A567">
        <v>38</v>
      </c>
      <c r="B567" t="str">
        <f>"8:53:06.222840"</f>
        <v>8:53:06.222840</v>
      </c>
      <c r="C567">
        <v>-41</v>
      </c>
    </row>
    <row r="568" spans="1:3" x14ac:dyDescent="0.25">
      <c r="A568">
        <v>38</v>
      </c>
      <c r="B568" t="str">
        <f>"8:53:06.223359"</f>
        <v>8:53:06.223359</v>
      </c>
      <c r="C568">
        <v>-33</v>
      </c>
    </row>
    <row r="569" spans="1:3" x14ac:dyDescent="0.25">
      <c r="A569">
        <v>38</v>
      </c>
      <c r="B569" t="str">
        <f>"8:53:06.223684"</f>
        <v>8:53:06.223684</v>
      </c>
      <c r="C569">
        <v>-41</v>
      </c>
    </row>
    <row r="570" spans="1:3" x14ac:dyDescent="0.25">
      <c r="A570">
        <v>39</v>
      </c>
      <c r="B570" t="str">
        <f>"8:53:06.224460"</f>
        <v>8:53:06.224460</v>
      </c>
      <c r="C570">
        <v>-45</v>
      </c>
    </row>
    <row r="571" spans="1:3" x14ac:dyDescent="0.25">
      <c r="A571">
        <v>37</v>
      </c>
      <c r="B571" t="str">
        <f>"8:53:06.574836"</f>
        <v>8:53:06.574836</v>
      </c>
      <c r="C571">
        <v>-44</v>
      </c>
    </row>
    <row r="572" spans="1:3" x14ac:dyDescent="0.25">
      <c r="A572">
        <v>38</v>
      </c>
      <c r="B572" t="str">
        <f>"8:53:06.575863"</f>
        <v>8:53:06.575863</v>
      </c>
      <c r="C572">
        <v>-41</v>
      </c>
    </row>
    <row r="573" spans="1:3" x14ac:dyDescent="0.25">
      <c r="A573">
        <v>38</v>
      </c>
      <c r="B573" t="str">
        <f>"8:53:06.576382"</f>
        <v>8:53:06.576382</v>
      </c>
      <c r="C573">
        <v>-33</v>
      </c>
    </row>
    <row r="574" spans="1:3" x14ac:dyDescent="0.25">
      <c r="A574">
        <v>38</v>
      </c>
      <c r="B574" t="str">
        <f>"8:53:06.576708"</f>
        <v>8:53:06.576708</v>
      </c>
      <c r="C574">
        <v>-41</v>
      </c>
    </row>
    <row r="575" spans="1:3" x14ac:dyDescent="0.25">
      <c r="A575">
        <v>39</v>
      </c>
      <c r="B575" t="str">
        <f>"8:53:06.577484"</f>
        <v>8:53:06.577484</v>
      </c>
      <c r="C575">
        <v>-45</v>
      </c>
    </row>
    <row r="576" spans="1:3" x14ac:dyDescent="0.25">
      <c r="A576">
        <v>37</v>
      </c>
      <c r="B576" t="str">
        <f>"8:53:06.929672"</f>
        <v>8:53:06.929672</v>
      </c>
      <c r="C576">
        <v>-44</v>
      </c>
    </row>
    <row r="577" spans="1:3" x14ac:dyDescent="0.25">
      <c r="A577">
        <v>38</v>
      </c>
      <c r="B577" t="str">
        <f>"8:53:06.930699"</f>
        <v>8:53:06.930699</v>
      </c>
      <c r="C577">
        <v>-41</v>
      </c>
    </row>
    <row r="578" spans="1:3" x14ac:dyDescent="0.25">
      <c r="A578">
        <v>38</v>
      </c>
      <c r="B578" t="str">
        <f>"8:53:06.931218"</f>
        <v>8:53:06.931218</v>
      </c>
      <c r="C578">
        <v>-32</v>
      </c>
    </row>
    <row r="579" spans="1:3" x14ac:dyDescent="0.25">
      <c r="A579">
        <v>38</v>
      </c>
      <c r="B579" t="str">
        <f>"8:53:06.931543"</f>
        <v>8:53:06.931543</v>
      </c>
      <c r="C579">
        <v>-41</v>
      </c>
    </row>
    <row r="580" spans="1:3" x14ac:dyDescent="0.25">
      <c r="A580">
        <v>39</v>
      </c>
      <c r="B580" t="str">
        <f>"8:53:06.932319"</f>
        <v>8:53:06.932319</v>
      </c>
      <c r="C580">
        <v>-45</v>
      </c>
    </row>
    <row r="581" spans="1:3" x14ac:dyDescent="0.25">
      <c r="A581">
        <v>37</v>
      </c>
      <c r="B581" t="str">
        <f>"8:53:07.287629"</f>
        <v>8:53:07.287629</v>
      </c>
      <c r="C581">
        <v>-44</v>
      </c>
    </row>
    <row r="582" spans="1:3" x14ac:dyDescent="0.25">
      <c r="A582">
        <v>38</v>
      </c>
      <c r="B582" t="str">
        <f>"8:53:07.288657"</f>
        <v>8:53:07.288657</v>
      </c>
      <c r="C582">
        <v>-41</v>
      </c>
    </row>
    <row r="583" spans="1:3" x14ac:dyDescent="0.25">
      <c r="A583">
        <v>39</v>
      </c>
      <c r="B583" t="str">
        <f>"8:53:07.289683"</f>
        <v>8:53:07.289683</v>
      </c>
      <c r="C583">
        <v>-45</v>
      </c>
    </row>
    <row r="584" spans="1:3" x14ac:dyDescent="0.25">
      <c r="A584">
        <v>37</v>
      </c>
      <c r="B584" t="str">
        <f>"8:53:07.642156"</f>
        <v>8:53:07.642156</v>
      </c>
      <c r="C584">
        <v>-44</v>
      </c>
    </row>
    <row r="585" spans="1:3" x14ac:dyDescent="0.25">
      <c r="A585">
        <v>38</v>
      </c>
      <c r="B585" t="str">
        <f>"8:53:07.643183"</f>
        <v>8:53:07.643183</v>
      </c>
      <c r="C585">
        <v>-41</v>
      </c>
    </row>
    <row r="586" spans="1:3" x14ac:dyDescent="0.25">
      <c r="A586">
        <v>38</v>
      </c>
      <c r="B586" t="str">
        <f>"8:53:07.643702"</f>
        <v>8:53:07.643702</v>
      </c>
      <c r="C586">
        <v>-32</v>
      </c>
    </row>
    <row r="587" spans="1:3" x14ac:dyDescent="0.25">
      <c r="A587">
        <v>38</v>
      </c>
      <c r="B587" t="str">
        <f>"8:53:07.644028"</f>
        <v>8:53:07.644028</v>
      </c>
      <c r="C587">
        <v>-41</v>
      </c>
    </row>
    <row r="588" spans="1:3" x14ac:dyDescent="0.25">
      <c r="A588">
        <v>39</v>
      </c>
      <c r="B588" t="str">
        <f>"8:53:07.644804"</f>
        <v>8:53:07.644804</v>
      </c>
      <c r="C588">
        <v>-45</v>
      </c>
    </row>
    <row r="589" spans="1:3" x14ac:dyDescent="0.25">
      <c r="A589">
        <v>37</v>
      </c>
      <c r="B589" t="str">
        <f>"8:53:08.000616"</f>
        <v>8:53:08.000616</v>
      </c>
      <c r="C589">
        <v>-44</v>
      </c>
    </row>
    <row r="590" spans="1:3" x14ac:dyDescent="0.25">
      <c r="A590">
        <v>38</v>
      </c>
      <c r="B590" t="str">
        <f>"8:53:08.001643"</f>
        <v>8:53:08.001643</v>
      </c>
      <c r="C590">
        <v>-41</v>
      </c>
    </row>
    <row r="591" spans="1:3" x14ac:dyDescent="0.25">
      <c r="A591">
        <v>38</v>
      </c>
      <c r="B591" t="str">
        <f>"8:53:08.002162"</f>
        <v>8:53:08.002162</v>
      </c>
      <c r="C591">
        <v>-32</v>
      </c>
    </row>
    <row r="592" spans="1:3" x14ac:dyDescent="0.25">
      <c r="A592">
        <v>38</v>
      </c>
      <c r="B592" t="str">
        <f>"8:53:08.002488"</f>
        <v>8:53:08.002488</v>
      </c>
      <c r="C592">
        <v>-41</v>
      </c>
    </row>
    <row r="593" spans="1:3" x14ac:dyDescent="0.25">
      <c r="A593">
        <v>39</v>
      </c>
      <c r="B593" t="str">
        <f>"8:53:08.003263"</f>
        <v>8:53:08.003263</v>
      </c>
      <c r="C593">
        <v>-45</v>
      </c>
    </row>
    <row r="594" spans="1:3" x14ac:dyDescent="0.25">
      <c r="A594">
        <v>37</v>
      </c>
      <c r="B594" t="str">
        <f>"8:53:08.357029"</f>
        <v>8:53:08.357029</v>
      </c>
      <c r="C594">
        <v>-45</v>
      </c>
    </row>
    <row r="595" spans="1:3" x14ac:dyDescent="0.25">
      <c r="A595">
        <v>38</v>
      </c>
      <c r="B595" t="str">
        <f>"8:53:08.358056"</f>
        <v>8:53:08.358056</v>
      </c>
      <c r="C595">
        <v>-41</v>
      </c>
    </row>
    <row r="596" spans="1:3" x14ac:dyDescent="0.25">
      <c r="A596">
        <v>38</v>
      </c>
      <c r="B596" t="str">
        <f>"8:53:08.358575"</f>
        <v>8:53:08.358575</v>
      </c>
      <c r="C596">
        <v>-32</v>
      </c>
    </row>
    <row r="597" spans="1:3" x14ac:dyDescent="0.25">
      <c r="A597">
        <v>38</v>
      </c>
      <c r="B597" t="str">
        <f>"8:53:08.358900"</f>
        <v>8:53:08.358900</v>
      </c>
      <c r="C597">
        <v>-41</v>
      </c>
    </row>
    <row r="598" spans="1:3" x14ac:dyDescent="0.25">
      <c r="A598">
        <v>39</v>
      </c>
      <c r="B598" t="str">
        <f>"8:53:08.359676"</f>
        <v>8:53:08.359676</v>
      </c>
      <c r="C598">
        <v>-46</v>
      </c>
    </row>
    <row r="599" spans="1:3" x14ac:dyDescent="0.25">
      <c r="A599">
        <v>37</v>
      </c>
      <c r="B599" t="str">
        <f>"8:53:08.707505"</f>
        <v>8:53:08.707505</v>
      </c>
      <c r="C599">
        <v>-44</v>
      </c>
    </row>
    <row r="600" spans="1:3" x14ac:dyDescent="0.25">
      <c r="A600">
        <v>38</v>
      </c>
      <c r="B600" t="str">
        <f>"8:53:08.708532"</f>
        <v>8:53:08.708532</v>
      </c>
      <c r="C600">
        <v>-41</v>
      </c>
    </row>
    <row r="601" spans="1:3" x14ac:dyDescent="0.25">
      <c r="A601">
        <v>38</v>
      </c>
      <c r="B601" t="str">
        <f>"8:53:08.709050"</f>
        <v>8:53:08.709050</v>
      </c>
      <c r="C601">
        <v>-32</v>
      </c>
    </row>
    <row r="602" spans="1:3" x14ac:dyDescent="0.25">
      <c r="A602">
        <v>38</v>
      </c>
      <c r="B602" t="str">
        <f>"8:53:08.709376"</f>
        <v>8:53:08.709376</v>
      </c>
      <c r="C602">
        <v>-41</v>
      </c>
    </row>
    <row r="603" spans="1:3" x14ac:dyDescent="0.25">
      <c r="A603">
        <v>39</v>
      </c>
      <c r="B603" t="str">
        <f>"8:53:08.710152"</f>
        <v>8:53:08.710152</v>
      </c>
      <c r="C603">
        <v>-46</v>
      </c>
    </row>
    <row r="604" spans="1:3" x14ac:dyDescent="0.25">
      <c r="A604">
        <v>37</v>
      </c>
      <c r="B604" t="str">
        <f>"8:53:09.067182"</f>
        <v>8:53:09.067182</v>
      </c>
      <c r="C604">
        <v>-45</v>
      </c>
    </row>
    <row r="605" spans="1:3" x14ac:dyDescent="0.25">
      <c r="A605">
        <v>38</v>
      </c>
      <c r="B605" t="str">
        <f>"8:53:09.068210"</f>
        <v>8:53:09.068210</v>
      </c>
      <c r="C605">
        <v>-41</v>
      </c>
    </row>
    <row r="606" spans="1:3" x14ac:dyDescent="0.25">
      <c r="A606">
        <v>38</v>
      </c>
      <c r="B606" t="str">
        <f>"8:53:09.068728"</f>
        <v>8:53:09.068728</v>
      </c>
      <c r="C606">
        <v>-32</v>
      </c>
    </row>
    <row r="607" spans="1:3" x14ac:dyDescent="0.25">
      <c r="A607">
        <v>38</v>
      </c>
      <c r="B607" t="str">
        <f>"8:53:09.069055"</f>
        <v>8:53:09.069055</v>
      </c>
      <c r="C607">
        <v>-41</v>
      </c>
    </row>
    <row r="608" spans="1:3" x14ac:dyDescent="0.25">
      <c r="A608">
        <v>39</v>
      </c>
      <c r="B608" t="str">
        <f>"8:53:09.069831"</f>
        <v>8:53:09.069831</v>
      </c>
      <c r="C608">
        <v>-45</v>
      </c>
    </row>
    <row r="609" spans="1:3" x14ac:dyDescent="0.25">
      <c r="A609">
        <v>37</v>
      </c>
      <c r="B609" t="str">
        <f>"8:53:09.422229"</f>
        <v>8:53:09.422229</v>
      </c>
      <c r="C609">
        <v>-44</v>
      </c>
    </row>
    <row r="610" spans="1:3" x14ac:dyDescent="0.25">
      <c r="A610">
        <v>38</v>
      </c>
      <c r="B610" t="str">
        <f>"8:53:09.423257"</f>
        <v>8:53:09.423257</v>
      </c>
      <c r="C610">
        <v>-41</v>
      </c>
    </row>
    <row r="611" spans="1:3" x14ac:dyDescent="0.25">
      <c r="A611">
        <v>39</v>
      </c>
      <c r="B611" t="str">
        <f>"8:53:09.424283"</f>
        <v>8:53:09.424283</v>
      </c>
      <c r="C611">
        <v>-46</v>
      </c>
    </row>
    <row r="612" spans="1:3" x14ac:dyDescent="0.25">
      <c r="A612">
        <v>37</v>
      </c>
      <c r="B612" t="str">
        <f>"8:53:09.781690"</f>
        <v>8:53:09.781690</v>
      </c>
      <c r="C612">
        <v>-45</v>
      </c>
    </row>
    <row r="613" spans="1:3" x14ac:dyDescent="0.25">
      <c r="A613">
        <v>38</v>
      </c>
      <c r="B613" t="str">
        <f>"8:53:09.782718"</f>
        <v>8:53:09.782718</v>
      </c>
      <c r="C613">
        <v>-41</v>
      </c>
    </row>
    <row r="614" spans="1:3" x14ac:dyDescent="0.25">
      <c r="A614">
        <v>39</v>
      </c>
      <c r="B614" t="str">
        <f>"8:53:09.783744"</f>
        <v>8:53:09.783744</v>
      </c>
      <c r="C614">
        <v>-45</v>
      </c>
    </row>
    <row r="615" spans="1:3" x14ac:dyDescent="0.25">
      <c r="A615">
        <v>37</v>
      </c>
      <c r="B615" t="str">
        <f>"8:53:10.137592"</f>
        <v>8:53:10.137592</v>
      </c>
      <c r="C615">
        <v>-44</v>
      </c>
    </row>
    <row r="616" spans="1:3" x14ac:dyDescent="0.25">
      <c r="A616">
        <v>38</v>
      </c>
      <c r="B616" t="str">
        <f>"8:53:10.138619"</f>
        <v>8:53:10.138619</v>
      </c>
      <c r="C616">
        <v>-41</v>
      </c>
    </row>
    <row r="617" spans="1:3" x14ac:dyDescent="0.25">
      <c r="A617">
        <v>39</v>
      </c>
      <c r="B617" t="str">
        <f>"8:53:10.139645"</f>
        <v>8:53:10.139645</v>
      </c>
      <c r="C617">
        <v>-46</v>
      </c>
    </row>
    <row r="618" spans="1:3" x14ac:dyDescent="0.25">
      <c r="A618">
        <v>39</v>
      </c>
      <c r="B618" t="str">
        <f>"8:53:10.140164"</f>
        <v>8:53:10.140164</v>
      </c>
      <c r="C618">
        <v>-31</v>
      </c>
    </row>
    <row r="619" spans="1:3" x14ac:dyDescent="0.25">
      <c r="A619">
        <v>39</v>
      </c>
      <c r="B619" t="str">
        <f>"8:53:10.140490"</f>
        <v>8:53:10.140490</v>
      </c>
      <c r="C619">
        <v>-45</v>
      </c>
    </row>
    <row r="620" spans="1:3" x14ac:dyDescent="0.25">
      <c r="A620">
        <v>37</v>
      </c>
      <c r="B620" t="str">
        <f>"8:53:10.496245"</f>
        <v>8:53:10.496245</v>
      </c>
      <c r="C620">
        <v>-45</v>
      </c>
    </row>
    <row r="621" spans="1:3" x14ac:dyDescent="0.25">
      <c r="A621">
        <v>38</v>
      </c>
      <c r="B621" t="str">
        <f>"8:53:10.497272"</f>
        <v>8:53:10.497272</v>
      </c>
      <c r="C621">
        <v>-41</v>
      </c>
    </row>
    <row r="622" spans="1:3" x14ac:dyDescent="0.25">
      <c r="A622">
        <v>39</v>
      </c>
      <c r="B622" t="str">
        <f>"8:53:10.498299"</f>
        <v>8:53:10.498299</v>
      </c>
      <c r="C622">
        <v>-45</v>
      </c>
    </row>
    <row r="623" spans="1:3" x14ac:dyDescent="0.25">
      <c r="A623">
        <v>37</v>
      </c>
      <c r="B623" t="str">
        <f>"8:53:10.855459"</f>
        <v>8:53:10.855459</v>
      </c>
      <c r="C623">
        <v>-44</v>
      </c>
    </row>
    <row r="624" spans="1:3" x14ac:dyDescent="0.25">
      <c r="A624">
        <v>38</v>
      </c>
      <c r="B624" t="str">
        <f>"8:53:10.856486"</f>
        <v>8:53:10.856486</v>
      </c>
      <c r="C624">
        <v>-41</v>
      </c>
    </row>
    <row r="625" spans="1:3" x14ac:dyDescent="0.25">
      <c r="A625">
        <v>39</v>
      </c>
      <c r="B625" t="str">
        <f>"8:53:10.857512"</f>
        <v>8:53:10.857512</v>
      </c>
      <c r="C625">
        <v>-46</v>
      </c>
    </row>
    <row r="626" spans="1:3" x14ac:dyDescent="0.25">
      <c r="A626">
        <v>39</v>
      </c>
      <c r="B626" t="str">
        <f>"8:53:10.858031"</f>
        <v>8:53:10.858031</v>
      </c>
      <c r="C626">
        <v>-31</v>
      </c>
    </row>
    <row r="627" spans="1:3" x14ac:dyDescent="0.25">
      <c r="A627">
        <v>39</v>
      </c>
      <c r="B627" t="str">
        <f>"8:53:10.858356"</f>
        <v>8:53:10.858356</v>
      </c>
      <c r="C627">
        <v>-45</v>
      </c>
    </row>
    <row r="628" spans="1:3" x14ac:dyDescent="0.25">
      <c r="A628">
        <v>37</v>
      </c>
      <c r="B628" t="str">
        <f>"8:53:11.211555"</f>
        <v>8:53:11.211555</v>
      </c>
      <c r="C628">
        <v>-44</v>
      </c>
    </row>
    <row r="629" spans="1:3" x14ac:dyDescent="0.25">
      <c r="A629">
        <v>38</v>
      </c>
      <c r="B629" t="str">
        <f>"8:53:11.212582"</f>
        <v>8:53:11.212582</v>
      </c>
      <c r="C629">
        <v>-41</v>
      </c>
    </row>
    <row r="630" spans="1:3" x14ac:dyDescent="0.25">
      <c r="A630">
        <v>39</v>
      </c>
      <c r="B630" t="str">
        <f>"8:53:11.213608"</f>
        <v>8:53:11.213608</v>
      </c>
      <c r="C630">
        <v>-46</v>
      </c>
    </row>
    <row r="631" spans="1:3" x14ac:dyDescent="0.25">
      <c r="A631">
        <v>39</v>
      </c>
      <c r="B631" t="str">
        <f>"8:53:11.214127"</f>
        <v>8:53:11.214127</v>
      </c>
      <c r="C631">
        <v>-31</v>
      </c>
    </row>
    <row r="632" spans="1:3" x14ac:dyDescent="0.25">
      <c r="A632">
        <v>39</v>
      </c>
      <c r="B632" t="str">
        <f>"8:53:11.214453"</f>
        <v>8:53:11.214453</v>
      </c>
      <c r="C632">
        <v>-45</v>
      </c>
    </row>
    <row r="633" spans="1:3" x14ac:dyDescent="0.25">
      <c r="A633">
        <v>37</v>
      </c>
      <c r="B633" t="str">
        <f>"8:53:11.565634"</f>
        <v>8:53:11.565634</v>
      </c>
      <c r="C633">
        <v>-44</v>
      </c>
    </row>
    <row r="634" spans="1:3" x14ac:dyDescent="0.25">
      <c r="A634">
        <v>38</v>
      </c>
      <c r="B634" t="str">
        <f>"8:53:11.566662"</f>
        <v>8:53:11.566662</v>
      </c>
      <c r="C634">
        <v>-41</v>
      </c>
    </row>
    <row r="635" spans="1:3" x14ac:dyDescent="0.25">
      <c r="A635">
        <v>38</v>
      </c>
      <c r="B635" t="str">
        <f>"8:53:11.567507"</f>
        <v>8:53:11.567507</v>
      </c>
      <c r="C635">
        <v>-41</v>
      </c>
    </row>
    <row r="636" spans="1:3" x14ac:dyDescent="0.25">
      <c r="A636">
        <v>39</v>
      </c>
      <c r="B636" t="str">
        <f>"8:53:11.568283"</f>
        <v>8:53:11.568283</v>
      </c>
      <c r="C636">
        <v>-45</v>
      </c>
    </row>
    <row r="637" spans="1:3" x14ac:dyDescent="0.25">
      <c r="A637">
        <v>39</v>
      </c>
      <c r="B637" t="str">
        <f>"8:53:11.568801"</f>
        <v>8:53:11.568801</v>
      </c>
      <c r="C637">
        <v>-31</v>
      </c>
    </row>
    <row r="638" spans="1:3" x14ac:dyDescent="0.25">
      <c r="A638">
        <v>39</v>
      </c>
      <c r="B638" t="str">
        <f>"8:53:11.569127"</f>
        <v>8:53:11.569127</v>
      </c>
      <c r="C638">
        <v>-45</v>
      </c>
    </row>
    <row r="639" spans="1:3" x14ac:dyDescent="0.25">
      <c r="A639">
        <v>37</v>
      </c>
      <c r="B639" t="str">
        <f>"8:53:11.920170"</f>
        <v>8:53:11.920170</v>
      </c>
      <c r="C639">
        <v>-44</v>
      </c>
    </row>
    <row r="640" spans="1:3" x14ac:dyDescent="0.25">
      <c r="A640">
        <v>38</v>
      </c>
      <c r="B640" t="str">
        <f>"8:53:11.921197"</f>
        <v>8:53:11.921197</v>
      </c>
      <c r="C640">
        <v>-41</v>
      </c>
    </row>
    <row r="641" spans="1:3" x14ac:dyDescent="0.25">
      <c r="A641">
        <v>39</v>
      </c>
      <c r="B641" t="str">
        <f>"8:53:11.922223"</f>
        <v>8:53:11.922223</v>
      </c>
      <c r="C641">
        <v>-46</v>
      </c>
    </row>
    <row r="642" spans="1:3" x14ac:dyDescent="0.25">
      <c r="A642">
        <v>39</v>
      </c>
      <c r="B642" t="str">
        <f>"8:53:11.922742"</f>
        <v>8:53:11.922742</v>
      </c>
      <c r="C642">
        <v>-31</v>
      </c>
    </row>
    <row r="643" spans="1:3" x14ac:dyDescent="0.25">
      <c r="A643">
        <v>39</v>
      </c>
      <c r="B643" t="str">
        <f>"8:53:11.923067"</f>
        <v>8:53:11.923067</v>
      </c>
      <c r="C643">
        <v>-45</v>
      </c>
    </row>
    <row r="644" spans="1:3" x14ac:dyDescent="0.25">
      <c r="A644">
        <v>37</v>
      </c>
      <c r="B644" t="str">
        <f>"8:53:12.271154"</f>
        <v>8:53:12.271154</v>
      </c>
      <c r="C644">
        <v>-44</v>
      </c>
    </row>
    <row r="645" spans="1:3" x14ac:dyDescent="0.25">
      <c r="A645">
        <v>38</v>
      </c>
      <c r="B645" t="str">
        <f>"8:53:12.272182"</f>
        <v>8:53:12.272182</v>
      </c>
      <c r="C645">
        <v>-41</v>
      </c>
    </row>
    <row r="646" spans="1:3" x14ac:dyDescent="0.25">
      <c r="A646">
        <v>39</v>
      </c>
      <c r="B646" t="str">
        <f>"8:53:12.273208"</f>
        <v>8:53:12.273208</v>
      </c>
      <c r="C646">
        <v>-45</v>
      </c>
    </row>
    <row r="647" spans="1:3" x14ac:dyDescent="0.25">
      <c r="A647">
        <v>37</v>
      </c>
      <c r="B647" t="str">
        <f>"8:53:12.630591"</f>
        <v>8:53:12.630591</v>
      </c>
      <c r="C647">
        <v>-44</v>
      </c>
    </row>
    <row r="648" spans="1:3" x14ac:dyDescent="0.25">
      <c r="A648">
        <v>38</v>
      </c>
      <c r="B648" t="str">
        <f>"8:53:12.631619"</f>
        <v>8:53:12.631619</v>
      </c>
      <c r="C648">
        <v>-41</v>
      </c>
    </row>
    <row r="649" spans="1:3" x14ac:dyDescent="0.25">
      <c r="A649">
        <v>39</v>
      </c>
      <c r="B649" t="str">
        <f>"8:53:12.632645"</f>
        <v>8:53:12.632645</v>
      </c>
      <c r="C649">
        <v>-45</v>
      </c>
    </row>
    <row r="650" spans="1:3" x14ac:dyDescent="0.25">
      <c r="A650">
        <v>39</v>
      </c>
      <c r="B650" t="str">
        <f>"8:53:12.633163"</f>
        <v>8:53:12.633163</v>
      </c>
      <c r="C650">
        <v>-31</v>
      </c>
    </row>
    <row r="651" spans="1:3" x14ac:dyDescent="0.25">
      <c r="A651">
        <v>39</v>
      </c>
      <c r="B651" t="str">
        <f>"8:53:12.633490"</f>
        <v>8:53:12.633490</v>
      </c>
      <c r="C651">
        <v>-45</v>
      </c>
    </row>
    <row r="652" spans="1:3" x14ac:dyDescent="0.25">
      <c r="A652">
        <v>37</v>
      </c>
      <c r="B652" t="str">
        <f>"8:53:12.989565"</f>
        <v>8:53:12.989565</v>
      </c>
      <c r="C652">
        <v>-44</v>
      </c>
    </row>
    <row r="653" spans="1:3" x14ac:dyDescent="0.25">
      <c r="A653">
        <v>38</v>
      </c>
      <c r="B653" t="str">
        <f>"8:53:12.990592"</f>
        <v>8:53:12.990592</v>
      </c>
      <c r="C653">
        <v>-41</v>
      </c>
    </row>
    <row r="654" spans="1:3" x14ac:dyDescent="0.25">
      <c r="A654">
        <v>39</v>
      </c>
      <c r="B654" t="str">
        <f>"8:53:12.991618"</f>
        <v>8:53:12.991618</v>
      </c>
      <c r="C654">
        <v>-46</v>
      </c>
    </row>
    <row r="655" spans="1:3" x14ac:dyDescent="0.25">
      <c r="A655">
        <v>39</v>
      </c>
      <c r="B655" t="str">
        <f>"8:53:12.992136"</f>
        <v>8:53:12.992136</v>
      </c>
      <c r="C655">
        <v>-31</v>
      </c>
    </row>
    <row r="656" spans="1:3" x14ac:dyDescent="0.25">
      <c r="A656">
        <v>39</v>
      </c>
      <c r="B656" t="str">
        <f>"8:53:12.992462"</f>
        <v>8:53:12.992462</v>
      </c>
      <c r="C656">
        <v>-45</v>
      </c>
    </row>
    <row r="657" spans="1:3" x14ac:dyDescent="0.25">
      <c r="A657">
        <v>37</v>
      </c>
      <c r="B657" t="str">
        <f>"8:53:13.344891"</f>
        <v>8:53:13.344891</v>
      </c>
      <c r="C657">
        <v>-43</v>
      </c>
    </row>
    <row r="658" spans="1:3" x14ac:dyDescent="0.25">
      <c r="A658">
        <v>38</v>
      </c>
      <c r="B658" t="str">
        <f>"8:53:13.345918"</f>
        <v>8:53:13.345918</v>
      </c>
      <c r="C658">
        <v>-41</v>
      </c>
    </row>
    <row r="659" spans="1:3" x14ac:dyDescent="0.25">
      <c r="A659">
        <v>39</v>
      </c>
      <c r="B659" t="str">
        <f>"8:53:13.346944"</f>
        <v>8:53:13.346944</v>
      </c>
      <c r="C659">
        <v>-45</v>
      </c>
    </row>
    <row r="660" spans="1:3" x14ac:dyDescent="0.25">
      <c r="A660">
        <v>39</v>
      </c>
      <c r="B660" t="str">
        <f>"8:53:13.347462"</f>
        <v>8:53:13.347462</v>
      </c>
      <c r="C660">
        <v>-31</v>
      </c>
    </row>
    <row r="661" spans="1:3" x14ac:dyDescent="0.25">
      <c r="A661">
        <v>39</v>
      </c>
      <c r="B661" t="str">
        <f>"8:53:13.347788"</f>
        <v>8:53:13.347788</v>
      </c>
      <c r="C661">
        <v>-45</v>
      </c>
    </row>
    <row r="662" spans="1:3" x14ac:dyDescent="0.25">
      <c r="A662">
        <v>37</v>
      </c>
      <c r="B662" t="str">
        <f>"8:53:13.698717"</f>
        <v>8:53:13.698717</v>
      </c>
      <c r="C662">
        <v>-44</v>
      </c>
    </row>
    <row r="663" spans="1:3" x14ac:dyDescent="0.25">
      <c r="A663">
        <v>38</v>
      </c>
      <c r="B663" t="str">
        <f>"8:53:13.699745"</f>
        <v>8:53:13.699745</v>
      </c>
      <c r="C663">
        <v>-41</v>
      </c>
    </row>
    <row r="664" spans="1:3" x14ac:dyDescent="0.25">
      <c r="A664">
        <v>39</v>
      </c>
      <c r="B664" t="str">
        <f>"8:53:13.700771"</f>
        <v>8:53:13.700771</v>
      </c>
      <c r="C664">
        <v>-46</v>
      </c>
    </row>
    <row r="665" spans="1:3" x14ac:dyDescent="0.25">
      <c r="A665">
        <v>39</v>
      </c>
      <c r="B665" t="str">
        <f>"8:53:13.701289"</f>
        <v>8:53:13.701289</v>
      </c>
      <c r="C665">
        <v>-31</v>
      </c>
    </row>
    <row r="666" spans="1:3" x14ac:dyDescent="0.25">
      <c r="A666">
        <v>39</v>
      </c>
      <c r="B666" t="str">
        <f>"8:53:13.701615"</f>
        <v>8:53:13.701615</v>
      </c>
      <c r="C666">
        <v>-45</v>
      </c>
    </row>
    <row r="667" spans="1:3" x14ac:dyDescent="0.25">
      <c r="A667">
        <v>37</v>
      </c>
      <c r="B667" t="str">
        <f>"8:53:14.048891"</f>
        <v>8:53:14.048891</v>
      </c>
      <c r="C667">
        <v>-44</v>
      </c>
    </row>
    <row r="668" spans="1:3" x14ac:dyDescent="0.25">
      <c r="A668">
        <v>38</v>
      </c>
      <c r="B668" t="str">
        <f>"8:53:14.049918"</f>
        <v>8:53:14.049918</v>
      </c>
      <c r="C668">
        <v>-42</v>
      </c>
    </row>
    <row r="669" spans="1:3" x14ac:dyDescent="0.25">
      <c r="A669">
        <v>39</v>
      </c>
      <c r="B669" t="str">
        <f>"8:53:14.050944"</f>
        <v>8:53:14.050944</v>
      </c>
      <c r="C669">
        <v>-46</v>
      </c>
    </row>
    <row r="670" spans="1:3" x14ac:dyDescent="0.25">
      <c r="A670">
        <v>39</v>
      </c>
      <c r="B670" t="str">
        <f>"8:53:14.051463"</f>
        <v>8:53:14.051463</v>
      </c>
      <c r="C670">
        <v>-31</v>
      </c>
    </row>
    <row r="671" spans="1:3" x14ac:dyDescent="0.25">
      <c r="A671">
        <v>39</v>
      </c>
      <c r="B671" t="str">
        <f>"8:53:14.051789"</f>
        <v>8:53:14.051789</v>
      </c>
      <c r="C671">
        <v>-45</v>
      </c>
    </row>
    <row r="672" spans="1:3" x14ac:dyDescent="0.25">
      <c r="A672">
        <v>37</v>
      </c>
      <c r="B672" t="str">
        <f>"8:53:14.399635"</f>
        <v>8:53:14.399635</v>
      </c>
      <c r="C672">
        <v>-43</v>
      </c>
    </row>
    <row r="673" spans="1:3" x14ac:dyDescent="0.25">
      <c r="A673">
        <v>37</v>
      </c>
      <c r="B673" t="str">
        <f>"8:53:14.400479"</f>
        <v>8:53:14.400479</v>
      </c>
      <c r="C673">
        <v>-44</v>
      </c>
    </row>
    <row r="674" spans="1:3" x14ac:dyDescent="0.25">
      <c r="A674">
        <v>38</v>
      </c>
      <c r="B674" t="str">
        <f>"8:53:14.401255"</f>
        <v>8:53:14.401255</v>
      </c>
      <c r="C674">
        <v>-41</v>
      </c>
    </row>
    <row r="675" spans="1:3" x14ac:dyDescent="0.25">
      <c r="A675">
        <v>39</v>
      </c>
      <c r="B675" t="str">
        <f>"8:53:14.402281"</f>
        <v>8:53:14.402281</v>
      </c>
      <c r="C675">
        <v>-46</v>
      </c>
    </row>
    <row r="676" spans="1:3" x14ac:dyDescent="0.25">
      <c r="A676">
        <v>37</v>
      </c>
      <c r="B676" t="str">
        <f>"8:53:14.759054"</f>
        <v>8:53:14.759054</v>
      </c>
      <c r="C676">
        <v>-43</v>
      </c>
    </row>
    <row r="677" spans="1:3" x14ac:dyDescent="0.25">
      <c r="A677">
        <v>37</v>
      </c>
      <c r="B677" t="str">
        <f>"8:53:14.759573"</f>
        <v>8:53:14.759573</v>
      </c>
      <c r="C677">
        <v>-40</v>
      </c>
    </row>
    <row r="678" spans="1:3" x14ac:dyDescent="0.25">
      <c r="A678">
        <v>37</v>
      </c>
      <c r="B678" t="str">
        <f>"8:53:14.759898"</f>
        <v>8:53:14.759898</v>
      </c>
      <c r="C678">
        <v>-44</v>
      </c>
    </row>
    <row r="679" spans="1:3" x14ac:dyDescent="0.25">
      <c r="A679">
        <v>38</v>
      </c>
      <c r="B679" t="str">
        <f>"8:53:14.760675"</f>
        <v>8:53:14.760675</v>
      </c>
      <c r="C679">
        <v>-41</v>
      </c>
    </row>
    <row r="680" spans="1:3" x14ac:dyDescent="0.25">
      <c r="A680">
        <v>39</v>
      </c>
      <c r="B680" t="str">
        <f>"8:53:14.761701"</f>
        <v>8:53:14.761701</v>
      </c>
      <c r="C680">
        <v>-45</v>
      </c>
    </row>
    <row r="681" spans="1:3" x14ac:dyDescent="0.25">
      <c r="A681">
        <v>39</v>
      </c>
      <c r="B681" t="str">
        <f>"8:53:14.762220"</f>
        <v>8:53:14.762220</v>
      </c>
      <c r="C681">
        <v>-78</v>
      </c>
    </row>
    <row r="682" spans="1:3" x14ac:dyDescent="0.25">
      <c r="A682">
        <v>39</v>
      </c>
      <c r="B682" t="str">
        <f>"8:53:14.762546"</f>
        <v>8:53:14.762546</v>
      </c>
      <c r="C682">
        <v>-45</v>
      </c>
    </row>
    <row r="683" spans="1:3" x14ac:dyDescent="0.25">
      <c r="A683">
        <v>38</v>
      </c>
      <c r="B683" t="str">
        <f>"8:53:15.118991"</f>
        <v>8:53:15.118991</v>
      </c>
      <c r="C683">
        <v>-41</v>
      </c>
    </row>
    <row r="684" spans="1:3" x14ac:dyDescent="0.25">
      <c r="A684">
        <v>39</v>
      </c>
      <c r="B684" t="str">
        <f>"8:53:15.120017"</f>
        <v>8:53:15.120017</v>
      </c>
      <c r="C684">
        <v>-45</v>
      </c>
    </row>
    <row r="685" spans="1:3" x14ac:dyDescent="0.25">
      <c r="A685">
        <v>37</v>
      </c>
      <c r="B685" t="str">
        <f>"8:53:15.473804"</f>
        <v>8:53:15.473804</v>
      </c>
      <c r="C685">
        <v>-43</v>
      </c>
    </row>
    <row r="686" spans="1:3" x14ac:dyDescent="0.25">
      <c r="A686">
        <v>37</v>
      </c>
      <c r="B686" t="str">
        <f>"8:53:15.474323"</f>
        <v>8:53:15.474323</v>
      </c>
      <c r="C686">
        <v>-40</v>
      </c>
    </row>
    <row r="687" spans="1:3" x14ac:dyDescent="0.25">
      <c r="A687">
        <v>37</v>
      </c>
      <c r="B687" t="str">
        <f>"8:53:15.474649"</f>
        <v>8:53:15.474649</v>
      </c>
      <c r="C687">
        <v>-44</v>
      </c>
    </row>
    <row r="688" spans="1:3" x14ac:dyDescent="0.25">
      <c r="A688">
        <v>38</v>
      </c>
      <c r="B688" t="str">
        <f>"8:53:15.475425"</f>
        <v>8:53:15.475425</v>
      </c>
      <c r="C688">
        <v>-41</v>
      </c>
    </row>
    <row r="689" spans="1:3" x14ac:dyDescent="0.25">
      <c r="A689">
        <v>39</v>
      </c>
      <c r="B689" t="str">
        <f>"8:53:15.476451"</f>
        <v>8:53:15.476451</v>
      </c>
      <c r="C689">
        <v>-45</v>
      </c>
    </row>
    <row r="690" spans="1:3" x14ac:dyDescent="0.25">
      <c r="A690">
        <v>37</v>
      </c>
      <c r="B690" t="str">
        <f>"8:53:15.831430"</f>
        <v>8:53:15.831430</v>
      </c>
      <c r="C690">
        <v>-43</v>
      </c>
    </row>
    <row r="691" spans="1:3" x14ac:dyDescent="0.25">
      <c r="A691">
        <v>37</v>
      </c>
      <c r="B691" t="str">
        <f>"8:53:15.831949"</f>
        <v>8:53:15.831949</v>
      </c>
      <c r="C691">
        <v>-40</v>
      </c>
    </row>
    <row r="692" spans="1:3" x14ac:dyDescent="0.25">
      <c r="A692">
        <v>37</v>
      </c>
      <c r="B692" t="str">
        <f>"8:53:15.832274"</f>
        <v>8:53:15.832274</v>
      </c>
      <c r="C692">
        <v>-44</v>
      </c>
    </row>
    <row r="693" spans="1:3" x14ac:dyDescent="0.25">
      <c r="A693">
        <v>38</v>
      </c>
      <c r="B693" t="str">
        <f>"8:53:15.833051"</f>
        <v>8:53:15.833051</v>
      </c>
      <c r="C693">
        <v>-41</v>
      </c>
    </row>
    <row r="694" spans="1:3" x14ac:dyDescent="0.25">
      <c r="A694">
        <v>39</v>
      </c>
      <c r="B694" t="str">
        <f>"8:53:15.834077"</f>
        <v>8:53:15.834077</v>
      </c>
      <c r="C694">
        <v>-45</v>
      </c>
    </row>
    <row r="695" spans="1:3" x14ac:dyDescent="0.25">
      <c r="A695">
        <v>37</v>
      </c>
      <c r="B695" t="str">
        <f>"8:53:16.188035"</f>
        <v>8:53:16.188035</v>
      </c>
      <c r="C695">
        <v>-43</v>
      </c>
    </row>
    <row r="696" spans="1:3" x14ac:dyDescent="0.25">
      <c r="A696">
        <v>37</v>
      </c>
      <c r="B696" t="str">
        <f>"8:53:16.188554"</f>
        <v>8:53:16.188554</v>
      </c>
      <c r="C696">
        <v>-38</v>
      </c>
    </row>
    <row r="697" spans="1:3" x14ac:dyDescent="0.25">
      <c r="A697">
        <v>37</v>
      </c>
      <c r="B697" t="str">
        <f>"8:53:16.188880"</f>
        <v>8:53:16.188880</v>
      </c>
      <c r="C697">
        <v>-44</v>
      </c>
    </row>
    <row r="698" spans="1:3" x14ac:dyDescent="0.25">
      <c r="A698">
        <v>38</v>
      </c>
      <c r="B698" t="str">
        <f>"8:53:16.189656"</f>
        <v>8:53:16.189656</v>
      </c>
      <c r="C698">
        <v>-41</v>
      </c>
    </row>
    <row r="699" spans="1:3" x14ac:dyDescent="0.25">
      <c r="A699">
        <v>39</v>
      </c>
      <c r="B699" t="str">
        <f>"8:53:16.190682"</f>
        <v>8:53:16.190682</v>
      </c>
      <c r="C699">
        <v>-45</v>
      </c>
    </row>
    <row r="700" spans="1:3" x14ac:dyDescent="0.25">
      <c r="A700">
        <v>37</v>
      </c>
      <c r="B700" t="str">
        <f>"8:53:16.541790"</f>
        <v>8:53:16.541790</v>
      </c>
      <c r="C700">
        <v>-44</v>
      </c>
    </row>
    <row r="701" spans="1:3" x14ac:dyDescent="0.25">
      <c r="A701">
        <v>37</v>
      </c>
      <c r="B701" t="str">
        <f>"8:53:16.542308"</f>
        <v>8:53:16.542308</v>
      </c>
      <c r="C701">
        <v>-38</v>
      </c>
    </row>
    <row r="702" spans="1:3" x14ac:dyDescent="0.25">
      <c r="A702">
        <v>37</v>
      </c>
      <c r="B702" t="str">
        <f>"8:53:16.542634"</f>
        <v>8:53:16.542634</v>
      </c>
      <c r="C702">
        <v>-44</v>
      </c>
    </row>
    <row r="703" spans="1:3" x14ac:dyDescent="0.25">
      <c r="A703">
        <v>38</v>
      </c>
      <c r="B703" t="str">
        <f>"8:53:16.543410"</f>
        <v>8:53:16.543410</v>
      </c>
      <c r="C703">
        <v>-41</v>
      </c>
    </row>
    <row r="704" spans="1:3" x14ac:dyDescent="0.25">
      <c r="A704">
        <v>39</v>
      </c>
      <c r="B704" t="str">
        <f>"8:53:16.544436"</f>
        <v>8:53:16.544436</v>
      </c>
      <c r="C704">
        <v>-45</v>
      </c>
    </row>
    <row r="705" spans="1:3" x14ac:dyDescent="0.25">
      <c r="A705">
        <v>37</v>
      </c>
      <c r="B705" t="str">
        <f>"8:53:16.900174"</f>
        <v>8:53:16.900174</v>
      </c>
      <c r="C705">
        <v>-43</v>
      </c>
    </row>
    <row r="706" spans="1:3" x14ac:dyDescent="0.25">
      <c r="A706">
        <v>37</v>
      </c>
      <c r="B706" t="str">
        <f>"8:53:16.900692"</f>
        <v>8:53:16.900692</v>
      </c>
      <c r="C706">
        <v>-38</v>
      </c>
    </row>
    <row r="707" spans="1:3" x14ac:dyDescent="0.25">
      <c r="A707">
        <v>37</v>
      </c>
      <c r="B707" t="str">
        <f>"8:53:16.901018"</f>
        <v>8:53:16.901018</v>
      </c>
      <c r="C707">
        <v>-44</v>
      </c>
    </row>
    <row r="708" spans="1:3" x14ac:dyDescent="0.25">
      <c r="A708">
        <v>38</v>
      </c>
      <c r="B708" t="str">
        <f>"8:53:16.901794"</f>
        <v>8:53:16.901794</v>
      </c>
      <c r="C708">
        <v>-41</v>
      </c>
    </row>
    <row r="709" spans="1:3" x14ac:dyDescent="0.25">
      <c r="A709">
        <v>39</v>
      </c>
      <c r="B709" t="str">
        <f>"8:53:16.902820"</f>
        <v>8:53:16.902820</v>
      </c>
      <c r="C709">
        <v>-45</v>
      </c>
    </row>
    <row r="710" spans="1:3" x14ac:dyDescent="0.25">
      <c r="A710">
        <v>37</v>
      </c>
      <c r="B710" t="str">
        <f>"8:53:17.254187"</f>
        <v>8:53:17.254187</v>
      </c>
      <c r="C710">
        <v>-43</v>
      </c>
    </row>
    <row r="711" spans="1:3" x14ac:dyDescent="0.25">
      <c r="A711">
        <v>37</v>
      </c>
      <c r="B711" t="str">
        <f>"8:53:17.254705"</f>
        <v>8:53:17.254705</v>
      </c>
      <c r="C711">
        <v>-40</v>
      </c>
    </row>
    <row r="712" spans="1:3" x14ac:dyDescent="0.25">
      <c r="A712">
        <v>37</v>
      </c>
      <c r="B712" t="str">
        <f>"8:53:17.255031"</f>
        <v>8:53:17.255031</v>
      </c>
      <c r="C712">
        <v>-43</v>
      </c>
    </row>
    <row r="713" spans="1:3" x14ac:dyDescent="0.25">
      <c r="A713">
        <v>38</v>
      </c>
      <c r="B713" t="str">
        <f>"8:53:17.255807"</f>
        <v>8:53:17.255807</v>
      </c>
      <c r="C713">
        <v>-42</v>
      </c>
    </row>
    <row r="714" spans="1:3" x14ac:dyDescent="0.25">
      <c r="A714">
        <v>39</v>
      </c>
      <c r="B714" t="str">
        <f>"8:53:17.256833"</f>
        <v>8:53:17.256833</v>
      </c>
      <c r="C714">
        <v>-46</v>
      </c>
    </row>
    <row r="715" spans="1:3" x14ac:dyDescent="0.25">
      <c r="A715">
        <v>37</v>
      </c>
      <c r="B715" t="str">
        <f>"8:53:17.605737"</f>
        <v>8:53:17.605737</v>
      </c>
      <c r="C715">
        <v>-43</v>
      </c>
    </row>
    <row r="716" spans="1:3" x14ac:dyDescent="0.25">
      <c r="A716">
        <v>37</v>
      </c>
      <c r="B716" t="str">
        <f>"8:53:17.606256"</f>
        <v>8:53:17.606256</v>
      </c>
      <c r="C716">
        <v>-40</v>
      </c>
    </row>
    <row r="717" spans="1:3" x14ac:dyDescent="0.25">
      <c r="A717">
        <v>37</v>
      </c>
      <c r="B717" t="str">
        <f>"8:53:17.606582"</f>
        <v>8:53:17.606582</v>
      </c>
      <c r="C717">
        <v>-44</v>
      </c>
    </row>
    <row r="718" spans="1:3" x14ac:dyDescent="0.25">
      <c r="A718">
        <v>38</v>
      </c>
      <c r="B718" t="str">
        <f>"8:53:17.607359"</f>
        <v>8:53:17.607359</v>
      </c>
      <c r="C718">
        <v>-41</v>
      </c>
    </row>
    <row r="719" spans="1:3" x14ac:dyDescent="0.25">
      <c r="A719">
        <v>39</v>
      </c>
      <c r="B719" t="str">
        <f>"8:53:17.608385"</f>
        <v>8:53:17.608385</v>
      </c>
      <c r="C719">
        <v>-46</v>
      </c>
    </row>
    <row r="720" spans="1:3" x14ac:dyDescent="0.25">
      <c r="A720">
        <v>37</v>
      </c>
      <c r="B720" t="str">
        <f>"8:53:17.956993"</f>
        <v>8:53:17.956993</v>
      </c>
      <c r="C720">
        <v>-43</v>
      </c>
    </row>
    <row r="721" spans="1:3" x14ac:dyDescent="0.25">
      <c r="A721">
        <v>37</v>
      </c>
      <c r="B721" t="str">
        <f>"8:53:17.957512"</f>
        <v>8:53:17.957512</v>
      </c>
      <c r="C721">
        <v>-40</v>
      </c>
    </row>
    <row r="722" spans="1:3" x14ac:dyDescent="0.25">
      <c r="A722">
        <v>37</v>
      </c>
      <c r="B722" t="str">
        <f>"8:53:17.957838"</f>
        <v>8:53:17.957838</v>
      </c>
      <c r="C722">
        <v>-43</v>
      </c>
    </row>
    <row r="723" spans="1:3" x14ac:dyDescent="0.25">
      <c r="A723">
        <v>38</v>
      </c>
      <c r="B723" t="str">
        <f>"8:53:17.958614"</f>
        <v>8:53:17.958614</v>
      </c>
      <c r="C723">
        <v>-41</v>
      </c>
    </row>
    <row r="724" spans="1:3" x14ac:dyDescent="0.25">
      <c r="A724">
        <v>39</v>
      </c>
      <c r="B724" t="str">
        <f>"8:53:17.959640"</f>
        <v>8:53:17.959640</v>
      </c>
      <c r="C724">
        <v>-45</v>
      </c>
    </row>
    <row r="725" spans="1:3" x14ac:dyDescent="0.25">
      <c r="A725">
        <v>37</v>
      </c>
      <c r="B725" t="str">
        <f>"8:53:18.314917"</f>
        <v>8:53:18.314917</v>
      </c>
      <c r="C725">
        <v>-43</v>
      </c>
    </row>
    <row r="726" spans="1:3" x14ac:dyDescent="0.25">
      <c r="A726">
        <v>37</v>
      </c>
      <c r="B726" t="str">
        <f>"8:53:18.315436"</f>
        <v>8:53:18.315436</v>
      </c>
      <c r="C726">
        <v>-40</v>
      </c>
    </row>
    <row r="727" spans="1:3" x14ac:dyDescent="0.25">
      <c r="A727">
        <v>37</v>
      </c>
      <c r="B727" t="str">
        <f>"8:53:18.315762"</f>
        <v>8:53:18.315762</v>
      </c>
      <c r="C727">
        <v>-44</v>
      </c>
    </row>
    <row r="728" spans="1:3" x14ac:dyDescent="0.25">
      <c r="A728">
        <v>38</v>
      </c>
      <c r="B728" t="str">
        <f>"8:53:18.316538"</f>
        <v>8:53:18.316538</v>
      </c>
      <c r="C728">
        <v>-42</v>
      </c>
    </row>
    <row r="729" spans="1:3" x14ac:dyDescent="0.25">
      <c r="A729">
        <v>39</v>
      </c>
      <c r="B729" t="str">
        <f>"8:53:18.317564"</f>
        <v>8:53:18.317564</v>
      </c>
      <c r="C729">
        <v>-46</v>
      </c>
    </row>
    <row r="730" spans="1:3" x14ac:dyDescent="0.25">
      <c r="A730">
        <v>37</v>
      </c>
      <c r="B730" t="str">
        <f>"8:53:18.671314"</f>
        <v>8:53:18.671314</v>
      </c>
      <c r="C730">
        <v>-44</v>
      </c>
    </row>
    <row r="731" spans="1:3" x14ac:dyDescent="0.25">
      <c r="A731">
        <v>38</v>
      </c>
      <c r="B731" t="str">
        <f>"8:53:18.672341"</f>
        <v>8:53:18.672341</v>
      </c>
      <c r="C731">
        <v>-42</v>
      </c>
    </row>
    <row r="732" spans="1:3" x14ac:dyDescent="0.25">
      <c r="A732">
        <v>39</v>
      </c>
      <c r="B732" t="str">
        <f>"8:53:18.673367"</f>
        <v>8:53:18.673367</v>
      </c>
      <c r="C732">
        <v>-46</v>
      </c>
    </row>
    <row r="733" spans="1:3" x14ac:dyDescent="0.25">
      <c r="A733">
        <v>37</v>
      </c>
      <c r="B733" t="str">
        <f>"8:53:19.028219"</f>
        <v>8:53:19.028219</v>
      </c>
      <c r="C733">
        <v>-44</v>
      </c>
    </row>
    <row r="734" spans="1:3" x14ac:dyDescent="0.25">
      <c r="A734">
        <v>37</v>
      </c>
      <c r="B734" t="str">
        <f>"8:53:19.028737"</f>
        <v>8:53:19.028737</v>
      </c>
      <c r="C734">
        <v>-40</v>
      </c>
    </row>
    <row r="735" spans="1:3" x14ac:dyDescent="0.25">
      <c r="A735">
        <v>37</v>
      </c>
      <c r="B735" t="str">
        <f>"8:53:19.029063"</f>
        <v>8:53:19.029063</v>
      </c>
      <c r="C735">
        <v>-44</v>
      </c>
    </row>
    <row r="736" spans="1:3" x14ac:dyDescent="0.25">
      <c r="A736">
        <v>38</v>
      </c>
      <c r="B736" t="str">
        <f>"8:53:19.029839"</f>
        <v>8:53:19.029839</v>
      </c>
      <c r="C736">
        <v>-42</v>
      </c>
    </row>
    <row r="737" spans="1:3" x14ac:dyDescent="0.25">
      <c r="A737">
        <v>38</v>
      </c>
      <c r="B737" t="str">
        <f>"8:53:19.030358"</f>
        <v>8:53:19.030358</v>
      </c>
      <c r="C737">
        <v>-74</v>
      </c>
    </row>
    <row r="738" spans="1:3" x14ac:dyDescent="0.25">
      <c r="A738">
        <v>39</v>
      </c>
      <c r="B738" t="str">
        <f>"8:53:19.030865"</f>
        <v>8:53:19.030865</v>
      </c>
      <c r="C738">
        <v>-46</v>
      </c>
    </row>
    <row r="739" spans="1:3" x14ac:dyDescent="0.25">
      <c r="A739">
        <v>37</v>
      </c>
      <c r="B739" t="str">
        <f>"8:53:19.382805"</f>
        <v>8:53:19.382805</v>
      </c>
      <c r="C739">
        <v>-44</v>
      </c>
    </row>
    <row r="740" spans="1:3" x14ac:dyDescent="0.25">
      <c r="A740">
        <v>37</v>
      </c>
      <c r="B740" t="str">
        <f>"8:53:19.383323"</f>
        <v>8:53:19.383323</v>
      </c>
      <c r="C740">
        <v>-40</v>
      </c>
    </row>
    <row r="741" spans="1:3" x14ac:dyDescent="0.25">
      <c r="A741">
        <v>37</v>
      </c>
      <c r="B741" t="str">
        <f>"8:53:19.383649"</f>
        <v>8:53:19.383649</v>
      </c>
      <c r="C741">
        <v>-44</v>
      </c>
    </row>
    <row r="742" spans="1:3" x14ac:dyDescent="0.25">
      <c r="A742">
        <v>38</v>
      </c>
      <c r="B742" t="str">
        <f>"8:53:19.384425"</f>
        <v>8:53:19.384425</v>
      </c>
      <c r="C742">
        <v>-42</v>
      </c>
    </row>
    <row r="743" spans="1:3" x14ac:dyDescent="0.25">
      <c r="A743">
        <v>39</v>
      </c>
      <c r="B743" t="str">
        <f>"8:53:19.385451"</f>
        <v>8:53:19.385451</v>
      </c>
      <c r="C743">
        <v>-45</v>
      </c>
    </row>
    <row r="744" spans="1:3" x14ac:dyDescent="0.25">
      <c r="A744">
        <v>37</v>
      </c>
      <c r="B744" t="str">
        <f>"8:53:19.735534"</f>
        <v>8:53:19.735534</v>
      </c>
      <c r="C744">
        <v>-44</v>
      </c>
    </row>
    <row r="745" spans="1:3" x14ac:dyDescent="0.25">
      <c r="A745">
        <v>38</v>
      </c>
      <c r="B745" t="str">
        <f>"8:53:19.736562"</f>
        <v>8:53:19.736562</v>
      </c>
      <c r="C745">
        <v>-41</v>
      </c>
    </row>
    <row r="746" spans="1:3" x14ac:dyDescent="0.25">
      <c r="A746">
        <v>38</v>
      </c>
      <c r="B746" t="str">
        <f>"8:53:19.737080"</f>
        <v>8:53:19.737080</v>
      </c>
      <c r="C746">
        <v>-33</v>
      </c>
    </row>
    <row r="747" spans="1:3" x14ac:dyDescent="0.25">
      <c r="A747">
        <v>38</v>
      </c>
      <c r="B747" t="str">
        <f>"8:53:19.737407"</f>
        <v>8:53:19.737407</v>
      </c>
      <c r="C747">
        <v>-41</v>
      </c>
    </row>
    <row r="748" spans="1:3" x14ac:dyDescent="0.25">
      <c r="A748">
        <v>39</v>
      </c>
      <c r="B748" t="str">
        <f>"8:53:19.738183"</f>
        <v>8:53:19.738183</v>
      </c>
      <c r="C748">
        <v>-46</v>
      </c>
    </row>
    <row r="749" spans="1:3" x14ac:dyDescent="0.25">
      <c r="A749">
        <v>37</v>
      </c>
      <c r="B749" t="str">
        <f>"8:53:20.092964"</f>
        <v>8:53:20.092964</v>
      </c>
      <c r="C749">
        <v>-44</v>
      </c>
    </row>
    <row r="750" spans="1:3" x14ac:dyDescent="0.25">
      <c r="A750">
        <v>38</v>
      </c>
      <c r="B750" t="str">
        <f>"8:53:20.093991"</f>
        <v>8:53:20.093991</v>
      </c>
      <c r="C750">
        <v>-41</v>
      </c>
    </row>
    <row r="751" spans="1:3" x14ac:dyDescent="0.25">
      <c r="A751">
        <v>38</v>
      </c>
      <c r="B751" t="str">
        <f>"8:53:20.094510"</f>
        <v>8:53:20.094510</v>
      </c>
      <c r="C751">
        <v>-32</v>
      </c>
    </row>
    <row r="752" spans="1:3" x14ac:dyDescent="0.25">
      <c r="A752">
        <v>38</v>
      </c>
      <c r="B752" t="str">
        <f>"8:53:20.094835"</f>
        <v>8:53:20.094835</v>
      </c>
      <c r="C752">
        <v>-41</v>
      </c>
    </row>
    <row r="753" spans="1:3" x14ac:dyDescent="0.25">
      <c r="A753">
        <v>39</v>
      </c>
      <c r="B753" t="str">
        <f>"8:53:20.095611"</f>
        <v>8:53:20.095611</v>
      </c>
      <c r="C753">
        <v>-46</v>
      </c>
    </row>
    <row r="754" spans="1:3" x14ac:dyDescent="0.25">
      <c r="A754">
        <v>37</v>
      </c>
      <c r="B754" t="str">
        <f>"8:53:20.447784"</f>
        <v>8:53:20.447784</v>
      </c>
      <c r="C754">
        <v>-44</v>
      </c>
    </row>
    <row r="755" spans="1:3" x14ac:dyDescent="0.25">
      <c r="A755">
        <v>38</v>
      </c>
      <c r="B755" t="str">
        <f>"8:53:20.448812"</f>
        <v>8:53:20.448812</v>
      </c>
      <c r="C755">
        <v>-41</v>
      </c>
    </row>
    <row r="756" spans="1:3" x14ac:dyDescent="0.25">
      <c r="A756">
        <v>38</v>
      </c>
      <c r="B756" t="str">
        <f>"8:53:20.449331"</f>
        <v>8:53:20.449331</v>
      </c>
      <c r="C756">
        <v>-32</v>
      </c>
    </row>
    <row r="757" spans="1:3" x14ac:dyDescent="0.25">
      <c r="A757">
        <v>38</v>
      </c>
      <c r="B757" t="str">
        <f>"8:53:20.449657"</f>
        <v>8:53:20.449657</v>
      </c>
      <c r="C757">
        <v>-42</v>
      </c>
    </row>
    <row r="758" spans="1:3" x14ac:dyDescent="0.25">
      <c r="A758">
        <v>39</v>
      </c>
      <c r="B758" t="str">
        <f>"8:53:20.450433"</f>
        <v>8:53:20.450433</v>
      </c>
      <c r="C758">
        <v>-46</v>
      </c>
    </row>
    <row r="759" spans="1:3" x14ac:dyDescent="0.25">
      <c r="A759">
        <v>37</v>
      </c>
      <c r="B759" t="str">
        <f>"8:53:20.801039"</f>
        <v>8:53:20.801039</v>
      </c>
      <c r="C759">
        <v>-44</v>
      </c>
    </row>
    <row r="760" spans="1:3" x14ac:dyDescent="0.25">
      <c r="A760">
        <v>38</v>
      </c>
      <c r="B760" t="str">
        <f>"8:53:20.802067"</f>
        <v>8:53:20.802067</v>
      </c>
      <c r="C760">
        <v>-42</v>
      </c>
    </row>
    <row r="761" spans="1:3" x14ac:dyDescent="0.25">
      <c r="A761">
        <v>39</v>
      </c>
      <c r="B761" t="str">
        <f>"8:53:20.803093"</f>
        <v>8:53:20.803093</v>
      </c>
      <c r="C761">
        <v>-46</v>
      </c>
    </row>
    <row r="762" spans="1:3" x14ac:dyDescent="0.25">
      <c r="A762">
        <v>37</v>
      </c>
      <c r="B762" t="str">
        <f>"8:53:21.158392"</f>
        <v>8:53:21.158392</v>
      </c>
      <c r="C762">
        <v>-44</v>
      </c>
    </row>
    <row r="763" spans="1:3" x14ac:dyDescent="0.25">
      <c r="A763">
        <v>38</v>
      </c>
      <c r="B763" t="str">
        <f>"8:53:21.159419"</f>
        <v>8:53:21.159419</v>
      </c>
      <c r="C763">
        <v>-42</v>
      </c>
    </row>
    <row r="764" spans="1:3" x14ac:dyDescent="0.25">
      <c r="A764">
        <v>38</v>
      </c>
      <c r="B764" t="str">
        <f>"8:53:21.159938"</f>
        <v>8:53:21.159938</v>
      </c>
      <c r="C764">
        <v>-32</v>
      </c>
    </row>
    <row r="765" spans="1:3" x14ac:dyDescent="0.25">
      <c r="A765">
        <v>38</v>
      </c>
      <c r="B765" t="str">
        <f>"8:53:21.160263"</f>
        <v>8:53:21.160263</v>
      </c>
      <c r="C765">
        <v>-42</v>
      </c>
    </row>
    <row r="766" spans="1:3" x14ac:dyDescent="0.25">
      <c r="A766">
        <v>39</v>
      </c>
      <c r="B766" t="str">
        <f>"8:53:21.161039"</f>
        <v>8:53:21.161039</v>
      </c>
      <c r="C766">
        <v>-46</v>
      </c>
    </row>
    <row r="767" spans="1:3" x14ac:dyDescent="0.25">
      <c r="A767">
        <v>37</v>
      </c>
      <c r="B767" t="str">
        <f>"8:53:21.517324"</f>
        <v>8:53:21.517324</v>
      </c>
      <c r="C767">
        <v>-44</v>
      </c>
    </row>
    <row r="768" spans="1:3" x14ac:dyDescent="0.25">
      <c r="A768">
        <v>38</v>
      </c>
      <c r="B768" t="str">
        <f>"8:53:21.518351"</f>
        <v>8:53:21.518351</v>
      </c>
      <c r="C768">
        <v>-42</v>
      </c>
    </row>
    <row r="769" spans="1:3" x14ac:dyDescent="0.25">
      <c r="A769">
        <v>38</v>
      </c>
      <c r="B769" t="str">
        <f>"8:53:21.518870"</f>
        <v>8:53:21.518870</v>
      </c>
      <c r="C769">
        <v>-32</v>
      </c>
    </row>
    <row r="770" spans="1:3" x14ac:dyDescent="0.25">
      <c r="A770">
        <v>38</v>
      </c>
      <c r="B770" t="str">
        <f>"8:53:21.519195"</f>
        <v>8:53:21.519195</v>
      </c>
      <c r="C770">
        <v>-42</v>
      </c>
    </row>
    <row r="771" spans="1:3" x14ac:dyDescent="0.25">
      <c r="A771">
        <v>39</v>
      </c>
      <c r="B771" t="str">
        <f>"8:53:21.519971"</f>
        <v>8:53:21.519971</v>
      </c>
      <c r="C771">
        <v>-46</v>
      </c>
    </row>
    <row r="772" spans="1:3" x14ac:dyDescent="0.25">
      <c r="A772">
        <v>37</v>
      </c>
      <c r="B772" t="str">
        <f>"8:53:21.868554"</f>
        <v>8:53:21.868554</v>
      </c>
      <c r="C772">
        <v>-44</v>
      </c>
    </row>
    <row r="773" spans="1:3" x14ac:dyDescent="0.25">
      <c r="A773">
        <v>38</v>
      </c>
      <c r="B773" t="str">
        <f>"8:53:21.869581"</f>
        <v>8:53:21.869581</v>
      </c>
      <c r="C773">
        <v>-42</v>
      </c>
    </row>
    <row r="774" spans="1:3" x14ac:dyDescent="0.25">
      <c r="A774">
        <v>38</v>
      </c>
      <c r="B774" t="str">
        <f>"8:53:21.870099"</f>
        <v>8:53:21.870099</v>
      </c>
      <c r="C774">
        <v>-32</v>
      </c>
    </row>
    <row r="775" spans="1:3" x14ac:dyDescent="0.25">
      <c r="A775">
        <v>38</v>
      </c>
      <c r="B775" t="str">
        <f>"8:53:21.870425"</f>
        <v>8:53:21.870425</v>
      </c>
      <c r="C775">
        <v>-42</v>
      </c>
    </row>
    <row r="776" spans="1:3" x14ac:dyDescent="0.25">
      <c r="A776">
        <v>39</v>
      </c>
      <c r="B776" t="str">
        <f>"8:53:21.871201"</f>
        <v>8:53:21.871201</v>
      </c>
      <c r="C776">
        <v>-46</v>
      </c>
    </row>
    <row r="777" spans="1:3" x14ac:dyDescent="0.25">
      <c r="A777">
        <v>37</v>
      </c>
      <c r="B777" t="str">
        <f>"8:53:22.221073"</f>
        <v>8:53:22.221073</v>
      </c>
      <c r="C777">
        <v>-44</v>
      </c>
    </row>
    <row r="778" spans="1:3" x14ac:dyDescent="0.25">
      <c r="A778">
        <v>38</v>
      </c>
      <c r="B778" t="str">
        <f>"8:53:22.222101"</f>
        <v>8:53:22.222101</v>
      </c>
      <c r="C778">
        <v>-42</v>
      </c>
    </row>
    <row r="779" spans="1:3" x14ac:dyDescent="0.25">
      <c r="A779">
        <v>38</v>
      </c>
      <c r="B779" t="str">
        <f>"8:53:22.222619"</f>
        <v>8:53:22.222619</v>
      </c>
      <c r="C779">
        <v>-32</v>
      </c>
    </row>
    <row r="780" spans="1:3" x14ac:dyDescent="0.25">
      <c r="A780">
        <v>38</v>
      </c>
      <c r="B780" t="str">
        <f>"8:53:22.222946"</f>
        <v>8:53:22.222946</v>
      </c>
      <c r="C780">
        <v>-42</v>
      </c>
    </row>
    <row r="781" spans="1:3" x14ac:dyDescent="0.25">
      <c r="A781">
        <v>39</v>
      </c>
      <c r="B781" t="str">
        <f>"8:53:22.223722"</f>
        <v>8:53:22.223722</v>
      </c>
      <c r="C781">
        <v>-46</v>
      </c>
    </row>
    <row r="782" spans="1:3" x14ac:dyDescent="0.25">
      <c r="A782">
        <v>37</v>
      </c>
      <c r="B782" t="str">
        <f>"8:53:22.574939"</f>
        <v>8:53:22.574939</v>
      </c>
      <c r="C782">
        <v>-44</v>
      </c>
    </row>
    <row r="783" spans="1:3" x14ac:dyDescent="0.25">
      <c r="A783">
        <v>38</v>
      </c>
      <c r="B783" t="str">
        <f>"8:53:22.575967"</f>
        <v>8:53:22.575967</v>
      </c>
      <c r="C783">
        <v>-42</v>
      </c>
    </row>
    <row r="784" spans="1:3" x14ac:dyDescent="0.25">
      <c r="A784">
        <v>38</v>
      </c>
      <c r="B784" t="str">
        <f>"8:53:22.576485"</f>
        <v>8:53:22.576485</v>
      </c>
      <c r="C784">
        <v>-32</v>
      </c>
    </row>
    <row r="785" spans="1:3" x14ac:dyDescent="0.25">
      <c r="A785">
        <v>38</v>
      </c>
      <c r="B785" t="str">
        <f>"8:53:22.576811"</f>
        <v>8:53:22.576811</v>
      </c>
      <c r="C785">
        <v>-42</v>
      </c>
    </row>
    <row r="786" spans="1:3" x14ac:dyDescent="0.25">
      <c r="A786">
        <v>39</v>
      </c>
      <c r="B786" t="str">
        <f>"8:53:22.577587"</f>
        <v>8:53:22.577587</v>
      </c>
      <c r="C786">
        <v>-46</v>
      </c>
    </row>
    <row r="787" spans="1:3" x14ac:dyDescent="0.25">
      <c r="A787">
        <v>37</v>
      </c>
      <c r="B787" t="str">
        <f>"8:53:22.930593"</f>
        <v>8:53:22.930593</v>
      </c>
      <c r="C787">
        <v>-44</v>
      </c>
    </row>
    <row r="788" spans="1:3" x14ac:dyDescent="0.25">
      <c r="A788">
        <v>38</v>
      </c>
      <c r="B788" t="str">
        <f>"8:53:22.931621"</f>
        <v>8:53:22.931621</v>
      </c>
      <c r="C788">
        <v>-42</v>
      </c>
    </row>
    <row r="789" spans="1:3" x14ac:dyDescent="0.25">
      <c r="A789">
        <v>38</v>
      </c>
      <c r="B789" t="str">
        <f>"8:53:22.932139"</f>
        <v>8:53:22.932139</v>
      </c>
      <c r="C789">
        <v>-32</v>
      </c>
    </row>
    <row r="790" spans="1:3" x14ac:dyDescent="0.25">
      <c r="A790">
        <v>38</v>
      </c>
      <c r="B790" t="str">
        <f>"8:53:22.932465"</f>
        <v>8:53:22.932465</v>
      </c>
      <c r="C790">
        <v>-41</v>
      </c>
    </row>
    <row r="791" spans="1:3" x14ac:dyDescent="0.25">
      <c r="A791">
        <v>39</v>
      </c>
      <c r="B791" t="str">
        <f>"8:53:22.933241"</f>
        <v>8:53:22.933241</v>
      </c>
      <c r="C791">
        <v>-45</v>
      </c>
    </row>
    <row r="792" spans="1:3" x14ac:dyDescent="0.25">
      <c r="A792">
        <v>37</v>
      </c>
      <c r="B792" t="str">
        <f>"8:53:23.286231"</f>
        <v>8:53:23.286231</v>
      </c>
      <c r="C792">
        <v>-44</v>
      </c>
    </row>
    <row r="793" spans="1:3" x14ac:dyDescent="0.25">
      <c r="A793">
        <v>38</v>
      </c>
      <c r="B793" t="str">
        <f>"8:53:23.287258"</f>
        <v>8:53:23.287258</v>
      </c>
      <c r="C793">
        <v>-42</v>
      </c>
    </row>
    <row r="794" spans="1:3" x14ac:dyDescent="0.25">
      <c r="A794">
        <v>38</v>
      </c>
      <c r="B794" t="str">
        <f>"8:53:23.287777"</f>
        <v>8:53:23.287777</v>
      </c>
      <c r="C794">
        <v>-32</v>
      </c>
    </row>
    <row r="795" spans="1:3" x14ac:dyDescent="0.25">
      <c r="A795">
        <v>38</v>
      </c>
      <c r="B795" t="str">
        <f>"8:53:23.288103"</f>
        <v>8:53:23.288103</v>
      </c>
      <c r="C795">
        <v>-42</v>
      </c>
    </row>
    <row r="796" spans="1:3" x14ac:dyDescent="0.25">
      <c r="A796">
        <v>39</v>
      </c>
      <c r="B796" t="str">
        <f>"8:53:23.288879"</f>
        <v>8:53:23.288879</v>
      </c>
      <c r="C796">
        <v>-45</v>
      </c>
    </row>
    <row r="797" spans="1:3" x14ac:dyDescent="0.25">
      <c r="A797">
        <v>37</v>
      </c>
      <c r="B797" t="str">
        <f>"8:53:23.640765"</f>
        <v>8:53:23.640765</v>
      </c>
      <c r="C797">
        <v>-44</v>
      </c>
    </row>
    <row r="798" spans="1:3" x14ac:dyDescent="0.25">
      <c r="A798">
        <v>38</v>
      </c>
      <c r="B798" t="str">
        <f>"8:53:23.641793"</f>
        <v>8:53:23.641793</v>
      </c>
      <c r="C798">
        <v>-42</v>
      </c>
    </row>
    <row r="799" spans="1:3" x14ac:dyDescent="0.25">
      <c r="A799">
        <v>38</v>
      </c>
      <c r="B799" t="str">
        <f>"8:53:23.642311"</f>
        <v>8:53:23.642311</v>
      </c>
      <c r="C799">
        <v>-32</v>
      </c>
    </row>
    <row r="800" spans="1:3" x14ac:dyDescent="0.25">
      <c r="A800">
        <v>38</v>
      </c>
      <c r="B800" t="str">
        <f>"8:53:23.642637"</f>
        <v>8:53:23.642637</v>
      </c>
      <c r="C800">
        <v>-42</v>
      </c>
    </row>
    <row r="801" spans="1:3" x14ac:dyDescent="0.25">
      <c r="A801">
        <v>39</v>
      </c>
      <c r="B801" t="str">
        <f>"8:53:23.643413"</f>
        <v>8:53:23.643413</v>
      </c>
      <c r="C801">
        <v>-45</v>
      </c>
    </row>
    <row r="802" spans="1:3" x14ac:dyDescent="0.25">
      <c r="A802">
        <v>37</v>
      </c>
      <c r="B802" t="str">
        <f>"8:53:23.995605"</f>
        <v>8:53:23.995605</v>
      </c>
      <c r="C802">
        <v>-44</v>
      </c>
    </row>
    <row r="803" spans="1:3" x14ac:dyDescent="0.25">
      <c r="A803">
        <v>38</v>
      </c>
      <c r="B803" t="str">
        <f>"8:53:23.996632"</f>
        <v>8:53:23.996632</v>
      </c>
      <c r="C803">
        <v>-42</v>
      </c>
    </row>
    <row r="804" spans="1:3" x14ac:dyDescent="0.25">
      <c r="A804">
        <v>38</v>
      </c>
      <c r="B804" t="str">
        <f>"8:53:23.997151"</f>
        <v>8:53:23.997151</v>
      </c>
      <c r="C804">
        <v>-32</v>
      </c>
    </row>
    <row r="805" spans="1:3" x14ac:dyDescent="0.25">
      <c r="A805">
        <v>38</v>
      </c>
      <c r="B805" t="str">
        <f>"8:53:23.997476"</f>
        <v>8:53:23.997476</v>
      </c>
      <c r="C805">
        <v>-42</v>
      </c>
    </row>
    <row r="806" spans="1:3" x14ac:dyDescent="0.25">
      <c r="A806">
        <v>39</v>
      </c>
      <c r="B806" t="str">
        <f>"8:53:23.998252"</f>
        <v>8:53:23.998252</v>
      </c>
      <c r="C806">
        <v>-45</v>
      </c>
    </row>
    <row r="807" spans="1:3" x14ac:dyDescent="0.25">
      <c r="A807">
        <v>37</v>
      </c>
      <c r="B807" t="str">
        <f>"8:53:24.349420"</f>
        <v>8:53:24.349420</v>
      </c>
      <c r="C807">
        <v>-44</v>
      </c>
    </row>
    <row r="808" spans="1:3" x14ac:dyDescent="0.25">
      <c r="A808">
        <v>38</v>
      </c>
      <c r="B808" t="str">
        <f>"8:53:24.350447"</f>
        <v>8:53:24.350447</v>
      </c>
      <c r="C808">
        <v>-42</v>
      </c>
    </row>
    <row r="809" spans="1:3" x14ac:dyDescent="0.25">
      <c r="A809">
        <v>38</v>
      </c>
      <c r="B809" t="str">
        <f>"8:53:24.350966"</f>
        <v>8:53:24.350966</v>
      </c>
      <c r="C809">
        <v>-32</v>
      </c>
    </row>
    <row r="810" spans="1:3" x14ac:dyDescent="0.25">
      <c r="A810">
        <v>38</v>
      </c>
      <c r="B810" t="str">
        <f>"8:53:24.351291"</f>
        <v>8:53:24.351291</v>
      </c>
      <c r="C810">
        <v>-42</v>
      </c>
    </row>
    <row r="811" spans="1:3" x14ac:dyDescent="0.25">
      <c r="A811">
        <v>39</v>
      </c>
      <c r="B811" t="str">
        <f>"8:53:24.352067"</f>
        <v>8:53:24.352067</v>
      </c>
      <c r="C811">
        <v>-45</v>
      </c>
    </row>
    <row r="812" spans="1:3" x14ac:dyDescent="0.25">
      <c r="A812">
        <v>37</v>
      </c>
      <c r="B812" t="str">
        <f>"8:53:24.704249"</f>
        <v>8:53:24.704249</v>
      </c>
      <c r="C812">
        <v>-44</v>
      </c>
    </row>
    <row r="813" spans="1:3" x14ac:dyDescent="0.25">
      <c r="A813">
        <v>38</v>
      </c>
      <c r="B813" t="str">
        <f>"8:53:24.705277"</f>
        <v>8:53:24.705277</v>
      </c>
      <c r="C813">
        <v>-41</v>
      </c>
    </row>
    <row r="814" spans="1:3" x14ac:dyDescent="0.25">
      <c r="A814">
        <v>39</v>
      </c>
      <c r="B814" t="str">
        <f>"8:53:24.706303"</f>
        <v>8:53:24.706303</v>
      </c>
      <c r="C814">
        <v>-45</v>
      </c>
    </row>
    <row r="815" spans="1:3" x14ac:dyDescent="0.25">
      <c r="A815">
        <v>39</v>
      </c>
      <c r="B815" t="str">
        <f>"8:53:24.706821"</f>
        <v>8:53:24.706821</v>
      </c>
      <c r="C815">
        <v>-31</v>
      </c>
    </row>
    <row r="816" spans="1:3" x14ac:dyDescent="0.25">
      <c r="A816">
        <v>39</v>
      </c>
      <c r="B816" t="str">
        <f>"8:53:24.707147"</f>
        <v>8:53:24.707147</v>
      </c>
      <c r="C816">
        <v>-45</v>
      </c>
    </row>
    <row r="817" spans="1:3" x14ac:dyDescent="0.25">
      <c r="A817">
        <v>37</v>
      </c>
      <c r="B817" t="str">
        <f>"8:53:25.062951"</f>
        <v>8:53:25.062951</v>
      </c>
      <c r="C817">
        <v>-44</v>
      </c>
    </row>
    <row r="818" spans="1:3" x14ac:dyDescent="0.25">
      <c r="A818">
        <v>38</v>
      </c>
      <c r="B818" t="str">
        <f>"8:53:25.063978"</f>
        <v>8:53:25.063978</v>
      </c>
      <c r="C818">
        <v>-41</v>
      </c>
    </row>
    <row r="819" spans="1:3" x14ac:dyDescent="0.25">
      <c r="A819">
        <v>39</v>
      </c>
      <c r="B819" t="str">
        <f>"8:53:25.065255"</f>
        <v>8:53:25.065255</v>
      </c>
      <c r="C819">
        <v>-45</v>
      </c>
    </row>
    <row r="820" spans="1:3" x14ac:dyDescent="0.25">
      <c r="A820">
        <v>39</v>
      </c>
      <c r="B820" t="str">
        <f>"8:53:25.065774"</f>
        <v>8:53:25.065774</v>
      </c>
      <c r="C820">
        <v>-31</v>
      </c>
    </row>
    <row r="821" spans="1:3" x14ac:dyDescent="0.25">
      <c r="A821">
        <v>39</v>
      </c>
      <c r="B821" t="str">
        <f>"8:53:25.066099"</f>
        <v>8:53:25.066099</v>
      </c>
      <c r="C821">
        <v>-45</v>
      </c>
    </row>
    <row r="822" spans="1:3" x14ac:dyDescent="0.25">
      <c r="A822">
        <v>37</v>
      </c>
      <c r="B822" t="str">
        <f>"8:53:25.418021"</f>
        <v>8:53:25.418021</v>
      </c>
      <c r="C822">
        <v>-44</v>
      </c>
    </row>
    <row r="823" spans="1:3" x14ac:dyDescent="0.25">
      <c r="A823">
        <v>38</v>
      </c>
      <c r="B823" t="str">
        <f>"8:53:25.419048"</f>
        <v>8:53:25.419048</v>
      </c>
      <c r="C823">
        <v>-41</v>
      </c>
    </row>
    <row r="824" spans="1:3" x14ac:dyDescent="0.25">
      <c r="A824">
        <v>39</v>
      </c>
      <c r="B824" t="str">
        <f>"8:53:25.420074"</f>
        <v>8:53:25.420074</v>
      </c>
      <c r="C824">
        <v>-45</v>
      </c>
    </row>
    <row r="825" spans="1:3" x14ac:dyDescent="0.25">
      <c r="A825">
        <v>37</v>
      </c>
      <c r="B825" t="str">
        <f>"8:53:25.774880"</f>
        <v>8:53:25.774880</v>
      </c>
      <c r="C825">
        <v>-44</v>
      </c>
    </row>
    <row r="826" spans="1:3" x14ac:dyDescent="0.25">
      <c r="A826">
        <v>38</v>
      </c>
      <c r="B826" t="str">
        <f>"8:53:25.775907"</f>
        <v>8:53:25.775907</v>
      </c>
      <c r="C826">
        <v>-42</v>
      </c>
    </row>
    <row r="827" spans="1:3" x14ac:dyDescent="0.25">
      <c r="A827">
        <v>38</v>
      </c>
      <c r="B827" t="str">
        <f>"8:53:25.776427"</f>
        <v>8:53:25.776427</v>
      </c>
      <c r="C827">
        <v>-81</v>
      </c>
    </row>
    <row r="828" spans="1:3" x14ac:dyDescent="0.25">
      <c r="A828">
        <v>38</v>
      </c>
      <c r="B828" t="str">
        <f>"8:53:25.776753"</f>
        <v>8:53:25.776753</v>
      </c>
      <c r="C828">
        <v>-42</v>
      </c>
    </row>
    <row r="829" spans="1:3" x14ac:dyDescent="0.25">
      <c r="A829">
        <v>39</v>
      </c>
      <c r="B829" t="str">
        <f>"8:53:25.777529"</f>
        <v>8:53:25.777529</v>
      </c>
      <c r="C829">
        <v>-45</v>
      </c>
    </row>
    <row r="830" spans="1:3" x14ac:dyDescent="0.25">
      <c r="A830">
        <v>37</v>
      </c>
      <c r="B830" t="str">
        <f>"8:53:26.130967"</f>
        <v>8:53:26.130967</v>
      </c>
      <c r="C830">
        <v>-44</v>
      </c>
    </row>
    <row r="831" spans="1:3" x14ac:dyDescent="0.25">
      <c r="A831">
        <v>38</v>
      </c>
      <c r="B831" t="str">
        <f>"8:53:26.131994"</f>
        <v>8:53:26.131994</v>
      </c>
      <c r="C831">
        <v>-41</v>
      </c>
    </row>
    <row r="832" spans="1:3" x14ac:dyDescent="0.25">
      <c r="A832">
        <v>39</v>
      </c>
      <c r="B832" t="str">
        <f>"8:53:26.133020"</f>
        <v>8:53:26.133020</v>
      </c>
      <c r="C832">
        <v>-45</v>
      </c>
    </row>
    <row r="833" spans="1:3" x14ac:dyDescent="0.25">
      <c r="A833">
        <v>39</v>
      </c>
      <c r="B833" t="str">
        <f>"8:53:26.133539"</f>
        <v>8:53:26.133539</v>
      </c>
      <c r="C833">
        <v>-31</v>
      </c>
    </row>
    <row r="834" spans="1:3" x14ac:dyDescent="0.25">
      <c r="A834">
        <v>39</v>
      </c>
      <c r="B834" t="str">
        <f>"8:53:26.133865"</f>
        <v>8:53:26.133865</v>
      </c>
      <c r="C834">
        <v>-44</v>
      </c>
    </row>
    <row r="835" spans="1:3" x14ac:dyDescent="0.25">
      <c r="A835">
        <v>37</v>
      </c>
      <c r="B835" t="str">
        <f>"8:53:26.488677"</f>
        <v>8:53:26.488677</v>
      </c>
      <c r="C835">
        <v>-44</v>
      </c>
    </row>
    <row r="836" spans="1:3" x14ac:dyDescent="0.25">
      <c r="A836">
        <v>38</v>
      </c>
      <c r="B836" t="str">
        <f>"8:53:26.489705"</f>
        <v>8:53:26.489705</v>
      </c>
      <c r="C836">
        <v>-41</v>
      </c>
    </row>
    <row r="837" spans="1:3" x14ac:dyDescent="0.25">
      <c r="A837">
        <v>39</v>
      </c>
      <c r="B837" t="str">
        <f>"8:53:26.490731"</f>
        <v>8:53:26.490731</v>
      </c>
      <c r="C837">
        <v>-45</v>
      </c>
    </row>
    <row r="838" spans="1:3" x14ac:dyDescent="0.25">
      <c r="A838">
        <v>37</v>
      </c>
      <c r="B838" t="str">
        <f>"8:53:26.841475"</f>
        <v>8:53:26.841475</v>
      </c>
      <c r="C838">
        <v>-44</v>
      </c>
    </row>
    <row r="839" spans="1:3" x14ac:dyDescent="0.25">
      <c r="A839">
        <v>38</v>
      </c>
      <c r="B839" t="str">
        <f>"8:53:26.842502"</f>
        <v>8:53:26.842502</v>
      </c>
      <c r="C839">
        <v>-41</v>
      </c>
    </row>
    <row r="840" spans="1:3" x14ac:dyDescent="0.25">
      <c r="A840">
        <v>39</v>
      </c>
      <c r="B840" t="str">
        <f>"8:53:26.843528"</f>
        <v>8:53:26.843528</v>
      </c>
      <c r="C840">
        <v>-45</v>
      </c>
    </row>
    <row r="841" spans="1:3" x14ac:dyDescent="0.25">
      <c r="A841">
        <v>39</v>
      </c>
      <c r="B841" t="str">
        <f>"8:53:26.844047"</f>
        <v>8:53:26.844047</v>
      </c>
      <c r="C841">
        <v>-31</v>
      </c>
    </row>
    <row r="842" spans="1:3" x14ac:dyDescent="0.25">
      <c r="A842">
        <v>39</v>
      </c>
      <c r="B842" t="str">
        <f>"8:53:26.844373"</f>
        <v>8:53:26.844373</v>
      </c>
      <c r="C842">
        <v>-45</v>
      </c>
    </row>
    <row r="843" spans="1:3" x14ac:dyDescent="0.25">
      <c r="A843">
        <v>37</v>
      </c>
      <c r="B843" t="str">
        <f>"8:53:27.195244"</f>
        <v>8:53:27.195244</v>
      </c>
      <c r="C843">
        <v>-44</v>
      </c>
    </row>
    <row r="844" spans="1:3" x14ac:dyDescent="0.25">
      <c r="A844">
        <v>38</v>
      </c>
      <c r="B844" t="str">
        <f>"8:53:27.196272"</f>
        <v>8:53:27.196272</v>
      </c>
      <c r="C844">
        <v>-41</v>
      </c>
    </row>
    <row r="845" spans="1:3" x14ac:dyDescent="0.25">
      <c r="A845">
        <v>39</v>
      </c>
      <c r="B845" t="str">
        <f>"8:53:27.197298"</f>
        <v>8:53:27.197298</v>
      </c>
      <c r="C845">
        <v>-45</v>
      </c>
    </row>
    <row r="846" spans="1:3" x14ac:dyDescent="0.25">
      <c r="A846">
        <v>39</v>
      </c>
      <c r="B846" t="str">
        <f>"8:53:27.197816"</f>
        <v>8:53:27.197816</v>
      </c>
      <c r="C846">
        <v>-31</v>
      </c>
    </row>
    <row r="847" spans="1:3" x14ac:dyDescent="0.25">
      <c r="A847">
        <v>39</v>
      </c>
      <c r="B847" t="str">
        <f>"8:53:27.198142"</f>
        <v>8:53:27.198142</v>
      </c>
      <c r="C847">
        <v>-45</v>
      </c>
    </row>
    <row r="848" spans="1:3" x14ac:dyDescent="0.25">
      <c r="A848">
        <v>37</v>
      </c>
      <c r="B848" t="str">
        <f>"8:53:27.555253"</f>
        <v>8:53:27.555253</v>
      </c>
      <c r="C848">
        <v>-45</v>
      </c>
    </row>
    <row r="849" spans="1:3" x14ac:dyDescent="0.25">
      <c r="A849">
        <v>38</v>
      </c>
      <c r="B849" t="str">
        <f>"8:53:27.556280"</f>
        <v>8:53:27.556280</v>
      </c>
      <c r="C849">
        <v>-41</v>
      </c>
    </row>
    <row r="850" spans="1:3" x14ac:dyDescent="0.25">
      <c r="A850">
        <v>39</v>
      </c>
      <c r="B850" t="str">
        <f>"8:53:27.557306"</f>
        <v>8:53:27.557306</v>
      </c>
      <c r="C850">
        <v>-45</v>
      </c>
    </row>
    <row r="851" spans="1:3" x14ac:dyDescent="0.25">
      <c r="A851">
        <v>39</v>
      </c>
      <c r="B851" t="str">
        <f>"8:53:27.557825"</f>
        <v>8:53:27.557825</v>
      </c>
      <c r="C851">
        <v>-31</v>
      </c>
    </row>
    <row r="852" spans="1:3" x14ac:dyDescent="0.25">
      <c r="A852">
        <v>39</v>
      </c>
      <c r="B852" t="str">
        <f>"8:53:27.558150"</f>
        <v>8:53:27.558150</v>
      </c>
      <c r="C852">
        <v>-45</v>
      </c>
    </row>
    <row r="853" spans="1:3" x14ac:dyDescent="0.25">
      <c r="A853">
        <v>37</v>
      </c>
      <c r="B853" t="str">
        <f>"8:53:27.908594"</f>
        <v>8:53:27.908594</v>
      </c>
      <c r="C853">
        <v>-44</v>
      </c>
    </row>
    <row r="854" spans="1:3" x14ac:dyDescent="0.25">
      <c r="A854">
        <v>38</v>
      </c>
      <c r="B854" t="str">
        <f>"8:53:27.909621"</f>
        <v>8:53:27.909621</v>
      </c>
      <c r="C854">
        <v>-41</v>
      </c>
    </row>
    <row r="855" spans="1:3" x14ac:dyDescent="0.25">
      <c r="A855">
        <v>39</v>
      </c>
      <c r="B855" t="str">
        <f>"8:53:27.910647"</f>
        <v>8:53:27.910647</v>
      </c>
      <c r="C855">
        <v>-45</v>
      </c>
    </row>
    <row r="856" spans="1:3" x14ac:dyDescent="0.25">
      <c r="A856">
        <v>39</v>
      </c>
      <c r="B856" t="str">
        <f>"8:53:27.911165"</f>
        <v>8:53:27.911165</v>
      </c>
      <c r="C856">
        <v>-30</v>
      </c>
    </row>
    <row r="857" spans="1:3" x14ac:dyDescent="0.25">
      <c r="A857">
        <v>39</v>
      </c>
      <c r="B857" t="str">
        <f>"8:53:27.911491"</f>
        <v>8:53:27.911491</v>
      </c>
      <c r="C857">
        <v>-45</v>
      </c>
    </row>
    <row r="858" spans="1:3" x14ac:dyDescent="0.25">
      <c r="A858">
        <v>37</v>
      </c>
      <c r="B858" t="str">
        <f>"8:53:28.266479"</f>
        <v>8:53:28.266479</v>
      </c>
      <c r="C858">
        <v>-44</v>
      </c>
    </row>
    <row r="859" spans="1:3" x14ac:dyDescent="0.25">
      <c r="A859">
        <v>38</v>
      </c>
      <c r="B859" t="str">
        <f>"8:53:28.267506"</f>
        <v>8:53:28.267506</v>
      </c>
      <c r="C859">
        <v>-41</v>
      </c>
    </row>
    <row r="860" spans="1:3" x14ac:dyDescent="0.25">
      <c r="A860">
        <v>38</v>
      </c>
      <c r="B860" t="str">
        <f>"8:53:28.268025"</f>
        <v>8:53:28.268025</v>
      </c>
      <c r="C860">
        <v>-77</v>
      </c>
    </row>
    <row r="861" spans="1:3" x14ac:dyDescent="0.25">
      <c r="A861">
        <v>39</v>
      </c>
      <c r="B861" t="str">
        <f>"8:53:28.268532"</f>
        <v>8:53:28.268532</v>
      </c>
      <c r="C861">
        <v>-46</v>
      </c>
    </row>
    <row r="862" spans="1:3" x14ac:dyDescent="0.25">
      <c r="A862">
        <v>39</v>
      </c>
      <c r="B862" t="str">
        <f>"8:53:28.269050"</f>
        <v>8:53:28.269050</v>
      </c>
      <c r="C862">
        <v>-30</v>
      </c>
    </row>
    <row r="863" spans="1:3" x14ac:dyDescent="0.25">
      <c r="A863">
        <v>39</v>
      </c>
      <c r="B863" t="str">
        <f>"8:53:28.269376"</f>
        <v>8:53:28.269376</v>
      </c>
      <c r="C863">
        <v>-45</v>
      </c>
    </row>
    <row r="864" spans="1:3" x14ac:dyDescent="0.25">
      <c r="A864">
        <v>37</v>
      </c>
      <c r="B864" t="str">
        <f>"8:53:28.616941"</f>
        <v>8:53:28.616941</v>
      </c>
      <c r="C864">
        <v>-44</v>
      </c>
    </row>
    <row r="865" spans="1:3" x14ac:dyDescent="0.25">
      <c r="A865">
        <v>38</v>
      </c>
      <c r="B865" t="str">
        <f>"8:53:28.617968"</f>
        <v>8:53:28.617968</v>
      </c>
      <c r="C865">
        <v>-41</v>
      </c>
    </row>
    <row r="866" spans="1:3" x14ac:dyDescent="0.25">
      <c r="A866">
        <v>39</v>
      </c>
      <c r="B866" t="str">
        <f>"8:53:28.618994"</f>
        <v>8:53:28.618994</v>
      </c>
      <c r="C866">
        <v>-46</v>
      </c>
    </row>
    <row r="867" spans="1:3" x14ac:dyDescent="0.25">
      <c r="A867">
        <v>39</v>
      </c>
      <c r="B867" t="str">
        <f>"8:53:28.619512"</f>
        <v>8:53:28.619512</v>
      </c>
      <c r="C867">
        <v>-30</v>
      </c>
    </row>
    <row r="868" spans="1:3" x14ac:dyDescent="0.25">
      <c r="A868">
        <v>39</v>
      </c>
      <c r="B868" t="str">
        <f>"8:53:28.619838"</f>
        <v>8:53:28.619838</v>
      </c>
      <c r="C868">
        <v>-45</v>
      </c>
    </row>
    <row r="869" spans="1:3" x14ac:dyDescent="0.25">
      <c r="A869">
        <v>37</v>
      </c>
      <c r="B869" t="str">
        <f>"8:53:28.975900"</f>
        <v>8:53:28.975900</v>
      </c>
      <c r="C869">
        <v>-45</v>
      </c>
    </row>
    <row r="870" spans="1:3" x14ac:dyDescent="0.25">
      <c r="A870">
        <v>38</v>
      </c>
      <c r="B870" t="str">
        <f>"8:53:28.976927"</f>
        <v>8:53:28.976927</v>
      </c>
      <c r="C870">
        <v>-41</v>
      </c>
    </row>
    <row r="871" spans="1:3" x14ac:dyDescent="0.25">
      <c r="A871">
        <v>39</v>
      </c>
      <c r="B871" t="str">
        <f>"8:53:28.977953"</f>
        <v>8:53:28.977953</v>
      </c>
      <c r="C871">
        <v>-46</v>
      </c>
    </row>
    <row r="872" spans="1:3" x14ac:dyDescent="0.25">
      <c r="A872">
        <v>39</v>
      </c>
      <c r="B872" t="str">
        <f>"8:53:28.978472"</f>
        <v>8:53:28.978472</v>
      </c>
      <c r="C872">
        <v>-30</v>
      </c>
    </row>
    <row r="873" spans="1:3" x14ac:dyDescent="0.25">
      <c r="A873">
        <v>39</v>
      </c>
      <c r="B873" t="str">
        <f>"8:53:28.978797"</f>
        <v>8:53:28.978797</v>
      </c>
      <c r="C873">
        <v>-45</v>
      </c>
    </row>
    <row r="874" spans="1:3" x14ac:dyDescent="0.25">
      <c r="A874">
        <v>37</v>
      </c>
      <c r="B874" t="str">
        <f>"8:53:29.332503"</f>
        <v>8:53:29.332503</v>
      </c>
      <c r="C874">
        <v>-45</v>
      </c>
    </row>
    <row r="875" spans="1:3" x14ac:dyDescent="0.25">
      <c r="A875">
        <v>38</v>
      </c>
      <c r="B875" t="str">
        <f>"8:53:29.333530"</f>
        <v>8:53:29.333530</v>
      </c>
      <c r="C875">
        <v>-41</v>
      </c>
    </row>
    <row r="876" spans="1:3" x14ac:dyDescent="0.25">
      <c r="A876">
        <v>39</v>
      </c>
      <c r="B876" t="str">
        <f>"8:53:29.334556"</f>
        <v>8:53:29.334556</v>
      </c>
      <c r="C876">
        <v>-46</v>
      </c>
    </row>
    <row r="877" spans="1:3" x14ac:dyDescent="0.25">
      <c r="A877">
        <v>39</v>
      </c>
      <c r="B877" t="str">
        <f>"8:53:29.335075"</f>
        <v>8:53:29.335075</v>
      </c>
      <c r="C877">
        <v>-30</v>
      </c>
    </row>
    <row r="878" spans="1:3" x14ac:dyDescent="0.25">
      <c r="A878">
        <v>39</v>
      </c>
      <c r="B878" t="str">
        <f>"8:53:29.335401"</f>
        <v>8:53:29.335401</v>
      </c>
      <c r="C878">
        <v>-45</v>
      </c>
    </row>
    <row r="879" spans="1:3" x14ac:dyDescent="0.25">
      <c r="A879">
        <v>37</v>
      </c>
      <c r="B879" t="str">
        <f>"8:53:29.687354"</f>
        <v>8:53:29.687354</v>
      </c>
      <c r="C879">
        <v>-45</v>
      </c>
    </row>
    <row r="880" spans="1:3" x14ac:dyDescent="0.25">
      <c r="A880">
        <v>38</v>
      </c>
      <c r="B880" t="str">
        <f>"8:53:29.688381"</f>
        <v>8:53:29.688381</v>
      </c>
      <c r="C880">
        <v>-41</v>
      </c>
    </row>
    <row r="881" spans="1:3" x14ac:dyDescent="0.25">
      <c r="A881">
        <v>39</v>
      </c>
      <c r="B881" t="str">
        <f>"8:53:29.689407"</f>
        <v>8:53:29.689407</v>
      </c>
      <c r="C881">
        <v>-46</v>
      </c>
    </row>
    <row r="882" spans="1:3" x14ac:dyDescent="0.25">
      <c r="A882">
        <v>37</v>
      </c>
      <c r="B882" t="str">
        <f>"8:53:30.044776"</f>
        <v>8:53:30.044776</v>
      </c>
      <c r="C882">
        <v>-44</v>
      </c>
    </row>
    <row r="883" spans="1:3" x14ac:dyDescent="0.25">
      <c r="A883">
        <v>37</v>
      </c>
      <c r="B883" t="str">
        <f>"8:53:30.045294"</f>
        <v>8:53:30.045294</v>
      </c>
      <c r="C883">
        <v>-37</v>
      </c>
    </row>
    <row r="884" spans="1:3" x14ac:dyDescent="0.25">
      <c r="A884">
        <v>37</v>
      </c>
      <c r="B884" t="str">
        <f>"8:53:30.045620"</f>
        <v>8:53:30.045620</v>
      </c>
      <c r="C884">
        <v>-45</v>
      </c>
    </row>
    <row r="885" spans="1:3" x14ac:dyDescent="0.25">
      <c r="A885">
        <v>38</v>
      </c>
      <c r="B885" t="str">
        <f>"8:53:30.046396"</f>
        <v>8:53:30.046396</v>
      </c>
      <c r="C885">
        <v>-41</v>
      </c>
    </row>
    <row r="886" spans="1:3" x14ac:dyDescent="0.25">
      <c r="A886">
        <v>39</v>
      </c>
      <c r="B886" t="str">
        <f>"8:53:30.047422"</f>
        <v>8:53:30.047422</v>
      </c>
      <c r="C886">
        <v>-46</v>
      </c>
    </row>
    <row r="887" spans="1:3" x14ac:dyDescent="0.25">
      <c r="A887">
        <v>39</v>
      </c>
      <c r="B887" t="str">
        <f>"8:53:30.048267"</f>
        <v>8:53:30.048267</v>
      </c>
      <c r="C887">
        <v>-45</v>
      </c>
    </row>
    <row r="888" spans="1:3" x14ac:dyDescent="0.25">
      <c r="A888">
        <v>37</v>
      </c>
      <c r="B888" t="str">
        <f>"8:53:30.402719"</f>
        <v>8:53:30.402719</v>
      </c>
      <c r="C888">
        <v>-44</v>
      </c>
    </row>
    <row r="889" spans="1:3" x14ac:dyDescent="0.25">
      <c r="A889">
        <v>38</v>
      </c>
      <c r="B889" t="str">
        <f>"8:53:30.403746"</f>
        <v>8:53:30.403746</v>
      </c>
      <c r="C889">
        <v>-41</v>
      </c>
    </row>
    <row r="890" spans="1:3" x14ac:dyDescent="0.25">
      <c r="A890">
        <v>39</v>
      </c>
      <c r="B890" t="str">
        <f>"8:53:30.404772"</f>
        <v>8:53:30.404772</v>
      </c>
      <c r="C890">
        <v>-46</v>
      </c>
    </row>
    <row r="891" spans="1:3" x14ac:dyDescent="0.25">
      <c r="A891">
        <v>37</v>
      </c>
      <c r="B891" t="str">
        <f>"8:53:30.757850"</f>
        <v>8:53:30.757850</v>
      </c>
      <c r="C891">
        <v>-45</v>
      </c>
    </row>
    <row r="892" spans="1:3" x14ac:dyDescent="0.25">
      <c r="A892">
        <v>38</v>
      </c>
      <c r="B892" t="str">
        <f>"8:53:30.758877"</f>
        <v>8:53:30.758877</v>
      </c>
      <c r="C892">
        <v>-41</v>
      </c>
    </row>
    <row r="893" spans="1:3" x14ac:dyDescent="0.25">
      <c r="A893">
        <v>39</v>
      </c>
      <c r="B893" t="str">
        <f>"8:53:30.759903"</f>
        <v>8:53:30.759903</v>
      </c>
      <c r="C893">
        <v>-45</v>
      </c>
    </row>
    <row r="894" spans="1:3" x14ac:dyDescent="0.25">
      <c r="A894">
        <v>37</v>
      </c>
      <c r="B894" t="str">
        <f>"8:53:31.112478"</f>
        <v>8:53:31.112478</v>
      </c>
      <c r="C894">
        <v>-45</v>
      </c>
    </row>
    <row r="895" spans="1:3" x14ac:dyDescent="0.25">
      <c r="A895">
        <v>37</v>
      </c>
      <c r="B895" t="str">
        <f>"8:53:31.112996"</f>
        <v>8:53:31.112996</v>
      </c>
      <c r="C895">
        <v>-37</v>
      </c>
    </row>
    <row r="896" spans="1:3" x14ac:dyDescent="0.25">
      <c r="A896">
        <v>37</v>
      </c>
      <c r="B896" t="str">
        <f>"8:53:31.113322"</f>
        <v>8:53:31.113322</v>
      </c>
      <c r="C896">
        <v>-45</v>
      </c>
    </row>
    <row r="897" spans="1:3" x14ac:dyDescent="0.25">
      <c r="A897">
        <v>38</v>
      </c>
      <c r="B897" t="str">
        <f>"8:53:31.114098"</f>
        <v>8:53:31.114098</v>
      </c>
      <c r="C897">
        <v>-41</v>
      </c>
    </row>
    <row r="898" spans="1:3" x14ac:dyDescent="0.25">
      <c r="A898">
        <v>39</v>
      </c>
      <c r="B898" t="str">
        <f>"8:53:31.115124"</f>
        <v>8:53:31.115124</v>
      </c>
      <c r="C898">
        <v>-45</v>
      </c>
    </row>
    <row r="899" spans="1:3" x14ac:dyDescent="0.25">
      <c r="A899">
        <v>37</v>
      </c>
      <c r="B899" t="str">
        <f>"8:53:31.463737"</f>
        <v>8:53:31.463737</v>
      </c>
      <c r="C899">
        <v>-44</v>
      </c>
    </row>
    <row r="900" spans="1:3" x14ac:dyDescent="0.25">
      <c r="A900">
        <v>37</v>
      </c>
      <c r="B900" t="str">
        <f>"8:53:31.464255"</f>
        <v>8:53:31.464255</v>
      </c>
      <c r="C900">
        <v>-37</v>
      </c>
    </row>
    <row r="901" spans="1:3" x14ac:dyDescent="0.25">
      <c r="A901">
        <v>37</v>
      </c>
      <c r="B901" t="str">
        <f>"8:53:31.464581"</f>
        <v>8:53:31.464581</v>
      </c>
      <c r="C901">
        <v>-45</v>
      </c>
    </row>
    <row r="902" spans="1:3" x14ac:dyDescent="0.25">
      <c r="A902">
        <v>38</v>
      </c>
      <c r="B902" t="str">
        <f>"8:53:31.465357"</f>
        <v>8:53:31.465357</v>
      </c>
      <c r="C902">
        <v>-41</v>
      </c>
    </row>
    <row r="903" spans="1:3" x14ac:dyDescent="0.25">
      <c r="A903">
        <v>39</v>
      </c>
      <c r="B903" t="str">
        <f>"8:53:31.466383"</f>
        <v>8:53:31.466383</v>
      </c>
      <c r="C903">
        <v>-46</v>
      </c>
    </row>
    <row r="904" spans="1:3" x14ac:dyDescent="0.25">
      <c r="A904">
        <v>39</v>
      </c>
      <c r="B904" t="str">
        <f>"8:53:31.467227"</f>
        <v>8:53:31.467227</v>
      </c>
      <c r="C904">
        <v>-45</v>
      </c>
    </row>
    <row r="905" spans="1:3" x14ac:dyDescent="0.25">
      <c r="A905">
        <v>37</v>
      </c>
      <c r="B905" t="str">
        <f>"8:53:31.823690"</f>
        <v>8:53:31.823690</v>
      </c>
      <c r="C905">
        <v>-44</v>
      </c>
    </row>
    <row r="906" spans="1:3" x14ac:dyDescent="0.25">
      <c r="A906">
        <v>37</v>
      </c>
      <c r="B906" t="str">
        <f>"8:53:31.824209"</f>
        <v>8:53:31.824209</v>
      </c>
      <c r="C906">
        <v>-37</v>
      </c>
    </row>
    <row r="907" spans="1:3" x14ac:dyDescent="0.25">
      <c r="A907">
        <v>37</v>
      </c>
      <c r="B907" t="str">
        <f>"8:53:31.824535"</f>
        <v>8:53:31.824535</v>
      </c>
      <c r="C907">
        <v>-44</v>
      </c>
    </row>
    <row r="908" spans="1:3" x14ac:dyDescent="0.25">
      <c r="A908">
        <v>38</v>
      </c>
      <c r="B908" t="str">
        <f>"8:53:31.825311"</f>
        <v>8:53:31.825311</v>
      </c>
      <c r="C908">
        <v>-41</v>
      </c>
    </row>
    <row r="909" spans="1:3" x14ac:dyDescent="0.25">
      <c r="A909">
        <v>39</v>
      </c>
      <c r="B909" t="str">
        <f>"8:53:31.826337"</f>
        <v>8:53:31.826337</v>
      </c>
      <c r="C909">
        <v>-46</v>
      </c>
    </row>
    <row r="910" spans="1:3" x14ac:dyDescent="0.25">
      <c r="A910">
        <v>37</v>
      </c>
      <c r="B910" t="str">
        <f>"8:53:32.176518"</f>
        <v>8:53:32.176518</v>
      </c>
      <c r="C910">
        <v>-44</v>
      </c>
    </row>
    <row r="911" spans="1:3" x14ac:dyDescent="0.25">
      <c r="A911">
        <v>37</v>
      </c>
      <c r="B911" t="str">
        <f>"8:53:32.177037"</f>
        <v>8:53:32.177037</v>
      </c>
      <c r="C911">
        <v>-37</v>
      </c>
    </row>
    <row r="912" spans="1:3" x14ac:dyDescent="0.25">
      <c r="A912">
        <v>37</v>
      </c>
      <c r="B912" t="str">
        <f>"8:53:32.177363"</f>
        <v>8:53:32.177363</v>
      </c>
      <c r="C912">
        <v>-44</v>
      </c>
    </row>
    <row r="913" spans="1:3" x14ac:dyDescent="0.25">
      <c r="A913">
        <v>38</v>
      </c>
      <c r="B913" t="str">
        <f>"8:53:32.178139"</f>
        <v>8:53:32.178139</v>
      </c>
      <c r="C913">
        <v>-41</v>
      </c>
    </row>
    <row r="914" spans="1:3" x14ac:dyDescent="0.25">
      <c r="A914">
        <v>39</v>
      </c>
      <c r="B914" t="str">
        <f>"8:53:32.179165"</f>
        <v>8:53:32.179165</v>
      </c>
      <c r="C914">
        <v>-46</v>
      </c>
    </row>
    <row r="915" spans="1:3" x14ac:dyDescent="0.25">
      <c r="A915">
        <v>37</v>
      </c>
      <c r="B915" t="str">
        <f>"8:53:32.526983"</f>
        <v>8:53:32.526983</v>
      </c>
      <c r="C915">
        <v>-45</v>
      </c>
    </row>
    <row r="916" spans="1:3" x14ac:dyDescent="0.25">
      <c r="A916">
        <v>37</v>
      </c>
      <c r="B916" t="str">
        <f>"8:53:32.527501"</f>
        <v>8:53:32.527501</v>
      </c>
      <c r="C916">
        <v>-37</v>
      </c>
    </row>
    <row r="917" spans="1:3" x14ac:dyDescent="0.25">
      <c r="A917">
        <v>37</v>
      </c>
      <c r="B917" t="str">
        <f>"8:53:32.527827"</f>
        <v>8:53:32.527827</v>
      </c>
      <c r="C917">
        <v>-45</v>
      </c>
    </row>
    <row r="918" spans="1:3" x14ac:dyDescent="0.25">
      <c r="A918">
        <v>38</v>
      </c>
      <c r="B918" t="str">
        <f>"8:53:32.528603"</f>
        <v>8:53:32.528603</v>
      </c>
      <c r="C918">
        <v>-41</v>
      </c>
    </row>
    <row r="919" spans="1:3" x14ac:dyDescent="0.25">
      <c r="A919">
        <v>39</v>
      </c>
      <c r="B919" t="str">
        <f>"8:53:32.529629"</f>
        <v>8:53:32.529629</v>
      </c>
      <c r="C919">
        <v>-46</v>
      </c>
    </row>
    <row r="920" spans="1:3" x14ac:dyDescent="0.25">
      <c r="A920">
        <v>37</v>
      </c>
      <c r="B920" t="str">
        <f>"8:53:32.877186"</f>
        <v>8:53:32.877186</v>
      </c>
      <c r="C920">
        <v>-45</v>
      </c>
    </row>
    <row r="921" spans="1:3" x14ac:dyDescent="0.25">
      <c r="A921">
        <v>38</v>
      </c>
      <c r="B921" t="str">
        <f>"8:53:32.878213"</f>
        <v>8:53:32.878213</v>
      </c>
      <c r="C921">
        <v>-41</v>
      </c>
    </row>
    <row r="922" spans="1:3" x14ac:dyDescent="0.25">
      <c r="A922">
        <v>39</v>
      </c>
      <c r="B922" t="str">
        <f>"8:53:32.879239"</f>
        <v>8:53:32.879239</v>
      </c>
      <c r="C922">
        <v>-45</v>
      </c>
    </row>
    <row r="923" spans="1:3" x14ac:dyDescent="0.25">
      <c r="A923">
        <v>37</v>
      </c>
      <c r="B923" t="str">
        <f>"8:53:33.234901"</f>
        <v>8:53:33.234901</v>
      </c>
      <c r="C923">
        <v>-44</v>
      </c>
    </row>
    <row r="924" spans="1:3" x14ac:dyDescent="0.25">
      <c r="A924">
        <v>37</v>
      </c>
      <c r="B924" t="str">
        <f>"8:53:33.235419"</f>
        <v>8:53:33.235419</v>
      </c>
      <c r="C924">
        <v>-37</v>
      </c>
    </row>
    <row r="925" spans="1:3" x14ac:dyDescent="0.25">
      <c r="A925">
        <v>37</v>
      </c>
      <c r="B925" t="str">
        <f>"8:53:33.235745"</f>
        <v>8:53:33.235745</v>
      </c>
      <c r="C925">
        <v>-44</v>
      </c>
    </row>
    <row r="926" spans="1:3" x14ac:dyDescent="0.25">
      <c r="A926">
        <v>38</v>
      </c>
      <c r="B926" t="str">
        <f>"8:53:33.236521"</f>
        <v>8:53:33.236521</v>
      </c>
      <c r="C926">
        <v>-41</v>
      </c>
    </row>
    <row r="927" spans="1:3" x14ac:dyDescent="0.25">
      <c r="A927">
        <v>39</v>
      </c>
      <c r="B927" t="str">
        <f>"8:53:33.237548"</f>
        <v>8:53:33.237548</v>
      </c>
      <c r="C927">
        <v>-45</v>
      </c>
    </row>
    <row r="928" spans="1:3" x14ac:dyDescent="0.25">
      <c r="A928">
        <v>37</v>
      </c>
      <c r="B928" t="str">
        <f>"8:53:33.591808"</f>
        <v>8:53:33.591808</v>
      </c>
      <c r="C928">
        <v>-45</v>
      </c>
    </row>
    <row r="929" spans="1:3" x14ac:dyDescent="0.25">
      <c r="A929">
        <v>38</v>
      </c>
      <c r="B929" t="str">
        <f>"8:53:33.592836"</f>
        <v>8:53:33.592836</v>
      </c>
      <c r="C929">
        <v>-41</v>
      </c>
    </row>
    <row r="930" spans="1:3" x14ac:dyDescent="0.25">
      <c r="A930">
        <v>39</v>
      </c>
      <c r="B930" t="str">
        <f>"8:53:33.593862"</f>
        <v>8:53:33.593862</v>
      </c>
      <c r="C930">
        <v>-45</v>
      </c>
    </row>
    <row r="931" spans="1:3" x14ac:dyDescent="0.25">
      <c r="A931">
        <v>37</v>
      </c>
      <c r="B931" t="str">
        <f>"8:53:33.949475"</f>
        <v>8:53:33.949475</v>
      </c>
      <c r="C931">
        <v>-44</v>
      </c>
    </row>
    <row r="932" spans="1:3" x14ac:dyDescent="0.25">
      <c r="A932">
        <v>37</v>
      </c>
      <c r="B932" t="str">
        <f>"8:53:33.949993"</f>
        <v>8:53:33.949993</v>
      </c>
      <c r="C932">
        <v>-37</v>
      </c>
    </row>
    <row r="933" spans="1:3" x14ac:dyDescent="0.25">
      <c r="A933">
        <v>37</v>
      </c>
      <c r="B933" t="str">
        <f>"8:53:33.950319"</f>
        <v>8:53:33.950319</v>
      </c>
      <c r="C933">
        <v>-44</v>
      </c>
    </row>
    <row r="934" spans="1:3" x14ac:dyDescent="0.25">
      <c r="A934">
        <v>38</v>
      </c>
      <c r="B934" t="str">
        <f>"8:53:33.951095"</f>
        <v>8:53:33.951095</v>
      </c>
      <c r="C934">
        <v>-42</v>
      </c>
    </row>
    <row r="935" spans="1:3" x14ac:dyDescent="0.25">
      <c r="A935">
        <v>39</v>
      </c>
      <c r="B935" t="str">
        <f>"8:53:33.952121"</f>
        <v>8:53:33.952121</v>
      </c>
      <c r="C935">
        <v>-46</v>
      </c>
    </row>
    <row r="936" spans="1:3" x14ac:dyDescent="0.25">
      <c r="A936">
        <v>37</v>
      </c>
      <c r="B936" t="str">
        <f>"8:53:34.303774"</f>
        <v>8:53:34.303774</v>
      </c>
      <c r="C936">
        <v>-44</v>
      </c>
    </row>
    <row r="937" spans="1:3" x14ac:dyDescent="0.25">
      <c r="A937">
        <v>37</v>
      </c>
      <c r="B937" t="str">
        <f>"8:53:34.304292"</f>
        <v>8:53:34.304292</v>
      </c>
      <c r="C937">
        <v>-36</v>
      </c>
    </row>
    <row r="938" spans="1:3" x14ac:dyDescent="0.25">
      <c r="A938">
        <v>37</v>
      </c>
      <c r="B938" t="str">
        <f>"8:53:34.304618"</f>
        <v>8:53:34.304618</v>
      </c>
      <c r="C938">
        <v>-45</v>
      </c>
    </row>
    <row r="939" spans="1:3" x14ac:dyDescent="0.25">
      <c r="A939">
        <v>38</v>
      </c>
      <c r="B939" t="str">
        <f>"8:53:34.305394"</f>
        <v>8:53:34.305394</v>
      </c>
      <c r="C939">
        <v>-42</v>
      </c>
    </row>
    <row r="940" spans="1:3" x14ac:dyDescent="0.25">
      <c r="A940">
        <v>39</v>
      </c>
      <c r="B940" t="str">
        <f>"8:53:34.306420"</f>
        <v>8:53:34.306420</v>
      </c>
      <c r="C940">
        <v>-46</v>
      </c>
    </row>
    <row r="941" spans="1:3" x14ac:dyDescent="0.25">
      <c r="A941">
        <v>37</v>
      </c>
      <c r="B941" t="str">
        <f>"8:53:34.659637"</f>
        <v>8:53:34.659637</v>
      </c>
      <c r="C941">
        <v>-45</v>
      </c>
    </row>
    <row r="942" spans="1:3" x14ac:dyDescent="0.25">
      <c r="A942">
        <v>38</v>
      </c>
      <c r="B942" t="str">
        <f>"8:53:34.660664"</f>
        <v>8:53:34.660664</v>
      </c>
      <c r="C942">
        <v>-41</v>
      </c>
    </row>
    <row r="943" spans="1:3" x14ac:dyDescent="0.25">
      <c r="A943">
        <v>38</v>
      </c>
      <c r="B943" t="str">
        <f>"8:53:34.661182"</f>
        <v>8:53:34.661182</v>
      </c>
      <c r="C943">
        <v>-31</v>
      </c>
    </row>
    <row r="944" spans="1:3" x14ac:dyDescent="0.25">
      <c r="A944">
        <v>38</v>
      </c>
      <c r="B944" t="str">
        <f>"8:53:34.661508"</f>
        <v>8:53:34.661508</v>
      </c>
      <c r="C944">
        <v>-41</v>
      </c>
    </row>
    <row r="945" spans="1:3" x14ac:dyDescent="0.25">
      <c r="A945">
        <v>39</v>
      </c>
      <c r="B945" t="str">
        <f>"8:53:34.662284"</f>
        <v>8:53:34.662284</v>
      </c>
      <c r="C945">
        <v>-46</v>
      </c>
    </row>
    <row r="946" spans="1:3" x14ac:dyDescent="0.25">
      <c r="A946">
        <v>37</v>
      </c>
      <c r="B946" t="str">
        <f>"8:53:35.019405"</f>
        <v>8:53:35.019405</v>
      </c>
      <c r="C946">
        <v>-45</v>
      </c>
    </row>
    <row r="947" spans="1:3" x14ac:dyDescent="0.25">
      <c r="A947">
        <v>38</v>
      </c>
      <c r="B947" t="str">
        <f>"8:53:35.020432"</f>
        <v>8:53:35.020432</v>
      </c>
      <c r="C947">
        <v>-42</v>
      </c>
    </row>
    <row r="948" spans="1:3" x14ac:dyDescent="0.25">
      <c r="A948">
        <v>38</v>
      </c>
      <c r="B948" t="str">
        <f>"8:53:35.020950"</f>
        <v>8:53:35.020950</v>
      </c>
      <c r="C948">
        <v>-31</v>
      </c>
    </row>
    <row r="949" spans="1:3" x14ac:dyDescent="0.25">
      <c r="A949">
        <v>38</v>
      </c>
      <c r="B949" t="str">
        <f>"8:53:35.021276"</f>
        <v>8:53:35.021276</v>
      </c>
      <c r="C949">
        <v>-42</v>
      </c>
    </row>
    <row r="950" spans="1:3" x14ac:dyDescent="0.25">
      <c r="A950">
        <v>39</v>
      </c>
      <c r="B950" t="str">
        <f>"8:53:35.022052"</f>
        <v>8:53:35.022052</v>
      </c>
      <c r="C950">
        <v>-46</v>
      </c>
    </row>
    <row r="951" spans="1:3" x14ac:dyDescent="0.25">
      <c r="A951">
        <v>37</v>
      </c>
      <c r="B951" t="str">
        <f>"8:53:35.375555"</f>
        <v>8:53:35.375555</v>
      </c>
      <c r="C951">
        <v>-44</v>
      </c>
    </row>
    <row r="952" spans="1:3" x14ac:dyDescent="0.25">
      <c r="A952">
        <v>38</v>
      </c>
      <c r="B952" t="str">
        <f>"8:53:35.376582"</f>
        <v>8:53:35.376582</v>
      </c>
      <c r="C952">
        <v>-41</v>
      </c>
    </row>
    <row r="953" spans="1:3" x14ac:dyDescent="0.25">
      <c r="A953">
        <v>38</v>
      </c>
      <c r="B953" t="str">
        <f>"8:53:35.377101"</f>
        <v>8:53:35.377101</v>
      </c>
      <c r="C953">
        <v>-31</v>
      </c>
    </row>
    <row r="954" spans="1:3" x14ac:dyDescent="0.25">
      <c r="A954">
        <v>38</v>
      </c>
      <c r="B954" t="str">
        <f>"8:53:35.377426"</f>
        <v>8:53:35.377426</v>
      </c>
      <c r="C954">
        <v>-42</v>
      </c>
    </row>
    <row r="955" spans="1:3" x14ac:dyDescent="0.25">
      <c r="A955">
        <v>39</v>
      </c>
      <c r="B955" t="str">
        <f>"8:53:35.378202"</f>
        <v>8:53:35.378202</v>
      </c>
      <c r="C955">
        <v>-46</v>
      </c>
    </row>
    <row r="956" spans="1:3" x14ac:dyDescent="0.25">
      <c r="A956">
        <v>37</v>
      </c>
      <c r="B956" t="str">
        <f>"8:53:35.730433"</f>
        <v>8:53:35.730433</v>
      </c>
      <c r="C956">
        <v>-44</v>
      </c>
    </row>
    <row r="957" spans="1:3" x14ac:dyDescent="0.25">
      <c r="A957">
        <v>38</v>
      </c>
      <c r="B957" t="str">
        <f>"8:53:35.731461"</f>
        <v>8:53:35.731461</v>
      </c>
      <c r="C957">
        <v>-42</v>
      </c>
    </row>
    <row r="958" spans="1:3" x14ac:dyDescent="0.25">
      <c r="A958">
        <v>38</v>
      </c>
      <c r="B958" t="str">
        <f>"8:53:35.731979"</f>
        <v>8:53:35.731979</v>
      </c>
      <c r="C958">
        <v>-31</v>
      </c>
    </row>
    <row r="959" spans="1:3" x14ac:dyDescent="0.25">
      <c r="A959">
        <v>38</v>
      </c>
      <c r="B959" t="str">
        <f>"8:53:35.732305"</f>
        <v>8:53:35.732305</v>
      </c>
      <c r="C959">
        <v>-41</v>
      </c>
    </row>
    <row r="960" spans="1:3" x14ac:dyDescent="0.25">
      <c r="A960">
        <v>39</v>
      </c>
      <c r="B960" t="str">
        <f>"8:53:35.733081"</f>
        <v>8:53:35.733081</v>
      </c>
      <c r="C960">
        <v>-46</v>
      </c>
    </row>
    <row r="961" spans="1:3" x14ac:dyDescent="0.25">
      <c r="A961">
        <v>37</v>
      </c>
      <c r="B961" t="str">
        <f>"8:53:36.085076"</f>
        <v>8:53:36.085076</v>
      </c>
      <c r="C961">
        <v>-44</v>
      </c>
    </row>
    <row r="962" spans="1:3" x14ac:dyDescent="0.25">
      <c r="A962">
        <v>38</v>
      </c>
      <c r="B962" t="str">
        <f>"8:53:36.086103"</f>
        <v>8:53:36.086103</v>
      </c>
      <c r="C962">
        <v>-41</v>
      </c>
    </row>
    <row r="963" spans="1:3" x14ac:dyDescent="0.25">
      <c r="A963">
        <v>38</v>
      </c>
      <c r="B963" t="str">
        <f>"8:53:36.086622"</f>
        <v>8:53:36.086622</v>
      </c>
      <c r="C963">
        <v>-32</v>
      </c>
    </row>
    <row r="964" spans="1:3" x14ac:dyDescent="0.25">
      <c r="A964">
        <v>38</v>
      </c>
      <c r="B964" t="str">
        <f>"8:53:36.086948"</f>
        <v>8:53:36.086948</v>
      </c>
      <c r="C964">
        <v>-41</v>
      </c>
    </row>
    <row r="965" spans="1:3" x14ac:dyDescent="0.25">
      <c r="A965">
        <v>39</v>
      </c>
      <c r="B965" t="str">
        <f>"8:53:36.087724"</f>
        <v>8:53:36.087724</v>
      </c>
      <c r="C965">
        <v>-45</v>
      </c>
    </row>
    <row r="966" spans="1:3" x14ac:dyDescent="0.25">
      <c r="A966">
        <v>37</v>
      </c>
      <c r="B966" t="str">
        <f>"8:53:36.437329"</f>
        <v>8:53:36.437329</v>
      </c>
      <c r="C966">
        <v>-44</v>
      </c>
    </row>
    <row r="967" spans="1:3" x14ac:dyDescent="0.25">
      <c r="A967">
        <v>38</v>
      </c>
      <c r="B967" t="str">
        <f>"8:53:36.438356"</f>
        <v>8:53:36.438356</v>
      </c>
      <c r="C967">
        <v>-41</v>
      </c>
    </row>
    <row r="968" spans="1:3" x14ac:dyDescent="0.25">
      <c r="A968">
        <v>38</v>
      </c>
      <c r="B968" t="str">
        <f>"8:53:36.438875"</f>
        <v>8:53:36.438875</v>
      </c>
      <c r="C968">
        <v>-32</v>
      </c>
    </row>
    <row r="969" spans="1:3" x14ac:dyDescent="0.25">
      <c r="A969">
        <v>38</v>
      </c>
      <c r="B969" t="str">
        <f>"8:53:36.439201"</f>
        <v>8:53:36.439201</v>
      </c>
      <c r="C969">
        <v>-41</v>
      </c>
    </row>
    <row r="970" spans="1:3" x14ac:dyDescent="0.25">
      <c r="A970">
        <v>39</v>
      </c>
      <c r="B970" t="str">
        <f>"8:53:36.439977"</f>
        <v>8:53:36.439977</v>
      </c>
      <c r="C970">
        <v>-45</v>
      </c>
    </row>
    <row r="971" spans="1:3" x14ac:dyDescent="0.25">
      <c r="A971">
        <v>37</v>
      </c>
      <c r="B971" t="str">
        <f>"8:53:36.794012"</f>
        <v>8:53:36.794012</v>
      </c>
      <c r="C971">
        <v>-44</v>
      </c>
    </row>
    <row r="972" spans="1:3" x14ac:dyDescent="0.25">
      <c r="A972">
        <v>38</v>
      </c>
      <c r="B972" t="str">
        <f>"8:53:36.795040"</f>
        <v>8:53:36.795040</v>
      </c>
      <c r="C972">
        <v>-41</v>
      </c>
    </row>
    <row r="973" spans="1:3" x14ac:dyDescent="0.25">
      <c r="A973">
        <v>38</v>
      </c>
      <c r="B973" t="str">
        <f>"8:53:36.795558"</f>
        <v>8:53:36.795558</v>
      </c>
      <c r="C973">
        <v>-32</v>
      </c>
    </row>
    <row r="974" spans="1:3" x14ac:dyDescent="0.25">
      <c r="A974">
        <v>38</v>
      </c>
      <c r="B974" t="str">
        <f>"8:53:36.795884"</f>
        <v>8:53:36.795884</v>
      </c>
      <c r="C974">
        <v>-42</v>
      </c>
    </row>
    <row r="975" spans="1:3" x14ac:dyDescent="0.25">
      <c r="A975">
        <v>39</v>
      </c>
      <c r="B975" t="str">
        <f>"8:53:36.796660"</f>
        <v>8:53:36.796660</v>
      </c>
      <c r="C975">
        <v>-45</v>
      </c>
    </row>
    <row r="976" spans="1:3" x14ac:dyDescent="0.25">
      <c r="A976">
        <v>37</v>
      </c>
      <c r="B976" t="str">
        <f>"8:53:37.150638"</f>
        <v>8:53:37.150638</v>
      </c>
      <c r="C976">
        <v>-44</v>
      </c>
    </row>
    <row r="977" spans="1:3" x14ac:dyDescent="0.25">
      <c r="A977">
        <v>38</v>
      </c>
      <c r="B977" t="str">
        <f>"8:53:37.151666"</f>
        <v>8:53:37.151666</v>
      </c>
      <c r="C977">
        <v>-41</v>
      </c>
    </row>
    <row r="978" spans="1:3" x14ac:dyDescent="0.25">
      <c r="A978">
        <v>38</v>
      </c>
      <c r="B978" t="str">
        <f>"8:53:37.152184"</f>
        <v>8:53:37.152184</v>
      </c>
      <c r="C978">
        <v>-31</v>
      </c>
    </row>
    <row r="979" spans="1:3" x14ac:dyDescent="0.25">
      <c r="A979">
        <v>38</v>
      </c>
      <c r="B979" t="str">
        <f>"8:53:37.152510"</f>
        <v>8:53:37.152510</v>
      </c>
      <c r="C979">
        <v>-41</v>
      </c>
    </row>
    <row r="980" spans="1:3" x14ac:dyDescent="0.25">
      <c r="A980">
        <v>39</v>
      </c>
      <c r="B980" t="str">
        <f>"8:53:37.153286"</f>
        <v>8:53:37.153286</v>
      </c>
      <c r="C980">
        <v>-45</v>
      </c>
    </row>
    <row r="981" spans="1:3" x14ac:dyDescent="0.25">
      <c r="A981">
        <v>37</v>
      </c>
      <c r="B981" t="str">
        <f>"8:53:37.504986"</f>
        <v>8:53:37.504986</v>
      </c>
      <c r="C981">
        <v>-44</v>
      </c>
    </row>
    <row r="982" spans="1:3" x14ac:dyDescent="0.25">
      <c r="A982">
        <v>38</v>
      </c>
      <c r="B982" t="str">
        <f>"8:53:37.506013"</f>
        <v>8:53:37.506013</v>
      </c>
      <c r="C982">
        <v>-41</v>
      </c>
    </row>
    <row r="983" spans="1:3" x14ac:dyDescent="0.25">
      <c r="A983">
        <v>38</v>
      </c>
      <c r="B983" t="str">
        <f>"8:53:37.506532"</f>
        <v>8:53:37.506532</v>
      </c>
      <c r="C983">
        <v>-32</v>
      </c>
    </row>
    <row r="984" spans="1:3" x14ac:dyDescent="0.25">
      <c r="A984">
        <v>38</v>
      </c>
      <c r="B984" t="str">
        <f>"8:53:37.506857"</f>
        <v>8:53:37.506857</v>
      </c>
      <c r="C984">
        <v>-41</v>
      </c>
    </row>
    <row r="985" spans="1:3" x14ac:dyDescent="0.25">
      <c r="A985">
        <v>39</v>
      </c>
      <c r="B985" t="str">
        <f>"8:53:37.507633"</f>
        <v>8:53:37.507633</v>
      </c>
      <c r="C985">
        <v>-45</v>
      </c>
    </row>
    <row r="986" spans="1:3" x14ac:dyDescent="0.25">
      <c r="A986">
        <v>37</v>
      </c>
      <c r="B986" t="str">
        <f>"8:53:37.861629"</f>
        <v>8:53:37.861629</v>
      </c>
      <c r="C986">
        <v>-44</v>
      </c>
    </row>
    <row r="987" spans="1:3" x14ac:dyDescent="0.25">
      <c r="A987">
        <v>38</v>
      </c>
      <c r="B987" t="str">
        <f>"8:53:37.862657"</f>
        <v>8:53:37.862657</v>
      </c>
      <c r="C987">
        <v>-41</v>
      </c>
    </row>
    <row r="988" spans="1:3" x14ac:dyDescent="0.25">
      <c r="A988">
        <v>38</v>
      </c>
      <c r="B988" t="str">
        <f>"8:53:37.863176"</f>
        <v>8:53:37.863176</v>
      </c>
      <c r="C988">
        <v>-31</v>
      </c>
    </row>
    <row r="989" spans="1:3" x14ac:dyDescent="0.25">
      <c r="A989">
        <v>38</v>
      </c>
      <c r="B989" t="str">
        <f>"8:53:37.863502"</f>
        <v>8:53:37.863502</v>
      </c>
      <c r="C989">
        <v>-41</v>
      </c>
    </row>
    <row r="990" spans="1:3" x14ac:dyDescent="0.25">
      <c r="A990">
        <v>39</v>
      </c>
      <c r="B990" t="str">
        <f>"8:53:37.864278"</f>
        <v>8:53:37.864278</v>
      </c>
      <c r="C990">
        <v>-46</v>
      </c>
    </row>
    <row r="991" spans="1:3" x14ac:dyDescent="0.25">
      <c r="A991">
        <v>37</v>
      </c>
      <c r="B991" t="str">
        <f>"8:53:38.218000"</f>
        <v>8:53:38.218000</v>
      </c>
      <c r="C991">
        <v>-44</v>
      </c>
    </row>
    <row r="992" spans="1:3" x14ac:dyDescent="0.25">
      <c r="A992">
        <v>38</v>
      </c>
      <c r="B992" t="str">
        <f>"8:53:38.219027"</f>
        <v>8:53:38.219027</v>
      </c>
      <c r="C992">
        <v>-41</v>
      </c>
    </row>
    <row r="993" spans="1:3" x14ac:dyDescent="0.25">
      <c r="A993">
        <v>38</v>
      </c>
      <c r="B993" t="str">
        <f>"8:53:38.219546"</f>
        <v>8:53:38.219546</v>
      </c>
      <c r="C993">
        <v>-32</v>
      </c>
    </row>
    <row r="994" spans="1:3" x14ac:dyDescent="0.25">
      <c r="A994">
        <v>38</v>
      </c>
      <c r="B994" t="str">
        <f>"8:53:38.219871"</f>
        <v>8:53:38.219871</v>
      </c>
      <c r="C994">
        <v>-41</v>
      </c>
    </row>
    <row r="995" spans="1:3" x14ac:dyDescent="0.25">
      <c r="A995">
        <v>39</v>
      </c>
      <c r="B995" t="str">
        <f>"8:53:38.220647"</f>
        <v>8:53:38.220647</v>
      </c>
      <c r="C995">
        <v>-46</v>
      </c>
    </row>
    <row r="996" spans="1:3" x14ac:dyDescent="0.25">
      <c r="A996">
        <v>37</v>
      </c>
      <c r="B996" t="str">
        <f>"8:53:38.575415"</f>
        <v>8:53:38.575415</v>
      </c>
      <c r="C996">
        <v>-44</v>
      </c>
    </row>
    <row r="997" spans="1:3" x14ac:dyDescent="0.25">
      <c r="A997">
        <v>38</v>
      </c>
      <c r="B997" t="str">
        <f>"8:53:38.576443"</f>
        <v>8:53:38.576443</v>
      </c>
      <c r="C997">
        <v>-41</v>
      </c>
    </row>
    <row r="998" spans="1:3" x14ac:dyDescent="0.25">
      <c r="A998">
        <v>38</v>
      </c>
      <c r="B998" t="str">
        <f>"8:53:38.576961"</f>
        <v>8:53:38.576961</v>
      </c>
      <c r="C998">
        <v>-32</v>
      </c>
    </row>
    <row r="999" spans="1:3" x14ac:dyDescent="0.25">
      <c r="A999">
        <v>38</v>
      </c>
      <c r="B999" t="str">
        <f>"8:53:38.577287"</f>
        <v>8:53:38.577287</v>
      </c>
      <c r="C999">
        <v>-41</v>
      </c>
    </row>
    <row r="1000" spans="1:3" x14ac:dyDescent="0.25">
      <c r="A1000">
        <v>39</v>
      </c>
      <c r="B1000" t="str">
        <f>"8:53:38.578063"</f>
        <v>8:53:38.578063</v>
      </c>
      <c r="C1000">
        <v>-46</v>
      </c>
    </row>
    <row r="1001" spans="1:3" x14ac:dyDescent="0.25">
      <c r="A1001">
        <v>37</v>
      </c>
      <c r="B1001" t="str">
        <f>"8:53:38.932030"</f>
        <v>8:53:38.932030</v>
      </c>
      <c r="C1001">
        <v>-44</v>
      </c>
    </row>
    <row r="1002" spans="1:3" x14ac:dyDescent="0.25">
      <c r="A1002">
        <v>38</v>
      </c>
      <c r="B1002" t="str">
        <f>"8:53:38.933058"</f>
        <v>8:53:38.933058</v>
      </c>
      <c r="C1002">
        <v>-41</v>
      </c>
    </row>
    <row r="1003" spans="1:3" x14ac:dyDescent="0.25">
      <c r="A1003">
        <v>38</v>
      </c>
      <c r="B1003" t="str">
        <f>"8:53:38.933577"</f>
        <v>8:53:38.933577</v>
      </c>
      <c r="C1003">
        <v>-32</v>
      </c>
    </row>
    <row r="1004" spans="1:3" x14ac:dyDescent="0.25">
      <c r="A1004">
        <v>38</v>
      </c>
      <c r="B1004" t="str">
        <f>"8:53:38.933903"</f>
        <v>8:53:38.933903</v>
      </c>
      <c r="C1004">
        <v>-41</v>
      </c>
    </row>
    <row r="1005" spans="1:3" x14ac:dyDescent="0.25">
      <c r="A1005">
        <v>39</v>
      </c>
      <c r="B1005" t="str">
        <f>"8:53:38.934679"</f>
        <v>8:53:38.934679</v>
      </c>
      <c r="C1005">
        <v>-45</v>
      </c>
    </row>
    <row r="1006" spans="1:3" x14ac:dyDescent="0.25">
      <c r="A1006">
        <v>37</v>
      </c>
      <c r="B1006" t="str">
        <f>"8:53:39.288677"</f>
        <v>8:53:39.288677</v>
      </c>
      <c r="C1006">
        <v>-44</v>
      </c>
    </row>
    <row r="1007" spans="1:3" x14ac:dyDescent="0.25">
      <c r="A1007">
        <v>38</v>
      </c>
      <c r="B1007" t="str">
        <f>"8:53:39.289704"</f>
        <v>8:53:39.289704</v>
      </c>
      <c r="C1007">
        <v>-41</v>
      </c>
    </row>
    <row r="1008" spans="1:3" x14ac:dyDescent="0.25">
      <c r="A1008">
        <v>39</v>
      </c>
      <c r="B1008" t="str">
        <f>"8:53:39.290730"</f>
        <v>8:53:39.290730</v>
      </c>
      <c r="C1008">
        <v>-46</v>
      </c>
    </row>
    <row r="1009" spans="1:3" x14ac:dyDescent="0.25">
      <c r="A1009">
        <v>37</v>
      </c>
      <c r="B1009" t="str">
        <f>"8:53:39.643532"</f>
        <v>8:53:39.643532</v>
      </c>
      <c r="C1009">
        <v>-44</v>
      </c>
    </row>
    <row r="1010" spans="1:3" x14ac:dyDescent="0.25">
      <c r="A1010">
        <v>38</v>
      </c>
      <c r="B1010" t="str">
        <f>"8:53:39.644559"</f>
        <v>8:53:39.644559</v>
      </c>
      <c r="C1010">
        <v>-41</v>
      </c>
    </row>
    <row r="1011" spans="1:3" x14ac:dyDescent="0.25">
      <c r="A1011">
        <v>39</v>
      </c>
      <c r="B1011" t="str">
        <f>"8:53:39.645585"</f>
        <v>8:53:39.645585</v>
      </c>
      <c r="C1011">
        <v>-46</v>
      </c>
    </row>
    <row r="1012" spans="1:3" x14ac:dyDescent="0.25">
      <c r="A1012">
        <v>39</v>
      </c>
      <c r="B1012" t="str">
        <f>"8:53:39.646104"</f>
        <v>8:53:39.646104</v>
      </c>
      <c r="C1012">
        <v>-31</v>
      </c>
    </row>
    <row r="1013" spans="1:3" x14ac:dyDescent="0.25">
      <c r="A1013">
        <v>39</v>
      </c>
      <c r="B1013" t="str">
        <f>"8:53:39.646429"</f>
        <v>8:53:39.646429</v>
      </c>
      <c r="C1013">
        <v>-45</v>
      </c>
    </row>
    <row r="1014" spans="1:3" x14ac:dyDescent="0.25">
      <c r="A1014">
        <v>37</v>
      </c>
      <c r="B1014" t="str">
        <f>"8:53:40.002176"</f>
        <v>8:53:40.002176</v>
      </c>
      <c r="C1014">
        <v>-44</v>
      </c>
    </row>
    <row r="1015" spans="1:3" x14ac:dyDescent="0.25">
      <c r="A1015">
        <v>38</v>
      </c>
      <c r="B1015" t="str">
        <f>"8:53:40.003204"</f>
        <v>8:53:40.003204</v>
      </c>
      <c r="C1015">
        <v>-41</v>
      </c>
    </row>
    <row r="1016" spans="1:3" x14ac:dyDescent="0.25">
      <c r="A1016">
        <v>37</v>
      </c>
      <c r="B1016" t="str">
        <f>"8:53:40.354691"</f>
        <v>8:53:40.354691</v>
      </c>
      <c r="C1016">
        <v>-44</v>
      </c>
    </row>
    <row r="1017" spans="1:3" x14ac:dyDescent="0.25">
      <c r="A1017">
        <v>38</v>
      </c>
      <c r="B1017" t="str">
        <f>"8:53:40.355718"</f>
        <v>8:53:40.355718</v>
      </c>
      <c r="C1017">
        <v>-41</v>
      </c>
    </row>
    <row r="1018" spans="1:3" x14ac:dyDescent="0.25">
      <c r="A1018">
        <v>39</v>
      </c>
      <c r="B1018" t="str">
        <f>"8:53:40.356744"</f>
        <v>8:53:40.356744</v>
      </c>
      <c r="C1018">
        <v>-46</v>
      </c>
    </row>
    <row r="1019" spans="1:3" x14ac:dyDescent="0.25">
      <c r="A1019">
        <v>37</v>
      </c>
      <c r="B1019" t="str">
        <f>"8:53:40.711856"</f>
        <v>8:53:40.711856</v>
      </c>
      <c r="C1019">
        <v>-44</v>
      </c>
    </row>
    <row r="1020" spans="1:3" x14ac:dyDescent="0.25">
      <c r="A1020">
        <v>38</v>
      </c>
      <c r="B1020" t="str">
        <f>"8:53:40.712883"</f>
        <v>8:53:40.712883</v>
      </c>
      <c r="C1020">
        <v>-41</v>
      </c>
    </row>
    <row r="1021" spans="1:3" x14ac:dyDescent="0.25">
      <c r="A1021">
        <v>39</v>
      </c>
      <c r="B1021" t="str">
        <f>"8:53:40.713909"</f>
        <v>8:53:40.713909</v>
      </c>
      <c r="C1021">
        <v>-46</v>
      </c>
    </row>
    <row r="1022" spans="1:3" x14ac:dyDescent="0.25">
      <c r="A1022">
        <v>39</v>
      </c>
      <c r="B1022" t="str">
        <f>"8:53:40.714427"</f>
        <v>8:53:40.714427</v>
      </c>
      <c r="C1022">
        <v>-31</v>
      </c>
    </row>
    <row r="1023" spans="1:3" x14ac:dyDescent="0.25">
      <c r="A1023">
        <v>39</v>
      </c>
      <c r="B1023" t="str">
        <f>"8:53:40.714753"</f>
        <v>8:53:40.714753</v>
      </c>
      <c r="C1023">
        <v>-45</v>
      </c>
    </row>
    <row r="1024" spans="1:3" x14ac:dyDescent="0.25">
      <c r="A1024">
        <v>37</v>
      </c>
      <c r="B1024" t="str">
        <f>"8:53:41.064610"</f>
        <v>8:53:41.064610</v>
      </c>
      <c r="C1024">
        <v>-44</v>
      </c>
    </row>
    <row r="1025" spans="1:3" x14ac:dyDescent="0.25">
      <c r="A1025">
        <v>38</v>
      </c>
      <c r="B1025" t="str">
        <f>"8:53:41.065638"</f>
        <v>8:53:41.065638</v>
      </c>
      <c r="C1025">
        <v>-41</v>
      </c>
    </row>
    <row r="1026" spans="1:3" x14ac:dyDescent="0.25">
      <c r="A1026">
        <v>38</v>
      </c>
      <c r="B1026" t="str">
        <f>"8:53:41.066156"</f>
        <v>8:53:41.066156</v>
      </c>
      <c r="C1026">
        <v>-56</v>
      </c>
    </row>
    <row r="1027" spans="1:3" x14ac:dyDescent="0.25">
      <c r="A1027">
        <v>38</v>
      </c>
      <c r="B1027" t="str">
        <f>"8:53:41.066482"</f>
        <v>8:53:41.066482</v>
      </c>
      <c r="C1027">
        <v>-41</v>
      </c>
    </row>
    <row r="1028" spans="1:3" x14ac:dyDescent="0.25">
      <c r="A1028">
        <v>39</v>
      </c>
      <c r="B1028" t="str">
        <f>"8:53:41.067258"</f>
        <v>8:53:41.067258</v>
      </c>
      <c r="C1028">
        <v>-46</v>
      </c>
    </row>
    <row r="1029" spans="1:3" x14ac:dyDescent="0.25">
      <c r="A1029">
        <v>39</v>
      </c>
      <c r="B1029" t="str">
        <f>"8:53:41.067776"</f>
        <v>8:53:41.067776</v>
      </c>
      <c r="C1029">
        <v>-31</v>
      </c>
    </row>
    <row r="1030" spans="1:3" x14ac:dyDescent="0.25">
      <c r="A1030">
        <v>39</v>
      </c>
      <c r="B1030" t="str">
        <f>"8:53:41.068102"</f>
        <v>8:53:41.068102</v>
      </c>
      <c r="C1030">
        <v>-45</v>
      </c>
    </row>
    <row r="1031" spans="1:3" x14ac:dyDescent="0.25">
      <c r="A1031">
        <v>37</v>
      </c>
      <c r="B1031" t="str">
        <f>"8:53:41.418624"</f>
        <v>8:53:41.418624</v>
      </c>
      <c r="C1031">
        <v>-44</v>
      </c>
    </row>
    <row r="1032" spans="1:3" x14ac:dyDescent="0.25">
      <c r="A1032">
        <v>37</v>
      </c>
      <c r="B1032" t="str">
        <f>"8:53:41.419144"</f>
        <v>8:53:41.419144</v>
      </c>
      <c r="C1032">
        <v>-80</v>
      </c>
    </row>
    <row r="1033" spans="1:3" x14ac:dyDescent="0.25">
      <c r="A1033">
        <v>38</v>
      </c>
      <c r="B1033" t="str">
        <f>"8:53:41.419652"</f>
        <v>8:53:41.419652</v>
      </c>
      <c r="C1033">
        <v>-41</v>
      </c>
    </row>
    <row r="1034" spans="1:3" x14ac:dyDescent="0.25">
      <c r="A1034">
        <v>39</v>
      </c>
      <c r="B1034" t="str">
        <f>"8:53:41.420678"</f>
        <v>8:53:41.420678</v>
      </c>
      <c r="C1034">
        <v>-46</v>
      </c>
    </row>
    <row r="1035" spans="1:3" x14ac:dyDescent="0.25">
      <c r="A1035">
        <v>39</v>
      </c>
      <c r="B1035" t="str">
        <f>"8:53:41.421196"</f>
        <v>8:53:41.421196</v>
      </c>
      <c r="C1035">
        <v>-31</v>
      </c>
    </row>
    <row r="1036" spans="1:3" x14ac:dyDescent="0.25">
      <c r="A1036">
        <v>39</v>
      </c>
      <c r="B1036" t="str">
        <f>"8:53:41.421522"</f>
        <v>8:53:41.421522</v>
      </c>
      <c r="C1036">
        <v>-45</v>
      </c>
    </row>
    <row r="1037" spans="1:3" x14ac:dyDescent="0.25">
      <c r="A1037">
        <v>37</v>
      </c>
      <c r="B1037" t="str">
        <f>"8:53:41.769103"</f>
        <v>8:53:41.769103</v>
      </c>
      <c r="C1037">
        <v>-44</v>
      </c>
    </row>
    <row r="1038" spans="1:3" x14ac:dyDescent="0.25">
      <c r="A1038">
        <v>38</v>
      </c>
      <c r="B1038" t="str">
        <f>"8:53:41.770131"</f>
        <v>8:53:41.770131</v>
      </c>
      <c r="C1038">
        <v>-41</v>
      </c>
    </row>
    <row r="1039" spans="1:3" x14ac:dyDescent="0.25">
      <c r="A1039">
        <v>39</v>
      </c>
      <c r="B1039" t="str">
        <f>"8:53:41.771157"</f>
        <v>8:53:41.771157</v>
      </c>
      <c r="C1039">
        <v>-46</v>
      </c>
    </row>
    <row r="1040" spans="1:3" x14ac:dyDescent="0.25">
      <c r="A1040">
        <v>39</v>
      </c>
      <c r="B1040" t="str">
        <f>"8:53:41.771675"</f>
        <v>8:53:41.771675</v>
      </c>
      <c r="C1040">
        <v>-31</v>
      </c>
    </row>
    <row r="1041" spans="1:3" x14ac:dyDescent="0.25">
      <c r="A1041">
        <v>39</v>
      </c>
      <c r="B1041" t="str">
        <f>"8:53:41.772001"</f>
        <v>8:53:41.772001</v>
      </c>
      <c r="C1041">
        <v>-45</v>
      </c>
    </row>
    <row r="1042" spans="1:3" x14ac:dyDescent="0.25">
      <c r="A1042">
        <v>37</v>
      </c>
      <c r="B1042" t="str">
        <f>"8:53:42.120883"</f>
        <v>8:53:42.120883</v>
      </c>
      <c r="C1042">
        <v>-44</v>
      </c>
    </row>
    <row r="1043" spans="1:3" x14ac:dyDescent="0.25">
      <c r="A1043">
        <v>38</v>
      </c>
      <c r="B1043" t="str">
        <f>"8:53:42.121910"</f>
        <v>8:53:42.121910</v>
      </c>
      <c r="C1043">
        <v>-41</v>
      </c>
    </row>
    <row r="1044" spans="1:3" x14ac:dyDescent="0.25">
      <c r="A1044">
        <v>39</v>
      </c>
      <c r="B1044" t="str">
        <f>"8:53:42.122936"</f>
        <v>8:53:42.122936</v>
      </c>
      <c r="C1044">
        <v>-46</v>
      </c>
    </row>
    <row r="1045" spans="1:3" x14ac:dyDescent="0.25">
      <c r="A1045">
        <v>39</v>
      </c>
      <c r="B1045" t="str">
        <f>"8:53:42.123454"</f>
        <v>8:53:42.123454</v>
      </c>
      <c r="C1045">
        <v>-31</v>
      </c>
    </row>
    <row r="1046" spans="1:3" x14ac:dyDescent="0.25">
      <c r="A1046">
        <v>39</v>
      </c>
      <c r="B1046" t="str">
        <f>"8:53:42.123780"</f>
        <v>8:53:42.123780</v>
      </c>
      <c r="C1046">
        <v>-45</v>
      </c>
    </row>
    <row r="1047" spans="1:3" x14ac:dyDescent="0.25">
      <c r="A1047">
        <v>37</v>
      </c>
      <c r="B1047" t="str">
        <f>"8:53:42.474664"</f>
        <v>8:53:42.474664</v>
      </c>
      <c r="C1047">
        <v>-44</v>
      </c>
    </row>
    <row r="1048" spans="1:3" x14ac:dyDescent="0.25">
      <c r="A1048">
        <v>38</v>
      </c>
      <c r="B1048" t="str">
        <f>"8:53:42.475691"</f>
        <v>8:53:42.475691</v>
      </c>
      <c r="C1048">
        <v>-41</v>
      </c>
    </row>
    <row r="1049" spans="1:3" x14ac:dyDescent="0.25">
      <c r="A1049">
        <v>39</v>
      </c>
      <c r="B1049" t="str">
        <f>"8:53:42.476717"</f>
        <v>8:53:42.476717</v>
      </c>
      <c r="C1049">
        <v>-46</v>
      </c>
    </row>
    <row r="1050" spans="1:3" x14ac:dyDescent="0.25">
      <c r="A1050">
        <v>37</v>
      </c>
      <c r="B1050" t="str">
        <f>"8:53:42.829516"</f>
        <v>8:53:42.829516</v>
      </c>
      <c r="C1050">
        <v>-44</v>
      </c>
    </row>
    <row r="1051" spans="1:3" x14ac:dyDescent="0.25">
      <c r="A1051">
        <v>38</v>
      </c>
      <c r="B1051" t="str">
        <f>"8:53:42.830544"</f>
        <v>8:53:42.830544</v>
      </c>
      <c r="C1051">
        <v>-41</v>
      </c>
    </row>
    <row r="1052" spans="1:3" x14ac:dyDescent="0.25">
      <c r="A1052">
        <v>39</v>
      </c>
      <c r="B1052" t="str">
        <f>"8:53:42.831570"</f>
        <v>8:53:42.831570</v>
      </c>
      <c r="C1052">
        <v>-46</v>
      </c>
    </row>
    <row r="1053" spans="1:3" x14ac:dyDescent="0.25">
      <c r="A1053">
        <v>39</v>
      </c>
      <c r="B1053" t="str">
        <f>"8:53:42.832088"</f>
        <v>8:53:42.832088</v>
      </c>
      <c r="C1053">
        <v>-31</v>
      </c>
    </row>
    <row r="1054" spans="1:3" x14ac:dyDescent="0.25">
      <c r="A1054">
        <v>39</v>
      </c>
      <c r="B1054" t="str">
        <f>"8:53:42.832414"</f>
        <v>8:53:42.832414</v>
      </c>
      <c r="C1054">
        <v>-45</v>
      </c>
    </row>
    <row r="1055" spans="1:3" x14ac:dyDescent="0.25">
      <c r="A1055">
        <v>37</v>
      </c>
      <c r="B1055" t="str">
        <f>"8:53:43.186125"</f>
        <v>8:53:43.186125</v>
      </c>
      <c r="C1055">
        <v>-44</v>
      </c>
    </row>
    <row r="1056" spans="1:3" x14ac:dyDescent="0.25">
      <c r="A1056">
        <v>37</v>
      </c>
      <c r="B1056" t="str">
        <f>"8:53:43.186643"</f>
        <v>8:53:43.186643</v>
      </c>
      <c r="C1056">
        <v>-56</v>
      </c>
    </row>
    <row r="1057" spans="1:3" x14ac:dyDescent="0.25">
      <c r="A1057">
        <v>37</v>
      </c>
      <c r="B1057" t="str">
        <f>"8:53:43.186969"</f>
        <v>8:53:43.186969</v>
      </c>
      <c r="C1057">
        <v>-44</v>
      </c>
    </row>
    <row r="1058" spans="1:3" x14ac:dyDescent="0.25">
      <c r="A1058">
        <v>38</v>
      </c>
      <c r="B1058" t="str">
        <f>"8:53:43.187745"</f>
        <v>8:53:43.187745</v>
      </c>
      <c r="C1058">
        <v>-41</v>
      </c>
    </row>
    <row r="1059" spans="1:3" x14ac:dyDescent="0.25">
      <c r="A1059">
        <v>39</v>
      </c>
      <c r="B1059" t="str">
        <f>"8:53:43.188771"</f>
        <v>8:53:43.188771</v>
      </c>
      <c r="C1059">
        <v>-45</v>
      </c>
    </row>
    <row r="1060" spans="1:3" x14ac:dyDescent="0.25">
      <c r="A1060">
        <v>39</v>
      </c>
      <c r="B1060" t="str">
        <f>"8:53:43.189289"</f>
        <v>8:53:43.189289</v>
      </c>
      <c r="C1060">
        <v>-31</v>
      </c>
    </row>
    <row r="1061" spans="1:3" x14ac:dyDescent="0.25">
      <c r="A1061">
        <v>39</v>
      </c>
      <c r="B1061" t="str">
        <f>"8:53:43.189615"</f>
        <v>8:53:43.189615</v>
      </c>
      <c r="C1061">
        <v>-45</v>
      </c>
    </row>
    <row r="1062" spans="1:3" x14ac:dyDescent="0.25">
      <c r="A1062">
        <v>37</v>
      </c>
      <c r="B1062" t="str">
        <f>"8:53:43.544008"</f>
        <v>8:53:43.544008</v>
      </c>
      <c r="C1062">
        <v>-44</v>
      </c>
    </row>
    <row r="1063" spans="1:3" x14ac:dyDescent="0.25">
      <c r="A1063">
        <v>38</v>
      </c>
      <c r="B1063" t="str">
        <f>"8:53:43.545036"</f>
        <v>8:53:43.545036</v>
      </c>
      <c r="C1063">
        <v>-41</v>
      </c>
    </row>
    <row r="1064" spans="1:3" x14ac:dyDescent="0.25">
      <c r="A1064">
        <v>38</v>
      </c>
      <c r="B1064" t="str">
        <f>"8:53:43.545554"</f>
        <v>8:53:43.545554</v>
      </c>
      <c r="C1064">
        <v>-55</v>
      </c>
    </row>
    <row r="1065" spans="1:3" x14ac:dyDescent="0.25">
      <c r="A1065">
        <v>38</v>
      </c>
      <c r="B1065" t="str">
        <f>"8:53:43.545880"</f>
        <v>8:53:43.545880</v>
      </c>
      <c r="C1065">
        <v>-41</v>
      </c>
    </row>
    <row r="1066" spans="1:3" x14ac:dyDescent="0.25">
      <c r="A1066">
        <v>39</v>
      </c>
      <c r="B1066" t="str">
        <f>"8:53:43.546656"</f>
        <v>8:53:43.546656</v>
      </c>
      <c r="C1066">
        <v>-46</v>
      </c>
    </row>
    <row r="1067" spans="1:3" x14ac:dyDescent="0.25">
      <c r="A1067">
        <v>39</v>
      </c>
      <c r="B1067" t="str">
        <f>"8:53:43.547174"</f>
        <v>8:53:43.547174</v>
      </c>
      <c r="C1067">
        <v>-31</v>
      </c>
    </row>
    <row r="1068" spans="1:3" x14ac:dyDescent="0.25">
      <c r="A1068">
        <v>39</v>
      </c>
      <c r="B1068" t="str">
        <f>"8:53:43.547500"</f>
        <v>8:53:43.547500</v>
      </c>
      <c r="C1068">
        <v>-45</v>
      </c>
    </row>
    <row r="1069" spans="1:3" x14ac:dyDescent="0.25">
      <c r="A1069">
        <v>37</v>
      </c>
      <c r="B1069" t="str">
        <f>"8:53:43.894745"</f>
        <v>8:53:43.894745</v>
      </c>
      <c r="C1069">
        <v>-44</v>
      </c>
    </row>
    <row r="1070" spans="1:3" x14ac:dyDescent="0.25">
      <c r="A1070">
        <v>37</v>
      </c>
      <c r="B1070" t="str">
        <f>"8:53:43.895264"</f>
        <v>8:53:43.895264</v>
      </c>
      <c r="C1070">
        <v>-76</v>
      </c>
    </row>
    <row r="1071" spans="1:3" x14ac:dyDescent="0.25">
      <c r="A1071">
        <v>38</v>
      </c>
      <c r="B1071" t="str">
        <f>"8:53:43.895773"</f>
        <v>8:53:43.895773</v>
      </c>
      <c r="C1071">
        <v>-41</v>
      </c>
    </row>
    <row r="1072" spans="1:3" x14ac:dyDescent="0.25">
      <c r="A1072">
        <v>39</v>
      </c>
      <c r="B1072" t="str">
        <f>"8:53:43.896799"</f>
        <v>8:53:43.896799</v>
      </c>
      <c r="C1072">
        <v>-46</v>
      </c>
    </row>
    <row r="1073" spans="1:3" x14ac:dyDescent="0.25">
      <c r="A1073">
        <v>39</v>
      </c>
      <c r="B1073" t="str">
        <f>"8:53:43.897317"</f>
        <v>8:53:43.897317</v>
      </c>
      <c r="C1073">
        <v>-31</v>
      </c>
    </row>
    <row r="1074" spans="1:3" x14ac:dyDescent="0.25">
      <c r="A1074">
        <v>39</v>
      </c>
      <c r="B1074" t="str">
        <f>"8:53:43.897643"</f>
        <v>8:53:43.897643</v>
      </c>
      <c r="C1074">
        <v>-45</v>
      </c>
    </row>
    <row r="1075" spans="1:3" x14ac:dyDescent="0.25">
      <c r="A1075">
        <v>37</v>
      </c>
      <c r="B1075" t="str">
        <f>"8:53:44.247493"</f>
        <v>8:53:44.247493</v>
      </c>
      <c r="C1075">
        <v>-44</v>
      </c>
    </row>
    <row r="1076" spans="1:3" x14ac:dyDescent="0.25">
      <c r="A1076">
        <v>38</v>
      </c>
      <c r="B1076" t="str">
        <f>"8:53:44.248520"</f>
        <v>8:53:44.248520</v>
      </c>
      <c r="C1076">
        <v>-41</v>
      </c>
    </row>
    <row r="1077" spans="1:3" x14ac:dyDescent="0.25">
      <c r="A1077">
        <v>39</v>
      </c>
      <c r="B1077" t="str">
        <f>"8:53:44.249546"</f>
        <v>8:53:44.249546</v>
      </c>
      <c r="C1077">
        <v>-46</v>
      </c>
    </row>
    <row r="1078" spans="1:3" x14ac:dyDescent="0.25">
      <c r="A1078">
        <v>39</v>
      </c>
      <c r="B1078" t="str">
        <f>"8:53:44.250064"</f>
        <v>8:53:44.250064</v>
      </c>
      <c r="C1078">
        <v>-31</v>
      </c>
    </row>
    <row r="1079" spans="1:3" x14ac:dyDescent="0.25">
      <c r="A1079">
        <v>39</v>
      </c>
      <c r="B1079" t="str">
        <f>"8:53:44.250390"</f>
        <v>8:53:44.250390</v>
      </c>
      <c r="C1079">
        <v>-45</v>
      </c>
    </row>
    <row r="1080" spans="1:3" x14ac:dyDescent="0.25">
      <c r="A1080">
        <v>37</v>
      </c>
      <c r="B1080" t="str">
        <f>"8:53:44.602311"</f>
        <v>8:53:44.602311</v>
      </c>
      <c r="C1080">
        <v>-44</v>
      </c>
    </row>
    <row r="1081" spans="1:3" x14ac:dyDescent="0.25">
      <c r="A1081">
        <v>37</v>
      </c>
      <c r="B1081" t="str">
        <f>"8:53:44.602830"</f>
        <v>8:53:44.602830</v>
      </c>
      <c r="C1081">
        <v>-39</v>
      </c>
    </row>
    <row r="1082" spans="1:3" x14ac:dyDescent="0.25">
      <c r="A1082">
        <v>37</v>
      </c>
      <c r="B1082" t="str">
        <f>"8:53:44.603157"</f>
        <v>8:53:44.603157</v>
      </c>
      <c r="C1082">
        <v>-44</v>
      </c>
    </row>
    <row r="1083" spans="1:3" x14ac:dyDescent="0.25">
      <c r="A1083">
        <v>38</v>
      </c>
      <c r="B1083" t="str">
        <f>"8:53:44.603933"</f>
        <v>8:53:44.603933</v>
      </c>
      <c r="C1083">
        <v>-41</v>
      </c>
    </row>
    <row r="1084" spans="1:3" x14ac:dyDescent="0.25">
      <c r="A1084">
        <v>39</v>
      </c>
      <c r="B1084" t="str">
        <f>"8:53:44.604959"</f>
        <v>8:53:44.604959</v>
      </c>
      <c r="C1084">
        <v>-46</v>
      </c>
    </row>
    <row r="1085" spans="1:3" x14ac:dyDescent="0.25">
      <c r="A1085">
        <v>37</v>
      </c>
      <c r="B1085" t="str">
        <f>"8:53:44.961981"</f>
        <v>8:53:44.961981</v>
      </c>
      <c r="C1085">
        <v>-44</v>
      </c>
    </row>
    <row r="1086" spans="1:3" x14ac:dyDescent="0.25">
      <c r="A1086">
        <v>37</v>
      </c>
      <c r="B1086" t="str">
        <f>"8:53:44.962500"</f>
        <v>8:53:44.962500</v>
      </c>
      <c r="C1086">
        <v>-38</v>
      </c>
    </row>
    <row r="1087" spans="1:3" x14ac:dyDescent="0.25">
      <c r="A1087">
        <v>37</v>
      </c>
      <c r="B1087" t="str">
        <f>"8:53:44.962826"</f>
        <v>8:53:44.962826</v>
      </c>
      <c r="C1087">
        <v>-44</v>
      </c>
    </row>
    <row r="1088" spans="1:3" x14ac:dyDescent="0.25">
      <c r="A1088">
        <v>38</v>
      </c>
      <c r="B1088" t="str">
        <f>"8:53:44.963603"</f>
        <v>8:53:44.963603</v>
      </c>
      <c r="C1088">
        <v>-41</v>
      </c>
    </row>
    <row r="1089" spans="1:3" x14ac:dyDescent="0.25">
      <c r="A1089">
        <v>39</v>
      </c>
      <c r="B1089" t="str">
        <f>"8:53:44.964629"</f>
        <v>8:53:44.964629</v>
      </c>
      <c r="C1089">
        <v>-45</v>
      </c>
    </row>
    <row r="1090" spans="1:3" x14ac:dyDescent="0.25">
      <c r="A1090">
        <v>37</v>
      </c>
      <c r="B1090" t="str">
        <f>"8:53:45.317372"</f>
        <v>8:53:45.317372</v>
      </c>
      <c r="C1090">
        <v>-44</v>
      </c>
    </row>
    <row r="1091" spans="1:3" x14ac:dyDescent="0.25">
      <c r="A1091">
        <v>38</v>
      </c>
      <c r="B1091" t="str">
        <f>"8:53:45.318400"</f>
        <v>8:53:45.318400</v>
      </c>
      <c r="C1091">
        <v>-41</v>
      </c>
    </row>
    <row r="1092" spans="1:3" x14ac:dyDescent="0.25">
      <c r="A1092">
        <v>39</v>
      </c>
      <c r="B1092" t="str">
        <f>"8:53:45.319426"</f>
        <v>8:53:45.319426</v>
      </c>
      <c r="C1092">
        <v>-45</v>
      </c>
    </row>
    <row r="1093" spans="1:3" x14ac:dyDescent="0.25">
      <c r="A1093">
        <v>37</v>
      </c>
      <c r="B1093" t="str">
        <f>"8:53:45.675242"</f>
        <v>8:53:45.675242</v>
      </c>
      <c r="C1093">
        <v>-44</v>
      </c>
    </row>
    <row r="1094" spans="1:3" x14ac:dyDescent="0.25">
      <c r="A1094">
        <v>38</v>
      </c>
      <c r="B1094" t="str">
        <f>"8:53:45.676270"</f>
        <v>8:53:45.676270</v>
      </c>
      <c r="C1094">
        <v>-42</v>
      </c>
    </row>
    <row r="1095" spans="1:3" x14ac:dyDescent="0.25">
      <c r="A1095">
        <v>39</v>
      </c>
      <c r="B1095" t="str">
        <f>"8:53:45.677296"</f>
        <v>8:53:45.677296</v>
      </c>
      <c r="C1095">
        <v>-45</v>
      </c>
    </row>
    <row r="1096" spans="1:3" x14ac:dyDescent="0.25">
      <c r="A1096">
        <v>37</v>
      </c>
      <c r="B1096" t="str">
        <f>"8:53:46.026487"</f>
        <v>8:53:46.026487</v>
      </c>
      <c r="C1096">
        <v>-44</v>
      </c>
    </row>
    <row r="1097" spans="1:3" x14ac:dyDescent="0.25">
      <c r="A1097">
        <v>37</v>
      </c>
      <c r="B1097" t="str">
        <f>"8:53:46.027006"</f>
        <v>8:53:46.027006</v>
      </c>
      <c r="C1097">
        <v>-38</v>
      </c>
    </row>
    <row r="1098" spans="1:3" x14ac:dyDescent="0.25">
      <c r="A1098">
        <v>37</v>
      </c>
      <c r="B1098" t="str">
        <f>"8:53:46.027332"</f>
        <v>8:53:46.027332</v>
      </c>
      <c r="C1098">
        <v>-44</v>
      </c>
    </row>
    <row r="1099" spans="1:3" x14ac:dyDescent="0.25">
      <c r="A1099">
        <v>38</v>
      </c>
      <c r="B1099" t="str">
        <f>"8:53:46.028108"</f>
        <v>8:53:46.028108</v>
      </c>
      <c r="C1099">
        <v>-41</v>
      </c>
    </row>
    <row r="1100" spans="1:3" x14ac:dyDescent="0.25">
      <c r="A1100">
        <v>39</v>
      </c>
      <c r="B1100" t="str">
        <f>"8:53:46.029134"</f>
        <v>8:53:46.029134</v>
      </c>
      <c r="C1100">
        <v>-45</v>
      </c>
    </row>
    <row r="1101" spans="1:3" x14ac:dyDescent="0.25">
      <c r="A1101">
        <v>37</v>
      </c>
      <c r="B1101" t="str">
        <f>"8:53:46.381540"</f>
        <v>8:53:46.381540</v>
      </c>
      <c r="C1101">
        <v>-44</v>
      </c>
    </row>
    <row r="1102" spans="1:3" x14ac:dyDescent="0.25">
      <c r="A1102">
        <v>37</v>
      </c>
      <c r="B1102" t="str">
        <f>"8:53:46.382059"</f>
        <v>8:53:46.382059</v>
      </c>
      <c r="C1102">
        <v>-37</v>
      </c>
    </row>
    <row r="1103" spans="1:3" x14ac:dyDescent="0.25">
      <c r="A1103">
        <v>37</v>
      </c>
      <c r="B1103" t="str">
        <f>"8:53:46.382385"</f>
        <v>8:53:46.382385</v>
      </c>
      <c r="C1103">
        <v>-44</v>
      </c>
    </row>
    <row r="1104" spans="1:3" x14ac:dyDescent="0.25">
      <c r="A1104">
        <v>38</v>
      </c>
      <c r="B1104" t="str">
        <f>"8:53:46.383161"</f>
        <v>8:53:46.383161</v>
      </c>
      <c r="C1104">
        <v>-41</v>
      </c>
    </row>
    <row r="1105" spans="1:3" x14ac:dyDescent="0.25">
      <c r="A1105">
        <v>39</v>
      </c>
      <c r="B1105" t="str">
        <f>"8:53:46.384187"</f>
        <v>8:53:46.384187</v>
      </c>
      <c r="C1105">
        <v>-46</v>
      </c>
    </row>
    <row r="1106" spans="1:3" x14ac:dyDescent="0.25">
      <c r="A1106">
        <v>37</v>
      </c>
      <c r="B1106" t="str">
        <f>"8:53:46.738964"</f>
        <v>8:53:46.738964</v>
      </c>
      <c r="C1106">
        <v>-44</v>
      </c>
    </row>
    <row r="1107" spans="1:3" x14ac:dyDescent="0.25">
      <c r="A1107">
        <v>37</v>
      </c>
      <c r="B1107" t="str">
        <f>"8:53:46.739483"</f>
        <v>8:53:46.739483</v>
      </c>
      <c r="C1107">
        <v>-37</v>
      </c>
    </row>
    <row r="1108" spans="1:3" x14ac:dyDescent="0.25">
      <c r="A1108">
        <v>37</v>
      </c>
      <c r="B1108" t="str">
        <f>"8:53:46.739808"</f>
        <v>8:53:46.739808</v>
      </c>
      <c r="C1108">
        <v>-44</v>
      </c>
    </row>
    <row r="1109" spans="1:3" x14ac:dyDescent="0.25">
      <c r="A1109">
        <v>38</v>
      </c>
      <c r="B1109" t="str">
        <f>"8:53:46.740585"</f>
        <v>8:53:46.740585</v>
      </c>
      <c r="C1109">
        <v>-41</v>
      </c>
    </row>
    <row r="1110" spans="1:3" x14ac:dyDescent="0.25">
      <c r="A1110">
        <v>39</v>
      </c>
      <c r="B1110" t="str">
        <f>"8:53:46.741611"</f>
        <v>8:53:46.741611</v>
      </c>
      <c r="C1110">
        <v>-46</v>
      </c>
    </row>
    <row r="1111" spans="1:3" x14ac:dyDescent="0.25">
      <c r="A1111">
        <v>37</v>
      </c>
      <c r="B1111" t="str">
        <f>"8:53:47.090951"</f>
        <v>8:53:47.090951</v>
      </c>
      <c r="C1111">
        <v>-44</v>
      </c>
    </row>
    <row r="1112" spans="1:3" x14ac:dyDescent="0.25">
      <c r="A1112">
        <v>37</v>
      </c>
      <c r="B1112" t="str">
        <f>"8:53:47.091470"</f>
        <v>8:53:47.091470</v>
      </c>
      <c r="C1112">
        <v>-37</v>
      </c>
    </row>
    <row r="1113" spans="1:3" x14ac:dyDescent="0.25">
      <c r="A1113">
        <v>37</v>
      </c>
      <c r="B1113" t="str">
        <f>"8:53:47.091795"</f>
        <v>8:53:47.091795</v>
      </c>
      <c r="C1113">
        <v>-44</v>
      </c>
    </row>
    <row r="1114" spans="1:3" x14ac:dyDescent="0.25">
      <c r="A1114">
        <v>38</v>
      </c>
      <c r="B1114" t="str">
        <f>"8:53:47.092572"</f>
        <v>8:53:47.092572</v>
      </c>
      <c r="C1114">
        <v>-41</v>
      </c>
    </row>
    <row r="1115" spans="1:3" x14ac:dyDescent="0.25">
      <c r="A1115">
        <v>39</v>
      </c>
      <c r="B1115" t="str">
        <f>"8:53:47.093598"</f>
        <v>8:53:47.093598</v>
      </c>
      <c r="C1115">
        <v>-46</v>
      </c>
    </row>
    <row r="1116" spans="1:3" x14ac:dyDescent="0.25">
      <c r="A1116">
        <v>37</v>
      </c>
      <c r="B1116" t="str">
        <f>"8:53:47.441158"</f>
        <v>8:53:47.441158</v>
      </c>
      <c r="C1116">
        <v>-44</v>
      </c>
    </row>
    <row r="1117" spans="1:3" x14ac:dyDescent="0.25">
      <c r="A1117">
        <v>37</v>
      </c>
      <c r="B1117" t="str">
        <f>"8:53:47.441677"</f>
        <v>8:53:47.441677</v>
      </c>
      <c r="C1117">
        <v>-37</v>
      </c>
    </row>
    <row r="1118" spans="1:3" x14ac:dyDescent="0.25">
      <c r="A1118">
        <v>37</v>
      </c>
      <c r="B1118" t="str">
        <f>"8:53:47.442003"</f>
        <v>8:53:47.442003</v>
      </c>
      <c r="C1118">
        <v>-44</v>
      </c>
    </row>
    <row r="1119" spans="1:3" x14ac:dyDescent="0.25">
      <c r="A1119">
        <v>38</v>
      </c>
      <c r="B1119" t="str">
        <f>"8:53:47.442779"</f>
        <v>8:53:47.442779</v>
      </c>
      <c r="C1119">
        <v>-41</v>
      </c>
    </row>
    <row r="1120" spans="1:3" x14ac:dyDescent="0.25">
      <c r="A1120">
        <v>39</v>
      </c>
      <c r="B1120" t="str">
        <f>"8:53:47.443805"</f>
        <v>8:53:47.443805</v>
      </c>
      <c r="C1120">
        <v>-46</v>
      </c>
    </row>
    <row r="1121" spans="1:3" x14ac:dyDescent="0.25">
      <c r="A1121">
        <v>37</v>
      </c>
      <c r="B1121" t="str">
        <f>"8:53:47.793400"</f>
        <v>8:53:47.793400</v>
      </c>
      <c r="C1121">
        <v>-44</v>
      </c>
    </row>
    <row r="1122" spans="1:3" x14ac:dyDescent="0.25">
      <c r="A1122">
        <v>38</v>
      </c>
      <c r="B1122" t="str">
        <f>"8:53:47.794427"</f>
        <v>8:53:47.794427</v>
      </c>
      <c r="C1122">
        <v>-41</v>
      </c>
    </row>
    <row r="1123" spans="1:3" x14ac:dyDescent="0.25">
      <c r="A1123">
        <v>39</v>
      </c>
      <c r="B1123" t="str">
        <f>"8:53:47.795453"</f>
        <v>8:53:47.795453</v>
      </c>
      <c r="C1123">
        <v>-45</v>
      </c>
    </row>
    <row r="1124" spans="1:3" x14ac:dyDescent="0.25">
      <c r="A1124">
        <v>37</v>
      </c>
      <c r="B1124" t="str">
        <f>"8:53:48.147495"</f>
        <v>8:53:48.147495</v>
      </c>
      <c r="C1124">
        <v>-44</v>
      </c>
    </row>
    <row r="1125" spans="1:3" x14ac:dyDescent="0.25">
      <c r="A1125">
        <v>37</v>
      </c>
      <c r="B1125" t="str">
        <f>"8:53:48.148014"</f>
        <v>8:53:48.148014</v>
      </c>
      <c r="C1125">
        <v>-40</v>
      </c>
    </row>
    <row r="1126" spans="1:3" x14ac:dyDescent="0.25">
      <c r="A1126">
        <v>37</v>
      </c>
      <c r="B1126" t="str">
        <f>"8:53:48.148340"</f>
        <v>8:53:48.148340</v>
      </c>
      <c r="C1126">
        <v>-44</v>
      </c>
    </row>
    <row r="1127" spans="1:3" x14ac:dyDescent="0.25">
      <c r="A1127">
        <v>38</v>
      </c>
      <c r="B1127" t="str">
        <f>"8:53:48.149116"</f>
        <v>8:53:48.149116</v>
      </c>
      <c r="C1127">
        <v>-41</v>
      </c>
    </row>
    <row r="1128" spans="1:3" x14ac:dyDescent="0.25">
      <c r="A1128">
        <v>39</v>
      </c>
      <c r="B1128" t="str">
        <f>"8:53:48.150142"</f>
        <v>8:53:48.150142</v>
      </c>
      <c r="C1128">
        <v>-45</v>
      </c>
    </row>
    <row r="1129" spans="1:3" x14ac:dyDescent="0.25">
      <c r="A1129">
        <v>37</v>
      </c>
      <c r="B1129" t="str">
        <f>"8:53:48.504094"</f>
        <v>8:53:48.504094</v>
      </c>
      <c r="C1129">
        <v>-44</v>
      </c>
    </row>
    <row r="1130" spans="1:3" x14ac:dyDescent="0.25">
      <c r="A1130">
        <v>37</v>
      </c>
      <c r="B1130" t="str">
        <f>"8:53:48.504613"</f>
        <v>8:53:48.504613</v>
      </c>
      <c r="C1130">
        <v>-40</v>
      </c>
    </row>
    <row r="1131" spans="1:3" x14ac:dyDescent="0.25">
      <c r="A1131">
        <v>37</v>
      </c>
      <c r="B1131" t="str">
        <f>"8:53:48.504939"</f>
        <v>8:53:48.504939</v>
      </c>
      <c r="C1131">
        <v>-44</v>
      </c>
    </row>
    <row r="1132" spans="1:3" x14ac:dyDescent="0.25">
      <c r="A1132">
        <v>38</v>
      </c>
      <c r="B1132" t="str">
        <f>"8:53:48.505715"</f>
        <v>8:53:48.505715</v>
      </c>
      <c r="C1132">
        <v>-41</v>
      </c>
    </row>
    <row r="1133" spans="1:3" x14ac:dyDescent="0.25">
      <c r="A1133">
        <v>39</v>
      </c>
      <c r="B1133" t="str">
        <f>"8:53:48.506741"</f>
        <v>8:53:48.506741</v>
      </c>
      <c r="C1133">
        <v>-45</v>
      </c>
    </row>
    <row r="1134" spans="1:3" x14ac:dyDescent="0.25">
      <c r="A1134">
        <v>37</v>
      </c>
      <c r="B1134" t="str">
        <f>"8:53:48.855872"</f>
        <v>8:53:48.855872</v>
      </c>
      <c r="C1134">
        <v>-43</v>
      </c>
    </row>
    <row r="1135" spans="1:3" x14ac:dyDescent="0.25">
      <c r="A1135">
        <v>37</v>
      </c>
      <c r="B1135" t="str">
        <f>"8:53:48.856391"</f>
        <v>8:53:48.856391</v>
      </c>
      <c r="C1135">
        <v>-41</v>
      </c>
    </row>
    <row r="1136" spans="1:3" x14ac:dyDescent="0.25">
      <c r="A1136">
        <v>37</v>
      </c>
      <c r="B1136" t="str">
        <f>"8:53:48.856717"</f>
        <v>8:53:48.856717</v>
      </c>
      <c r="C1136">
        <v>-44</v>
      </c>
    </row>
    <row r="1137" spans="1:3" x14ac:dyDescent="0.25">
      <c r="A1137">
        <v>38</v>
      </c>
      <c r="B1137" t="str">
        <f>"8:53:48.857494"</f>
        <v>8:53:48.857494</v>
      </c>
      <c r="C1137">
        <v>-41</v>
      </c>
    </row>
    <row r="1138" spans="1:3" x14ac:dyDescent="0.25">
      <c r="A1138">
        <v>39</v>
      </c>
      <c r="B1138" t="str">
        <f>"8:53:48.858520"</f>
        <v>8:53:48.858520</v>
      </c>
      <c r="C1138">
        <v>-45</v>
      </c>
    </row>
    <row r="1139" spans="1:3" x14ac:dyDescent="0.25">
      <c r="A1139">
        <v>37</v>
      </c>
      <c r="B1139" t="str">
        <f>"8:53:49.208669"</f>
        <v>8:53:49.208669</v>
      </c>
      <c r="C1139">
        <v>-43</v>
      </c>
    </row>
    <row r="1140" spans="1:3" x14ac:dyDescent="0.25">
      <c r="A1140">
        <v>38</v>
      </c>
      <c r="B1140" t="str">
        <f>"8:53:49.209696"</f>
        <v>8:53:49.209696</v>
      </c>
      <c r="C1140">
        <v>-41</v>
      </c>
    </row>
    <row r="1141" spans="1:3" x14ac:dyDescent="0.25">
      <c r="A1141">
        <v>39</v>
      </c>
      <c r="B1141" t="str">
        <f>"8:53:49.210722"</f>
        <v>8:53:49.210722</v>
      </c>
      <c r="C1141">
        <v>-45</v>
      </c>
    </row>
    <row r="1142" spans="1:3" x14ac:dyDescent="0.25">
      <c r="A1142">
        <v>37</v>
      </c>
      <c r="B1142" t="str">
        <f>"8:53:49.565529"</f>
        <v>8:53:49.565529</v>
      </c>
      <c r="C1142">
        <v>-43</v>
      </c>
    </row>
    <row r="1143" spans="1:3" x14ac:dyDescent="0.25">
      <c r="A1143">
        <v>38</v>
      </c>
      <c r="B1143" t="str">
        <f>"8:53:49.566557"</f>
        <v>8:53:49.566557</v>
      </c>
      <c r="C1143">
        <v>-41</v>
      </c>
    </row>
    <row r="1144" spans="1:3" x14ac:dyDescent="0.25">
      <c r="A1144">
        <v>38</v>
      </c>
      <c r="B1144" t="str">
        <f>"8:53:49.567075"</f>
        <v>8:53:49.567075</v>
      </c>
      <c r="C1144">
        <v>-31</v>
      </c>
    </row>
    <row r="1145" spans="1:3" x14ac:dyDescent="0.25">
      <c r="A1145">
        <v>38</v>
      </c>
      <c r="B1145" t="str">
        <f>"8:53:49.567401"</f>
        <v>8:53:49.567401</v>
      </c>
      <c r="C1145">
        <v>-41</v>
      </c>
    </row>
    <row r="1146" spans="1:3" x14ac:dyDescent="0.25">
      <c r="A1146">
        <v>39</v>
      </c>
      <c r="B1146" t="str">
        <f>"8:53:49.568177"</f>
        <v>8:53:49.568177</v>
      </c>
      <c r="C1146">
        <v>-45</v>
      </c>
    </row>
    <row r="1147" spans="1:3" x14ac:dyDescent="0.25">
      <c r="A1147">
        <v>39</v>
      </c>
      <c r="B1147" t="str">
        <f>"8:53:49.568697"</f>
        <v>8:53:49.568697</v>
      </c>
      <c r="C1147">
        <v>-89</v>
      </c>
    </row>
    <row r="1148" spans="1:3" x14ac:dyDescent="0.25">
      <c r="A1148">
        <v>39</v>
      </c>
      <c r="B1148" t="str">
        <f>"8:53:49.569023"</f>
        <v>8:53:49.569023</v>
      </c>
      <c r="C1148">
        <v>-45</v>
      </c>
    </row>
    <row r="1149" spans="1:3" x14ac:dyDescent="0.25">
      <c r="A1149">
        <v>37</v>
      </c>
      <c r="B1149" t="str">
        <f>"8:53:49.923688"</f>
        <v>8:53:49.923688</v>
      </c>
      <c r="C1149">
        <v>-43</v>
      </c>
    </row>
    <row r="1150" spans="1:3" x14ac:dyDescent="0.25">
      <c r="A1150">
        <v>38</v>
      </c>
      <c r="B1150" t="str">
        <f>"8:53:49.924715"</f>
        <v>8:53:49.924715</v>
      </c>
      <c r="C1150">
        <v>-41</v>
      </c>
    </row>
    <row r="1151" spans="1:3" x14ac:dyDescent="0.25">
      <c r="A1151">
        <v>38</v>
      </c>
      <c r="B1151" t="str">
        <f>"8:53:49.925234"</f>
        <v>8:53:49.925234</v>
      </c>
      <c r="C1151">
        <v>-31</v>
      </c>
    </row>
    <row r="1152" spans="1:3" x14ac:dyDescent="0.25">
      <c r="A1152">
        <v>38</v>
      </c>
      <c r="B1152" t="str">
        <f>"8:53:49.925559"</f>
        <v>8:53:49.925559</v>
      </c>
      <c r="C1152">
        <v>-41</v>
      </c>
    </row>
    <row r="1153" spans="1:3" x14ac:dyDescent="0.25">
      <c r="A1153">
        <v>39</v>
      </c>
      <c r="B1153" t="str">
        <f>"8:53:49.926335"</f>
        <v>8:53:49.926335</v>
      </c>
      <c r="C1153">
        <v>-45</v>
      </c>
    </row>
    <row r="1154" spans="1:3" x14ac:dyDescent="0.25">
      <c r="A1154">
        <v>37</v>
      </c>
      <c r="B1154" t="str">
        <f>"8:53:50.276420"</f>
        <v>8:53:50.276420</v>
      </c>
      <c r="C1154">
        <v>-43</v>
      </c>
    </row>
    <row r="1155" spans="1:3" x14ac:dyDescent="0.25">
      <c r="A1155">
        <v>38</v>
      </c>
      <c r="B1155" t="str">
        <f>"8:53:50.277447"</f>
        <v>8:53:50.277447</v>
      </c>
      <c r="C1155">
        <v>-41</v>
      </c>
    </row>
    <row r="1156" spans="1:3" x14ac:dyDescent="0.25">
      <c r="A1156">
        <v>38</v>
      </c>
      <c r="B1156" t="str">
        <f>"8:53:50.277966"</f>
        <v>8:53:50.277966</v>
      </c>
      <c r="C1156">
        <v>-31</v>
      </c>
    </row>
    <row r="1157" spans="1:3" x14ac:dyDescent="0.25">
      <c r="A1157">
        <v>38</v>
      </c>
      <c r="B1157" t="str">
        <f>"8:53:50.278291"</f>
        <v>8:53:50.278291</v>
      </c>
      <c r="C1157">
        <v>-41</v>
      </c>
    </row>
    <row r="1158" spans="1:3" x14ac:dyDescent="0.25">
      <c r="A1158">
        <v>39</v>
      </c>
      <c r="B1158" t="str">
        <f>"8:53:50.279067"</f>
        <v>8:53:50.279067</v>
      </c>
      <c r="C1158">
        <v>-45</v>
      </c>
    </row>
    <row r="1159" spans="1:3" x14ac:dyDescent="0.25">
      <c r="A1159">
        <v>37</v>
      </c>
      <c r="B1159" t="str">
        <f>"8:53:50.635390"</f>
        <v>8:53:50.635390</v>
      </c>
      <c r="C1159">
        <v>-44</v>
      </c>
    </row>
    <row r="1160" spans="1:3" x14ac:dyDescent="0.25">
      <c r="A1160">
        <v>38</v>
      </c>
      <c r="B1160" t="str">
        <f>"8:53:50.636418"</f>
        <v>8:53:50.636418</v>
      </c>
      <c r="C1160">
        <v>-42</v>
      </c>
    </row>
    <row r="1161" spans="1:3" x14ac:dyDescent="0.25">
      <c r="A1161">
        <v>39</v>
      </c>
      <c r="B1161" t="str">
        <f>"8:53:50.637444"</f>
        <v>8:53:50.637444</v>
      </c>
      <c r="C1161">
        <v>-45</v>
      </c>
    </row>
    <row r="1162" spans="1:3" x14ac:dyDescent="0.25">
      <c r="A1162">
        <v>37</v>
      </c>
      <c r="B1162" t="str">
        <f>"8:53:50.993768"</f>
        <v>8:53:50.993768</v>
      </c>
      <c r="C1162">
        <v>-44</v>
      </c>
    </row>
    <row r="1163" spans="1:3" x14ac:dyDescent="0.25">
      <c r="A1163">
        <v>38</v>
      </c>
      <c r="B1163" t="str">
        <f>"8:53:50.994796"</f>
        <v>8:53:50.994796</v>
      </c>
      <c r="C1163">
        <v>-41</v>
      </c>
    </row>
    <row r="1164" spans="1:3" x14ac:dyDescent="0.25">
      <c r="A1164">
        <v>39</v>
      </c>
      <c r="B1164" t="str">
        <f>"8:53:50.995822"</f>
        <v>8:53:50.995822</v>
      </c>
      <c r="C1164">
        <v>-45</v>
      </c>
    </row>
    <row r="1165" spans="1:3" x14ac:dyDescent="0.25">
      <c r="A1165">
        <v>37</v>
      </c>
      <c r="B1165" t="str">
        <f>"8:53:51.346808"</f>
        <v>8:53:51.346808</v>
      </c>
      <c r="C1165">
        <v>-44</v>
      </c>
    </row>
    <row r="1166" spans="1:3" x14ac:dyDescent="0.25">
      <c r="A1166">
        <v>38</v>
      </c>
      <c r="B1166" t="str">
        <f>"8:53:51.347835"</f>
        <v>8:53:51.347835</v>
      </c>
      <c r="C1166">
        <v>-41</v>
      </c>
    </row>
    <row r="1167" spans="1:3" x14ac:dyDescent="0.25">
      <c r="A1167">
        <v>38</v>
      </c>
      <c r="B1167" t="str">
        <f>"8:53:51.348354"</f>
        <v>8:53:51.348354</v>
      </c>
      <c r="C1167">
        <v>-32</v>
      </c>
    </row>
    <row r="1168" spans="1:3" x14ac:dyDescent="0.25">
      <c r="A1168">
        <v>38</v>
      </c>
      <c r="B1168" t="str">
        <f>"8:53:51.348680"</f>
        <v>8:53:51.348680</v>
      </c>
      <c r="C1168">
        <v>-41</v>
      </c>
    </row>
    <row r="1169" spans="1:3" x14ac:dyDescent="0.25">
      <c r="A1169">
        <v>39</v>
      </c>
      <c r="B1169" t="str">
        <f>"8:53:51.349456"</f>
        <v>8:53:51.349456</v>
      </c>
      <c r="C1169">
        <v>-45</v>
      </c>
    </row>
    <row r="1170" spans="1:3" x14ac:dyDescent="0.25">
      <c r="A1170">
        <v>37</v>
      </c>
      <c r="B1170" t="str">
        <f>"8:53:51.699605"</f>
        <v>8:53:51.699605</v>
      </c>
      <c r="C1170">
        <v>-44</v>
      </c>
    </row>
    <row r="1171" spans="1:3" x14ac:dyDescent="0.25">
      <c r="A1171">
        <v>38</v>
      </c>
      <c r="B1171" t="str">
        <f>"8:53:51.700633"</f>
        <v>8:53:51.700633</v>
      </c>
      <c r="C1171">
        <v>-41</v>
      </c>
    </row>
    <row r="1172" spans="1:3" x14ac:dyDescent="0.25">
      <c r="A1172">
        <v>38</v>
      </c>
      <c r="B1172" t="str">
        <f>"8:53:51.701151"</f>
        <v>8:53:51.701151</v>
      </c>
      <c r="C1172">
        <v>-32</v>
      </c>
    </row>
    <row r="1173" spans="1:3" x14ac:dyDescent="0.25">
      <c r="A1173">
        <v>38</v>
      </c>
      <c r="B1173" t="str">
        <f>"8:53:51.701478"</f>
        <v>8:53:51.701478</v>
      </c>
      <c r="C1173">
        <v>-42</v>
      </c>
    </row>
    <row r="1174" spans="1:3" x14ac:dyDescent="0.25">
      <c r="A1174">
        <v>39</v>
      </c>
      <c r="B1174" t="str">
        <f>"8:53:51.702254"</f>
        <v>8:53:51.702254</v>
      </c>
      <c r="C1174">
        <v>-45</v>
      </c>
    </row>
    <row r="1175" spans="1:3" x14ac:dyDescent="0.25">
      <c r="A1175">
        <v>37</v>
      </c>
      <c r="B1175" t="str">
        <f>"8:53:52.053929"</f>
        <v>8:53:52.053929</v>
      </c>
      <c r="C1175">
        <v>-44</v>
      </c>
    </row>
    <row r="1176" spans="1:3" x14ac:dyDescent="0.25">
      <c r="A1176">
        <v>38</v>
      </c>
      <c r="B1176" t="str">
        <f>"8:53:52.054956"</f>
        <v>8:53:52.054956</v>
      </c>
      <c r="C1176">
        <v>-41</v>
      </c>
    </row>
    <row r="1177" spans="1:3" x14ac:dyDescent="0.25">
      <c r="A1177">
        <v>38</v>
      </c>
      <c r="B1177" t="str">
        <f>"8:53:52.055475"</f>
        <v>8:53:52.055475</v>
      </c>
      <c r="C1177">
        <v>-32</v>
      </c>
    </row>
    <row r="1178" spans="1:3" x14ac:dyDescent="0.25">
      <c r="A1178">
        <v>38</v>
      </c>
      <c r="B1178" t="str">
        <f>"8:53:52.055800"</f>
        <v>8:53:52.055800</v>
      </c>
      <c r="C1178">
        <v>-42</v>
      </c>
    </row>
    <row r="1179" spans="1:3" x14ac:dyDescent="0.25">
      <c r="A1179">
        <v>39</v>
      </c>
      <c r="B1179" t="str">
        <f>"8:53:52.056576"</f>
        <v>8:53:52.056576</v>
      </c>
      <c r="C1179">
        <v>-46</v>
      </c>
    </row>
    <row r="1180" spans="1:3" x14ac:dyDescent="0.25">
      <c r="A1180">
        <v>37</v>
      </c>
      <c r="B1180" t="str">
        <f>"8:53:52.410565"</f>
        <v>8:53:52.410565</v>
      </c>
      <c r="C1180">
        <v>-44</v>
      </c>
    </row>
    <row r="1181" spans="1:3" x14ac:dyDescent="0.25">
      <c r="A1181">
        <v>38</v>
      </c>
      <c r="B1181" t="str">
        <f>"8:53:52.411592"</f>
        <v>8:53:52.411592</v>
      </c>
      <c r="C1181">
        <v>-41</v>
      </c>
    </row>
    <row r="1182" spans="1:3" x14ac:dyDescent="0.25">
      <c r="A1182">
        <v>38</v>
      </c>
      <c r="B1182" t="str">
        <f>"8:53:52.412111"</f>
        <v>8:53:52.412111</v>
      </c>
      <c r="C1182">
        <v>-31</v>
      </c>
    </row>
    <row r="1183" spans="1:3" x14ac:dyDescent="0.25">
      <c r="A1183">
        <v>38</v>
      </c>
      <c r="B1183" t="str">
        <f>"8:53:52.412436"</f>
        <v>8:53:52.412436</v>
      </c>
      <c r="C1183">
        <v>-41</v>
      </c>
    </row>
    <row r="1184" spans="1:3" x14ac:dyDescent="0.25">
      <c r="A1184">
        <v>39</v>
      </c>
      <c r="B1184" t="str">
        <f>"8:53:52.413212"</f>
        <v>8:53:52.413212</v>
      </c>
      <c r="C1184">
        <v>-46</v>
      </c>
    </row>
    <row r="1185" spans="1:3" x14ac:dyDescent="0.25">
      <c r="A1185">
        <v>37</v>
      </c>
      <c r="B1185" t="str">
        <f>"8:53:52.761554"</f>
        <v>8:53:52.761554</v>
      </c>
      <c r="C1185">
        <v>-44</v>
      </c>
    </row>
    <row r="1186" spans="1:3" x14ac:dyDescent="0.25">
      <c r="A1186">
        <v>38</v>
      </c>
      <c r="B1186" t="str">
        <f>"8:53:52.762582"</f>
        <v>8:53:52.762582</v>
      </c>
      <c r="C1186">
        <v>-41</v>
      </c>
    </row>
    <row r="1187" spans="1:3" x14ac:dyDescent="0.25">
      <c r="A1187">
        <v>38</v>
      </c>
      <c r="B1187" t="str">
        <f>"8:53:52.763101"</f>
        <v>8:53:52.763101</v>
      </c>
      <c r="C1187">
        <v>-31</v>
      </c>
    </row>
    <row r="1188" spans="1:3" x14ac:dyDescent="0.25">
      <c r="A1188">
        <v>38</v>
      </c>
      <c r="B1188" t="str">
        <f>"8:53:52.763427"</f>
        <v>8:53:52.763427</v>
      </c>
      <c r="C1188">
        <v>-41</v>
      </c>
    </row>
    <row r="1189" spans="1:3" x14ac:dyDescent="0.25">
      <c r="A1189">
        <v>39</v>
      </c>
      <c r="B1189" t="str">
        <f>"8:53:52.764203"</f>
        <v>8:53:52.764203</v>
      </c>
      <c r="C1189">
        <v>-46</v>
      </c>
    </row>
    <row r="1190" spans="1:3" x14ac:dyDescent="0.25">
      <c r="A1190">
        <v>37</v>
      </c>
      <c r="B1190" t="str">
        <f>"8:53:53.114606"</f>
        <v>8:53:53.114606</v>
      </c>
      <c r="C1190">
        <v>-44</v>
      </c>
    </row>
    <row r="1191" spans="1:3" x14ac:dyDescent="0.25">
      <c r="A1191">
        <v>38</v>
      </c>
      <c r="B1191" t="str">
        <f>"8:53:53.115634"</f>
        <v>8:53:53.115634</v>
      </c>
      <c r="C1191">
        <v>-41</v>
      </c>
    </row>
    <row r="1192" spans="1:3" x14ac:dyDescent="0.25">
      <c r="A1192">
        <v>39</v>
      </c>
      <c r="B1192" t="str">
        <f>"8:53:53.116660"</f>
        <v>8:53:53.116660</v>
      </c>
      <c r="C1192">
        <v>-46</v>
      </c>
    </row>
    <row r="1193" spans="1:3" x14ac:dyDescent="0.25">
      <c r="A1193">
        <v>37</v>
      </c>
      <c r="B1193" t="str">
        <f>"8:53:53.468423"</f>
        <v>8:53:53.468423</v>
      </c>
      <c r="C1193">
        <v>-44</v>
      </c>
    </row>
    <row r="1194" spans="1:3" x14ac:dyDescent="0.25">
      <c r="A1194">
        <v>38</v>
      </c>
      <c r="B1194" t="str">
        <f>"8:53:53.469451"</f>
        <v>8:53:53.469451</v>
      </c>
      <c r="C1194">
        <v>-41</v>
      </c>
    </row>
    <row r="1195" spans="1:3" x14ac:dyDescent="0.25">
      <c r="A1195">
        <v>39</v>
      </c>
      <c r="B1195" t="str">
        <f>"8:53:53.470477"</f>
        <v>8:53:53.470477</v>
      </c>
      <c r="C1195">
        <v>-46</v>
      </c>
    </row>
    <row r="1196" spans="1:3" x14ac:dyDescent="0.25">
      <c r="A1196">
        <v>37</v>
      </c>
      <c r="B1196" t="str">
        <f>"8:53:53.822776"</f>
        <v>8:53:53.822776</v>
      </c>
      <c r="C1196">
        <v>-44</v>
      </c>
    </row>
    <row r="1197" spans="1:3" x14ac:dyDescent="0.25">
      <c r="A1197">
        <v>38</v>
      </c>
      <c r="B1197" t="str">
        <f>"8:53:53.823804"</f>
        <v>8:53:53.823804</v>
      </c>
      <c r="C1197">
        <v>-41</v>
      </c>
    </row>
    <row r="1198" spans="1:3" x14ac:dyDescent="0.25">
      <c r="A1198">
        <v>39</v>
      </c>
      <c r="B1198" t="str">
        <f>"8:53:53.824830"</f>
        <v>8:53:53.824830</v>
      </c>
      <c r="C1198">
        <v>-46</v>
      </c>
    </row>
    <row r="1199" spans="1:3" x14ac:dyDescent="0.25">
      <c r="A1199">
        <v>37</v>
      </c>
      <c r="B1199" t="str">
        <f>"8:53:54.182734"</f>
        <v>8:53:54.182734</v>
      </c>
      <c r="C1199">
        <v>-44</v>
      </c>
    </row>
    <row r="1200" spans="1:3" x14ac:dyDescent="0.25">
      <c r="A1200">
        <v>38</v>
      </c>
      <c r="B1200" t="str">
        <f>"8:53:54.183761"</f>
        <v>8:53:54.183761</v>
      </c>
      <c r="C1200">
        <v>-41</v>
      </c>
    </row>
    <row r="1201" spans="1:3" x14ac:dyDescent="0.25">
      <c r="A1201">
        <v>38</v>
      </c>
      <c r="B1201" t="str">
        <f>"8:53:54.184280"</f>
        <v>8:53:54.184280</v>
      </c>
      <c r="C1201">
        <v>-31</v>
      </c>
    </row>
    <row r="1202" spans="1:3" x14ac:dyDescent="0.25">
      <c r="A1202">
        <v>38</v>
      </c>
      <c r="B1202" t="str">
        <f>"8:53:54.184607"</f>
        <v>8:53:54.184607</v>
      </c>
      <c r="C1202">
        <v>-41</v>
      </c>
    </row>
    <row r="1203" spans="1:3" x14ac:dyDescent="0.25">
      <c r="A1203">
        <v>39</v>
      </c>
      <c r="B1203" t="str">
        <f>"8:53:54.185383"</f>
        <v>8:53:54.185383</v>
      </c>
      <c r="C1203">
        <v>-46</v>
      </c>
    </row>
    <row r="1204" spans="1:3" x14ac:dyDescent="0.25">
      <c r="A1204">
        <v>37</v>
      </c>
      <c r="B1204" t="str">
        <f>"8:53:54.535773"</f>
        <v>8:53:54.535773</v>
      </c>
      <c r="C1204">
        <v>-45</v>
      </c>
    </row>
    <row r="1205" spans="1:3" x14ac:dyDescent="0.25">
      <c r="A1205">
        <v>38</v>
      </c>
      <c r="B1205" t="str">
        <f>"8:53:54.536801"</f>
        <v>8:53:54.536801</v>
      </c>
      <c r="C1205">
        <v>-41</v>
      </c>
    </row>
    <row r="1206" spans="1:3" x14ac:dyDescent="0.25">
      <c r="A1206">
        <v>39</v>
      </c>
      <c r="B1206" t="str">
        <f>"8:53:54.537827"</f>
        <v>8:53:54.537827</v>
      </c>
      <c r="C1206">
        <v>-46</v>
      </c>
    </row>
    <row r="1207" spans="1:3" x14ac:dyDescent="0.25">
      <c r="A1207">
        <v>37</v>
      </c>
      <c r="B1207" t="str">
        <f>"8:53:54.895739"</f>
        <v>8:53:54.895739</v>
      </c>
      <c r="C1207">
        <v>-44</v>
      </c>
    </row>
    <row r="1208" spans="1:3" x14ac:dyDescent="0.25">
      <c r="A1208">
        <v>38</v>
      </c>
      <c r="B1208" t="str">
        <f>"8:53:54.896766"</f>
        <v>8:53:54.896766</v>
      </c>
      <c r="C1208">
        <v>-41</v>
      </c>
    </row>
    <row r="1209" spans="1:3" x14ac:dyDescent="0.25">
      <c r="A1209">
        <v>39</v>
      </c>
      <c r="B1209" t="str">
        <f>"8:53:54.897792"</f>
        <v>8:53:54.897792</v>
      </c>
      <c r="C1209">
        <v>-46</v>
      </c>
    </row>
    <row r="1210" spans="1:3" x14ac:dyDescent="0.25">
      <c r="A1210">
        <v>37</v>
      </c>
      <c r="B1210" t="str">
        <f>"8:53:55.249848"</f>
        <v>8:53:55.249848</v>
      </c>
      <c r="C1210">
        <v>-44</v>
      </c>
    </row>
    <row r="1211" spans="1:3" x14ac:dyDescent="0.25">
      <c r="A1211">
        <v>37</v>
      </c>
      <c r="B1211" t="str">
        <f>"8:53:55.250368"</f>
        <v>8:53:55.250368</v>
      </c>
      <c r="C1211">
        <v>-84</v>
      </c>
    </row>
    <row r="1212" spans="1:3" x14ac:dyDescent="0.25">
      <c r="A1212">
        <v>37</v>
      </c>
      <c r="B1212" t="str">
        <f>"8:53:55.250694"</f>
        <v>8:53:55.250694</v>
      </c>
      <c r="C1212">
        <v>-44</v>
      </c>
    </row>
    <row r="1213" spans="1:3" x14ac:dyDescent="0.25">
      <c r="A1213">
        <v>38</v>
      </c>
      <c r="B1213" t="str">
        <f>"8:53:55.251470"</f>
        <v>8:53:55.251470</v>
      </c>
      <c r="C1213">
        <v>-41</v>
      </c>
    </row>
    <row r="1214" spans="1:3" x14ac:dyDescent="0.25">
      <c r="A1214">
        <v>39</v>
      </c>
      <c r="B1214" t="str">
        <f>"8:53:55.252496"</f>
        <v>8:53:55.252496</v>
      </c>
      <c r="C1214">
        <v>-46</v>
      </c>
    </row>
    <row r="1215" spans="1:3" x14ac:dyDescent="0.25">
      <c r="A1215">
        <v>39</v>
      </c>
      <c r="B1215" t="str">
        <f>"8:53:55.253014"</f>
        <v>8:53:55.253014</v>
      </c>
      <c r="C1215">
        <v>-31</v>
      </c>
    </row>
    <row r="1216" spans="1:3" x14ac:dyDescent="0.25">
      <c r="A1216">
        <v>39</v>
      </c>
      <c r="B1216" t="str">
        <f>"8:53:55.253340"</f>
        <v>8:53:55.253340</v>
      </c>
      <c r="C1216">
        <v>-45</v>
      </c>
    </row>
    <row r="1217" spans="1:3" x14ac:dyDescent="0.25">
      <c r="A1217">
        <v>37</v>
      </c>
      <c r="B1217" t="str">
        <f>"8:53:55.604144"</f>
        <v>8:53:55.604144</v>
      </c>
      <c r="C1217">
        <v>-44</v>
      </c>
    </row>
    <row r="1218" spans="1:3" x14ac:dyDescent="0.25">
      <c r="A1218">
        <v>38</v>
      </c>
      <c r="B1218" t="str">
        <f>"8:53:55.605171"</f>
        <v>8:53:55.605171</v>
      </c>
      <c r="C1218">
        <v>-41</v>
      </c>
    </row>
    <row r="1219" spans="1:3" x14ac:dyDescent="0.25">
      <c r="A1219">
        <v>39</v>
      </c>
      <c r="B1219" t="str">
        <f>"8:53:55.606197"</f>
        <v>8:53:55.606197</v>
      </c>
      <c r="C1219">
        <v>-46</v>
      </c>
    </row>
    <row r="1220" spans="1:3" x14ac:dyDescent="0.25">
      <c r="A1220">
        <v>39</v>
      </c>
      <c r="B1220" t="str">
        <f>"8:53:55.606716"</f>
        <v>8:53:55.606716</v>
      </c>
      <c r="C1220">
        <v>-31</v>
      </c>
    </row>
    <row r="1221" spans="1:3" x14ac:dyDescent="0.25">
      <c r="A1221">
        <v>39</v>
      </c>
      <c r="B1221" t="str">
        <f>"8:53:55.607043"</f>
        <v>8:53:55.607043</v>
      </c>
      <c r="C1221">
        <v>-45</v>
      </c>
    </row>
    <row r="1222" spans="1:3" x14ac:dyDescent="0.25">
      <c r="A1222">
        <v>37</v>
      </c>
      <c r="B1222" t="str">
        <f>"8:53:55.957927"</f>
        <v>8:53:55.957927</v>
      </c>
      <c r="C1222">
        <v>-44</v>
      </c>
    </row>
    <row r="1223" spans="1:3" x14ac:dyDescent="0.25">
      <c r="A1223">
        <v>38</v>
      </c>
      <c r="B1223" t="str">
        <f>"8:53:55.958955"</f>
        <v>8:53:55.958955</v>
      </c>
      <c r="C1223">
        <v>-41</v>
      </c>
    </row>
    <row r="1224" spans="1:3" x14ac:dyDescent="0.25">
      <c r="A1224">
        <v>39</v>
      </c>
      <c r="B1224" t="str">
        <f>"8:53:55.959981"</f>
        <v>8:53:55.959981</v>
      </c>
      <c r="C1224">
        <v>-46</v>
      </c>
    </row>
    <row r="1225" spans="1:3" x14ac:dyDescent="0.25">
      <c r="A1225">
        <v>39</v>
      </c>
      <c r="B1225" t="str">
        <f>"8:53:55.960499"</f>
        <v>8:53:55.960499</v>
      </c>
      <c r="C1225">
        <v>-31</v>
      </c>
    </row>
    <row r="1226" spans="1:3" x14ac:dyDescent="0.25">
      <c r="A1226">
        <v>39</v>
      </c>
      <c r="B1226" t="str">
        <f>"8:53:55.960825"</f>
        <v>8:53:55.960825</v>
      </c>
      <c r="C1226">
        <v>-45</v>
      </c>
    </row>
    <row r="1227" spans="1:3" x14ac:dyDescent="0.25">
      <c r="A1227">
        <v>37</v>
      </c>
      <c r="B1227" t="str">
        <f>"8:53:56.315636"</f>
        <v>8:53:56.315636</v>
      </c>
      <c r="C1227">
        <v>-44</v>
      </c>
    </row>
    <row r="1228" spans="1:3" x14ac:dyDescent="0.25">
      <c r="A1228">
        <v>38</v>
      </c>
      <c r="B1228" t="str">
        <f>"8:53:56.316663"</f>
        <v>8:53:56.316663</v>
      </c>
      <c r="C1228">
        <v>-41</v>
      </c>
    </row>
    <row r="1229" spans="1:3" x14ac:dyDescent="0.25">
      <c r="A1229">
        <v>39</v>
      </c>
      <c r="B1229" t="str">
        <f>"8:53:56.317689"</f>
        <v>8:53:56.317689</v>
      </c>
      <c r="C1229">
        <v>-46</v>
      </c>
    </row>
    <row r="1230" spans="1:3" x14ac:dyDescent="0.25">
      <c r="A1230">
        <v>39</v>
      </c>
      <c r="B1230" t="str">
        <f>"8:53:56.318207"</f>
        <v>8:53:56.318207</v>
      </c>
      <c r="C1230">
        <v>-31</v>
      </c>
    </row>
    <row r="1231" spans="1:3" x14ac:dyDescent="0.25">
      <c r="A1231">
        <v>39</v>
      </c>
      <c r="B1231" t="str">
        <f>"8:53:56.318533"</f>
        <v>8:53:56.318533</v>
      </c>
      <c r="C1231">
        <v>-45</v>
      </c>
    </row>
    <row r="1232" spans="1:3" x14ac:dyDescent="0.25">
      <c r="A1232">
        <v>37</v>
      </c>
      <c r="B1232" t="str">
        <f>"8:53:56.671483"</f>
        <v>8:53:56.671483</v>
      </c>
      <c r="C1232">
        <v>-44</v>
      </c>
    </row>
    <row r="1233" spans="1:3" x14ac:dyDescent="0.25">
      <c r="A1233">
        <v>38</v>
      </c>
      <c r="B1233" t="str">
        <f>"8:53:56.672510"</f>
        <v>8:53:56.672510</v>
      </c>
      <c r="C1233">
        <v>-41</v>
      </c>
    </row>
    <row r="1234" spans="1:3" x14ac:dyDescent="0.25">
      <c r="A1234">
        <v>39</v>
      </c>
      <c r="B1234" t="str">
        <f>"8:53:56.673537"</f>
        <v>8:53:56.673537</v>
      </c>
      <c r="C1234">
        <v>-46</v>
      </c>
    </row>
    <row r="1235" spans="1:3" x14ac:dyDescent="0.25">
      <c r="A1235">
        <v>39</v>
      </c>
      <c r="B1235" t="str">
        <f>"8:53:56.674055"</f>
        <v>8:53:56.674055</v>
      </c>
      <c r="C1235">
        <v>-31</v>
      </c>
    </row>
    <row r="1236" spans="1:3" x14ac:dyDescent="0.25">
      <c r="A1236">
        <v>39</v>
      </c>
      <c r="B1236" t="str">
        <f>"8:53:56.674381"</f>
        <v>8:53:56.674381</v>
      </c>
      <c r="C1236">
        <v>-45</v>
      </c>
    </row>
    <row r="1237" spans="1:3" x14ac:dyDescent="0.25">
      <c r="A1237">
        <v>37</v>
      </c>
      <c r="B1237" t="str">
        <f>"8:53:57.027631"</f>
        <v>8:53:57.027631</v>
      </c>
      <c r="C1237">
        <v>-44</v>
      </c>
    </row>
    <row r="1238" spans="1:3" x14ac:dyDescent="0.25">
      <c r="A1238">
        <v>38</v>
      </c>
      <c r="B1238" t="str">
        <f>"8:53:57.028658"</f>
        <v>8:53:57.028658</v>
      </c>
      <c r="C1238">
        <v>-41</v>
      </c>
    </row>
    <row r="1239" spans="1:3" x14ac:dyDescent="0.25">
      <c r="A1239">
        <v>39</v>
      </c>
      <c r="B1239" t="str">
        <f>"8:53:57.029684"</f>
        <v>8:53:57.029684</v>
      </c>
      <c r="C1239">
        <v>-46</v>
      </c>
    </row>
    <row r="1240" spans="1:3" x14ac:dyDescent="0.25">
      <c r="A1240">
        <v>39</v>
      </c>
      <c r="B1240" t="str">
        <f>"8:53:57.030202"</f>
        <v>8:53:57.030202</v>
      </c>
      <c r="C1240">
        <v>-31</v>
      </c>
    </row>
    <row r="1241" spans="1:3" x14ac:dyDescent="0.25">
      <c r="A1241">
        <v>39</v>
      </c>
      <c r="B1241" t="str">
        <f>"8:53:57.030528"</f>
        <v>8:53:57.030528</v>
      </c>
      <c r="C1241">
        <v>-45</v>
      </c>
    </row>
    <row r="1242" spans="1:3" x14ac:dyDescent="0.25">
      <c r="A1242">
        <v>37</v>
      </c>
      <c r="B1242" t="str">
        <f>"8:53:57.385811"</f>
        <v>8:53:57.385811</v>
      </c>
      <c r="C1242">
        <v>-44</v>
      </c>
    </row>
    <row r="1243" spans="1:3" x14ac:dyDescent="0.25">
      <c r="A1243">
        <v>38</v>
      </c>
      <c r="B1243" t="str">
        <f>"8:53:57.386839"</f>
        <v>8:53:57.386839</v>
      </c>
      <c r="C1243">
        <v>-41</v>
      </c>
    </row>
    <row r="1244" spans="1:3" x14ac:dyDescent="0.25">
      <c r="A1244">
        <v>39</v>
      </c>
      <c r="B1244" t="str">
        <f>"8:53:57.387865"</f>
        <v>8:53:57.387865</v>
      </c>
      <c r="C1244">
        <v>-46</v>
      </c>
    </row>
    <row r="1245" spans="1:3" x14ac:dyDescent="0.25">
      <c r="A1245">
        <v>39</v>
      </c>
      <c r="B1245" t="str">
        <f>"8:53:57.388383"</f>
        <v>8:53:57.388383</v>
      </c>
      <c r="C1245">
        <v>-31</v>
      </c>
    </row>
    <row r="1246" spans="1:3" x14ac:dyDescent="0.25">
      <c r="A1246">
        <v>39</v>
      </c>
      <c r="B1246" t="str">
        <f>"8:53:57.388709"</f>
        <v>8:53:57.388709</v>
      </c>
      <c r="C1246">
        <v>-45</v>
      </c>
    </row>
    <row r="1247" spans="1:3" x14ac:dyDescent="0.25">
      <c r="A1247">
        <v>37</v>
      </c>
      <c r="B1247" t="str">
        <f>"8:53:57.738874"</f>
        <v>8:53:57.738874</v>
      </c>
      <c r="C1247">
        <v>-44</v>
      </c>
    </row>
    <row r="1248" spans="1:3" x14ac:dyDescent="0.25">
      <c r="A1248">
        <v>38</v>
      </c>
      <c r="B1248" t="str">
        <f>"8:53:57.739901"</f>
        <v>8:53:57.739901</v>
      </c>
      <c r="C1248">
        <v>-41</v>
      </c>
    </row>
    <row r="1249" spans="1:3" x14ac:dyDescent="0.25">
      <c r="A1249">
        <v>39</v>
      </c>
      <c r="B1249" t="str">
        <f>"8:53:57.740927"</f>
        <v>8:53:57.740927</v>
      </c>
      <c r="C1249">
        <v>-46</v>
      </c>
    </row>
    <row r="1250" spans="1:3" x14ac:dyDescent="0.25">
      <c r="A1250">
        <v>39</v>
      </c>
      <c r="B1250" t="str">
        <f>"8:53:57.741446"</f>
        <v>8:53:57.741446</v>
      </c>
      <c r="C1250">
        <v>-31</v>
      </c>
    </row>
    <row r="1251" spans="1:3" x14ac:dyDescent="0.25">
      <c r="A1251">
        <v>39</v>
      </c>
      <c r="B1251" t="str">
        <f>"8:53:57.741772"</f>
        <v>8:53:57.741772</v>
      </c>
      <c r="C1251">
        <v>-45</v>
      </c>
    </row>
    <row r="1252" spans="1:3" x14ac:dyDescent="0.25">
      <c r="A1252">
        <v>37</v>
      </c>
      <c r="B1252" t="str">
        <f>"8:53:58.095782"</f>
        <v>8:53:58.095782</v>
      </c>
      <c r="C1252">
        <v>-44</v>
      </c>
    </row>
    <row r="1253" spans="1:3" x14ac:dyDescent="0.25">
      <c r="A1253">
        <v>38</v>
      </c>
      <c r="B1253" t="str">
        <f>"8:53:58.096810"</f>
        <v>8:53:58.096810</v>
      </c>
      <c r="C1253">
        <v>-41</v>
      </c>
    </row>
    <row r="1254" spans="1:3" x14ac:dyDescent="0.25">
      <c r="A1254">
        <v>39</v>
      </c>
      <c r="B1254" t="str">
        <f>"8:53:58.097836"</f>
        <v>8:53:58.097836</v>
      </c>
      <c r="C1254">
        <v>-46</v>
      </c>
    </row>
    <row r="1255" spans="1:3" x14ac:dyDescent="0.25">
      <c r="A1255">
        <v>39</v>
      </c>
      <c r="B1255" t="str">
        <f>"8:53:58.098354"</f>
        <v>8:53:58.098354</v>
      </c>
      <c r="C1255">
        <v>-31</v>
      </c>
    </row>
    <row r="1256" spans="1:3" x14ac:dyDescent="0.25">
      <c r="A1256">
        <v>39</v>
      </c>
      <c r="B1256" t="str">
        <f>"8:53:58.098680"</f>
        <v>8:53:58.098680</v>
      </c>
      <c r="C1256">
        <v>-45</v>
      </c>
    </row>
    <row r="1257" spans="1:3" x14ac:dyDescent="0.25">
      <c r="A1257">
        <v>37</v>
      </c>
      <c r="B1257" t="str">
        <f>"8:53:58.446841"</f>
        <v>8:53:58.446841</v>
      </c>
      <c r="C1257">
        <v>-44</v>
      </c>
    </row>
    <row r="1258" spans="1:3" x14ac:dyDescent="0.25">
      <c r="A1258">
        <v>38</v>
      </c>
      <c r="B1258" t="str">
        <f>"8:53:58.447869"</f>
        <v>8:53:58.447869</v>
      </c>
      <c r="C1258">
        <v>-41</v>
      </c>
    </row>
    <row r="1259" spans="1:3" x14ac:dyDescent="0.25">
      <c r="A1259">
        <v>39</v>
      </c>
      <c r="B1259" t="str">
        <f>"8:53:58.448895"</f>
        <v>8:53:58.448895</v>
      </c>
      <c r="C1259">
        <v>-46</v>
      </c>
    </row>
    <row r="1260" spans="1:3" x14ac:dyDescent="0.25">
      <c r="A1260">
        <v>39</v>
      </c>
      <c r="B1260" t="str">
        <f>"8:53:58.449414"</f>
        <v>8:53:58.449414</v>
      </c>
      <c r="C1260">
        <v>-31</v>
      </c>
    </row>
    <row r="1261" spans="1:3" x14ac:dyDescent="0.25">
      <c r="A1261">
        <v>39</v>
      </c>
      <c r="B1261" t="str">
        <f>"8:53:58.449740"</f>
        <v>8:53:58.449740</v>
      </c>
      <c r="C1261">
        <v>-45</v>
      </c>
    </row>
    <row r="1262" spans="1:3" x14ac:dyDescent="0.25">
      <c r="A1262">
        <v>37</v>
      </c>
      <c r="B1262" t="str">
        <f>"8:53:58.805521"</f>
        <v>8:53:58.805521</v>
      </c>
      <c r="C1262">
        <v>-44</v>
      </c>
    </row>
    <row r="1263" spans="1:3" x14ac:dyDescent="0.25">
      <c r="A1263">
        <v>38</v>
      </c>
      <c r="B1263" t="str">
        <f>"8:53:58.806548"</f>
        <v>8:53:58.806548</v>
      </c>
      <c r="C1263">
        <v>-41</v>
      </c>
    </row>
    <row r="1264" spans="1:3" x14ac:dyDescent="0.25">
      <c r="A1264">
        <v>39</v>
      </c>
      <c r="B1264" t="str">
        <f>"8:53:58.807574"</f>
        <v>8:53:58.807574</v>
      </c>
      <c r="C1264">
        <v>-46</v>
      </c>
    </row>
    <row r="1265" spans="1:3" x14ac:dyDescent="0.25">
      <c r="A1265">
        <v>39</v>
      </c>
      <c r="B1265" t="str">
        <f>"8:53:58.808093"</f>
        <v>8:53:58.808093</v>
      </c>
      <c r="C1265">
        <v>-31</v>
      </c>
    </row>
    <row r="1266" spans="1:3" x14ac:dyDescent="0.25">
      <c r="A1266">
        <v>39</v>
      </c>
      <c r="B1266" t="str">
        <f>"8:53:58.808419"</f>
        <v>8:53:58.808419</v>
      </c>
      <c r="C1266">
        <v>-45</v>
      </c>
    </row>
    <row r="1267" spans="1:3" x14ac:dyDescent="0.25">
      <c r="A1267">
        <v>37</v>
      </c>
      <c r="B1267" t="str">
        <f>"8:53:59.165221"</f>
        <v>8:53:59.165221</v>
      </c>
      <c r="C1267">
        <v>-44</v>
      </c>
    </row>
    <row r="1268" spans="1:3" x14ac:dyDescent="0.25">
      <c r="A1268">
        <v>38</v>
      </c>
      <c r="B1268" t="str">
        <f>"8:53:59.166248"</f>
        <v>8:53:59.166248</v>
      </c>
      <c r="C1268">
        <v>-41</v>
      </c>
    </row>
    <row r="1269" spans="1:3" x14ac:dyDescent="0.25">
      <c r="A1269">
        <v>39</v>
      </c>
      <c r="B1269" t="str">
        <f>"8:53:59.167274"</f>
        <v>8:53:59.167274</v>
      </c>
      <c r="C1269">
        <v>-46</v>
      </c>
    </row>
    <row r="1270" spans="1:3" x14ac:dyDescent="0.25">
      <c r="A1270">
        <v>39</v>
      </c>
      <c r="B1270" t="str">
        <f>"8:53:59.167793"</f>
        <v>8:53:59.167793</v>
      </c>
      <c r="C1270">
        <v>-32</v>
      </c>
    </row>
    <row r="1271" spans="1:3" x14ac:dyDescent="0.25">
      <c r="A1271">
        <v>39</v>
      </c>
      <c r="B1271" t="str">
        <f>"8:53:59.168119"</f>
        <v>8:53:59.168119</v>
      </c>
      <c r="C1271">
        <v>-45</v>
      </c>
    </row>
    <row r="1272" spans="1:3" x14ac:dyDescent="0.25">
      <c r="A1272">
        <v>37</v>
      </c>
      <c r="B1272" t="str">
        <f>"8:53:59.520848"</f>
        <v>8:53:59.520848</v>
      </c>
      <c r="C1272">
        <v>-44</v>
      </c>
    </row>
    <row r="1273" spans="1:3" x14ac:dyDescent="0.25">
      <c r="A1273">
        <v>37</v>
      </c>
      <c r="B1273" t="str">
        <f>"8:53:59.521368"</f>
        <v>8:53:59.521368</v>
      </c>
      <c r="C1273">
        <v>-40</v>
      </c>
    </row>
    <row r="1274" spans="1:3" x14ac:dyDescent="0.25">
      <c r="A1274">
        <v>37</v>
      </c>
      <c r="B1274" t="str">
        <f>"8:53:59.521694"</f>
        <v>8:53:59.521694</v>
      </c>
      <c r="C1274">
        <v>-44</v>
      </c>
    </row>
    <row r="1275" spans="1:3" x14ac:dyDescent="0.25">
      <c r="A1275">
        <v>38</v>
      </c>
      <c r="B1275" t="str">
        <f>"8:53:59.522470"</f>
        <v>8:53:59.522470</v>
      </c>
      <c r="C1275">
        <v>-41</v>
      </c>
    </row>
    <row r="1276" spans="1:3" x14ac:dyDescent="0.25">
      <c r="A1276">
        <v>39</v>
      </c>
      <c r="B1276" t="str">
        <f>"8:53:59.523496"</f>
        <v>8:53:59.523496</v>
      </c>
      <c r="C1276">
        <v>-46</v>
      </c>
    </row>
    <row r="1277" spans="1:3" x14ac:dyDescent="0.25">
      <c r="A1277">
        <v>39</v>
      </c>
      <c r="B1277" t="str">
        <f>"8:53:59.524340"</f>
        <v>8:53:59.524340</v>
      </c>
      <c r="C1277">
        <v>-45</v>
      </c>
    </row>
    <row r="1278" spans="1:3" x14ac:dyDescent="0.25">
      <c r="A1278">
        <v>37</v>
      </c>
      <c r="B1278" t="str">
        <f>"8:53:59.875658"</f>
        <v>8:53:59.875658</v>
      </c>
      <c r="C1278">
        <v>-44</v>
      </c>
    </row>
    <row r="1279" spans="1:3" x14ac:dyDescent="0.25">
      <c r="A1279">
        <v>37</v>
      </c>
      <c r="B1279" t="str">
        <f>"8:53:59.876177"</f>
        <v>8:53:59.876177</v>
      </c>
      <c r="C1279">
        <v>-40</v>
      </c>
    </row>
    <row r="1280" spans="1:3" x14ac:dyDescent="0.25">
      <c r="A1280">
        <v>37</v>
      </c>
      <c r="B1280" t="str">
        <f>"8:53:59.876503"</f>
        <v>8:53:59.876503</v>
      </c>
      <c r="C1280">
        <v>-44</v>
      </c>
    </row>
    <row r="1281" spans="1:3" x14ac:dyDescent="0.25">
      <c r="A1281">
        <v>38</v>
      </c>
      <c r="B1281" t="str">
        <f>"8:53:59.877279"</f>
        <v>8:53:59.877279</v>
      </c>
      <c r="C1281">
        <v>-41</v>
      </c>
    </row>
    <row r="1282" spans="1:3" x14ac:dyDescent="0.25">
      <c r="A1282">
        <v>39</v>
      </c>
      <c r="B1282" t="str">
        <f>"8:53:59.878305"</f>
        <v>8:53:59.878305</v>
      </c>
      <c r="C1282">
        <v>-46</v>
      </c>
    </row>
    <row r="1283" spans="1:3" x14ac:dyDescent="0.25">
      <c r="A1283">
        <v>37</v>
      </c>
      <c r="B1283" t="str">
        <f>"8:54:00.232549"</f>
        <v>8:54:00.232549</v>
      </c>
      <c r="C1283">
        <v>-44</v>
      </c>
    </row>
    <row r="1284" spans="1:3" x14ac:dyDescent="0.25">
      <c r="A1284">
        <v>37</v>
      </c>
      <c r="B1284" t="str">
        <f>"8:54:00.233067"</f>
        <v>8:54:00.233067</v>
      </c>
      <c r="C1284">
        <v>-40</v>
      </c>
    </row>
    <row r="1285" spans="1:3" x14ac:dyDescent="0.25">
      <c r="A1285">
        <v>37</v>
      </c>
      <c r="B1285" t="str">
        <f>"8:54:00.233393"</f>
        <v>8:54:00.233393</v>
      </c>
      <c r="C1285">
        <v>-44</v>
      </c>
    </row>
    <row r="1286" spans="1:3" x14ac:dyDescent="0.25">
      <c r="A1286">
        <v>38</v>
      </c>
      <c r="B1286" t="str">
        <f>"8:54:00.234169"</f>
        <v>8:54:00.234169</v>
      </c>
      <c r="C1286">
        <v>-41</v>
      </c>
    </row>
    <row r="1287" spans="1:3" x14ac:dyDescent="0.25">
      <c r="A1287">
        <v>39</v>
      </c>
      <c r="B1287" t="str">
        <f>"8:54:00.235195"</f>
        <v>8:54:00.235195</v>
      </c>
      <c r="C1287">
        <v>-46</v>
      </c>
    </row>
    <row r="1288" spans="1:3" x14ac:dyDescent="0.25">
      <c r="A1288">
        <v>37</v>
      </c>
      <c r="B1288" t="str">
        <f>"8:54:00.587362"</f>
        <v>8:54:00.587362</v>
      </c>
      <c r="C1288">
        <v>-44</v>
      </c>
    </row>
    <row r="1289" spans="1:3" x14ac:dyDescent="0.25">
      <c r="A1289">
        <v>38</v>
      </c>
      <c r="B1289" t="str">
        <f>"8:54:00.588389"</f>
        <v>8:54:00.588389</v>
      </c>
      <c r="C1289">
        <v>-41</v>
      </c>
    </row>
    <row r="1290" spans="1:3" x14ac:dyDescent="0.25">
      <c r="A1290">
        <v>39</v>
      </c>
      <c r="B1290" t="str">
        <f>"8:54:00.589415"</f>
        <v>8:54:00.589415</v>
      </c>
      <c r="C1290">
        <v>-46</v>
      </c>
    </row>
    <row r="1291" spans="1:3" x14ac:dyDescent="0.25">
      <c r="A1291">
        <v>37</v>
      </c>
      <c r="B1291" t="str">
        <f>"8:54:00.941935"</f>
        <v>8:54:00.941935</v>
      </c>
      <c r="C1291">
        <v>-45</v>
      </c>
    </row>
    <row r="1292" spans="1:3" x14ac:dyDescent="0.25">
      <c r="A1292">
        <v>38</v>
      </c>
      <c r="B1292" t="str">
        <f>"8:54:00.942963"</f>
        <v>8:54:00.942963</v>
      </c>
      <c r="C1292">
        <v>-41</v>
      </c>
    </row>
    <row r="1293" spans="1:3" x14ac:dyDescent="0.25">
      <c r="A1293">
        <v>39</v>
      </c>
      <c r="B1293" t="str">
        <f>"8:54:00.943989"</f>
        <v>8:54:00.943989</v>
      </c>
      <c r="C1293">
        <v>-46</v>
      </c>
    </row>
    <row r="1294" spans="1:3" x14ac:dyDescent="0.25">
      <c r="A1294">
        <v>37</v>
      </c>
      <c r="B1294" t="str">
        <f>"8:54:01.296333"</f>
        <v>8:54:01.296333</v>
      </c>
      <c r="C1294">
        <v>-44</v>
      </c>
    </row>
    <row r="1295" spans="1:3" x14ac:dyDescent="0.25">
      <c r="A1295">
        <v>37</v>
      </c>
      <c r="B1295" t="str">
        <f>"8:54:01.296852"</f>
        <v>8:54:01.296852</v>
      </c>
      <c r="C1295">
        <v>-37</v>
      </c>
    </row>
    <row r="1296" spans="1:3" x14ac:dyDescent="0.25">
      <c r="A1296">
        <v>37</v>
      </c>
      <c r="B1296" t="str">
        <f>"8:54:01.297177"</f>
        <v>8:54:01.297177</v>
      </c>
      <c r="C1296">
        <v>-45</v>
      </c>
    </row>
    <row r="1297" spans="1:3" x14ac:dyDescent="0.25">
      <c r="A1297">
        <v>38</v>
      </c>
      <c r="B1297" t="str">
        <f>"8:54:01.297954"</f>
        <v>8:54:01.297954</v>
      </c>
      <c r="C1297">
        <v>-42</v>
      </c>
    </row>
    <row r="1298" spans="1:3" x14ac:dyDescent="0.25">
      <c r="A1298">
        <v>39</v>
      </c>
      <c r="B1298" t="str">
        <f>"8:54:01.298980"</f>
        <v>8:54:01.298980</v>
      </c>
      <c r="C1298">
        <v>-46</v>
      </c>
    </row>
    <row r="1299" spans="1:3" x14ac:dyDescent="0.25">
      <c r="A1299">
        <v>37</v>
      </c>
      <c r="B1299" t="str">
        <f>"8:54:01.651226"</f>
        <v>8:54:01.651226</v>
      </c>
      <c r="C1299">
        <v>-45</v>
      </c>
    </row>
    <row r="1300" spans="1:3" x14ac:dyDescent="0.25">
      <c r="A1300">
        <v>37</v>
      </c>
      <c r="B1300" t="str">
        <f>"8:54:01.651744"</f>
        <v>8:54:01.651744</v>
      </c>
      <c r="C1300">
        <v>-37</v>
      </c>
    </row>
    <row r="1301" spans="1:3" x14ac:dyDescent="0.25">
      <c r="A1301">
        <v>37</v>
      </c>
      <c r="B1301" t="str">
        <f>"8:54:01.652070"</f>
        <v>8:54:01.652070</v>
      </c>
      <c r="C1301">
        <v>-45</v>
      </c>
    </row>
    <row r="1302" spans="1:3" x14ac:dyDescent="0.25">
      <c r="A1302">
        <v>38</v>
      </c>
      <c r="B1302" t="str">
        <f>"8:54:01.652846"</f>
        <v>8:54:01.652846</v>
      </c>
      <c r="C1302">
        <v>-41</v>
      </c>
    </row>
    <row r="1303" spans="1:3" x14ac:dyDescent="0.25">
      <c r="A1303">
        <v>39</v>
      </c>
      <c r="B1303" t="str">
        <f>"8:54:01.653872"</f>
        <v>8:54:01.653872</v>
      </c>
      <c r="C1303">
        <v>-46</v>
      </c>
    </row>
    <row r="1304" spans="1:3" x14ac:dyDescent="0.25">
      <c r="A1304">
        <v>39</v>
      </c>
      <c r="B1304" t="str">
        <f>"8:54:01.654391"</f>
        <v>8:54:01.654391</v>
      </c>
      <c r="C1304">
        <v>-71</v>
      </c>
    </row>
    <row r="1305" spans="1:3" x14ac:dyDescent="0.25">
      <c r="A1305">
        <v>39</v>
      </c>
      <c r="B1305" t="str">
        <f>"8:54:01.654717"</f>
        <v>8:54:01.654717</v>
      </c>
      <c r="C1305">
        <v>-45</v>
      </c>
    </row>
    <row r="1306" spans="1:3" x14ac:dyDescent="0.25">
      <c r="A1306">
        <v>37</v>
      </c>
      <c r="B1306" t="str">
        <f>"8:54:02.007890"</f>
        <v>8:54:02.007890</v>
      </c>
      <c r="C1306">
        <v>-45</v>
      </c>
    </row>
    <row r="1307" spans="1:3" x14ac:dyDescent="0.25">
      <c r="A1307">
        <v>37</v>
      </c>
      <c r="B1307" t="str">
        <f>"8:54:02.008408"</f>
        <v>8:54:02.008408</v>
      </c>
      <c r="C1307">
        <v>-37</v>
      </c>
    </row>
    <row r="1308" spans="1:3" x14ac:dyDescent="0.25">
      <c r="A1308">
        <v>37</v>
      </c>
      <c r="B1308" t="str">
        <f>"8:54:02.008734"</f>
        <v>8:54:02.008734</v>
      </c>
      <c r="C1308">
        <v>-45</v>
      </c>
    </row>
    <row r="1309" spans="1:3" x14ac:dyDescent="0.25">
      <c r="A1309">
        <v>38</v>
      </c>
      <c r="B1309" t="str">
        <f>"8:54:02.009510"</f>
        <v>8:54:02.009510</v>
      </c>
      <c r="C1309">
        <v>-41</v>
      </c>
    </row>
    <row r="1310" spans="1:3" x14ac:dyDescent="0.25">
      <c r="A1310">
        <v>39</v>
      </c>
      <c r="B1310" t="str">
        <f>"8:54:02.010536"</f>
        <v>8:54:02.010536</v>
      </c>
      <c r="C1310">
        <v>-46</v>
      </c>
    </row>
    <row r="1311" spans="1:3" x14ac:dyDescent="0.25">
      <c r="A1311">
        <v>37</v>
      </c>
      <c r="B1311" t="str">
        <f>"8:54:02.366894"</f>
        <v>8:54:02.366894</v>
      </c>
      <c r="C1311">
        <v>-44</v>
      </c>
    </row>
    <row r="1312" spans="1:3" x14ac:dyDescent="0.25">
      <c r="A1312">
        <v>37</v>
      </c>
      <c r="B1312" t="str">
        <f>"8:54:02.367412"</f>
        <v>8:54:02.367412</v>
      </c>
      <c r="C1312">
        <v>-37</v>
      </c>
    </row>
    <row r="1313" spans="1:3" x14ac:dyDescent="0.25">
      <c r="A1313">
        <v>37</v>
      </c>
      <c r="B1313" t="str">
        <f>"8:54:02.367738"</f>
        <v>8:54:02.367738</v>
      </c>
      <c r="C1313">
        <v>-45</v>
      </c>
    </row>
    <row r="1314" spans="1:3" x14ac:dyDescent="0.25">
      <c r="A1314">
        <v>38</v>
      </c>
      <c r="B1314" t="str">
        <f>"8:54:02.368514"</f>
        <v>8:54:02.368514</v>
      </c>
      <c r="C1314">
        <v>-41</v>
      </c>
    </row>
    <row r="1315" spans="1:3" x14ac:dyDescent="0.25">
      <c r="A1315">
        <v>39</v>
      </c>
      <c r="B1315" t="str">
        <f>"8:54:02.369540"</f>
        <v>8:54:02.369540</v>
      </c>
      <c r="C1315">
        <v>-46</v>
      </c>
    </row>
    <row r="1316" spans="1:3" x14ac:dyDescent="0.25">
      <c r="A1316">
        <v>37</v>
      </c>
      <c r="B1316" t="str">
        <f>"8:54:02.722215"</f>
        <v>8:54:02.722215</v>
      </c>
      <c r="C1316">
        <v>-44</v>
      </c>
    </row>
    <row r="1317" spans="1:3" x14ac:dyDescent="0.25">
      <c r="A1317">
        <v>37</v>
      </c>
      <c r="B1317" t="str">
        <f>"8:54:02.722734"</f>
        <v>8:54:02.722734</v>
      </c>
      <c r="C1317">
        <v>-37</v>
      </c>
    </row>
    <row r="1318" spans="1:3" x14ac:dyDescent="0.25">
      <c r="A1318">
        <v>37</v>
      </c>
      <c r="B1318" t="str">
        <f>"8:54:02.723060"</f>
        <v>8:54:02.723060</v>
      </c>
      <c r="C1318">
        <v>-45</v>
      </c>
    </row>
    <row r="1319" spans="1:3" x14ac:dyDescent="0.25">
      <c r="A1319">
        <v>38</v>
      </c>
      <c r="B1319" t="str">
        <f>"8:54:02.723836"</f>
        <v>8:54:02.723836</v>
      </c>
      <c r="C1319">
        <v>-41</v>
      </c>
    </row>
    <row r="1320" spans="1:3" x14ac:dyDescent="0.25">
      <c r="A1320">
        <v>39</v>
      </c>
      <c r="B1320" t="str">
        <f>"8:54:02.724862"</f>
        <v>8:54:02.724862</v>
      </c>
      <c r="C1320">
        <v>-46</v>
      </c>
    </row>
    <row r="1321" spans="1:3" x14ac:dyDescent="0.25">
      <c r="A1321">
        <v>37</v>
      </c>
      <c r="B1321" t="str">
        <f>"8:54:03.076049"</f>
        <v>8:54:03.076049</v>
      </c>
      <c r="C1321">
        <v>-44</v>
      </c>
    </row>
    <row r="1322" spans="1:3" x14ac:dyDescent="0.25">
      <c r="A1322">
        <v>37</v>
      </c>
      <c r="B1322" t="str">
        <f>"8:54:03.076568"</f>
        <v>8:54:03.076568</v>
      </c>
      <c r="C1322">
        <v>-37</v>
      </c>
    </row>
    <row r="1323" spans="1:3" x14ac:dyDescent="0.25">
      <c r="A1323">
        <v>37</v>
      </c>
      <c r="B1323" t="str">
        <f>"8:54:03.076894"</f>
        <v>8:54:03.076894</v>
      </c>
      <c r="C1323">
        <v>-44</v>
      </c>
    </row>
    <row r="1324" spans="1:3" x14ac:dyDescent="0.25">
      <c r="A1324">
        <v>38</v>
      </c>
      <c r="B1324" t="str">
        <f>"8:54:03.077670"</f>
        <v>8:54:03.077670</v>
      </c>
      <c r="C1324">
        <v>-41</v>
      </c>
    </row>
    <row r="1325" spans="1:3" x14ac:dyDescent="0.25">
      <c r="A1325">
        <v>39</v>
      </c>
      <c r="B1325" t="str">
        <f>"8:54:03.078696"</f>
        <v>8:54:03.078696</v>
      </c>
      <c r="C1325">
        <v>-46</v>
      </c>
    </row>
    <row r="1326" spans="1:3" x14ac:dyDescent="0.25">
      <c r="A1326">
        <v>37</v>
      </c>
      <c r="B1326" t="str">
        <f>"8:54:03.432934"</f>
        <v>8:54:03.432934</v>
      </c>
      <c r="C1326">
        <v>-44</v>
      </c>
    </row>
    <row r="1327" spans="1:3" x14ac:dyDescent="0.25">
      <c r="A1327">
        <v>38</v>
      </c>
      <c r="B1327" t="str">
        <f>"8:54:03.433962"</f>
        <v>8:54:03.433962</v>
      </c>
      <c r="C1327">
        <v>-41</v>
      </c>
    </row>
    <row r="1328" spans="1:3" x14ac:dyDescent="0.25">
      <c r="A1328">
        <v>39</v>
      </c>
      <c r="B1328" t="str">
        <f>"8:54:03.434988"</f>
        <v>8:54:03.434988</v>
      </c>
      <c r="C1328">
        <v>-46</v>
      </c>
    </row>
    <row r="1329" spans="1:3" x14ac:dyDescent="0.25">
      <c r="A1329">
        <v>37</v>
      </c>
      <c r="B1329" t="str">
        <f>"8:54:03.784765"</f>
        <v>8:54:03.784765</v>
      </c>
      <c r="C1329">
        <v>-44</v>
      </c>
    </row>
    <row r="1330" spans="1:3" x14ac:dyDescent="0.25">
      <c r="A1330">
        <v>37</v>
      </c>
      <c r="B1330" t="str">
        <f>"8:54:03.785284"</f>
        <v>8:54:03.785284</v>
      </c>
      <c r="C1330">
        <v>-37</v>
      </c>
    </row>
    <row r="1331" spans="1:3" x14ac:dyDescent="0.25">
      <c r="A1331">
        <v>37</v>
      </c>
      <c r="B1331" t="str">
        <f>"8:54:03.785609"</f>
        <v>8:54:03.785609</v>
      </c>
      <c r="C1331">
        <v>-45</v>
      </c>
    </row>
    <row r="1332" spans="1:3" x14ac:dyDescent="0.25">
      <c r="A1332">
        <v>38</v>
      </c>
      <c r="B1332" t="str">
        <f>"8:54:03.786386"</f>
        <v>8:54:03.786386</v>
      </c>
      <c r="C1332">
        <v>-41</v>
      </c>
    </row>
    <row r="1333" spans="1:3" x14ac:dyDescent="0.25">
      <c r="A1333">
        <v>39</v>
      </c>
      <c r="B1333" t="str">
        <f>"8:54:03.787412"</f>
        <v>8:54:03.787412</v>
      </c>
      <c r="C1333">
        <v>-46</v>
      </c>
    </row>
    <row r="1334" spans="1:3" x14ac:dyDescent="0.25">
      <c r="A1334">
        <v>37</v>
      </c>
      <c r="B1334" t="str">
        <f>"8:54:04.140168"</f>
        <v>8:54:04.140168</v>
      </c>
      <c r="C1334">
        <v>-44</v>
      </c>
    </row>
    <row r="1335" spans="1:3" x14ac:dyDescent="0.25">
      <c r="A1335">
        <v>37</v>
      </c>
      <c r="B1335" t="str">
        <f>"8:54:04.140687"</f>
        <v>8:54:04.140687</v>
      </c>
      <c r="C1335">
        <v>-37</v>
      </c>
    </row>
    <row r="1336" spans="1:3" x14ac:dyDescent="0.25">
      <c r="A1336">
        <v>37</v>
      </c>
      <c r="B1336" t="str">
        <f>"8:54:04.141013"</f>
        <v>8:54:04.141013</v>
      </c>
      <c r="C1336">
        <v>-45</v>
      </c>
    </row>
    <row r="1337" spans="1:3" x14ac:dyDescent="0.25">
      <c r="A1337">
        <v>38</v>
      </c>
      <c r="B1337" t="str">
        <f>"8:54:04.141789"</f>
        <v>8:54:04.141789</v>
      </c>
      <c r="C1337">
        <v>-41</v>
      </c>
    </row>
    <row r="1338" spans="1:3" x14ac:dyDescent="0.25">
      <c r="A1338">
        <v>39</v>
      </c>
      <c r="B1338" t="str">
        <f>"8:54:04.142815"</f>
        <v>8:54:04.142815</v>
      </c>
      <c r="C1338">
        <v>-46</v>
      </c>
    </row>
    <row r="1339" spans="1:3" x14ac:dyDescent="0.25">
      <c r="A1339">
        <v>37</v>
      </c>
      <c r="B1339" t="str">
        <f>"8:54:04.499648"</f>
        <v>8:54:04.499648</v>
      </c>
      <c r="C1339">
        <v>-45</v>
      </c>
    </row>
    <row r="1340" spans="1:3" x14ac:dyDescent="0.25">
      <c r="A1340">
        <v>38</v>
      </c>
      <c r="B1340" t="str">
        <f>"8:54:04.500676"</f>
        <v>8:54:04.500676</v>
      </c>
      <c r="C1340">
        <v>-41</v>
      </c>
    </row>
    <row r="1341" spans="1:3" x14ac:dyDescent="0.25">
      <c r="A1341">
        <v>38</v>
      </c>
      <c r="B1341" t="str">
        <f>"8:54:04.501195"</f>
        <v>8:54:04.501195</v>
      </c>
      <c r="C1341">
        <v>-31</v>
      </c>
    </row>
    <row r="1342" spans="1:3" x14ac:dyDescent="0.25">
      <c r="A1342">
        <v>38</v>
      </c>
      <c r="B1342" t="str">
        <f>"8:54:04.501521"</f>
        <v>8:54:04.501521</v>
      </c>
      <c r="C1342">
        <v>-42</v>
      </c>
    </row>
    <row r="1343" spans="1:3" x14ac:dyDescent="0.25">
      <c r="A1343">
        <v>39</v>
      </c>
      <c r="B1343" t="str">
        <f>"8:54:04.502297"</f>
        <v>8:54:04.502297</v>
      </c>
      <c r="C1343">
        <v>-46</v>
      </c>
    </row>
    <row r="1344" spans="1:3" x14ac:dyDescent="0.25">
      <c r="A1344">
        <v>37</v>
      </c>
      <c r="B1344" t="str">
        <f>"8:54:04.857326"</f>
        <v>8:54:04.857326</v>
      </c>
      <c r="C1344">
        <v>-44</v>
      </c>
    </row>
    <row r="1345" spans="1:3" x14ac:dyDescent="0.25">
      <c r="A1345">
        <v>38</v>
      </c>
      <c r="B1345" t="str">
        <f>"8:54:04.858354"</f>
        <v>8:54:04.858354</v>
      </c>
      <c r="C1345">
        <v>-41</v>
      </c>
    </row>
    <row r="1346" spans="1:3" x14ac:dyDescent="0.25">
      <c r="A1346">
        <v>38</v>
      </c>
      <c r="B1346" t="str">
        <f>"8:54:04.858873"</f>
        <v>8:54:04.858873</v>
      </c>
      <c r="C1346">
        <v>-32</v>
      </c>
    </row>
    <row r="1347" spans="1:3" x14ac:dyDescent="0.25">
      <c r="A1347">
        <v>38</v>
      </c>
      <c r="B1347" t="str">
        <f>"8:54:04.859199"</f>
        <v>8:54:04.859199</v>
      </c>
      <c r="C1347">
        <v>-41</v>
      </c>
    </row>
    <row r="1348" spans="1:3" x14ac:dyDescent="0.25">
      <c r="A1348">
        <v>39</v>
      </c>
      <c r="B1348" t="str">
        <f>"8:54:04.859975"</f>
        <v>8:54:04.859975</v>
      </c>
      <c r="C1348">
        <v>-46</v>
      </c>
    </row>
    <row r="1349" spans="1:3" x14ac:dyDescent="0.25">
      <c r="A1349">
        <v>37</v>
      </c>
      <c r="B1349" t="str">
        <f>"8:54:05.208120"</f>
        <v>8:54:05.208120</v>
      </c>
      <c r="C1349">
        <v>-44</v>
      </c>
    </row>
    <row r="1350" spans="1:3" x14ac:dyDescent="0.25">
      <c r="A1350">
        <v>38</v>
      </c>
      <c r="B1350" t="str">
        <f>"8:54:05.209148"</f>
        <v>8:54:05.209148</v>
      </c>
      <c r="C1350">
        <v>-41</v>
      </c>
    </row>
    <row r="1351" spans="1:3" x14ac:dyDescent="0.25">
      <c r="A1351">
        <v>38</v>
      </c>
      <c r="B1351" t="str">
        <f>"8:54:05.209667"</f>
        <v>8:54:05.209667</v>
      </c>
      <c r="C1351">
        <v>-32</v>
      </c>
    </row>
    <row r="1352" spans="1:3" x14ac:dyDescent="0.25">
      <c r="A1352">
        <v>38</v>
      </c>
      <c r="B1352" t="str">
        <f>"8:54:05.209993"</f>
        <v>8:54:05.209993</v>
      </c>
      <c r="C1352">
        <v>-41</v>
      </c>
    </row>
    <row r="1353" spans="1:3" x14ac:dyDescent="0.25">
      <c r="A1353">
        <v>39</v>
      </c>
      <c r="B1353" t="str">
        <f>"8:54:05.210769"</f>
        <v>8:54:05.210769</v>
      </c>
      <c r="C1353">
        <v>-46</v>
      </c>
    </row>
    <row r="1354" spans="1:3" x14ac:dyDescent="0.25">
      <c r="A1354">
        <v>37</v>
      </c>
      <c r="B1354" t="str">
        <f>"8:54:05.566606"</f>
        <v>8:54:05.566606</v>
      </c>
      <c r="C1354">
        <v>-44</v>
      </c>
    </row>
    <row r="1355" spans="1:3" x14ac:dyDescent="0.25">
      <c r="A1355">
        <v>38</v>
      </c>
      <c r="B1355" t="str">
        <f>"8:54:05.567634"</f>
        <v>8:54:05.567634</v>
      </c>
      <c r="C1355">
        <v>-41</v>
      </c>
    </row>
    <row r="1356" spans="1:3" x14ac:dyDescent="0.25">
      <c r="A1356">
        <v>38</v>
      </c>
      <c r="B1356" t="str">
        <f>"8:54:05.568153"</f>
        <v>8:54:05.568153</v>
      </c>
      <c r="C1356">
        <v>-32</v>
      </c>
    </row>
    <row r="1357" spans="1:3" x14ac:dyDescent="0.25">
      <c r="A1357">
        <v>38</v>
      </c>
      <c r="B1357" t="str">
        <f>"8:54:05.568479"</f>
        <v>8:54:05.568479</v>
      </c>
      <c r="C1357">
        <v>-41</v>
      </c>
    </row>
    <row r="1358" spans="1:3" x14ac:dyDescent="0.25">
      <c r="A1358">
        <v>39</v>
      </c>
      <c r="B1358" t="str">
        <f>"8:54:05.569255"</f>
        <v>8:54:05.569255</v>
      </c>
      <c r="C1358">
        <v>-45</v>
      </c>
    </row>
    <row r="1359" spans="1:3" x14ac:dyDescent="0.25">
      <c r="A1359">
        <v>37</v>
      </c>
      <c r="B1359" t="str">
        <f>"8:54:05.924532"</f>
        <v>8:54:05.924532</v>
      </c>
      <c r="C1359">
        <v>-44</v>
      </c>
    </row>
    <row r="1360" spans="1:3" x14ac:dyDescent="0.25">
      <c r="A1360">
        <v>38</v>
      </c>
      <c r="B1360" t="str">
        <f>"8:54:05.925559"</f>
        <v>8:54:05.925559</v>
      </c>
      <c r="C1360">
        <v>-41</v>
      </c>
    </row>
    <row r="1361" spans="1:3" x14ac:dyDescent="0.25">
      <c r="A1361">
        <v>38</v>
      </c>
      <c r="B1361" t="str">
        <f>"8:54:05.926078"</f>
        <v>8:54:05.926078</v>
      </c>
      <c r="C1361">
        <v>-31</v>
      </c>
    </row>
    <row r="1362" spans="1:3" x14ac:dyDescent="0.25">
      <c r="A1362">
        <v>38</v>
      </c>
      <c r="B1362" t="str">
        <f>"8:54:05.926403"</f>
        <v>8:54:05.926403</v>
      </c>
      <c r="C1362">
        <v>-41</v>
      </c>
    </row>
    <row r="1363" spans="1:3" x14ac:dyDescent="0.25">
      <c r="A1363">
        <v>39</v>
      </c>
      <c r="B1363" t="str">
        <f>"8:54:05.927179"</f>
        <v>8:54:05.927179</v>
      </c>
      <c r="C1363">
        <v>-45</v>
      </c>
    </row>
    <row r="1364" spans="1:3" x14ac:dyDescent="0.25">
      <c r="A1364">
        <v>37</v>
      </c>
      <c r="B1364" t="str">
        <f>"8:54:06.284474"</f>
        <v>8:54:06.284474</v>
      </c>
      <c r="C1364">
        <v>-44</v>
      </c>
    </row>
    <row r="1365" spans="1:3" x14ac:dyDescent="0.25">
      <c r="A1365">
        <v>38</v>
      </c>
      <c r="B1365" t="str">
        <f>"8:54:06.285502"</f>
        <v>8:54:06.285502</v>
      </c>
      <c r="C1365">
        <v>-41</v>
      </c>
    </row>
    <row r="1366" spans="1:3" x14ac:dyDescent="0.25">
      <c r="A1366">
        <v>38</v>
      </c>
      <c r="B1366" t="str">
        <f>"8:54:06.286020"</f>
        <v>8:54:06.286020</v>
      </c>
      <c r="C1366">
        <v>-32</v>
      </c>
    </row>
    <row r="1367" spans="1:3" x14ac:dyDescent="0.25">
      <c r="A1367">
        <v>38</v>
      </c>
      <c r="B1367" t="str">
        <f>"8:54:06.286347"</f>
        <v>8:54:06.286347</v>
      </c>
      <c r="C1367">
        <v>-41</v>
      </c>
    </row>
    <row r="1368" spans="1:3" x14ac:dyDescent="0.25">
      <c r="A1368">
        <v>39</v>
      </c>
      <c r="B1368" t="str">
        <f>"8:54:06.287123"</f>
        <v>8:54:06.287123</v>
      </c>
      <c r="C1368">
        <v>-46</v>
      </c>
    </row>
    <row r="1369" spans="1:3" x14ac:dyDescent="0.25">
      <c r="A1369">
        <v>37</v>
      </c>
      <c r="B1369" t="str">
        <f>"8:54:06.637571"</f>
        <v>8:54:06.637571</v>
      </c>
      <c r="C1369">
        <v>-44</v>
      </c>
    </row>
    <row r="1370" spans="1:3" x14ac:dyDescent="0.25">
      <c r="A1370">
        <v>38</v>
      </c>
      <c r="B1370" t="str">
        <f>"8:54:06.638598"</f>
        <v>8:54:06.638598</v>
      </c>
      <c r="C1370">
        <v>-41</v>
      </c>
    </row>
    <row r="1371" spans="1:3" x14ac:dyDescent="0.25">
      <c r="A1371">
        <v>38</v>
      </c>
      <c r="B1371" t="str">
        <f>"8:54:06.639116"</f>
        <v>8:54:06.639116</v>
      </c>
      <c r="C1371">
        <v>-31</v>
      </c>
    </row>
    <row r="1372" spans="1:3" x14ac:dyDescent="0.25">
      <c r="A1372">
        <v>38</v>
      </c>
      <c r="B1372" t="str">
        <f>"8:54:06.639442"</f>
        <v>8:54:06.639442</v>
      </c>
      <c r="C1372">
        <v>-41</v>
      </c>
    </row>
    <row r="1373" spans="1:3" x14ac:dyDescent="0.25">
      <c r="A1373">
        <v>39</v>
      </c>
      <c r="B1373" t="str">
        <f>"8:54:06.640218"</f>
        <v>8:54:06.640218</v>
      </c>
      <c r="C1373">
        <v>-46</v>
      </c>
    </row>
    <row r="1374" spans="1:3" x14ac:dyDescent="0.25">
      <c r="A1374">
        <v>37</v>
      </c>
      <c r="B1374" t="str">
        <f>"8:54:06.994187"</f>
        <v>8:54:06.994187</v>
      </c>
      <c r="C1374">
        <v>-44</v>
      </c>
    </row>
    <row r="1375" spans="1:3" x14ac:dyDescent="0.25">
      <c r="A1375">
        <v>38</v>
      </c>
      <c r="B1375" t="str">
        <f>"8:54:06.995215"</f>
        <v>8:54:06.995215</v>
      </c>
      <c r="C1375">
        <v>-41</v>
      </c>
    </row>
    <row r="1376" spans="1:3" x14ac:dyDescent="0.25">
      <c r="A1376">
        <v>38</v>
      </c>
      <c r="B1376" t="str">
        <f>"8:54:06.995733"</f>
        <v>8:54:06.995733</v>
      </c>
      <c r="C1376">
        <v>-32</v>
      </c>
    </row>
    <row r="1377" spans="1:3" x14ac:dyDescent="0.25">
      <c r="A1377">
        <v>38</v>
      </c>
      <c r="B1377" t="str">
        <f>"8:54:06.996060"</f>
        <v>8:54:06.996060</v>
      </c>
      <c r="C1377">
        <v>-41</v>
      </c>
    </row>
    <row r="1378" spans="1:3" x14ac:dyDescent="0.25">
      <c r="A1378">
        <v>39</v>
      </c>
      <c r="B1378" t="str">
        <f>"8:54:06.996836"</f>
        <v>8:54:06.996836</v>
      </c>
      <c r="C1378">
        <v>-45</v>
      </c>
    </row>
    <row r="1379" spans="1:3" x14ac:dyDescent="0.25">
      <c r="A1379">
        <v>37</v>
      </c>
      <c r="B1379" t="str">
        <f>"8:54:07.348230"</f>
        <v>8:54:07.348230</v>
      </c>
      <c r="C1379">
        <v>-44</v>
      </c>
    </row>
    <row r="1380" spans="1:3" x14ac:dyDescent="0.25">
      <c r="A1380">
        <v>38</v>
      </c>
      <c r="B1380" t="str">
        <f>"8:54:07.349257"</f>
        <v>8:54:07.349257</v>
      </c>
      <c r="C1380">
        <v>-41</v>
      </c>
    </row>
    <row r="1381" spans="1:3" x14ac:dyDescent="0.25">
      <c r="A1381">
        <v>38</v>
      </c>
      <c r="B1381" t="str">
        <f>"8:54:07.349775"</f>
        <v>8:54:07.349775</v>
      </c>
      <c r="C1381">
        <v>-32</v>
      </c>
    </row>
    <row r="1382" spans="1:3" x14ac:dyDescent="0.25">
      <c r="A1382">
        <v>38</v>
      </c>
      <c r="B1382" t="str">
        <f>"8:54:07.350101"</f>
        <v>8:54:07.350101</v>
      </c>
      <c r="C1382">
        <v>-41</v>
      </c>
    </row>
    <row r="1383" spans="1:3" x14ac:dyDescent="0.25">
      <c r="A1383">
        <v>39</v>
      </c>
      <c r="B1383" t="str">
        <f>"8:54:07.350877"</f>
        <v>8:54:07.350877</v>
      </c>
      <c r="C1383">
        <v>-46</v>
      </c>
    </row>
    <row r="1384" spans="1:3" x14ac:dyDescent="0.25">
      <c r="A1384">
        <v>37</v>
      </c>
      <c r="B1384" t="str">
        <f>"8:54:07.707408"</f>
        <v>8:54:07.707408</v>
      </c>
      <c r="C1384">
        <v>-44</v>
      </c>
    </row>
    <row r="1385" spans="1:3" x14ac:dyDescent="0.25">
      <c r="A1385">
        <v>38</v>
      </c>
      <c r="B1385" t="str">
        <f>"8:54:07.708436"</f>
        <v>8:54:07.708436</v>
      </c>
      <c r="C1385">
        <v>-41</v>
      </c>
    </row>
    <row r="1386" spans="1:3" x14ac:dyDescent="0.25">
      <c r="A1386">
        <v>38</v>
      </c>
      <c r="B1386" t="str">
        <f>"8:54:07.708954"</f>
        <v>8:54:07.708954</v>
      </c>
      <c r="C1386">
        <v>-32</v>
      </c>
    </row>
    <row r="1387" spans="1:3" x14ac:dyDescent="0.25">
      <c r="A1387">
        <v>38</v>
      </c>
      <c r="B1387" t="str">
        <f>"8:54:07.709280"</f>
        <v>8:54:07.709280</v>
      </c>
      <c r="C1387">
        <v>-41</v>
      </c>
    </row>
    <row r="1388" spans="1:3" x14ac:dyDescent="0.25">
      <c r="A1388">
        <v>39</v>
      </c>
      <c r="B1388" t="str">
        <f>"8:54:07.710056"</f>
        <v>8:54:07.710056</v>
      </c>
      <c r="C1388">
        <v>-46</v>
      </c>
    </row>
    <row r="1389" spans="1:3" x14ac:dyDescent="0.25">
      <c r="A1389">
        <v>37</v>
      </c>
      <c r="B1389" t="str">
        <f>"8:54:08.066595"</f>
        <v>8:54:08.066595</v>
      </c>
      <c r="C1389">
        <v>-44</v>
      </c>
    </row>
    <row r="1390" spans="1:3" x14ac:dyDescent="0.25">
      <c r="A1390">
        <v>38</v>
      </c>
      <c r="B1390" t="str">
        <f>"8:54:08.067623"</f>
        <v>8:54:08.067623</v>
      </c>
      <c r="C1390">
        <v>-41</v>
      </c>
    </row>
    <row r="1391" spans="1:3" x14ac:dyDescent="0.25">
      <c r="A1391">
        <v>38</v>
      </c>
      <c r="B1391" t="str">
        <f>"8:54:08.068141"</f>
        <v>8:54:08.068141</v>
      </c>
      <c r="C1391">
        <v>-31</v>
      </c>
    </row>
    <row r="1392" spans="1:3" x14ac:dyDescent="0.25">
      <c r="A1392">
        <v>38</v>
      </c>
      <c r="B1392" t="str">
        <f>"8:54:08.068467"</f>
        <v>8:54:08.068467</v>
      </c>
      <c r="C1392">
        <v>-41</v>
      </c>
    </row>
    <row r="1393" spans="1:3" x14ac:dyDescent="0.25">
      <c r="A1393">
        <v>39</v>
      </c>
      <c r="B1393" t="str">
        <f>"8:54:08.069243"</f>
        <v>8:54:08.069243</v>
      </c>
      <c r="C1393">
        <v>-46</v>
      </c>
    </row>
    <row r="1394" spans="1:3" x14ac:dyDescent="0.25">
      <c r="A1394">
        <v>37</v>
      </c>
      <c r="B1394" t="str">
        <f>"8:54:08.421681"</f>
        <v>8:54:08.421681</v>
      </c>
      <c r="C1394">
        <v>-44</v>
      </c>
    </row>
    <row r="1395" spans="1:3" x14ac:dyDescent="0.25">
      <c r="A1395">
        <v>38</v>
      </c>
      <c r="B1395" t="str">
        <f>"8:54:08.422709"</f>
        <v>8:54:08.422709</v>
      </c>
      <c r="C1395">
        <v>-41</v>
      </c>
    </row>
    <row r="1396" spans="1:3" x14ac:dyDescent="0.25">
      <c r="A1396">
        <v>39</v>
      </c>
      <c r="B1396" t="str">
        <f>"8:54:08.423735"</f>
        <v>8:54:08.423735</v>
      </c>
      <c r="C1396">
        <v>-46</v>
      </c>
    </row>
    <row r="1397" spans="1:3" x14ac:dyDescent="0.25">
      <c r="A1397">
        <v>37</v>
      </c>
      <c r="B1397" t="str">
        <f>"8:54:08.773233"</f>
        <v>8:54:08.773233</v>
      </c>
      <c r="C1397">
        <v>-44</v>
      </c>
    </row>
    <row r="1398" spans="1:3" x14ac:dyDescent="0.25">
      <c r="A1398">
        <v>38</v>
      </c>
      <c r="B1398" t="str">
        <f>"8:54:08.774260"</f>
        <v>8:54:08.774260</v>
      </c>
      <c r="C1398">
        <v>-41</v>
      </c>
    </row>
    <row r="1399" spans="1:3" x14ac:dyDescent="0.25">
      <c r="A1399">
        <v>38</v>
      </c>
      <c r="B1399" t="str">
        <f>"8:54:08.774779"</f>
        <v>8:54:08.774779</v>
      </c>
      <c r="C1399">
        <v>-32</v>
      </c>
    </row>
    <row r="1400" spans="1:3" x14ac:dyDescent="0.25">
      <c r="A1400">
        <v>38</v>
      </c>
      <c r="B1400" t="str">
        <f>"8:54:08.775105"</f>
        <v>8:54:08.775105</v>
      </c>
      <c r="C1400">
        <v>-42</v>
      </c>
    </row>
    <row r="1401" spans="1:3" x14ac:dyDescent="0.25">
      <c r="A1401">
        <v>39</v>
      </c>
      <c r="B1401" t="str">
        <f>"8:54:08.775881"</f>
        <v>8:54:08.775881</v>
      </c>
      <c r="C1401">
        <v>-46</v>
      </c>
    </row>
    <row r="1402" spans="1:3" x14ac:dyDescent="0.25">
      <c r="A1402">
        <v>37</v>
      </c>
      <c r="B1402" t="str">
        <f>"8:54:09.131681"</f>
        <v>8:54:09.131681</v>
      </c>
      <c r="C1402">
        <v>-44</v>
      </c>
    </row>
    <row r="1403" spans="1:3" x14ac:dyDescent="0.25">
      <c r="A1403">
        <v>38</v>
      </c>
      <c r="B1403" t="str">
        <f>"8:54:09.132708"</f>
        <v>8:54:09.132708</v>
      </c>
      <c r="C1403">
        <v>-41</v>
      </c>
    </row>
    <row r="1404" spans="1:3" x14ac:dyDescent="0.25">
      <c r="A1404">
        <v>38</v>
      </c>
      <c r="B1404" t="str">
        <f>"8:54:09.133227"</f>
        <v>8:54:09.133227</v>
      </c>
      <c r="C1404">
        <v>-32</v>
      </c>
    </row>
    <row r="1405" spans="1:3" x14ac:dyDescent="0.25">
      <c r="A1405">
        <v>38</v>
      </c>
      <c r="B1405" t="str">
        <f>"8:54:09.133553"</f>
        <v>8:54:09.133553</v>
      </c>
      <c r="C1405">
        <v>-41</v>
      </c>
    </row>
    <row r="1406" spans="1:3" x14ac:dyDescent="0.25">
      <c r="A1406">
        <v>39</v>
      </c>
      <c r="B1406" t="str">
        <f>"8:54:09.134329"</f>
        <v>8:54:09.134329</v>
      </c>
      <c r="C1406">
        <v>-46</v>
      </c>
    </row>
    <row r="1407" spans="1:3" x14ac:dyDescent="0.25">
      <c r="A1407">
        <v>37</v>
      </c>
      <c r="B1407" t="str">
        <f>"8:54:09.482176"</f>
        <v>8:54:09.482176</v>
      </c>
      <c r="C1407">
        <v>-44</v>
      </c>
    </row>
    <row r="1408" spans="1:3" x14ac:dyDescent="0.25">
      <c r="A1408">
        <v>38</v>
      </c>
      <c r="B1408" t="str">
        <f>"8:54:09.483203"</f>
        <v>8:54:09.483203</v>
      </c>
      <c r="C1408">
        <v>-42</v>
      </c>
    </row>
    <row r="1409" spans="1:3" x14ac:dyDescent="0.25">
      <c r="A1409">
        <v>39</v>
      </c>
      <c r="B1409" t="str">
        <f>"8:54:09.484229"</f>
        <v>8:54:09.484229</v>
      </c>
      <c r="C1409">
        <v>-46</v>
      </c>
    </row>
    <row r="1410" spans="1:3" x14ac:dyDescent="0.25">
      <c r="A1410">
        <v>39</v>
      </c>
      <c r="B1410" t="str">
        <f>"8:54:09.484748"</f>
        <v>8:54:09.484748</v>
      </c>
      <c r="C1410">
        <v>-31</v>
      </c>
    </row>
    <row r="1411" spans="1:3" x14ac:dyDescent="0.25">
      <c r="A1411">
        <v>39</v>
      </c>
      <c r="B1411" t="str">
        <f>"8:54:09.485074"</f>
        <v>8:54:09.485074</v>
      </c>
      <c r="C1411">
        <v>-45</v>
      </c>
    </row>
    <row r="1412" spans="1:3" x14ac:dyDescent="0.25">
      <c r="A1412">
        <v>37</v>
      </c>
      <c r="B1412" t="str">
        <f>"8:54:09.840348"</f>
        <v>8:54:09.840348</v>
      </c>
      <c r="C1412">
        <v>-44</v>
      </c>
    </row>
    <row r="1413" spans="1:3" x14ac:dyDescent="0.25">
      <c r="A1413">
        <v>38</v>
      </c>
      <c r="B1413" t="str">
        <f>"8:54:09.841375"</f>
        <v>8:54:09.841375</v>
      </c>
      <c r="C1413">
        <v>-41</v>
      </c>
    </row>
    <row r="1414" spans="1:3" x14ac:dyDescent="0.25">
      <c r="A1414">
        <v>39</v>
      </c>
      <c r="B1414" t="str">
        <f>"8:54:09.842402"</f>
        <v>8:54:09.842402</v>
      </c>
      <c r="C1414">
        <v>-46</v>
      </c>
    </row>
    <row r="1415" spans="1:3" x14ac:dyDescent="0.25">
      <c r="A1415">
        <v>39</v>
      </c>
      <c r="B1415" t="str">
        <f>"8:54:09.842920"</f>
        <v>8:54:09.842920</v>
      </c>
      <c r="C1415">
        <v>-31</v>
      </c>
    </row>
    <row r="1416" spans="1:3" x14ac:dyDescent="0.25">
      <c r="A1416">
        <v>39</v>
      </c>
      <c r="B1416" t="str">
        <f>"8:54:09.843246"</f>
        <v>8:54:09.843246</v>
      </c>
      <c r="C1416">
        <v>-45</v>
      </c>
    </row>
    <row r="1417" spans="1:3" x14ac:dyDescent="0.25">
      <c r="A1417">
        <v>37</v>
      </c>
      <c r="B1417" t="str">
        <f>"8:54:10.194412"</f>
        <v>8:54:10.194412</v>
      </c>
      <c r="C1417">
        <v>-44</v>
      </c>
    </row>
    <row r="1418" spans="1:3" x14ac:dyDescent="0.25">
      <c r="A1418">
        <v>38</v>
      </c>
      <c r="B1418" t="str">
        <f>"8:54:10.195439"</f>
        <v>8:54:10.195439</v>
      </c>
      <c r="C1418">
        <v>-41</v>
      </c>
    </row>
    <row r="1419" spans="1:3" x14ac:dyDescent="0.25">
      <c r="A1419">
        <v>39</v>
      </c>
      <c r="B1419" t="str">
        <f>"8:54:10.196466"</f>
        <v>8:54:10.196466</v>
      </c>
      <c r="C1419">
        <v>-46</v>
      </c>
    </row>
    <row r="1420" spans="1:3" x14ac:dyDescent="0.25">
      <c r="A1420">
        <v>39</v>
      </c>
      <c r="B1420" t="str">
        <f>"8:54:10.196984"</f>
        <v>8:54:10.196984</v>
      </c>
      <c r="C1420">
        <v>-31</v>
      </c>
    </row>
    <row r="1421" spans="1:3" x14ac:dyDescent="0.25">
      <c r="A1421">
        <v>39</v>
      </c>
      <c r="B1421" t="str">
        <f>"8:54:10.197310"</f>
        <v>8:54:10.197310</v>
      </c>
      <c r="C1421">
        <v>-45</v>
      </c>
    </row>
    <row r="1422" spans="1:3" x14ac:dyDescent="0.25">
      <c r="A1422">
        <v>37</v>
      </c>
      <c r="B1422" t="str">
        <f>"8:54:10.545176"</f>
        <v>8:54:10.545176</v>
      </c>
      <c r="C1422">
        <v>-44</v>
      </c>
    </row>
    <row r="1423" spans="1:3" x14ac:dyDescent="0.25">
      <c r="A1423">
        <v>37</v>
      </c>
      <c r="B1423" t="str">
        <f>"8:54:10.546021"</f>
        <v>8:54:10.546021</v>
      </c>
      <c r="C1423">
        <v>-44</v>
      </c>
    </row>
    <row r="1424" spans="1:3" x14ac:dyDescent="0.25">
      <c r="A1424">
        <v>38</v>
      </c>
      <c r="B1424" t="str">
        <f>"8:54:10.546797"</f>
        <v>8:54:10.546797</v>
      </c>
      <c r="C1424">
        <v>-42</v>
      </c>
    </row>
    <row r="1425" spans="1:3" x14ac:dyDescent="0.25">
      <c r="A1425">
        <v>39</v>
      </c>
      <c r="B1425" t="str">
        <f>"8:54:10.547823"</f>
        <v>8:54:10.547823</v>
      </c>
      <c r="C1425">
        <v>-46</v>
      </c>
    </row>
    <row r="1426" spans="1:3" x14ac:dyDescent="0.25">
      <c r="A1426">
        <v>39</v>
      </c>
      <c r="B1426" t="str">
        <f>"8:54:10.548342"</f>
        <v>8:54:10.548342</v>
      </c>
      <c r="C1426">
        <v>-31</v>
      </c>
    </row>
    <row r="1427" spans="1:3" x14ac:dyDescent="0.25">
      <c r="A1427">
        <v>39</v>
      </c>
      <c r="B1427" t="str">
        <f>"8:54:10.548667"</f>
        <v>8:54:10.548667</v>
      </c>
      <c r="C1427">
        <v>-45</v>
      </c>
    </row>
    <row r="1428" spans="1:3" x14ac:dyDescent="0.25">
      <c r="A1428">
        <v>37</v>
      </c>
      <c r="B1428" t="str">
        <f>"8:54:10.901776"</f>
        <v>8:54:10.901776</v>
      </c>
      <c r="C1428">
        <v>-44</v>
      </c>
    </row>
    <row r="1429" spans="1:3" x14ac:dyDescent="0.25">
      <c r="A1429">
        <v>38</v>
      </c>
      <c r="B1429" t="str">
        <f>"8:54:10.902803"</f>
        <v>8:54:10.902803</v>
      </c>
      <c r="C1429">
        <v>-41</v>
      </c>
    </row>
    <row r="1430" spans="1:3" x14ac:dyDescent="0.25">
      <c r="A1430">
        <v>39</v>
      </c>
      <c r="B1430" t="str">
        <f>"8:54:10.903829"</f>
        <v>8:54:10.903829</v>
      </c>
      <c r="C1430">
        <v>-46</v>
      </c>
    </row>
    <row r="1431" spans="1:3" x14ac:dyDescent="0.25">
      <c r="A1431">
        <v>37</v>
      </c>
      <c r="B1431" t="str">
        <f>"8:54:11.254361"</f>
        <v>8:54:11.254361</v>
      </c>
      <c r="C1431">
        <v>-45</v>
      </c>
    </row>
    <row r="1432" spans="1:3" x14ac:dyDescent="0.25">
      <c r="A1432">
        <v>38</v>
      </c>
      <c r="B1432" t="str">
        <f>"8:54:11.255388"</f>
        <v>8:54:11.255388</v>
      </c>
      <c r="C1432">
        <v>-42</v>
      </c>
    </row>
    <row r="1433" spans="1:3" x14ac:dyDescent="0.25">
      <c r="A1433">
        <v>39</v>
      </c>
      <c r="B1433" t="str">
        <f>"8:54:11.256414"</f>
        <v>8:54:11.256414</v>
      </c>
      <c r="C1433">
        <v>-46</v>
      </c>
    </row>
    <row r="1434" spans="1:3" x14ac:dyDescent="0.25">
      <c r="A1434">
        <v>39</v>
      </c>
      <c r="B1434" t="str">
        <f>"8:54:11.256933"</f>
        <v>8:54:11.256933</v>
      </c>
      <c r="C1434">
        <v>-31</v>
      </c>
    </row>
    <row r="1435" spans="1:3" x14ac:dyDescent="0.25">
      <c r="A1435">
        <v>39</v>
      </c>
      <c r="B1435" t="str">
        <f>"8:54:11.257259"</f>
        <v>8:54:11.257259</v>
      </c>
      <c r="C1435">
        <v>-45</v>
      </c>
    </row>
    <row r="1436" spans="1:3" x14ac:dyDescent="0.25">
      <c r="A1436">
        <v>37</v>
      </c>
      <c r="B1436" t="str">
        <f>"8:54:11.612556"</f>
        <v>8:54:11.612556</v>
      </c>
      <c r="C1436">
        <v>-45</v>
      </c>
    </row>
    <row r="1437" spans="1:3" x14ac:dyDescent="0.25">
      <c r="A1437">
        <v>38</v>
      </c>
      <c r="B1437" t="str">
        <f>"8:54:11.613583"</f>
        <v>8:54:11.613583</v>
      </c>
      <c r="C1437">
        <v>-41</v>
      </c>
    </row>
    <row r="1438" spans="1:3" x14ac:dyDescent="0.25">
      <c r="A1438">
        <v>39</v>
      </c>
      <c r="B1438" t="str">
        <f>"8:54:11.614609"</f>
        <v>8:54:11.614609</v>
      </c>
      <c r="C1438">
        <v>-46</v>
      </c>
    </row>
    <row r="1439" spans="1:3" x14ac:dyDescent="0.25">
      <c r="A1439">
        <v>39</v>
      </c>
      <c r="B1439" t="str">
        <f>"8:54:11.615127"</f>
        <v>8:54:11.615127</v>
      </c>
      <c r="C1439">
        <v>-31</v>
      </c>
    </row>
    <row r="1440" spans="1:3" x14ac:dyDescent="0.25">
      <c r="A1440">
        <v>39</v>
      </c>
      <c r="B1440" t="str">
        <f>"8:54:11.615453"</f>
        <v>8:54:11.615453</v>
      </c>
      <c r="C1440">
        <v>-45</v>
      </c>
    </row>
    <row r="1441" spans="1:3" x14ac:dyDescent="0.25">
      <c r="A1441">
        <v>37</v>
      </c>
      <c r="B1441" t="str">
        <f>"8:54:11.963757"</f>
        <v>8:54:11.963757</v>
      </c>
      <c r="C1441">
        <v>-45</v>
      </c>
    </row>
    <row r="1442" spans="1:3" x14ac:dyDescent="0.25">
      <c r="A1442">
        <v>38</v>
      </c>
      <c r="B1442" t="str">
        <f>"8:54:11.964785"</f>
        <v>8:54:11.964785</v>
      </c>
      <c r="C1442">
        <v>-41</v>
      </c>
    </row>
    <row r="1443" spans="1:3" x14ac:dyDescent="0.25">
      <c r="A1443">
        <v>39</v>
      </c>
      <c r="B1443" t="str">
        <f>"8:54:11.965811"</f>
        <v>8:54:11.965811</v>
      </c>
      <c r="C1443">
        <v>-46</v>
      </c>
    </row>
    <row r="1444" spans="1:3" x14ac:dyDescent="0.25">
      <c r="A1444">
        <v>39</v>
      </c>
      <c r="B1444" t="str">
        <f>"8:54:11.966329"</f>
        <v>8:54:11.966329</v>
      </c>
      <c r="C1444">
        <v>-31</v>
      </c>
    </row>
    <row r="1445" spans="1:3" x14ac:dyDescent="0.25">
      <c r="A1445">
        <v>39</v>
      </c>
      <c r="B1445" t="str">
        <f>"8:54:11.966655"</f>
        <v>8:54:11.966655</v>
      </c>
      <c r="C1445">
        <v>-45</v>
      </c>
    </row>
    <row r="1446" spans="1:3" x14ac:dyDescent="0.25">
      <c r="A1446">
        <v>37</v>
      </c>
      <c r="B1446" t="str">
        <f>"8:54:12.320913"</f>
        <v>8:54:12.320913</v>
      </c>
      <c r="C1446">
        <v>-45</v>
      </c>
    </row>
    <row r="1447" spans="1:3" x14ac:dyDescent="0.25">
      <c r="A1447">
        <v>38</v>
      </c>
      <c r="B1447" t="str">
        <f>"8:54:12.321941"</f>
        <v>8:54:12.321941</v>
      </c>
      <c r="C1447">
        <v>-41</v>
      </c>
    </row>
    <row r="1448" spans="1:3" x14ac:dyDescent="0.25">
      <c r="A1448">
        <v>39</v>
      </c>
      <c r="B1448" t="str">
        <f>"8:54:12.322967"</f>
        <v>8:54:12.322967</v>
      </c>
      <c r="C1448">
        <v>-46</v>
      </c>
    </row>
    <row r="1449" spans="1:3" x14ac:dyDescent="0.25">
      <c r="A1449">
        <v>39</v>
      </c>
      <c r="B1449" t="str">
        <f>"8:54:12.323486"</f>
        <v>8:54:12.323486</v>
      </c>
      <c r="C1449">
        <v>-31</v>
      </c>
    </row>
    <row r="1450" spans="1:3" x14ac:dyDescent="0.25">
      <c r="A1450">
        <v>39</v>
      </c>
      <c r="B1450" t="str">
        <f>"8:54:12.323812"</f>
        <v>8:54:12.323812</v>
      </c>
      <c r="C1450">
        <v>-45</v>
      </c>
    </row>
    <row r="1451" spans="1:3" x14ac:dyDescent="0.25">
      <c r="A1451">
        <v>37</v>
      </c>
      <c r="B1451" t="str">
        <f>"8:54:12.677283"</f>
        <v>8:54:12.677283</v>
      </c>
      <c r="C1451">
        <v>-45</v>
      </c>
    </row>
    <row r="1452" spans="1:3" x14ac:dyDescent="0.25">
      <c r="A1452">
        <v>38</v>
      </c>
      <c r="B1452" t="str">
        <f>"8:54:12.678310"</f>
        <v>8:54:12.678310</v>
      </c>
      <c r="C1452">
        <v>-42</v>
      </c>
    </row>
    <row r="1453" spans="1:3" x14ac:dyDescent="0.25">
      <c r="A1453">
        <v>39</v>
      </c>
      <c r="B1453" t="str">
        <f>"8:54:12.679336"</f>
        <v>8:54:12.679336</v>
      </c>
      <c r="C1453">
        <v>-46</v>
      </c>
    </row>
    <row r="1454" spans="1:3" x14ac:dyDescent="0.25">
      <c r="A1454">
        <v>39</v>
      </c>
      <c r="B1454" t="str">
        <f>"8:54:12.679855"</f>
        <v>8:54:12.679855</v>
      </c>
      <c r="C1454">
        <v>-31</v>
      </c>
    </row>
    <row r="1455" spans="1:3" x14ac:dyDescent="0.25">
      <c r="A1455">
        <v>39</v>
      </c>
      <c r="B1455" t="str">
        <f>"8:54:12.680181"</f>
        <v>8:54:12.680181</v>
      </c>
      <c r="C1455">
        <v>-45</v>
      </c>
    </row>
    <row r="1456" spans="1:3" x14ac:dyDescent="0.25">
      <c r="A1456">
        <v>37</v>
      </c>
      <c r="B1456" t="str">
        <f>"8:54:13.036487"</f>
        <v>8:54:13.036487</v>
      </c>
      <c r="C1456">
        <v>-45</v>
      </c>
    </row>
    <row r="1457" spans="1:3" x14ac:dyDescent="0.25">
      <c r="A1457">
        <v>38</v>
      </c>
      <c r="B1457" t="str">
        <f>"8:54:13.037514"</f>
        <v>8:54:13.037514</v>
      </c>
      <c r="C1457">
        <v>-41</v>
      </c>
    </row>
    <row r="1458" spans="1:3" x14ac:dyDescent="0.25">
      <c r="A1458">
        <v>39</v>
      </c>
      <c r="B1458" t="str">
        <f>"8:54:13.038540"</f>
        <v>8:54:13.038540</v>
      </c>
      <c r="C1458">
        <v>-46</v>
      </c>
    </row>
    <row r="1459" spans="1:3" x14ac:dyDescent="0.25">
      <c r="A1459">
        <v>39</v>
      </c>
      <c r="B1459" t="str">
        <f>"8:54:13.039058"</f>
        <v>8:54:13.039058</v>
      </c>
      <c r="C1459">
        <v>-31</v>
      </c>
    </row>
    <row r="1460" spans="1:3" x14ac:dyDescent="0.25">
      <c r="A1460">
        <v>39</v>
      </c>
      <c r="B1460" t="str">
        <f>"8:54:13.039384"</f>
        <v>8:54:13.039384</v>
      </c>
      <c r="C1460">
        <v>-45</v>
      </c>
    </row>
    <row r="1461" spans="1:3" x14ac:dyDescent="0.25">
      <c r="A1461">
        <v>37</v>
      </c>
      <c r="B1461" t="str">
        <f>"8:54:13.392344"</f>
        <v>8:54:13.392344</v>
      </c>
      <c r="C1461">
        <v>-45</v>
      </c>
    </row>
    <row r="1462" spans="1:3" x14ac:dyDescent="0.25">
      <c r="A1462">
        <v>38</v>
      </c>
      <c r="B1462" t="str">
        <f>"8:54:13.393372"</f>
        <v>8:54:13.393372</v>
      </c>
      <c r="C1462">
        <v>-42</v>
      </c>
    </row>
    <row r="1463" spans="1:3" x14ac:dyDescent="0.25">
      <c r="A1463">
        <v>39</v>
      </c>
      <c r="B1463" t="str">
        <f>"8:54:13.394398"</f>
        <v>8:54:13.394398</v>
      </c>
      <c r="C1463">
        <v>-46</v>
      </c>
    </row>
    <row r="1464" spans="1:3" x14ac:dyDescent="0.25">
      <c r="A1464">
        <v>39</v>
      </c>
      <c r="B1464" t="str">
        <f>"8:54:13.394916"</f>
        <v>8:54:13.394916</v>
      </c>
      <c r="C1464">
        <v>-31</v>
      </c>
    </row>
    <row r="1465" spans="1:3" x14ac:dyDescent="0.25">
      <c r="A1465">
        <v>39</v>
      </c>
      <c r="B1465" t="str">
        <f>"8:54:13.395243"</f>
        <v>8:54:13.395243</v>
      </c>
      <c r="C1465">
        <v>-45</v>
      </c>
    </row>
    <row r="1466" spans="1:3" x14ac:dyDescent="0.25">
      <c r="A1466">
        <v>37</v>
      </c>
      <c r="B1466" t="str">
        <f>"8:54:13.743873"</f>
        <v>8:54:13.743873</v>
      </c>
      <c r="C1466">
        <v>-44</v>
      </c>
    </row>
    <row r="1467" spans="1:3" x14ac:dyDescent="0.25">
      <c r="A1467">
        <v>38</v>
      </c>
      <c r="B1467" t="str">
        <f>"8:54:13.744901"</f>
        <v>8:54:13.744901</v>
      </c>
      <c r="C1467">
        <v>-42</v>
      </c>
    </row>
    <row r="1468" spans="1:3" x14ac:dyDescent="0.25">
      <c r="A1468">
        <v>39</v>
      </c>
      <c r="B1468" t="str">
        <f>"8:54:13.745927"</f>
        <v>8:54:13.745927</v>
      </c>
      <c r="C1468">
        <v>-46</v>
      </c>
    </row>
    <row r="1469" spans="1:3" x14ac:dyDescent="0.25">
      <c r="A1469">
        <v>39</v>
      </c>
      <c r="B1469" t="str">
        <f>"8:54:13.746446"</f>
        <v>8:54:13.746446</v>
      </c>
      <c r="C1469">
        <v>-31</v>
      </c>
    </row>
    <row r="1470" spans="1:3" x14ac:dyDescent="0.25">
      <c r="A1470">
        <v>39</v>
      </c>
      <c r="B1470" t="str">
        <f>"8:54:13.746771"</f>
        <v>8:54:13.746771</v>
      </c>
      <c r="C1470">
        <v>-45</v>
      </c>
    </row>
    <row r="1471" spans="1:3" x14ac:dyDescent="0.25">
      <c r="A1471">
        <v>37</v>
      </c>
      <c r="B1471" t="str">
        <f>"8:54:14.101252"</f>
        <v>8:54:14.101252</v>
      </c>
      <c r="C1471">
        <v>-44</v>
      </c>
    </row>
    <row r="1472" spans="1:3" x14ac:dyDescent="0.25">
      <c r="A1472">
        <v>37</v>
      </c>
      <c r="B1472" t="str">
        <f>"8:54:14.101772"</f>
        <v>8:54:14.101772</v>
      </c>
      <c r="C1472">
        <v>-79</v>
      </c>
    </row>
    <row r="1473" spans="1:3" x14ac:dyDescent="0.25">
      <c r="A1473">
        <v>37</v>
      </c>
      <c r="B1473" t="str">
        <f>"8:54:14.102099"</f>
        <v>8:54:14.102099</v>
      </c>
      <c r="C1473">
        <v>-44</v>
      </c>
    </row>
    <row r="1474" spans="1:3" x14ac:dyDescent="0.25">
      <c r="A1474">
        <v>38</v>
      </c>
      <c r="B1474" t="str">
        <f>"8:54:14.102875"</f>
        <v>8:54:14.102875</v>
      </c>
      <c r="C1474">
        <v>-41</v>
      </c>
    </row>
    <row r="1475" spans="1:3" x14ac:dyDescent="0.25">
      <c r="A1475">
        <v>39</v>
      </c>
      <c r="B1475" t="str">
        <f>"8:54:14.103901"</f>
        <v>8:54:14.103901</v>
      </c>
      <c r="C1475">
        <v>-45</v>
      </c>
    </row>
    <row r="1476" spans="1:3" x14ac:dyDescent="0.25">
      <c r="A1476">
        <v>39</v>
      </c>
      <c r="B1476" t="str">
        <f>"8:54:14.104419"</f>
        <v>8:54:14.104419</v>
      </c>
      <c r="C1476">
        <v>-31</v>
      </c>
    </row>
    <row r="1477" spans="1:3" x14ac:dyDescent="0.25">
      <c r="A1477">
        <v>39</v>
      </c>
      <c r="B1477" t="str">
        <f>"8:54:14.104745"</f>
        <v>8:54:14.104745</v>
      </c>
      <c r="C1477">
        <v>-45</v>
      </c>
    </row>
    <row r="1478" spans="1:3" x14ac:dyDescent="0.25">
      <c r="A1478">
        <v>37</v>
      </c>
      <c r="B1478" t="str">
        <f>"8:54:14.460169"</f>
        <v>8:54:14.460169</v>
      </c>
      <c r="C1478">
        <v>-44</v>
      </c>
    </row>
    <row r="1479" spans="1:3" x14ac:dyDescent="0.25">
      <c r="A1479">
        <v>37</v>
      </c>
      <c r="B1479" t="str">
        <f>"8:54:14.460688"</f>
        <v>8:54:14.460688</v>
      </c>
      <c r="C1479">
        <v>-38</v>
      </c>
    </row>
    <row r="1480" spans="1:3" x14ac:dyDescent="0.25">
      <c r="A1480">
        <v>37</v>
      </c>
      <c r="B1480" t="str">
        <f>"8:54:14.461014"</f>
        <v>8:54:14.461014</v>
      </c>
      <c r="C1480">
        <v>-44</v>
      </c>
    </row>
    <row r="1481" spans="1:3" x14ac:dyDescent="0.25">
      <c r="A1481">
        <v>38</v>
      </c>
      <c r="B1481" t="str">
        <f>"8:54:14.461791"</f>
        <v>8:54:14.461791</v>
      </c>
      <c r="C1481">
        <v>-42</v>
      </c>
    </row>
    <row r="1482" spans="1:3" x14ac:dyDescent="0.25">
      <c r="A1482">
        <v>39</v>
      </c>
      <c r="B1482" t="str">
        <f>"8:54:14.462817"</f>
        <v>8:54:14.462817</v>
      </c>
      <c r="C1482">
        <v>-46</v>
      </c>
    </row>
    <row r="1483" spans="1:3" x14ac:dyDescent="0.25">
      <c r="A1483">
        <v>37</v>
      </c>
      <c r="B1483" t="str">
        <f>"8:54:14.817555"</f>
        <v>8:54:14.817555</v>
      </c>
      <c r="C1483">
        <v>-44</v>
      </c>
    </row>
    <row r="1484" spans="1:3" x14ac:dyDescent="0.25">
      <c r="A1484">
        <v>37</v>
      </c>
      <c r="B1484" t="str">
        <f>"8:54:14.818074"</f>
        <v>8:54:14.818074</v>
      </c>
      <c r="C1484">
        <v>-38</v>
      </c>
    </row>
    <row r="1485" spans="1:3" x14ac:dyDescent="0.25">
      <c r="A1485">
        <v>37</v>
      </c>
      <c r="B1485" t="str">
        <f>"8:54:14.818400"</f>
        <v>8:54:14.818400</v>
      </c>
      <c r="C1485">
        <v>-44</v>
      </c>
    </row>
    <row r="1486" spans="1:3" x14ac:dyDescent="0.25">
      <c r="A1486">
        <v>38</v>
      </c>
      <c r="B1486" t="str">
        <f>"8:54:14.819177"</f>
        <v>8:54:14.819177</v>
      </c>
      <c r="C1486">
        <v>-41</v>
      </c>
    </row>
    <row r="1487" spans="1:3" x14ac:dyDescent="0.25">
      <c r="A1487">
        <v>39</v>
      </c>
      <c r="B1487" t="str">
        <f>"8:54:14.820203"</f>
        <v>8:54:14.820203</v>
      </c>
      <c r="C1487">
        <v>-45</v>
      </c>
    </row>
    <row r="1488" spans="1:3" x14ac:dyDescent="0.25">
      <c r="A1488">
        <v>37</v>
      </c>
      <c r="B1488" t="str">
        <f>"8:54:15.173684"</f>
        <v>8:54:15.173684</v>
      </c>
      <c r="C1488">
        <v>-44</v>
      </c>
    </row>
    <row r="1489" spans="1:3" x14ac:dyDescent="0.25">
      <c r="A1489">
        <v>38</v>
      </c>
      <c r="B1489" t="str">
        <f>"8:54:15.174711"</f>
        <v>8:54:15.174711</v>
      </c>
      <c r="C1489">
        <v>-41</v>
      </c>
    </row>
    <row r="1490" spans="1:3" x14ac:dyDescent="0.25">
      <c r="A1490">
        <v>39</v>
      </c>
      <c r="B1490" t="str">
        <f>"8:54:15.175738"</f>
        <v>8:54:15.175738</v>
      </c>
      <c r="C1490">
        <v>-46</v>
      </c>
    </row>
    <row r="1491" spans="1:3" x14ac:dyDescent="0.25">
      <c r="A1491">
        <v>37</v>
      </c>
      <c r="B1491" t="str">
        <f>"8:54:15.529786"</f>
        <v>8:54:15.529786</v>
      </c>
      <c r="C1491">
        <v>-44</v>
      </c>
    </row>
    <row r="1492" spans="1:3" x14ac:dyDescent="0.25">
      <c r="A1492">
        <v>38</v>
      </c>
      <c r="B1492" t="str">
        <f>"8:54:15.530814"</f>
        <v>8:54:15.530814</v>
      </c>
      <c r="C1492">
        <v>-41</v>
      </c>
    </row>
    <row r="1493" spans="1:3" x14ac:dyDescent="0.25">
      <c r="A1493">
        <v>39</v>
      </c>
      <c r="B1493" t="str">
        <f>"8:54:15.531840"</f>
        <v>8:54:15.531840</v>
      </c>
      <c r="C1493">
        <v>-46</v>
      </c>
    </row>
    <row r="1494" spans="1:3" x14ac:dyDescent="0.25">
      <c r="A1494">
        <v>37</v>
      </c>
      <c r="B1494" t="str">
        <f>"8:54:15.887928"</f>
        <v>8:54:15.887928</v>
      </c>
      <c r="C1494">
        <v>-44</v>
      </c>
    </row>
    <row r="1495" spans="1:3" x14ac:dyDescent="0.25">
      <c r="A1495">
        <v>37</v>
      </c>
      <c r="B1495" t="str">
        <f>"8:54:15.888447"</f>
        <v>8:54:15.888447</v>
      </c>
      <c r="C1495">
        <v>-40</v>
      </c>
    </row>
    <row r="1496" spans="1:3" x14ac:dyDescent="0.25">
      <c r="A1496">
        <v>37</v>
      </c>
      <c r="B1496" t="str">
        <f>"8:54:15.888772"</f>
        <v>8:54:15.888772</v>
      </c>
      <c r="C1496">
        <v>-44</v>
      </c>
    </row>
    <row r="1497" spans="1:3" x14ac:dyDescent="0.25">
      <c r="A1497">
        <v>38</v>
      </c>
      <c r="B1497" t="str">
        <f>"8:54:15.889549"</f>
        <v>8:54:15.889549</v>
      </c>
      <c r="C1497">
        <v>-41</v>
      </c>
    </row>
    <row r="1498" spans="1:3" x14ac:dyDescent="0.25">
      <c r="A1498">
        <v>39</v>
      </c>
      <c r="B1498" t="str">
        <f>"8:54:15.890575"</f>
        <v>8:54:15.890575</v>
      </c>
      <c r="C1498">
        <v>-46</v>
      </c>
    </row>
    <row r="1499" spans="1:3" x14ac:dyDescent="0.25">
      <c r="A1499">
        <v>37</v>
      </c>
      <c r="B1499" t="str">
        <f>"8:54:16.243268"</f>
        <v>8:54:16.243268</v>
      </c>
      <c r="C1499">
        <v>-44</v>
      </c>
    </row>
    <row r="1500" spans="1:3" x14ac:dyDescent="0.25">
      <c r="A1500">
        <v>37</v>
      </c>
      <c r="B1500" t="str">
        <f>"8:54:16.243786"</f>
        <v>8:54:16.243786</v>
      </c>
      <c r="C1500">
        <v>-40</v>
      </c>
    </row>
    <row r="1501" spans="1:3" x14ac:dyDescent="0.25">
      <c r="A1501">
        <v>37</v>
      </c>
      <c r="B1501" t="str">
        <f>"8:54:16.244112"</f>
        <v>8:54:16.244112</v>
      </c>
      <c r="C1501">
        <v>-44</v>
      </c>
    </row>
    <row r="1502" spans="1:3" x14ac:dyDescent="0.25">
      <c r="A1502">
        <v>38</v>
      </c>
      <c r="B1502" t="str">
        <f>"8:54:16.244888"</f>
        <v>8:54:16.244888</v>
      </c>
      <c r="C1502">
        <v>-41</v>
      </c>
    </row>
    <row r="1503" spans="1:3" x14ac:dyDescent="0.25">
      <c r="A1503">
        <v>39</v>
      </c>
      <c r="B1503" t="str">
        <f>"8:54:16.245915"</f>
        <v>8:54:16.245915</v>
      </c>
      <c r="C1503">
        <v>-45</v>
      </c>
    </row>
    <row r="1504" spans="1:3" x14ac:dyDescent="0.25">
      <c r="A1504">
        <v>37</v>
      </c>
      <c r="B1504" t="str">
        <f>"8:54:16.593455"</f>
        <v>8:54:16.593455</v>
      </c>
      <c r="C1504">
        <v>-44</v>
      </c>
    </row>
    <row r="1505" spans="1:3" x14ac:dyDescent="0.25">
      <c r="A1505">
        <v>37</v>
      </c>
      <c r="B1505" t="str">
        <f>"8:54:16.593973"</f>
        <v>8:54:16.593973</v>
      </c>
      <c r="C1505">
        <v>-37</v>
      </c>
    </row>
    <row r="1506" spans="1:3" x14ac:dyDescent="0.25">
      <c r="A1506">
        <v>37</v>
      </c>
      <c r="B1506" t="str">
        <f>"8:54:16.594300"</f>
        <v>8:54:16.594300</v>
      </c>
      <c r="C1506">
        <v>-45</v>
      </c>
    </row>
    <row r="1507" spans="1:3" x14ac:dyDescent="0.25">
      <c r="A1507">
        <v>38</v>
      </c>
      <c r="B1507" t="str">
        <f>"8:54:16.595076"</f>
        <v>8:54:16.595076</v>
      </c>
      <c r="C1507">
        <v>-41</v>
      </c>
    </row>
    <row r="1508" spans="1:3" x14ac:dyDescent="0.25">
      <c r="A1508">
        <v>39</v>
      </c>
      <c r="B1508" t="str">
        <f>"8:54:16.596102"</f>
        <v>8:54:16.596102</v>
      </c>
      <c r="C1508">
        <v>-46</v>
      </c>
    </row>
    <row r="1509" spans="1:3" x14ac:dyDescent="0.25">
      <c r="A1509">
        <v>37</v>
      </c>
      <c r="B1509" t="str">
        <f>"8:54:16.944998"</f>
        <v>8:54:16.944998</v>
      </c>
      <c r="C1509">
        <v>-44</v>
      </c>
    </row>
    <row r="1510" spans="1:3" x14ac:dyDescent="0.25">
      <c r="A1510">
        <v>37</v>
      </c>
      <c r="B1510" t="str">
        <f>"8:54:16.945517"</f>
        <v>8:54:16.945517</v>
      </c>
      <c r="C1510">
        <v>-37</v>
      </c>
    </row>
    <row r="1511" spans="1:3" x14ac:dyDescent="0.25">
      <c r="A1511">
        <v>37</v>
      </c>
      <c r="B1511" t="str">
        <f>"8:54:16.945843"</f>
        <v>8:54:16.945843</v>
      </c>
      <c r="C1511">
        <v>-45</v>
      </c>
    </row>
    <row r="1512" spans="1:3" x14ac:dyDescent="0.25">
      <c r="A1512">
        <v>38</v>
      </c>
      <c r="B1512" t="str">
        <f>"8:54:16.946619"</f>
        <v>8:54:16.946619</v>
      </c>
      <c r="C1512">
        <v>-41</v>
      </c>
    </row>
    <row r="1513" spans="1:3" x14ac:dyDescent="0.25">
      <c r="A1513">
        <v>39</v>
      </c>
      <c r="B1513" t="str">
        <f>"8:54:16.947645"</f>
        <v>8:54:16.947645</v>
      </c>
      <c r="C1513">
        <v>-46</v>
      </c>
    </row>
    <row r="1514" spans="1:3" x14ac:dyDescent="0.25">
      <c r="A1514">
        <v>37</v>
      </c>
      <c r="B1514" t="str">
        <f>"8:54:17.298097"</f>
        <v>8:54:17.298097</v>
      </c>
      <c r="C1514">
        <v>-44</v>
      </c>
    </row>
    <row r="1515" spans="1:3" x14ac:dyDescent="0.25">
      <c r="A1515">
        <v>37</v>
      </c>
      <c r="B1515" t="str">
        <f>"8:54:17.298615"</f>
        <v>8:54:17.298615</v>
      </c>
      <c r="C1515">
        <v>-37</v>
      </c>
    </row>
    <row r="1516" spans="1:3" x14ac:dyDescent="0.25">
      <c r="A1516">
        <v>37</v>
      </c>
      <c r="B1516" t="str">
        <f>"8:54:17.298941"</f>
        <v>8:54:17.298941</v>
      </c>
      <c r="C1516">
        <v>-45</v>
      </c>
    </row>
    <row r="1517" spans="1:3" x14ac:dyDescent="0.25">
      <c r="A1517">
        <v>38</v>
      </c>
      <c r="B1517" t="str">
        <f>"8:54:17.299717"</f>
        <v>8:54:17.299717</v>
      </c>
      <c r="C1517">
        <v>-41</v>
      </c>
    </row>
    <row r="1518" spans="1:3" x14ac:dyDescent="0.25">
      <c r="A1518">
        <v>39</v>
      </c>
      <c r="B1518" t="str">
        <f>"8:54:17.300743"</f>
        <v>8:54:17.300743</v>
      </c>
      <c r="C1518">
        <v>-46</v>
      </c>
    </row>
    <row r="1519" spans="1:3" x14ac:dyDescent="0.25">
      <c r="A1519">
        <v>37</v>
      </c>
      <c r="B1519" t="str">
        <f>"8:54:17.654714"</f>
        <v>8:54:17.654714</v>
      </c>
      <c r="C1519">
        <v>-45</v>
      </c>
    </row>
    <row r="1520" spans="1:3" x14ac:dyDescent="0.25">
      <c r="A1520">
        <v>37</v>
      </c>
      <c r="B1520" t="str">
        <f>"8:54:17.655232"</f>
        <v>8:54:17.655232</v>
      </c>
      <c r="C1520">
        <v>-37</v>
      </c>
    </row>
    <row r="1521" spans="1:3" x14ac:dyDescent="0.25">
      <c r="A1521">
        <v>37</v>
      </c>
      <c r="B1521" t="str">
        <f>"8:54:17.655558"</f>
        <v>8:54:17.655558</v>
      </c>
      <c r="C1521">
        <v>-45</v>
      </c>
    </row>
    <row r="1522" spans="1:3" x14ac:dyDescent="0.25">
      <c r="A1522">
        <v>38</v>
      </c>
      <c r="B1522" t="str">
        <f>"8:54:17.656335"</f>
        <v>8:54:17.656335</v>
      </c>
      <c r="C1522">
        <v>-41</v>
      </c>
    </row>
    <row r="1523" spans="1:3" x14ac:dyDescent="0.25">
      <c r="A1523">
        <v>39</v>
      </c>
      <c r="B1523" t="str">
        <f>"8:54:17.657361"</f>
        <v>8:54:17.657361</v>
      </c>
      <c r="C1523">
        <v>-46</v>
      </c>
    </row>
    <row r="1524" spans="1:3" x14ac:dyDescent="0.25">
      <c r="A1524">
        <v>37</v>
      </c>
      <c r="B1524" t="str">
        <f>"8:54:18.009862"</f>
        <v>8:54:18.009862</v>
      </c>
      <c r="C1524">
        <v>-44</v>
      </c>
    </row>
    <row r="1525" spans="1:3" x14ac:dyDescent="0.25">
      <c r="A1525">
        <v>37</v>
      </c>
      <c r="B1525" t="str">
        <f>"8:54:18.010381"</f>
        <v>8:54:18.010381</v>
      </c>
      <c r="C1525">
        <v>-37</v>
      </c>
    </row>
    <row r="1526" spans="1:3" x14ac:dyDescent="0.25">
      <c r="A1526">
        <v>37</v>
      </c>
      <c r="B1526" t="str">
        <f>"8:54:18.010706"</f>
        <v>8:54:18.010706</v>
      </c>
      <c r="C1526">
        <v>-45</v>
      </c>
    </row>
    <row r="1527" spans="1:3" x14ac:dyDescent="0.25">
      <c r="A1527">
        <v>38</v>
      </c>
      <c r="B1527" t="str">
        <f>"8:54:18.011482"</f>
        <v>8:54:18.011482</v>
      </c>
      <c r="C1527">
        <v>-41</v>
      </c>
    </row>
    <row r="1528" spans="1:3" x14ac:dyDescent="0.25">
      <c r="A1528">
        <v>39</v>
      </c>
      <c r="B1528" t="str">
        <f>"8:54:18.012508"</f>
        <v>8:54:18.012508</v>
      </c>
      <c r="C1528">
        <v>-46</v>
      </c>
    </row>
    <row r="1529" spans="1:3" x14ac:dyDescent="0.25">
      <c r="A1529">
        <v>37</v>
      </c>
      <c r="B1529" t="str">
        <f>"8:54:18.368523"</f>
        <v>8:54:18.368523</v>
      </c>
      <c r="C1529">
        <v>-45</v>
      </c>
    </row>
    <row r="1530" spans="1:3" x14ac:dyDescent="0.25">
      <c r="A1530">
        <v>38</v>
      </c>
      <c r="B1530" t="str">
        <f>"8:54:18.369550"</f>
        <v>8:54:18.369550</v>
      </c>
      <c r="C1530">
        <v>-41</v>
      </c>
    </row>
    <row r="1531" spans="1:3" x14ac:dyDescent="0.25">
      <c r="A1531">
        <v>39</v>
      </c>
      <c r="B1531" t="str">
        <f>"8:54:18.370576"</f>
        <v>8:54:18.370576</v>
      </c>
      <c r="C1531">
        <v>-45</v>
      </c>
    </row>
    <row r="1532" spans="1:3" x14ac:dyDescent="0.25">
      <c r="A1532">
        <v>37</v>
      </c>
      <c r="B1532" t="str">
        <f>"8:54:18.720591"</f>
        <v>8:54:18.720591</v>
      </c>
      <c r="C1532">
        <v>-45</v>
      </c>
    </row>
    <row r="1533" spans="1:3" x14ac:dyDescent="0.25">
      <c r="A1533">
        <v>37</v>
      </c>
      <c r="B1533" t="str">
        <f>"8:54:18.721109"</f>
        <v>8:54:18.721109</v>
      </c>
      <c r="C1533">
        <v>-37</v>
      </c>
    </row>
    <row r="1534" spans="1:3" x14ac:dyDescent="0.25">
      <c r="A1534">
        <v>37</v>
      </c>
      <c r="B1534" t="str">
        <f>"8:54:18.721435"</f>
        <v>8:54:18.721435</v>
      </c>
      <c r="C1534">
        <v>-45</v>
      </c>
    </row>
    <row r="1535" spans="1:3" x14ac:dyDescent="0.25">
      <c r="A1535">
        <v>38</v>
      </c>
      <c r="B1535" t="str">
        <f>"8:54:18.722211"</f>
        <v>8:54:18.722211</v>
      </c>
      <c r="C1535">
        <v>-41</v>
      </c>
    </row>
    <row r="1536" spans="1:3" x14ac:dyDescent="0.25">
      <c r="A1536">
        <v>39</v>
      </c>
      <c r="B1536" t="str">
        <f>"8:54:18.723237"</f>
        <v>8:54:18.723237</v>
      </c>
      <c r="C1536">
        <v>-46</v>
      </c>
    </row>
    <row r="1537" spans="1:3" x14ac:dyDescent="0.25">
      <c r="A1537">
        <v>37</v>
      </c>
      <c r="B1537" t="str">
        <f>"8:54:19.077253"</f>
        <v>8:54:19.077253</v>
      </c>
      <c r="C1537">
        <v>-44</v>
      </c>
    </row>
    <row r="1538" spans="1:3" x14ac:dyDescent="0.25">
      <c r="A1538">
        <v>38</v>
      </c>
      <c r="B1538" t="str">
        <f>"8:54:19.078281"</f>
        <v>8:54:19.078281</v>
      </c>
      <c r="C1538">
        <v>-41</v>
      </c>
    </row>
    <row r="1539" spans="1:3" x14ac:dyDescent="0.25">
      <c r="A1539">
        <v>39</v>
      </c>
      <c r="B1539" t="str">
        <f>"8:54:19.079307"</f>
        <v>8:54:19.079307</v>
      </c>
      <c r="C1539">
        <v>-46</v>
      </c>
    </row>
    <row r="1540" spans="1:3" x14ac:dyDescent="0.25">
      <c r="A1540">
        <v>37</v>
      </c>
      <c r="B1540" t="str">
        <f>"8:54:19.431632"</f>
        <v>8:54:19.431632</v>
      </c>
      <c r="C1540">
        <v>-44</v>
      </c>
    </row>
    <row r="1541" spans="1:3" x14ac:dyDescent="0.25">
      <c r="A1541">
        <v>38</v>
      </c>
      <c r="B1541" t="str">
        <f>"8:54:19.432659"</f>
        <v>8:54:19.432659</v>
      </c>
      <c r="C1541">
        <v>-41</v>
      </c>
    </row>
    <row r="1542" spans="1:3" x14ac:dyDescent="0.25">
      <c r="A1542">
        <v>39</v>
      </c>
      <c r="B1542" t="str">
        <f>"8:54:19.433685"</f>
        <v>8:54:19.433685</v>
      </c>
      <c r="C1542">
        <v>-45</v>
      </c>
    </row>
    <row r="1543" spans="1:3" x14ac:dyDescent="0.25">
      <c r="A1543">
        <v>37</v>
      </c>
      <c r="B1543" t="str">
        <f>"8:54:19.782400"</f>
        <v>8:54:19.782400</v>
      </c>
      <c r="C1543">
        <v>-44</v>
      </c>
    </row>
    <row r="1544" spans="1:3" x14ac:dyDescent="0.25">
      <c r="A1544">
        <v>38</v>
      </c>
      <c r="B1544" t="str">
        <f>"8:54:19.783428"</f>
        <v>8:54:19.783428</v>
      </c>
      <c r="C1544">
        <v>-41</v>
      </c>
    </row>
    <row r="1545" spans="1:3" x14ac:dyDescent="0.25">
      <c r="A1545">
        <v>38</v>
      </c>
      <c r="B1545" t="str">
        <f>"8:54:19.783946"</f>
        <v>8:54:19.783946</v>
      </c>
      <c r="C1545">
        <v>-32</v>
      </c>
    </row>
    <row r="1546" spans="1:3" x14ac:dyDescent="0.25">
      <c r="A1546">
        <v>38</v>
      </c>
      <c r="B1546" t="str">
        <f>"8:54:19.784272"</f>
        <v>8:54:19.784272</v>
      </c>
      <c r="C1546">
        <v>-41</v>
      </c>
    </row>
    <row r="1547" spans="1:3" x14ac:dyDescent="0.25">
      <c r="A1547">
        <v>39</v>
      </c>
      <c r="B1547" t="str">
        <f>"8:54:19.785048"</f>
        <v>8:54:19.785048</v>
      </c>
      <c r="C1547">
        <v>-45</v>
      </c>
    </row>
    <row r="1548" spans="1:3" x14ac:dyDescent="0.25">
      <c r="A1548">
        <v>37</v>
      </c>
      <c r="B1548" t="str">
        <f>"8:54:20.135160"</f>
        <v>8:54:20.135160</v>
      </c>
      <c r="C1548">
        <v>-44</v>
      </c>
    </row>
    <row r="1549" spans="1:3" x14ac:dyDescent="0.25">
      <c r="A1549">
        <v>38</v>
      </c>
      <c r="B1549" t="str">
        <f>"8:54:20.136187"</f>
        <v>8:54:20.136187</v>
      </c>
      <c r="C1549">
        <v>-41</v>
      </c>
    </row>
    <row r="1550" spans="1:3" x14ac:dyDescent="0.25">
      <c r="A1550">
        <v>38</v>
      </c>
      <c r="B1550" t="str">
        <f>"8:54:20.136706"</f>
        <v>8:54:20.136706</v>
      </c>
      <c r="C1550">
        <v>-32</v>
      </c>
    </row>
    <row r="1551" spans="1:3" x14ac:dyDescent="0.25">
      <c r="A1551">
        <v>38</v>
      </c>
      <c r="B1551" t="str">
        <f>"8:54:20.137032"</f>
        <v>8:54:20.137032</v>
      </c>
      <c r="C1551">
        <v>-41</v>
      </c>
    </row>
    <row r="1552" spans="1:3" x14ac:dyDescent="0.25">
      <c r="A1552">
        <v>39</v>
      </c>
      <c r="B1552" t="str">
        <f>"8:54:20.137808"</f>
        <v>8:54:20.137808</v>
      </c>
      <c r="C1552">
        <v>-46</v>
      </c>
    </row>
    <row r="1553" spans="1:3" x14ac:dyDescent="0.25">
      <c r="A1553">
        <v>37</v>
      </c>
      <c r="B1553" t="str">
        <f>"8:54:20.487183"</f>
        <v>8:54:20.487183</v>
      </c>
      <c r="C1553">
        <v>-44</v>
      </c>
    </row>
    <row r="1554" spans="1:3" x14ac:dyDescent="0.25">
      <c r="A1554">
        <v>38</v>
      </c>
      <c r="B1554" t="str">
        <f>"8:54:20.488210"</f>
        <v>8:54:20.488210</v>
      </c>
      <c r="C1554">
        <v>-41</v>
      </c>
    </row>
    <row r="1555" spans="1:3" x14ac:dyDescent="0.25">
      <c r="A1555">
        <v>39</v>
      </c>
      <c r="B1555" t="str">
        <f>"8:54:20.489236"</f>
        <v>8:54:20.489236</v>
      </c>
      <c r="C1555">
        <v>-46</v>
      </c>
    </row>
    <row r="1556" spans="1:3" x14ac:dyDescent="0.25">
      <c r="A1556">
        <v>37</v>
      </c>
      <c r="B1556" t="str">
        <f>"8:54:20.844860"</f>
        <v>8:54:20.844860</v>
      </c>
      <c r="C1556">
        <v>-44</v>
      </c>
    </row>
    <row r="1557" spans="1:3" x14ac:dyDescent="0.25">
      <c r="A1557">
        <v>38</v>
      </c>
      <c r="B1557" t="str">
        <f>"8:54:20.845888"</f>
        <v>8:54:20.845888</v>
      </c>
      <c r="C1557">
        <v>-41</v>
      </c>
    </row>
    <row r="1558" spans="1:3" x14ac:dyDescent="0.25">
      <c r="A1558">
        <v>39</v>
      </c>
      <c r="B1558" t="str">
        <f>"8:54:20.846914"</f>
        <v>8:54:20.846914</v>
      </c>
      <c r="C1558">
        <v>-46</v>
      </c>
    </row>
    <row r="1559" spans="1:3" x14ac:dyDescent="0.25">
      <c r="A1559">
        <v>37</v>
      </c>
      <c r="B1559" t="str">
        <f>"8:54:21.202774"</f>
        <v>8:54:21.202774</v>
      </c>
      <c r="C1559">
        <v>-44</v>
      </c>
    </row>
    <row r="1560" spans="1:3" x14ac:dyDescent="0.25">
      <c r="A1560">
        <v>38</v>
      </c>
      <c r="B1560" t="str">
        <f>"8:54:21.203802"</f>
        <v>8:54:21.203802</v>
      </c>
      <c r="C1560">
        <v>-41</v>
      </c>
    </row>
    <row r="1561" spans="1:3" x14ac:dyDescent="0.25">
      <c r="A1561">
        <v>38</v>
      </c>
      <c r="B1561" t="str">
        <f>"8:54:21.204321"</f>
        <v>8:54:21.204321</v>
      </c>
      <c r="C1561">
        <v>-32</v>
      </c>
    </row>
    <row r="1562" spans="1:3" x14ac:dyDescent="0.25">
      <c r="A1562">
        <v>38</v>
      </c>
      <c r="B1562" t="str">
        <f>"8:54:21.204647"</f>
        <v>8:54:21.204647</v>
      </c>
      <c r="C1562">
        <v>-41</v>
      </c>
    </row>
    <row r="1563" spans="1:3" x14ac:dyDescent="0.25">
      <c r="A1563">
        <v>39</v>
      </c>
      <c r="B1563" t="str">
        <f>"8:54:21.205423"</f>
        <v>8:54:21.205423</v>
      </c>
      <c r="C1563">
        <v>-45</v>
      </c>
    </row>
    <row r="1564" spans="1:3" x14ac:dyDescent="0.25">
      <c r="A1564">
        <v>37</v>
      </c>
      <c r="B1564" t="str">
        <f>"8:54:21.559183"</f>
        <v>8:54:21.559183</v>
      </c>
      <c r="C1564">
        <v>-44</v>
      </c>
    </row>
    <row r="1565" spans="1:3" x14ac:dyDescent="0.25">
      <c r="A1565">
        <v>38</v>
      </c>
      <c r="B1565" t="str">
        <f>"8:54:21.560210"</f>
        <v>8:54:21.560210</v>
      </c>
      <c r="C1565">
        <v>-41</v>
      </c>
    </row>
    <row r="1566" spans="1:3" x14ac:dyDescent="0.25">
      <c r="A1566">
        <v>38</v>
      </c>
      <c r="B1566" t="str">
        <f>"8:54:21.560729"</f>
        <v>8:54:21.560729</v>
      </c>
      <c r="C1566">
        <v>-32</v>
      </c>
    </row>
    <row r="1567" spans="1:3" x14ac:dyDescent="0.25">
      <c r="A1567">
        <v>38</v>
      </c>
      <c r="B1567" t="str">
        <f>"8:54:21.561054"</f>
        <v>8:54:21.561054</v>
      </c>
      <c r="C1567">
        <v>-41</v>
      </c>
    </row>
    <row r="1568" spans="1:3" x14ac:dyDescent="0.25">
      <c r="A1568">
        <v>39</v>
      </c>
      <c r="B1568" t="str">
        <f>"8:54:21.561830"</f>
        <v>8:54:21.561830</v>
      </c>
      <c r="C1568">
        <v>-45</v>
      </c>
    </row>
    <row r="1569" spans="1:3" x14ac:dyDescent="0.25">
      <c r="A1569">
        <v>37</v>
      </c>
      <c r="B1569" t="str">
        <f>"8:54:21.909381"</f>
        <v>8:54:21.909381</v>
      </c>
      <c r="C1569">
        <v>-45</v>
      </c>
    </row>
    <row r="1570" spans="1:3" x14ac:dyDescent="0.25">
      <c r="A1570">
        <v>38</v>
      </c>
      <c r="B1570" t="str">
        <f>"8:54:21.910409"</f>
        <v>8:54:21.910409</v>
      </c>
      <c r="C1570">
        <v>-41</v>
      </c>
    </row>
    <row r="1571" spans="1:3" x14ac:dyDescent="0.25">
      <c r="A1571">
        <v>38</v>
      </c>
      <c r="B1571" t="str">
        <f>"8:54:21.910927"</f>
        <v>8:54:21.910927</v>
      </c>
      <c r="C1571">
        <v>-32</v>
      </c>
    </row>
    <row r="1572" spans="1:3" x14ac:dyDescent="0.25">
      <c r="A1572">
        <v>38</v>
      </c>
      <c r="B1572" t="str">
        <f>"8:54:21.911253"</f>
        <v>8:54:21.911253</v>
      </c>
      <c r="C1572">
        <v>-41</v>
      </c>
    </row>
    <row r="1573" spans="1:3" x14ac:dyDescent="0.25">
      <c r="A1573">
        <v>39</v>
      </c>
      <c r="B1573" t="str">
        <f>"8:54:21.912029"</f>
        <v>8:54:21.912029</v>
      </c>
      <c r="C1573">
        <v>-45</v>
      </c>
    </row>
    <row r="1574" spans="1:3" x14ac:dyDescent="0.25">
      <c r="A1574">
        <v>37</v>
      </c>
      <c r="B1574" t="str">
        <f>"8:54:22.268360"</f>
        <v>8:54:22.268360</v>
      </c>
      <c r="C1574">
        <v>-45</v>
      </c>
    </row>
    <row r="1575" spans="1:3" x14ac:dyDescent="0.25">
      <c r="A1575">
        <v>38</v>
      </c>
      <c r="B1575" t="str">
        <f>"8:54:22.269388"</f>
        <v>8:54:22.269388</v>
      </c>
      <c r="C1575">
        <v>-41</v>
      </c>
    </row>
    <row r="1576" spans="1:3" x14ac:dyDescent="0.25">
      <c r="A1576">
        <v>38</v>
      </c>
      <c r="B1576" t="str">
        <f>"8:54:22.269906"</f>
        <v>8:54:22.269906</v>
      </c>
      <c r="C1576">
        <v>-31</v>
      </c>
    </row>
    <row r="1577" spans="1:3" x14ac:dyDescent="0.25">
      <c r="A1577">
        <v>38</v>
      </c>
      <c r="B1577" t="str">
        <f>"8:54:22.270232"</f>
        <v>8:54:22.270232</v>
      </c>
      <c r="C1577">
        <v>-41</v>
      </c>
    </row>
    <row r="1578" spans="1:3" x14ac:dyDescent="0.25">
      <c r="A1578">
        <v>39</v>
      </c>
      <c r="B1578" t="str">
        <f>"8:54:22.271008"</f>
        <v>8:54:22.271008</v>
      </c>
      <c r="C1578">
        <v>-45</v>
      </c>
    </row>
    <row r="1579" spans="1:3" x14ac:dyDescent="0.25">
      <c r="A1579">
        <v>37</v>
      </c>
      <c r="B1579" t="str">
        <f>"8:54:22.621147"</f>
        <v>8:54:22.621147</v>
      </c>
      <c r="C1579">
        <v>-45</v>
      </c>
    </row>
    <row r="1580" spans="1:3" x14ac:dyDescent="0.25">
      <c r="A1580">
        <v>38</v>
      </c>
      <c r="B1580" t="str">
        <f>"8:54:22.622175"</f>
        <v>8:54:22.622175</v>
      </c>
      <c r="C1580">
        <v>-41</v>
      </c>
    </row>
    <row r="1581" spans="1:3" x14ac:dyDescent="0.25">
      <c r="A1581">
        <v>38</v>
      </c>
      <c r="B1581" t="str">
        <f>"8:54:22.622693"</f>
        <v>8:54:22.622693</v>
      </c>
      <c r="C1581">
        <v>-31</v>
      </c>
    </row>
    <row r="1582" spans="1:3" x14ac:dyDescent="0.25">
      <c r="A1582">
        <v>38</v>
      </c>
      <c r="B1582" t="str">
        <f>"8:54:22.623020"</f>
        <v>8:54:22.623020</v>
      </c>
      <c r="C1582">
        <v>-42</v>
      </c>
    </row>
    <row r="1583" spans="1:3" x14ac:dyDescent="0.25">
      <c r="A1583">
        <v>39</v>
      </c>
      <c r="B1583" t="str">
        <f>"8:54:22.623796"</f>
        <v>8:54:22.623796</v>
      </c>
      <c r="C1583">
        <v>-45</v>
      </c>
    </row>
    <row r="1584" spans="1:3" x14ac:dyDescent="0.25">
      <c r="A1584">
        <v>37</v>
      </c>
      <c r="B1584" t="str">
        <f>"8:54:22.976752"</f>
        <v>8:54:22.976752</v>
      </c>
      <c r="C1584">
        <v>-44</v>
      </c>
    </row>
    <row r="1585" spans="1:3" x14ac:dyDescent="0.25">
      <c r="A1585">
        <v>38</v>
      </c>
      <c r="B1585" t="str">
        <f>"8:54:22.977780"</f>
        <v>8:54:22.977780</v>
      </c>
      <c r="C1585">
        <v>-41</v>
      </c>
    </row>
    <row r="1586" spans="1:3" x14ac:dyDescent="0.25">
      <c r="A1586">
        <v>38</v>
      </c>
      <c r="B1586" t="str">
        <f>"8:54:22.978298"</f>
        <v>8:54:22.978298</v>
      </c>
      <c r="C1586">
        <v>-31</v>
      </c>
    </row>
    <row r="1587" spans="1:3" x14ac:dyDescent="0.25">
      <c r="A1587">
        <v>38</v>
      </c>
      <c r="B1587" t="str">
        <f>"8:54:22.978624"</f>
        <v>8:54:22.978624</v>
      </c>
      <c r="C1587">
        <v>-41</v>
      </c>
    </row>
    <row r="1588" spans="1:3" x14ac:dyDescent="0.25">
      <c r="A1588">
        <v>39</v>
      </c>
      <c r="B1588" t="str">
        <f>"8:54:22.979400"</f>
        <v>8:54:22.979400</v>
      </c>
      <c r="C1588">
        <v>-46</v>
      </c>
    </row>
    <row r="1589" spans="1:3" x14ac:dyDescent="0.25">
      <c r="A1589">
        <v>37</v>
      </c>
      <c r="B1589" t="str">
        <f>"8:54:23.327988"</f>
        <v>8:54:23.327988</v>
      </c>
      <c r="C1589">
        <v>-45</v>
      </c>
    </row>
    <row r="1590" spans="1:3" x14ac:dyDescent="0.25">
      <c r="A1590">
        <v>38</v>
      </c>
      <c r="B1590" t="str">
        <f>"8:54:23.329016"</f>
        <v>8:54:23.329016</v>
      </c>
      <c r="C1590">
        <v>-41</v>
      </c>
    </row>
    <row r="1591" spans="1:3" x14ac:dyDescent="0.25">
      <c r="A1591">
        <v>39</v>
      </c>
      <c r="B1591" t="str">
        <f>"8:54:23.330042"</f>
        <v>8:54:23.330042</v>
      </c>
      <c r="C1591">
        <v>-46</v>
      </c>
    </row>
    <row r="1592" spans="1:3" x14ac:dyDescent="0.25">
      <c r="A1592">
        <v>37</v>
      </c>
      <c r="B1592" t="str">
        <f>"8:54:23.682049"</f>
        <v>8:54:23.682049</v>
      </c>
      <c r="C1592">
        <v>-44</v>
      </c>
    </row>
    <row r="1593" spans="1:3" x14ac:dyDescent="0.25">
      <c r="A1593">
        <v>38</v>
      </c>
      <c r="B1593" t="str">
        <f>"8:54:23.683076"</f>
        <v>8:54:23.683076</v>
      </c>
      <c r="C1593">
        <v>-41</v>
      </c>
    </row>
    <row r="1594" spans="1:3" x14ac:dyDescent="0.25">
      <c r="A1594">
        <v>38</v>
      </c>
      <c r="B1594" t="str">
        <f>"8:54:23.683595"</f>
        <v>8:54:23.683595</v>
      </c>
      <c r="C1594">
        <v>-31</v>
      </c>
    </row>
    <row r="1595" spans="1:3" x14ac:dyDescent="0.25">
      <c r="A1595">
        <v>38</v>
      </c>
      <c r="B1595" t="str">
        <f>"8:54:23.683921"</f>
        <v>8:54:23.683921</v>
      </c>
      <c r="C1595">
        <v>-41</v>
      </c>
    </row>
    <row r="1596" spans="1:3" x14ac:dyDescent="0.25">
      <c r="A1596">
        <v>39</v>
      </c>
      <c r="B1596" t="str">
        <f>"8:54:23.684697"</f>
        <v>8:54:23.684697</v>
      </c>
      <c r="C1596">
        <v>-46</v>
      </c>
    </row>
    <row r="1597" spans="1:3" x14ac:dyDescent="0.25">
      <c r="A1597">
        <v>37</v>
      </c>
      <c r="B1597" t="str">
        <f>"8:54:24.040285"</f>
        <v>8:54:24.040285</v>
      </c>
      <c r="C1597">
        <v>-45</v>
      </c>
    </row>
    <row r="1598" spans="1:3" x14ac:dyDescent="0.25">
      <c r="A1598">
        <v>38</v>
      </c>
      <c r="B1598" t="str">
        <f>"8:54:24.041312"</f>
        <v>8:54:24.041312</v>
      </c>
      <c r="C1598">
        <v>-41</v>
      </c>
    </row>
    <row r="1599" spans="1:3" x14ac:dyDescent="0.25">
      <c r="A1599">
        <v>38</v>
      </c>
      <c r="B1599" t="str">
        <f>"8:54:24.041831"</f>
        <v>8:54:24.041831</v>
      </c>
      <c r="C1599">
        <v>-31</v>
      </c>
    </row>
    <row r="1600" spans="1:3" x14ac:dyDescent="0.25">
      <c r="A1600">
        <v>38</v>
      </c>
      <c r="B1600" t="str">
        <f>"8:54:24.042156"</f>
        <v>8:54:24.042156</v>
      </c>
      <c r="C1600">
        <v>-41</v>
      </c>
    </row>
    <row r="1601" spans="1:3" x14ac:dyDescent="0.25">
      <c r="A1601">
        <v>39</v>
      </c>
      <c r="B1601" t="str">
        <f>"8:54:24.042932"</f>
        <v>8:54:24.042932</v>
      </c>
      <c r="C1601">
        <v>-46</v>
      </c>
    </row>
    <row r="1602" spans="1:3" x14ac:dyDescent="0.25">
      <c r="A1602">
        <v>37</v>
      </c>
      <c r="B1602" t="str">
        <f>"8:54:24.392341"</f>
        <v>8:54:24.392341</v>
      </c>
      <c r="C1602">
        <v>-44</v>
      </c>
    </row>
    <row r="1603" spans="1:3" x14ac:dyDescent="0.25">
      <c r="A1603">
        <v>38</v>
      </c>
      <c r="B1603" t="str">
        <f>"8:54:24.393368"</f>
        <v>8:54:24.393368</v>
      </c>
      <c r="C1603">
        <v>-41</v>
      </c>
    </row>
    <row r="1604" spans="1:3" x14ac:dyDescent="0.25">
      <c r="A1604">
        <v>38</v>
      </c>
      <c r="B1604" t="str">
        <f>"8:54:24.393887"</f>
        <v>8:54:24.393887</v>
      </c>
      <c r="C1604">
        <v>-31</v>
      </c>
    </row>
    <row r="1605" spans="1:3" x14ac:dyDescent="0.25">
      <c r="A1605">
        <v>38</v>
      </c>
      <c r="B1605" t="str">
        <f>"8:54:24.394213"</f>
        <v>8:54:24.394213</v>
      </c>
      <c r="C1605">
        <v>-41</v>
      </c>
    </row>
    <row r="1606" spans="1:3" x14ac:dyDescent="0.25">
      <c r="A1606">
        <v>39</v>
      </c>
      <c r="B1606" t="str">
        <f>"8:54:24.394989"</f>
        <v>8:54:24.394989</v>
      </c>
      <c r="C1606">
        <v>-46</v>
      </c>
    </row>
    <row r="1607" spans="1:3" x14ac:dyDescent="0.25">
      <c r="A1607">
        <v>37</v>
      </c>
      <c r="B1607" t="str">
        <f>"8:54:24.747499"</f>
        <v>8:54:24.747499</v>
      </c>
      <c r="C1607">
        <v>-44</v>
      </c>
    </row>
    <row r="1608" spans="1:3" x14ac:dyDescent="0.25">
      <c r="A1608">
        <v>38</v>
      </c>
      <c r="B1608" t="str">
        <f>"8:54:24.748526"</f>
        <v>8:54:24.748526</v>
      </c>
      <c r="C1608">
        <v>-41</v>
      </c>
    </row>
    <row r="1609" spans="1:3" x14ac:dyDescent="0.25">
      <c r="A1609">
        <v>39</v>
      </c>
      <c r="B1609" t="str">
        <f>"8:54:24.749552"</f>
        <v>8:54:24.749552</v>
      </c>
      <c r="C1609">
        <v>-46</v>
      </c>
    </row>
    <row r="1610" spans="1:3" x14ac:dyDescent="0.25">
      <c r="A1610">
        <v>39</v>
      </c>
      <c r="B1610" t="str">
        <f>"8:54:24.750071"</f>
        <v>8:54:24.750071</v>
      </c>
      <c r="C1610">
        <v>-31</v>
      </c>
    </row>
    <row r="1611" spans="1:3" x14ac:dyDescent="0.25">
      <c r="A1611">
        <v>39</v>
      </c>
      <c r="B1611" t="str">
        <f>"8:54:24.750396"</f>
        <v>8:54:24.750396</v>
      </c>
      <c r="C1611">
        <v>-45</v>
      </c>
    </row>
    <row r="1612" spans="1:3" x14ac:dyDescent="0.25">
      <c r="A1612">
        <v>37</v>
      </c>
      <c r="B1612" t="str">
        <f>"8:54:25.099045"</f>
        <v>8:54:25.099045</v>
      </c>
      <c r="C1612">
        <v>-44</v>
      </c>
    </row>
    <row r="1613" spans="1:3" x14ac:dyDescent="0.25">
      <c r="A1613">
        <v>38</v>
      </c>
      <c r="B1613" t="str">
        <f>"8:54:25.100072"</f>
        <v>8:54:25.100072</v>
      </c>
      <c r="C1613">
        <v>-41</v>
      </c>
    </row>
    <row r="1614" spans="1:3" x14ac:dyDescent="0.25">
      <c r="A1614">
        <v>39</v>
      </c>
      <c r="B1614" t="str">
        <f>"8:54:25.101098"</f>
        <v>8:54:25.101098</v>
      </c>
      <c r="C1614">
        <v>-46</v>
      </c>
    </row>
    <row r="1615" spans="1:3" x14ac:dyDescent="0.25">
      <c r="A1615">
        <v>39</v>
      </c>
      <c r="B1615" t="str">
        <f>"8:54:25.101617"</f>
        <v>8:54:25.101617</v>
      </c>
      <c r="C1615">
        <v>-31</v>
      </c>
    </row>
    <row r="1616" spans="1:3" x14ac:dyDescent="0.25">
      <c r="A1616">
        <v>39</v>
      </c>
      <c r="B1616" t="str">
        <f>"8:54:25.101942"</f>
        <v>8:54:25.101942</v>
      </c>
      <c r="C1616">
        <v>-45</v>
      </c>
    </row>
    <row r="1617" spans="1:3" x14ac:dyDescent="0.25">
      <c r="A1617">
        <v>37</v>
      </c>
      <c r="B1617" t="str">
        <f>"8:54:25.458032"</f>
        <v>8:54:25.458032</v>
      </c>
      <c r="C1617">
        <v>-44</v>
      </c>
    </row>
    <row r="1618" spans="1:3" x14ac:dyDescent="0.25">
      <c r="A1618">
        <v>38</v>
      </c>
      <c r="B1618" t="str">
        <f>"8:54:25.459059"</f>
        <v>8:54:25.459059</v>
      </c>
      <c r="C1618">
        <v>-41</v>
      </c>
    </row>
    <row r="1619" spans="1:3" x14ac:dyDescent="0.25">
      <c r="A1619">
        <v>39</v>
      </c>
      <c r="B1619" t="str">
        <f>"8:54:25.460085"</f>
        <v>8:54:25.460085</v>
      </c>
      <c r="C1619">
        <v>-46</v>
      </c>
    </row>
    <row r="1620" spans="1:3" x14ac:dyDescent="0.25">
      <c r="A1620">
        <v>39</v>
      </c>
      <c r="B1620" t="str">
        <f>"8:54:25.460604"</f>
        <v>8:54:25.460604</v>
      </c>
      <c r="C1620">
        <v>-31</v>
      </c>
    </row>
    <row r="1621" spans="1:3" x14ac:dyDescent="0.25">
      <c r="A1621">
        <v>39</v>
      </c>
      <c r="B1621" t="str">
        <f>"8:54:25.460929"</f>
        <v>8:54:25.460929</v>
      </c>
      <c r="C1621">
        <v>-45</v>
      </c>
    </row>
    <row r="1622" spans="1:3" x14ac:dyDescent="0.25">
      <c r="A1622">
        <v>37</v>
      </c>
      <c r="B1622" t="str">
        <f>"8:54:25.814435"</f>
        <v>8:54:25.814435</v>
      </c>
      <c r="C1622">
        <v>-44</v>
      </c>
    </row>
    <row r="1623" spans="1:3" x14ac:dyDescent="0.25">
      <c r="A1623">
        <v>38</v>
      </c>
      <c r="B1623" t="str">
        <f>"8:54:25.815462"</f>
        <v>8:54:25.815462</v>
      </c>
      <c r="C1623">
        <v>-41</v>
      </c>
    </row>
    <row r="1624" spans="1:3" x14ac:dyDescent="0.25">
      <c r="A1624">
        <v>39</v>
      </c>
      <c r="B1624" t="str">
        <f>"8:54:25.816488"</f>
        <v>8:54:25.816488</v>
      </c>
      <c r="C1624">
        <v>-46</v>
      </c>
    </row>
    <row r="1625" spans="1:3" x14ac:dyDescent="0.25">
      <c r="A1625">
        <v>39</v>
      </c>
      <c r="B1625" t="str">
        <f>"8:54:25.817007"</f>
        <v>8:54:25.817007</v>
      </c>
      <c r="C1625">
        <v>-31</v>
      </c>
    </row>
    <row r="1626" spans="1:3" x14ac:dyDescent="0.25">
      <c r="A1626">
        <v>39</v>
      </c>
      <c r="B1626" t="str">
        <f>"8:54:25.817332"</f>
        <v>8:54:25.817332</v>
      </c>
      <c r="C1626">
        <v>-45</v>
      </c>
    </row>
    <row r="1627" spans="1:3" x14ac:dyDescent="0.25">
      <c r="A1627">
        <v>37</v>
      </c>
      <c r="B1627" t="str">
        <f>"8:54:26.167440"</f>
        <v>8:54:26.167440</v>
      </c>
      <c r="C1627">
        <v>-44</v>
      </c>
    </row>
    <row r="1628" spans="1:3" x14ac:dyDescent="0.25">
      <c r="A1628">
        <v>38</v>
      </c>
      <c r="B1628" t="str">
        <f>"8:54:26.168467"</f>
        <v>8:54:26.168467</v>
      </c>
      <c r="C1628">
        <v>-41</v>
      </c>
    </row>
    <row r="1629" spans="1:3" x14ac:dyDescent="0.25">
      <c r="A1629">
        <v>39</v>
      </c>
      <c r="B1629" t="str">
        <f>"8:54:26.169493"</f>
        <v>8:54:26.169493</v>
      </c>
      <c r="C1629">
        <v>-46</v>
      </c>
    </row>
    <row r="1630" spans="1:3" x14ac:dyDescent="0.25">
      <c r="A1630">
        <v>37</v>
      </c>
      <c r="B1630" t="str">
        <f>"8:54:26.518680"</f>
        <v>8:54:26.518680</v>
      </c>
      <c r="C1630">
        <v>-44</v>
      </c>
    </row>
    <row r="1631" spans="1:3" x14ac:dyDescent="0.25">
      <c r="A1631">
        <v>38</v>
      </c>
      <c r="B1631" t="str">
        <f>"8:54:26.519707"</f>
        <v>8:54:26.519707</v>
      </c>
      <c r="C1631">
        <v>-41</v>
      </c>
    </row>
    <row r="1632" spans="1:3" x14ac:dyDescent="0.25">
      <c r="A1632">
        <v>39</v>
      </c>
      <c r="B1632" t="str">
        <f>"8:54:26.520733"</f>
        <v>8:54:26.520733</v>
      </c>
      <c r="C1632">
        <v>-46</v>
      </c>
    </row>
    <row r="1633" spans="1:3" x14ac:dyDescent="0.25">
      <c r="A1633">
        <v>37</v>
      </c>
      <c r="B1633" t="str">
        <f>"8:54:26.878177"</f>
        <v>8:54:26.878177</v>
      </c>
      <c r="C1633">
        <v>-44</v>
      </c>
    </row>
    <row r="1634" spans="1:3" x14ac:dyDescent="0.25">
      <c r="A1634">
        <v>38</v>
      </c>
      <c r="B1634" t="str">
        <f>"8:54:26.879204"</f>
        <v>8:54:26.879204</v>
      </c>
      <c r="C1634">
        <v>-41</v>
      </c>
    </row>
    <row r="1635" spans="1:3" x14ac:dyDescent="0.25">
      <c r="A1635">
        <v>39</v>
      </c>
      <c r="B1635" t="str">
        <f>"8:54:26.880231"</f>
        <v>8:54:26.880231</v>
      </c>
      <c r="C1635">
        <v>-46</v>
      </c>
    </row>
    <row r="1636" spans="1:3" x14ac:dyDescent="0.25">
      <c r="A1636">
        <v>39</v>
      </c>
      <c r="B1636" t="str">
        <f>"8:54:26.880749"</f>
        <v>8:54:26.880749</v>
      </c>
      <c r="C1636">
        <v>-31</v>
      </c>
    </row>
    <row r="1637" spans="1:3" x14ac:dyDescent="0.25">
      <c r="A1637">
        <v>39</v>
      </c>
      <c r="B1637" t="str">
        <f>"8:54:26.881075"</f>
        <v>8:54:26.881075</v>
      </c>
      <c r="C1637">
        <v>-46</v>
      </c>
    </row>
    <row r="1638" spans="1:3" x14ac:dyDescent="0.25">
      <c r="A1638">
        <v>37</v>
      </c>
      <c r="B1638" t="str">
        <f>"8:54:27.235617"</f>
        <v>8:54:27.235617</v>
      </c>
      <c r="C1638">
        <v>-44</v>
      </c>
    </row>
    <row r="1639" spans="1:3" x14ac:dyDescent="0.25">
      <c r="A1639">
        <v>38</v>
      </c>
      <c r="B1639" t="str">
        <f>"8:54:27.236644"</f>
        <v>8:54:27.236644</v>
      </c>
      <c r="C1639">
        <v>-41</v>
      </c>
    </row>
    <row r="1640" spans="1:3" x14ac:dyDescent="0.25">
      <c r="A1640">
        <v>39</v>
      </c>
      <c r="B1640" t="str">
        <f>"8:54:27.237670"</f>
        <v>8:54:27.237670</v>
      </c>
      <c r="C1640">
        <v>-46</v>
      </c>
    </row>
    <row r="1641" spans="1:3" x14ac:dyDescent="0.25">
      <c r="A1641">
        <v>39</v>
      </c>
      <c r="B1641" t="str">
        <f>"8:54:27.238189"</f>
        <v>8:54:27.238189</v>
      </c>
      <c r="C1641">
        <v>-31</v>
      </c>
    </row>
    <row r="1642" spans="1:3" x14ac:dyDescent="0.25">
      <c r="A1642">
        <v>39</v>
      </c>
      <c r="B1642" t="str">
        <f>"8:54:27.238514"</f>
        <v>8:54:27.238514</v>
      </c>
      <c r="C1642">
        <v>-45</v>
      </c>
    </row>
    <row r="1643" spans="1:3" x14ac:dyDescent="0.25">
      <c r="A1643">
        <v>37</v>
      </c>
      <c r="B1643" t="str">
        <f>"8:54:27.585810"</f>
        <v>8:54:27.585810</v>
      </c>
      <c r="C1643">
        <v>-44</v>
      </c>
    </row>
    <row r="1644" spans="1:3" x14ac:dyDescent="0.25">
      <c r="A1644">
        <v>38</v>
      </c>
      <c r="B1644" t="str">
        <f>"8:54:27.586837"</f>
        <v>8:54:27.586837</v>
      </c>
      <c r="C1644">
        <v>-41</v>
      </c>
    </row>
    <row r="1645" spans="1:3" x14ac:dyDescent="0.25">
      <c r="A1645">
        <v>39</v>
      </c>
      <c r="B1645" t="str">
        <f>"8:54:27.587863"</f>
        <v>8:54:27.587863</v>
      </c>
      <c r="C1645">
        <v>-46</v>
      </c>
    </row>
    <row r="1646" spans="1:3" x14ac:dyDescent="0.25">
      <c r="A1646">
        <v>39</v>
      </c>
      <c r="B1646" t="str">
        <f>"8:54:27.588382"</f>
        <v>8:54:27.588382</v>
      </c>
      <c r="C1646">
        <v>-31</v>
      </c>
    </row>
    <row r="1647" spans="1:3" x14ac:dyDescent="0.25">
      <c r="A1647">
        <v>39</v>
      </c>
      <c r="B1647" t="str">
        <f>"8:54:27.588707"</f>
        <v>8:54:27.588707</v>
      </c>
      <c r="C1647">
        <v>-45</v>
      </c>
    </row>
    <row r="1648" spans="1:3" x14ac:dyDescent="0.25">
      <c r="A1648">
        <v>37</v>
      </c>
      <c r="B1648" t="str">
        <f>"8:54:27.945027"</f>
        <v>8:54:27.945027</v>
      </c>
      <c r="C1648">
        <v>-44</v>
      </c>
    </row>
    <row r="1649" spans="1:3" x14ac:dyDescent="0.25">
      <c r="A1649">
        <v>38</v>
      </c>
      <c r="B1649" t="str">
        <f>"8:54:27.946055"</f>
        <v>8:54:27.946055</v>
      </c>
      <c r="C1649">
        <v>-41</v>
      </c>
    </row>
    <row r="1650" spans="1:3" x14ac:dyDescent="0.25">
      <c r="A1650">
        <v>39</v>
      </c>
      <c r="B1650" t="str">
        <f>"8:54:27.947081"</f>
        <v>8:54:27.947081</v>
      </c>
      <c r="C1650">
        <v>-46</v>
      </c>
    </row>
    <row r="1651" spans="1:3" x14ac:dyDescent="0.25">
      <c r="A1651">
        <v>37</v>
      </c>
      <c r="B1651" t="str">
        <f>"8:54:28.296536"</f>
        <v>8:54:28.296536</v>
      </c>
      <c r="C1651">
        <v>-44</v>
      </c>
    </row>
    <row r="1652" spans="1:3" x14ac:dyDescent="0.25">
      <c r="A1652">
        <v>38</v>
      </c>
      <c r="B1652" t="str">
        <f>"8:54:28.297563"</f>
        <v>8:54:28.297563</v>
      </c>
      <c r="C1652">
        <v>-41</v>
      </c>
    </row>
    <row r="1653" spans="1:3" x14ac:dyDescent="0.25">
      <c r="A1653">
        <v>39</v>
      </c>
      <c r="B1653" t="str">
        <f>"8:54:28.298590"</f>
        <v>8:54:28.298590</v>
      </c>
      <c r="C1653">
        <v>-46</v>
      </c>
    </row>
    <row r="1654" spans="1:3" x14ac:dyDescent="0.25">
      <c r="A1654">
        <v>39</v>
      </c>
      <c r="B1654" t="str">
        <f>"8:54:28.299108"</f>
        <v>8:54:28.299108</v>
      </c>
      <c r="C1654">
        <v>-31</v>
      </c>
    </row>
    <row r="1655" spans="1:3" x14ac:dyDescent="0.25">
      <c r="A1655">
        <v>39</v>
      </c>
      <c r="B1655" t="str">
        <f>"8:54:28.299434"</f>
        <v>8:54:28.299434</v>
      </c>
      <c r="C1655">
        <v>-45</v>
      </c>
    </row>
    <row r="1656" spans="1:3" x14ac:dyDescent="0.25">
      <c r="A1656">
        <v>37</v>
      </c>
      <c r="B1656" t="str">
        <f>"8:54:28.655178"</f>
        <v>8:54:28.655178</v>
      </c>
      <c r="C1656">
        <v>-44</v>
      </c>
    </row>
    <row r="1657" spans="1:3" x14ac:dyDescent="0.25">
      <c r="A1657">
        <v>38</v>
      </c>
      <c r="B1657" t="str">
        <f>"8:54:28.656206"</f>
        <v>8:54:28.656206</v>
      </c>
      <c r="C1657">
        <v>-41</v>
      </c>
    </row>
    <row r="1658" spans="1:3" x14ac:dyDescent="0.25">
      <c r="A1658">
        <v>39</v>
      </c>
      <c r="B1658" t="str">
        <f>"8:54:28.657232"</f>
        <v>8:54:28.657232</v>
      </c>
      <c r="C1658">
        <v>-46</v>
      </c>
    </row>
    <row r="1659" spans="1:3" x14ac:dyDescent="0.25">
      <c r="A1659">
        <v>39</v>
      </c>
      <c r="B1659" t="str">
        <f>"8:54:28.657750"</f>
        <v>8:54:28.657750</v>
      </c>
      <c r="C1659">
        <v>-31</v>
      </c>
    </row>
    <row r="1660" spans="1:3" x14ac:dyDescent="0.25">
      <c r="A1660">
        <v>39</v>
      </c>
      <c r="B1660" t="str">
        <f>"8:54:28.658076"</f>
        <v>8:54:28.658076</v>
      </c>
      <c r="C1660">
        <v>-45</v>
      </c>
    </row>
    <row r="1661" spans="1:3" x14ac:dyDescent="0.25">
      <c r="A1661">
        <v>37</v>
      </c>
      <c r="B1661" t="str">
        <f>"8:54:29.010056"</f>
        <v>8:54:29.010056</v>
      </c>
      <c r="C1661">
        <v>-44</v>
      </c>
    </row>
    <row r="1662" spans="1:3" x14ac:dyDescent="0.25">
      <c r="A1662">
        <v>38</v>
      </c>
      <c r="B1662" t="str">
        <f>"8:54:29.011083"</f>
        <v>8:54:29.011083</v>
      </c>
      <c r="C1662">
        <v>-41</v>
      </c>
    </row>
    <row r="1663" spans="1:3" x14ac:dyDescent="0.25">
      <c r="A1663">
        <v>39</v>
      </c>
      <c r="B1663" t="str">
        <f>"8:54:29.012109"</f>
        <v>8:54:29.012109</v>
      </c>
      <c r="C1663">
        <v>-45</v>
      </c>
    </row>
    <row r="1664" spans="1:3" x14ac:dyDescent="0.25">
      <c r="A1664">
        <v>39</v>
      </c>
      <c r="B1664" t="str">
        <f>"8:54:29.012628"</f>
        <v>8:54:29.012628</v>
      </c>
      <c r="C1664">
        <v>-31</v>
      </c>
    </row>
    <row r="1665" spans="1:3" x14ac:dyDescent="0.25">
      <c r="A1665">
        <v>39</v>
      </c>
      <c r="B1665" t="str">
        <f>"8:54:29.012953"</f>
        <v>8:54:29.012953</v>
      </c>
      <c r="C1665">
        <v>-45</v>
      </c>
    </row>
    <row r="1666" spans="1:3" x14ac:dyDescent="0.25">
      <c r="A1666">
        <v>37</v>
      </c>
      <c r="B1666" t="str">
        <f>"8:54:29.361592"</f>
        <v>8:54:29.361592</v>
      </c>
      <c r="C1666">
        <v>-44</v>
      </c>
    </row>
    <row r="1667" spans="1:3" x14ac:dyDescent="0.25">
      <c r="A1667">
        <v>38</v>
      </c>
      <c r="B1667" t="str">
        <f>"8:54:29.362620"</f>
        <v>8:54:29.362620</v>
      </c>
      <c r="C1667">
        <v>-41</v>
      </c>
    </row>
    <row r="1668" spans="1:3" x14ac:dyDescent="0.25">
      <c r="A1668">
        <v>39</v>
      </c>
      <c r="B1668" t="str">
        <f>"8:54:29.363646"</f>
        <v>8:54:29.363646</v>
      </c>
      <c r="C1668">
        <v>-45</v>
      </c>
    </row>
    <row r="1669" spans="1:3" x14ac:dyDescent="0.25">
      <c r="A1669">
        <v>39</v>
      </c>
      <c r="B1669" t="str">
        <f>"8:54:29.364164"</f>
        <v>8:54:29.364164</v>
      </c>
      <c r="C1669">
        <v>-31</v>
      </c>
    </row>
    <row r="1670" spans="1:3" x14ac:dyDescent="0.25">
      <c r="A1670">
        <v>39</v>
      </c>
      <c r="B1670" t="str">
        <f>"8:54:29.364490"</f>
        <v>8:54:29.364490</v>
      </c>
      <c r="C1670">
        <v>-45</v>
      </c>
    </row>
    <row r="1671" spans="1:3" x14ac:dyDescent="0.25">
      <c r="A1671">
        <v>37</v>
      </c>
      <c r="B1671" t="str">
        <f>"8:54:29.720563"</f>
        <v>8:54:29.720563</v>
      </c>
      <c r="C1671">
        <v>-44</v>
      </c>
    </row>
    <row r="1672" spans="1:3" x14ac:dyDescent="0.25">
      <c r="A1672">
        <v>37</v>
      </c>
      <c r="B1672" t="str">
        <f>"8:54:29.721082"</f>
        <v>8:54:29.721082</v>
      </c>
      <c r="C1672">
        <v>-40</v>
      </c>
    </row>
    <row r="1673" spans="1:3" x14ac:dyDescent="0.25">
      <c r="A1673">
        <v>37</v>
      </c>
      <c r="B1673" t="str">
        <f>"8:54:29.721408"</f>
        <v>8:54:29.721408</v>
      </c>
      <c r="C1673">
        <v>-44</v>
      </c>
    </row>
    <row r="1674" spans="1:3" x14ac:dyDescent="0.25">
      <c r="A1674">
        <v>38</v>
      </c>
      <c r="B1674" t="str">
        <f>"8:54:29.722184"</f>
        <v>8:54:29.722184</v>
      </c>
      <c r="C1674">
        <v>-41</v>
      </c>
    </row>
    <row r="1675" spans="1:3" x14ac:dyDescent="0.25">
      <c r="A1675">
        <v>39</v>
      </c>
      <c r="B1675" t="str">
        <f>"8:54:29.723210"</f>
        <v>8:54:29.723210</v>
      </c>
      <c r="C1675">
        <v>-46</v>
      </c>
    </row>
    <row r="1676" spans="1:3" x14ac:dyDescent="0.25">
      <c r="A1676">
        <v>37</v>
      </c>
      <c r="B1676" t="str">
        <f>"8:54:30.078001"</f>
        <v>8:54:30.078001</v>
      </c>
      <c r="C1676">
        <v>-44</v>
      </c>
    </row>
    <row r="1677" spans="1:3" x14ac:dyDescent="0.25">
      <c r="A1677">
        <v>37</v>
      </c>
      <c r="B1677" t="str">
        <f>"8:54:30.078520"</f>
        <v>8:54:30.078520</v>
      </c>
      <c r="C1677">
        <v>-40</v>
      </c>
    </row>
    <row r="1678" spans="1:3" x14ac:dyDescent="0.25">
      <c r="A1678">
        <v>37</v>
      </c>
      <c r="B1678" t="str">
        <f>"8:54:30.078845"</f>
        <v>8:54:30.078845</v>
      </c>
      <c r="C1678">
        <v>-44</v>
      </c>
    </row>
    <row r="1679" spans="1:3" x14ac:dyDescent="0.25">
      <c r="A1679">
        <v>38</v>
      </c>
      <c r="B1679" t="str">
        <f>"8:54:30.079622"</f>
        <v>8:54:30.079622</v>
      </c>
      <c r="C1679">
        <v>-41</v>
      </c>
    </row>
    <row r="1680" spans="1:3" x14ac:dyDescent="0.25">
      <c r="A1680">
        <v>39</v>
      </c>
      <c r="B1680" t="str">
        <f>"8:54:30.080648"</f>
        <v>8:54:30.080648</v>
      </c>
      <c r="C1680">
        <v>-46</v>
      </c>
    </row>
    <row r="1681" spans="1:3" x14ac:dyDescent="0.25">
      <c r="A1681">
        <v>37</v>
      </c>
      <c r="B1681" t="str">
        <f>"8:54:30.432637"</f>
        <v>8:54:30.432637</v>
      </c>
      <c r="C1681">
        <v>-44</v>
      </c>
    </row>
    <row r="1682" spans="1:3" x14ac:dyDescent="0.25">
      <c r="A1682">
        <v>38</v>
      </c>
      <c r="B1682" t="str">
        <f>"8:54:30.433665"</f>
        <v>8:54:30.433665</v>
      </c>
      <c r="C1682">
        <v>-41</v>
      </c>
    </row>
    <row r="1683" spans="1:3" x14ac:dyDescent="0.25">
      <c r="A1683">
        <v>39</v>
      </c>
      <c r="B1683" t="str">
        <f>"8:54:30.434691"</f>
        <v>8:54:30.434691</v>
      </c>
      <c r="C1683">
        <v>-46</v>
      </c>
    </row>
    <row r="1684" spans="1:3" x14ac:dyDescent="0.25">
      <c r="A1684">
        <v>37</v>
      </c>
      <c r="B1684" t="str">
        <f>"8:54:30.786931"</f>
        <v>8:54:30.786931</v>
      </c>
      <c r="C1684">
        <v>-44</v>
      </c>
    </row>
    <row r="1685" spans="1:3" x14ac:dyDescent="0.25">
      <c r="A1685">
        <v>37</v>
      </c>
      <c r="B1685" t="str">
        <f>"8:54:30.787449"</f>
        <v>8:54:30.787449</v>
      </c>
      <c r="C1685">
        <v>-74</v>
      </c>
    </row>
    <row r="1686" spans="1:3" x14ac:dyDescent="0.25">
      <c r="A1686">
        <v>37</v>
      </c>
      <c r="B1686" t="str">
        <f>"8:54:30.787775"</f>
        <v>8:54:30.787775</v>
      </c>
      <c r="C1686">
        <v>-44</v>
      </c>
    </row>
    <row r="1687" spans="1:3" x14ac:dyDescent="0.25">
      <c r="A1687">
        <v>38</v>
      </c>
      <c r="B1687" t="str">
        <f>"8:54:30.788551"</f>
        <v>8:54:30.788551</v>
      </c>
      <c r="C1687">
        <v>-41</v>
      </c>
    </row>
    <row r="1688" spans="1:3" x14ac:dyDescent="0.25">
      <c r="A1688">
        <v>39</v>
      </c>
      <c r="B1688" t="str">
        <f>"8:54:30.789577"</f>
        <v>8:54:30.789577</v>
      </c>
      <c r="C1688">
        <v>-46</v>
      </c>
    </row>
    <row r="1689" spans="1:3" x14ac:dyDescent="0.25">
      <c r="A1689">
        <v>37</v>
      </c>
      <c r="B1689" t="str">
        <f>"8:54:31.138457"</f>
        <v>8:54:31.138457</v>
      </c>
      <c r="C1689">
        <v>-44</v>
      </c>
    </row>
    <row r="1690" spans="1:3" x14ac:dyDescent="0.25">
      <c r="A1690">
        <v>37</v>
      </c>
      <c r="B1690" t="str">
        <f>"8:54:31.138975"</f>
        <v>8:54:31.138975</v>
      </c>
      <c r="C1690">
        <v>-37</v>
      </c>
    </row>
    <row r="1691" spans="1:3" x14ac:dyDescent="0.25">
      <c r="A1691">
        <v>37</v>
      </c>
      <c r="B1691" t="str">
        <f>"8:54:31.139301"</f>
        <v>8:54:31.139301</v>
      </c>
      <c r="C1691">
        <v>-44</v>
      </c>
    </row>
    <row r="1692" spans="1:3" x14ac:dyDescent="0.25">
      <c r="A1692">
        <v>38</v>
      </c>
      <c r="B1692" t="str">
        <f>"8:54:31.140077"</f>
        <v>8:54:31.140077</v>
      </c>
      <c r="C1692">
        <v>-41</v>
      </c>
    </row>
    <row r="1693" spans="1:3" x14ac:dyDescent="0.25">
      <c r="A1693">
        <v>39</v>
      </c>
      <c r="B1693" t="str">
        <f>"8:54:31.141103"</f>
        <v>8:54:31.141103</v>
      </c>
      <c r="C1693">
        <v>-46</v>
      </c>
    </row>
    <row r="1694" spans="1:3" x14ac:dyDescent="0.25">
      <c r="A1694">
        <v>37</v>
      </c>
      <c r="B1694" t="str">
        <f>"8:54:31.495331"</f>
        <v>8:54:31.495331</v>
      </c>
      <c r="C1694">
        <v>-44</v>
      </c>
    </row>
    <row r="1695" spans="1:3" x14ac:dyDescent="0.25">
      <c r="A1695">
        <v>37</v>
      </c>
      <c r="B1695" t="str">
        <f>"8:54:31.495849"</f>
        <v>8:54:31.495849</v>
      </c>
      <c r="C1695">
        <v>-37</v>
      </c>
    </row>
    <row r="1696" spans="1:3" x14ac:dyDescent="0.25">
      <c r="A1696">
        <v>37</v>
      </c>
      <c r="B1696" t="str">
        <f>"8:54:31.496175"</f>
        <v>8:54:31.496175</v>
      </c>
      <c r="C1696">
        <v>-44</v>
      </c>
    </row>
    <row r="1697" spans="1:3" x14ac:dyDescent="0.25">
      <c r="A1697">
        <v>38</v>
      </c>
      <c r="B1697" t="str">
        <f>"8:54:31.496951"</f>
        <v>8:54:31.496951</v>
      </c>
      <c r="C1697">
        <v>-41</v>
      </c>
    </row>
    <row r="1698" spans="1:3" x14ac:dyDescent="0.25">
      <c r="A1698">
        <v>39</v>
      </c>
      <c r="B1698" t="str">
        <f>"8:54:31.497977"</f>
        <v>8:54:31.497977</v>
      </c>
      <c r="C1698">
        <v>-46</v>
      </c>
    </row>
    <row r="1699" spans="1:3" x14ac:dyDescent="0.25">
      <c r="A1699">
        <v>37</v>
      </c>
      <c r="B1699" t="str">
        <f>"8:54:31.853487"</f>
        <v>8:54:31.853487</v>
      </c>
      <c r="C1699">
        <v>-44</v>
      </c>
    </row>
    <row r="1700" spans="1:3" x14ac:dyDescent="0.25">
      <c r="A1700">
        <v>37</v>
      </c>
      <c r="B1700" t="str">
        <f>"8:54:31.854006"</f>
        <v>8:54:31.854006</v>
      </c>
      <c r="C1700">
        <v>-37</v>
      </c>
    </row>
    <row r="1701" spans="1:3" x14ac:dyDescent="0.25">
      <c r="A1701">
        <v>37</v>
      </c>
      <c r="B1701" t="str">
        <f>"8:54:31.854332"</f>
        <v>8:54:31.854332</v>
      </c>
      <c r="C1701">
        <v>-44</v>
      </c>
    </row>
    <row r="1702" spans="1:3" x14ac:dyDescent="0.25">
      <c r="A1702">
        <v>38</v>
      </c>
      <c r="B1702" t="str">
        <f>"8:54:31.855108"</f>
        <v>8:54:31.855108</v>
      </c>
      <c r="C1702">
        <v>-41</v>
      </c>
    </row>
    <row r="1703" spans="1:3" x14ac:dyDescent="0.25">
      <c r="A1703">
        <v>39</v>
      </c>
      <c r="B1703" t="str">
        <f>"8:54:31.856134"</f>
        <v>8:54:31.856134</v>
      </c>
      <c r="C1703">
        <v>-46</v>
      </c>
    </row>
    <row r="1704" spans="1:3" x14ac:dyDescent="0.25">
      <c r="A1704">
        <v>37</v>
      </c>
      <c r="B1704" t="str">
        <f>"8:54:32.206500"</f>
        <v>8:54:32.206500</v>
      </c>
      <c r="C1704">
        <v>-44</v>
      </c>
    </row>
    <row r="1705" spans="1:3" x14ac:dyDescent="0.25">
      <c r="A1705">
        <v>37</v>
      </c>
      <c r="B1705" t="str">
        <f>"8:54:32.207018"</f>
        <v>8:54:32.207018</v>
      </c>
      <c r="C1705">
        <v>-37</v>
      </c>
    </row>
    <row r="1706" spans="1:3" x14ac:dyDescent="0.25">
      <c r="A1706">
        <v>37</v>
      </c>
      <c r="B1706" t="str">
        <f>"8:54:32.207344"</f>
        <v>8:54:32.207344</v>
      </c>
      <c r="C1706">
        <v>-44</v>
      </c>
    </row>
    <row r="1707" spans="1:3" x14ac:dyDescent="0.25">
      <c r="A1707">
        <v>38</v>
      </c>
      <c r="B1707" t="str">
        <f>"8:54:32.208120"</f>
        <v>8:54:32.208120</v>
      </c>
      <c r="C1707">
        <v>-41</v>
      </c>
    </row>
    <row r="1708" spans="1:3" x14ac:dyDescent="0.25">
      <c r="A1708">
        <v>39</v>
      </c>
      <c r="B1708" t="str">
        <f>"8:54:32.209146"</f>
        <v>8:54:32.209146</v>
      </c>
      <c r="C1708">
        <v>-46</v>
      </c>
    </row>
    <row r="1709" spans="1:3" x14ac:dyDescent="0.25">
      <c r="A1709">
        <v>37</v>
      </c>
      <c r="B1709" t="str">
        <f>"8:54:32.557754"</f>
        <v>8:54:32.557754</v>
      </c>
      <c r="C1709">
        <v>-44</v>
      </c>
    </row>
    <row r="1710" spans="1:3" x14ac:dyDescent="0.25">
      <c r="A1710">
        <v>38</v>
      </c>
      <c r="B1710" t="str">
        <f>"8:54:32.558781"</f>
        <v>8:54:32.558781</v>
      </c>
      <c r="C1710">
        <v>-41</v>
      </c>
    </row>
    <row r="1711" spans="1:3" x14ac:dyDescent="0.25">
      <c r="A1711">
        <v>39</v>
      </c>
      <c r="B1711" t="str">
        <f>"8:54:32.559807"</f>
        <v>8:54:32.559807</v>
      </c>
      <c r="C1711">
        <v>-46</v>
      </c>
    </row>
    <row r="1712" spans="1:3" x14ac:dyDescent="0.25">
      <c r="A1712">
        <v>37</v>
      </c>
      <c r="B1712" t="str">
        <f>"8:54:32.910804"</f>
        <v>8:54:32.910804</v>
      </c>
      <c r="C1712">
        <v>-44</v>
      </c>
    </row>
    <row r="1713" spans="1:3" x14ac:dyDescent="0.25">
      <c r="A1713">
        <v>37</v>
      </c>
      <c r="B1713" t="str">
        <f>"8:54:32.911322"</f>
        <v>8:54:32.911322</v>
      </c>
      <c r="C1713">
        <v>-37</v>
      </c>
    </row>
    <row r="1714" spans="1:3" x14ac:dyDescent="0.25">
      <c r="A1714">
        <v>37</v>
      </c>
      <c r="B1714" t="str">
        <f>"8:54:32.911648"</f>
        <v>8:54:32.911648</v>
      </c>
      <c r="C1714">
        <v>-45</v>
      </c>
    </row>
    <row r="1715" spans="1:3" x14ac:dyDescent="0.25">
      <c r="A1715">
        <v>38</v>
      </c>
      <c r="B1715" t="str">
        <f>"8:54:32.912424"</f>
        <v>8:54:32.912424</v>
      </c>
      <c r="C1715">
        <v>-41</v>
      </c>
    </row>
    <row r="1716" spans="1:3" x14ac:dyDescent="0.25">
      <c r="A1716">
        <v>39</v>
      </c>
      <c r="B1716" t="str">
        <f>"8:54:32.913450"</f>
        <v>8:54:32.913450</v>
      </c>
      <c r="C1716">
        <v>-46</v>
      </c>
    </row>
    <row r="1717" spans="1:3" x14ac:dyDescent="0.25">
      <c r="A1717">
        <v>37</v>
      </c>
      <c r="B1717" t="str">
        <f>"8:54:33.266954"</f>
        <v>8:54:33.266954</v>
      </c>
      <c r="C1717">
        <v>-44</v>
      </c>
    </row>
    <row r="1718" spans="1:3" x14ac:dyDescent="0.25">
      <c r="A1718">
        <v>37</v>
      </c>
      <c r="B1718" t="str">
        <f>"8:54:33.267473"</f>
        <v>8:54:33.267473</v>
      </c>
      <c r="C1718">
        <v>-37</v>
      </c>
    </row>
    <row r="1719" spans="1:3" x14ac:dyDescent="0.25">
      <c r="A1719">
        <v>37</v>
      </c>
      <c r="B1719" t="str">
        <f>"8:54:33.267799"</f>
        <v>8:54:33.267799</v>
      </c>
      <c r="C1719">
        <v>-44</v>
      </c>
    </row>
    <row r="1720" spans="1:3" x14ac:dyDescent="0.25">
      <c r="A1720">
        <v>38</v>
      </c>
      <c r="B1720" t="str">
        <f>"8:54:33.268576"</f>
        <v>8:54:33.268576</v>
      </c>
      <c r="C1720">
        <v>-41</v>
      </c>
    </row>
    <row r="1721" spans="1:3" x14ac:dyDescent="0.25">
      <c r="A1721">
        <v>39</v>
      </c>
      <c r="B1721" t="str">
        <f>"8:54:33.269602"</f>
        <v>8:54:33.269602</v>
      </c>
      <c r="C1721">
        <v>-46</v>
      </c>
    </row>
    <row r="1722" spans="1:3" x14ac:dyDescent="0.25">
      <c r="A1722">
        <v>37</v>
      </c>
      <c r="B1722" t="str">
        <f>"8:54:33.622834"</f>
        <v>8:54:33.622834</v>
      </c>
      <c r="C1722">
        <v>-44</v>
      </c>
    </row>
    <row r="1723" spans="1:3" x14ac:dyDescent="0.25">
      <c r="A1723">
        <v>37</v>
      </c>
      <c r="B1723" t="str">
        <f>"8:54:33.623352"</f>
        <v>8:54:33.623352</v>
      </c>
      <c r="C1723">
        <v>-37</v>
      </c>
    </row>
    <row r="1724" spans="1:3" x14ac:dyDescent="0.25">
      <c r="A1724">
        <v>37</v>
      </c>
      <c r="B1724" t="str">
        <f>"8:54:33.623678"</f>
        <v>8:54:33.623678</v>
      </c>
      <c r="C1724">
        <v>-45</v>
      </c>
    </row>
    <row r="1725" spans="1:3" x14ac:dyDescent="0.25">
      <c r="A1725">
        <v>38</v>
      </c>
      <c r="B1725" t="str">
        <f>"8:54:33.624454"</f>
        <v>8:54:33.624454</v>
      </c>
      <c r="C1725">
        <v>-41</v>
      </c>
    </row>
    <row r="1726" spans="1:3" x14ac:dyDescent="0.25">
      <c r="A1726">
        <v>39</v>
      </c>
      <c r="B1726" t="str">
        <f>"8:54:33.625480"</f>
        <v>8:54:33.625480</v>
      </c>
      <c r="C1726">
        <v>-46</v>
      </c>
    </row>
    <row r="1727" spans="1:3" x14ac:dyDescent="0.25">
      <c r="A1727">
        <v>37</v>
      </c>
      <c r="B1727" t="str">
        <f>"8:54:33.975403"</f>
        <v>8:54:33.975403</v>
      </c>
      <c r="C1727">
        <v>-44</v>
      </c>
    </row>
    <row r="1728" spans="1:3" x14ac:dyDescent="0.25">
      <c r="A1728">
        <v>37</v>
      </c>
      <c r="B1728" t="str">
        <f>"8:54:33.975921"</f>
        <v>8:54:33.975921</v>
      </c>
      <c r="C1728">
        <v>-37</v>
      </c>
    </row>
    <row r="1729" spans="1:3" x14ac:dyDescent="0.25">
      <c r="A1729">
        <v>37</v>
      </c>
      <c r="B1729" t="str">
        <f>"8:54:33.976247"</f>
        <v>8:54:33.976247</v>
      </c>
      <c r="C1729">
        <v>-44</v>
      </c>
    </row>
    <row r="1730" spans="1:3" x14ac:dyDescent="0.25">
      <c r="A1730">
        <v>38</v>
      </c>
      <c r="B1730" t="str">
        <f>"8:54:33.977023"</f>
        <v>8:54:33.977023</v>
      </c>
      <c r="C1730">
        <v>-41</v>
      </c>
    </row>
    <row r="1731" spans="1:3" x14ac:dyDescent="0.25">
      <c r="A1731">
        <v>39</v>
      </c>
      <c r="B1731" t="str">
        <f>"8:54:33.978049"</f>
        <v>8:54:33.978049</v>
      </c>
      <c r="C1731">
        <v>-46</v>
      </c>
    </row>
    <row r="1732" spans="1:3" x14ac:dyDescent="0.25">
      <c r="A1732">
        <v>37</v>
      </c>
      <c r="B1732" t="str">
        <f>"8:54:34.328709"</f>
        <v>8:54:34.328709</v>
      </c>
      <c r="C1732">
        <v>-45</v>
      </c>
    </row>
    <row r="1733" spans="1:3" x14ac:dyDescent="0.25">
      <c r="A1733">
        <v>38</v>
      </c>
      <c r="B1733" t="str">
        <f>"8:54:34.329736"</f>
        <v>8:54:34.329736</v>
      </c>
      <c r="C1733">
        <v>-41</v>
      </c>
    </row>
    <row r="1734" spans="1:3" x14ac:dyDescent="0.25">
      <c r="A1734">
        <v>39</v>
      </c>
      <c r="B1734" t="str">
        <f>"8:54:34.330762"</f>
        <v>8:54:34.330762</v>
      </c>
      <c r="C1734">
        <v>-46</v>
      </c>
    </row>
    <row r="1735" spans="1:3" x14ac:dyDescent="0.25">
      <c r="A1735">
        <v>37</v>
      </c>
      <c r="B1735" t="str">
        <f>"8:54:34.687165"</f>
        <v>8:54:34.687165</v>
      </c>
      <c r="C1735">
        <v>-44</v>
      </c>
    </row>
    <row r="1736" spans="1:3" x14ac:dyDescent="0.25">
      <c r="A1736">
        <v>38</v>
      </c>
      <c r="B1736" t="str">
        <f>"8:54:34.688192"</f>
        <v>8:54:34.688192</v>
      </c>
      <c r="C1736">
        <v>-41</v>
      </c>
    </row>
    <row r="1737" spans="1:3" x14ac:dyDescent="0.25">
      <c r="A1737">
        <v>39</v>
      </c>
      <c r="B1737" t="str">
        <f>"8:54:34.689218"</f>
        <v>8:54:34.689218</v>
      </c>
      <c r="C1737">
        <v>-45</v>
      </c>
    </row>
    <row r="1738" spans="1:3" x14ac:dyDescent="0.25">
      <c r="A1738">
        <v>37</v>
      </c>
      <c r="B1738" t="str">
        <f>"8:54:35.041212"</f>
        <v>8:54:35.041212</v>
      </c>
      <c r="C1738">
        <v>-44</v>
      </c>
    </row>
    <row r="1739" spans="1:3" x14ac:dyDescent="0.25">
      <c r="A1739">
        <v>38</v>
      </c>
      <c r="B1739" t="str">
        <f>"8:54:35.042239"</f>
        <v>8:54:35.042239</v>
      </c>
      <c r="C1739">
        <v>-41</v>
      </c>
    </row>
    <row r="1740" spans="1:3" x14ac:dyDescent="0.25">
      <c r="A1740">
        <v>38</v>
      </c>
      <c r="B1740" t="str">
        <f>"8:54:35.042758"</f>
        <v>8:54:35.042758</v>
      </c>
      <c r="C1740">
        <v>-31</v>
      </c>
    </row>
    <row r="1741" spans="1:3" x14ac:dyDescent="0.25">
      <c r="A1741">
        <v>38</v>
      </c>
      <c r="B1741" t="str">
        <f>"8:54:35.043085"</f>
        <v>8:54:35.043085</v>
      </c>
      <c r="C1741">
        <v>-41</v>
      </c>
    </row>
    <row r="1742" spans="1:3" x14ac:dyDescent="0.25">
      <c r="A1742">
        <v>39</v>
      </c>
      <c r="B1742" t="str">
        <f>"8:54:35.043860"</f>
        <v>8:54:35.043860</v>
      </c>
      <c r="C1742">
        <v>-45</v>
      </c>
    </row>
    <row r="1743" spans="1:3" x14ac:dyDescent="0.25">
      <c r="A1743">
        <v>37</v>
      </c>
      <c r="B1743" t="str">
        <f>"8:54:35.396520"</f>
        <v>8:54:35.396520</v>
      </c>
      <c r="C1743">
        <v>-44</v>
      </c>
    </row>
    <row r="1744" spans="1:3" x14ac:dyDescent="0.25">
      <c r="A1744">
        <v>38</v>
      </c>
      <c r="B1744" t="str">
        <f>"8:54:35.397547"</f>
        <v>8:54:35.397547</v>
      </c>
      <c r="C1744">
        <v>-41</v>
      </c>
    </row>
    <row r="1745" spans="1:3" x14ac:dyDescent="0.25">
      <c r="A1745">
        <v>38</v>
      </c>
      <c r="B1745" t="str">
        <f>"8:54:35.398066"</f>
        <v>8:54:35.398066</v>
      </c>
      <c r="C1745">
        <v>-31</v>
      </c>
    </row>
    <row r="1746" spans="1:3" x14ac:dyDescent="0.25">
      <c r="A1746">
        <v>38</v>
      </c>
      <c r="B1746" t="str">
        <f>"8:54:35.398393"</f>
        <v>8:54:35.398393</v>
      </c>
      <c r="C1746">
        <v>-41</v>
      </c>
    </row>
    <row r="1747" spans="1:3" x14ac:dyDescent="0.25">
      <c r="A1747">
        <v>39</v>
      </c>
      <c r="B1747" t="str">
        <f>"8:54:35.399169"</f>
        <v>8:54:35.399169</v>
      </c>
      <c r="C1747">
        <v>-45</v>
      </c>
    </row>
    <row r="1748" spans="1:3" x14ac:dyDescent="0.25">
      <c r="A1748">
        <v>39</v>
      </c>
      <c r="B1748" t="str">
        <f>"8:54:35.400014"</f>
        <v>8:54:35.400014</v>
      </c>
      <c r="C1748">
        <v>-45</v>
      </c>
    </row>
    <row r="1749" spans="1:3" x14ac:dyDescent="0.25">
      <c r="A1749">
        <v>37</v>
      </c>
      <c r="B1749" t="str">
        <f>"8:54:35.755441"</f>
        <v>8:54:35.755441</v>
      </c>
      <c r="C1749">
        <v>-44</v>
      </c>
    </row>
    <row r="1750" spans="1:3" x14ac:dyDescent="0.25">
      <c r="A1750">
        <v>38</v>
      </c>
      <c r="B1750" t="str">
        <f>"8:54:35.756468"</f>
        <v>8:54:35.756468</v>
      </c>
      <c r="C1750">
        <v>-41</v>
      </c>
    </row>
    <row r="1751" spans="1:3" x14ac:dyDescent="0.25">
      <c r="A1751">
        <v>38</v>
      </c>
      <c r="B1751" t="str">
        <f>"8:54:35.756986"</f>
        <v>8:54:35.756986</v>
      </c>
      <c r="C1751">
        <v>-31</v>
      </c>
    </row>
    <row r="1752" spans="1:3" x14ac:dyDescent="0.25">
      <c r="A1752">
        <v>38</v>
      </c>
      <c r="B1752" t="str">
        <f>"8:54:35.757312"</f>
        <v>8:54:35.757312</v>
      </c>
      <c r="C1752">
        <v>-41</v>
      </c>
    </row>
    <row r="1753" spans="1:3" x14ac:dyDescent="0.25">
      <c r="A1753">
        <v>39</v>
      </c>
      <c r="B1753" t="str">
        <f>"8:54:35.758088"</f>
        <v>8:54:35.758088</v>
      </c>
      <c r="C1753">
        <v>-45</v>
      </c>
    </row>
    <row r="1754" spans="1:3" x14ac:dyDescent="0.25">
      <c r="A1754">
        <v>37</v>
      </c>
      <c r="B1754" t="str">
        <f>"8:54:36.108216"</f>
        <v>8:54:36.108216</v>
      </c>
      <c r="C1754">
        <v>-44</v>
      </c>
    </row>
    <row r="1755" spans="1:3" x14ac:dyDescent="0.25">
      <c r="A1755">
        <v>38</v>
      </c>
      <c r="B1755" t="str">
        <f>"8:54:36.109243"</f>
        <v>8:54:36.109243</v>
      </c>
      <c r="C1755">
        <v>-41</v>
      </c>
    </row>
    <row r="1756" spans="1:3" x14ac:dyDescent="0.25">
      <c r="A1756">
        <v>38</v>
      </c>
      <c r="B1756" t="str">
        <f>"8:54:36.109761"</f>
        <v>8:54:36.109761</v>
      </c>
      <c r="C1756">
        <v>-31</v>
      </c>
    </row>
    <row r="1757" spans="1:3" x14ac:dyDescent="0.25">
      <c r="A1757">
        <v>38</v>
      </c>
      <c r="B1757" t="str">
        <f>"8:54:36.110087"</f>
        <v>8:54:36.110087</v>
      </c>
      <c r="C1757">
        <v>-41</v>
      </c>
    </row>
    <row r="1758" spans="1:3" x14ac:dyDescent="0.25">
      <c r="A1758">
        <v>39</v>
      </c>
      <c r="B1758" t="str">
        <f>"8:54:36.110863"</f>
        <v>8:54:36.110863</v>
      </c>
      <c r="C1758">
        <v>-45</v>
      </c>
    </row>
    <row r="1759" spans="1:3" x14ac:dyDescent="0.25">
      <c r="A1759">
        <v>37</v>
      </c>
      <c r="B1759" t="str">
        <f>"8:54:36.464892"</f>
        <v>8:54:36.464892</v>
      </c>
      <c r="C1759">
        <v>-44</v>
      </c>
    </row>
    <row r="1760" spans="1:3" x14ac:dyDescent="0.25">
      <c r="A1760">
        <v>38</v>
      </c>
      <c r="B1760" t="str">
        <f>"8:54:36.465920"</f>
        <v>8:54:36.465920</v>
      </c>
      <c r="C1760">
        <v>-41</v>
      </c>
    </row>
    <row r="1761" spans="1:3" x14ac:dyDescent="0.25">
      <c r="A1761">
        <v>39</v>
      </c>
      <c r="B1761" t="str">
        <f>"8:54:36.466946"</f>
        <v>8:54:36.466946</v>
      </c>
      <c r="C1761">
        <v>-45</v>
      </c>
    </row>
    <row r="1762" spans="1:3" x14ac:dyDescent="0.25">
      <c r="A1762">
        <v>37</v>
      </c>
      <c r="B1762" t="str">
        <f>"8:54:36.815393"</f>
        <v>8:54:36.815393</v>
      </c>
      <c r="C1762">
        <v>-44</v>
      </c>
    </row>
    <row r="1763" spans="1:3" x14ac:dyDescent="0.25">
      <c r="A1763">
        <v>38</v>
      </c>
      <c r="B1763" t="str">
        <f>"8:54:36.816421"</f>
        <v>8:54:36.816421</v>
      </c>
      <c r="C1763">
        <v>-41</v>
      </c>
    </row>
    <row r="1764" spans="1:3" x14ac:dyDescent="0.25">
      <c r="A1764">
        <v>38</v>
      </c>
      <c r="B1764" t="str">
        <f>"8:54:36.816940"</f>
        <v>8:54:36.816940</v>
      </c>
      <c r="C1764">
        <v>-31</v>
      </c>
    </row>
    <row r="1765" spans="1:3" x14ac:dyDescent="0.25">
      <c r="A1765">
        <v>38</v>
      </c>
      <c r="B1765" t="str">
        <f>"8:54:36.817266"</f>
        <v>8:54:36.817266</v>
      </c>
      <c r="C1765">
        <v>-41</v>
      </c>
    </row>
    <row r="1766" spans="1:3" x14ac:dyDescent="0.25">
      <c r="A1766">
        <v>39</v>
      </c>
      <c r="B1766" t="str">
        <f>"8:54:36.818042"</f>
        <v>8:54:36.818042</v>
      </c>
      <c r="C1766">
        <v>-45</v>
      </c>
    </row>
    <row r="1767" spans="1:3" x14ac:dyDescent="0.25">
      <c r="A1767">
        <v>37</v>
      </c>
      <c r="B1767" t="str">
        <f>"8:54:37.171546"</f>
        <v>8:54:37.171546</v>
      </c>
      <c r="C1767">
        <v>-44</v>
      </c>
    </row>
    <row r="1768" spans="1:3" x14ac:dyDescent="0.25">
      <c r="A1768">
        <v>38</v>
      </c>
      <c r="B1768" t="str">
        <f>"8:54:37.172574"</f>
        <v>8:54:37.172574</v>
      </c>
      <c r="C1768">
        <v>-41</v>
      </c>
    </row>
    <row r="1769" spans="1:3" x14ac:dyDescent="0.25">
      <c r="A1769">
        <v>38</v>
      </c>
      <c r="B1769" t="str">
        <f>"8:54:37.173093"</f>
        <v>8:54:37.173093</v>
      </c>
      <c r="C1769">
        <v>-31</v>
      </c>
    </row>
    <row r="1770" spans="1:3" x14ac:dyDescent="0.25">
      <c r="A1770">
        <v>38</v>
      </c>
      <c r="B1770" t="str">
        <f>"8:54:37.173419"</f>
        <v>8:54:37.173419</v>
      </c>
      <c r="C1770">
        <v>-41</v>
      </c>
    </row>
    <row r="1771" spans="1:3" x14ac:dyDescent="0.25">
      <c r="A1771">
        <v>39</v>
      </c>
      <c r="B1771" t="str">
        <f>"8:54:37.174195"</f>
        <v>8:54:37.174195</v>
      </c>
      <c r="C1771">
        <v>-45</v>
      </c>
    </row>
    <row r="1772" spans="1:3" x14ac:dyDescent="0.25">
      <c r="A1772">
        <v>37</v>
      </c>
      <c r="B1772" t="str">
        <f>"8:54:37.530465"</f>
        <v>8:54:37.530465</v>
      </c>
      <c r="C1772">
        <v>-44</v>
      </c>
    </row>
    <row r="1773" spans="1:3" x14ac:dyDescent="0.25">
      <c r="A1773">
        <v>38</v>
      </c>
      <c r="B1773" t="str">
        <f>"8:54:37.531492"</f>
        <v>8:54:37.531492</v>
      </c>
      <c r="C1773">
        <v>-41</v>
      </c>
    </row>
    <row r="1774" spans="1:3" x14ac:dyDescent="0.25">
      <c r="A1774">
        <v>38</v>
      </c>
      <c r="B1774" t="str">
        <f>"8:54:37.532011"</f>
        <v>8:54:37.532011</v>
      </c>
      <c r="C1774">
        <v>-31</v>
      </c>
    </row>
    <row r="1775" spans="1:3" x14ac:dyDescent="0.25">
      <c r="A1775">
        <v>38</v>
      </c>
      <c r="B1775" t="str">
        <f>"8:54:37.532336"</f>
        <v>8:54:37.532336</v>
      </c>
      <c r="C1775">
        <v>-41</v>
      </c>
    </row>
    <row r="1776" spans="1:3" x14ac:dyDescent="0.25">
      <c r="A1776">
        <v>39</v>
      </c>
      <c r="B1776" t="str">
        <f>"8:54:37.533112"</f>
        <v>8:54:37.533112</v>
      </c>
      <c r="C1776">
        <v>-45</v>
      </c>
    </row>
    <row r="1777" spans="1:3" x14ac:dyDescent="0.25">
      <c r="A1777">
        <v>37</v>
      </c>
      <c r="B1777" t="str">
        <f>"8:54:37.885770"</f>
        <v>8:54:37.885770</v>
      </c>
      <c r="C1777">
        <v>-44</v>
      </c>
    </row>
    <row r="1778" spans="1:3" x14ac:dyDescent="0.25">
      <c r="A1778">
        <v>38</v>
      </c>
      <c r="B1778" t="str">
        <f>"8:54:37.886798"</f>
        <v>8:54:37.886798</v>
      </c>
      <c r="C1778">
        <v>-41</v>
      </c>
    </row>
    <row r="1779" spans="1:3" x14ac:dyDescent="0.25">
      <c r="A1779">
        <v>38</v>
      </c>
      <c r="B1779" t="str">
        <f>"8:54:37.887317"</f>
        <v>8:54:37.887317</v>
      </c>
      <c r="C1779">
        <v>-31</v>
      </c>
    </row>
    <row r="1780" spans="1:3" x14ac:dyDescent="0.25">
      <c r="A1780">
        <v>38</v>
      </c>
      <c r="B1780" t="str">
        <f>"8:54:37.887643"</f>
        <v>8:54:37.887643</v>
      </c>
      <c r="C1780">
        <v>-41</v>
      </c>
    </row>
    <row r="1781" spans="1:3" x14ac:dyDescent="0.25">
      <c r="A1781">
        <v>39</v>
      </c>
      <c r="B1781" t="str">
        <f>"8:54:37.888419"</f>
        <v>8:54:37.888419</v>
      </c>
      <c r="C1781">
        <v>-45</v>
      </c>
    </row>
    <row r="1782" spans="1:3" x14ac:dyDescent="0.25">
      <c r="A1782">
        <v>37</v>
      </c>
      <c r="B1782" t="str">
        <f>"8:54:38.239072"</f>
        <v>8:54:38.239072</v>
      </c>
      <c r="C1782">
        <v>-44</v>
      </c>
    </row>
    <row r="1783" spans="1:3" x14ac:dyDescent="0.25">
      <c r="A1783">
        <v>38</v>
      </c>
      <c r="B1783" t="str">
        <f>"8:54:38.240099"</f>
        <v>8:54:38.240099</v>
      </c>
      <c r="C1783">
        <v>-41</v>
      </c>
    </row>
    <row r="1784" spans="1:3" x14ac:dyDescent="0.25">
      <c r="A1784">
        <v>38</v>
      </c>
      <c r="B1784" t="str">
        <f>"8:54:38.240618"</f>
        <v>8:54:38.240618</v>
      </c>
      <c r="C1784">
        <v>-31</v>
      </c>
    </row>
    <row r="1785" spans="1:3" x14ac:dyDescent="0.25">
      <c r="A1785">
        <v>38</v>
      </c>
      <c r="B1785" t="str">
        <f>"8:54:38.240943"</f>
        <v>8:54:38.240943</v>
      </c>
      <c r="C1785">
        <v>-41</v>
      </c>
    </row>
    <row r="1786" spans="1:3" x14ac:dyDescent="0.25">
      <c r="A1786">
        <v>39</v>
      </c>
      <c r="B1786" t="str">
        <f>"8:54:38.241719"</f>
        <v>8:54:38.241719</v>
      </c>
      <c r="C1786">
        <v>-45</v>
      </c>
    </row>
    <row r="1787" spans="1:3" x14ac:dyDescent="0.25">
      <c r="A1787">
        <v>37</v>
      </c>
      <c r="B1787" t="str">
        <f>"8:54:38.591061"</f>
        <v>8:54:38.591061</v>
      </c>
      <c r="C1787">
        <v>-44</v>
      </c>
    </row>
    <row r="1788" spans="1:3" x14ac:dyDescent="0.25">
      <c r="A1788">
        <v>37</v>
      </c>
      <c r="B1788" t="str">
        <f>"8:54:38.591580"</f>
        <v>8:54:38.591580</v>
      </c>
      <c r="C1788">
        <v>-87</v>
      </c>
    </row>
    <row r="1789" spans="1:3" x14ac:dyDescent="0.25">
      <c r="A1789">
        <v>37</v>
      </c>
      <c r="B1789" t="str">
        <f>"8:54:38.591906"</f>
        <v>8:54:38.591906</v>
      </c>
      <c r="C1789">
        <v>-44</v>
      </c>
    </row>
    <row r="1790" spans="1:3" x14ac:dyDescent="0.25">
      <c r="A1790">
        <v>38</v>
      </c>
      <c r="B1790" t="str">
        <f>"8:54:38.592682"</f>
        <v>8:54:38.592682</v>
      </c>
      <c r="C1790">
        <v>-41</v>
      </c>
    </row>
    <row r="1791" spans="1:3" x14ac:dyDescent="0.25">
      <c r="A1791">
        <v>38</v>
      </c>
      <c r="B1791" t="str">
        <f>"8:54:38.593201"</f>
        <v>8:54:38.593201</v>
      </c>
      <c r="C1791">
        <v>-31</v>
      </c>
    </row>
    <row r="1792" spans="1:3" x14ac:dyDescent="0.25">
      <c r="A1792">
        <v>38</v>
      </c>
      <c r="B1792" t="str">
        <f>"8:54:38.593526"</f>
        <v>8:54:38.593526</v>
      </c>
      <c r="C1792">
        <v>-41</v>
      </c>
    </row>
    <row r="1793" spans="1:3" x14ac:dyDescent="0.25">
      <c r="A1793">
        <v>39</v>
      </c>
      <c r="B1793" t="str">
        <f>"8:54:38.594302"</f>
        <v>8:54:38.594302</v>
      </c>
      <c r="C1793">
        <v>-45</v>
      </c>
    </row>
    <row r="1794" spans="1:3" x14ac:dyDescent="0.25">
      <c r="A1794">
        <v>37</v>
      </c>
      <c r="B1794" t="str">
        <f>"8:54:38.944889"</f>
        <v>8:54:38.944889</v>
      </c>
      <c r="C1794">
        <v>-44</v>
      </c>
    </row>
    <row r="1795" spans="1:3" x14ac:dyDescent="0.25">
      <c r="A1795">
        <v>38</v>
      </c>
      <c r="B1795" t="str">
        <f>"8:54:38.945916"</f>
        <v>8:54:38.945916</v>
      </c>
      <c r="C1795">
        <v>-41</v>
      </c>
    </row>
    <row r="1796" spans="1:3" x14ac:dyDescent="0.25">
      <c r="A1796">
        <v>38</v>
      </c>
      <c r="B1796" t="str">
        <f>"8:54:38.946435"</f>
        <v>8:54:38.946435</v>
      </c>
      <c r="C1796">
        <v>-31</v>
      </c>
    </row>
    <row r="1797" spans="1:3" x14ac:dyDescent="0.25">
      <c r="A1797">
        <v>38</v>
      </c>
      <c r="B1797" t="str">
        <f>"8:54:38.946760"</f>
        <v>8:54:38.946760</v>
      </c>
      <c r="C1797">
        <v>-41</v>
      </c>
    </row>
    <row r="1798" spans="1:3" x14ac:dyDescent="0.25">
      <c r="A1798">
        <v>39</v>
      </c>
      <c r="B1798" t="str">
        <f>"8:54:38.947536"</f>
        <v>8:54:38.947536</v>
      </c>
      <c r="C1798">
        <v>-45</v>
      </c>
    </row>
    <row r="1799" spans="1:3" x14ac:dyDescent="0.25">
      <c r="A1799">
        <v>37</v>
      </c>
      <c r="B1799" t="str">
        <f>"8:54:39.303325"</f>
        <v>8:54:39.303325</v>
      </c>
      <c r="C1799">
        <v>-44</v>
      </c>
    </row>
    <row r="1800" spans="1:3" x14ac:dyDescent="0.25">
      <c r="A1800">
        <v>38</v>
      </c>
      <c r="B1800" t="str">
        <f>"8:54:39.304353"</f>
        <v>8:54:39.304353</v>
      </c>
      <c r="C1800">
        <v>-41</v>
      </c>
    </row>
    <row r="1801" spans="1:3" x14ac:dyDescent="0.25">
      <c r="A1801">
        <v>39</v>
      </c>
      <c r="B1801" t="str">
        <f>"8:54:39.305379"</f>
        <v>8:54:39.305379</v>
      </c>
      <c r="C1801">
        <v>-45</v>
      </c>
    </row>
    <row r="1802" spans="1:3" x14ac:dyDescent="0.25">
      <c r="A1802">
        <v>37</v>
      </c>
      <c r="B1802" t="str">
        <f>"8:54:39.654634"</f>
        <v>8:54:39.654634</v>
      </c>
      <c r="C1802">
        <v>-44</v>
      </c>
    </row>
    <row r="1803" spans="1:3" x14ac:dyDescent="0.25">
      <c r="A1803">
        <v>38</v>
      </c>
      <c r="B1803" t="str">
        <f>"8:54:39.655662"</f>
        <v>8:54:39.655662</v>
      </c>
      <c r="C1803">
        <v>-41</v>
      </c>
    </row>
    <row r="1804" spans="1:3" x14ac:dyDescent="0.25">
      <c r="A1804">
        <v>39</v>
      </c>
      <c r="B1804" t="str">
        <f>"8:54:39.656688"</f>
        <v>8:54:39.656688</v>
      </c>
      <c r="C1804">
        <v>-45</v>
      </c>
    </row>
    <row r="1805" spans="1:3" x14ac:dyDescent="0.25">
      <c r="A1805">
        <v>39</v>
      </c>
      <c r="B1805" t="str">
        <f>"8:54:39.657206"</f>
        <v>8:54:39.657206</v>
      </c>
      <c r="C1805">
        <v>-31</v>
      </c>
    </row>
    <row r="1806" spans="1:3" x14ac:dyDescent="0.25">
      <c r="A1806">
        <v>39</v>
      </c>
      <c r="B1806" t="str">
        <f>"8:54:39.657532"</f>
        <v>8:54:39.657532</v>
      </c>
      <c r="C1806">
        <v>-45</v>
      </c>
    </row>
    <row r="1807" spans="1:3" x14ac:dyDescent="0.25">
      <c r="A1807">
        <v>37</v>
      </c>
      <c r="B1807" t="str">
        <f>"8:54:40.011317"</f>
        <v>8:54:40.011317</v>
      </c>
      <c r="C1807">
        <v>-44</v>
      </c>
    </row>
    <row r="1808" spans="1:3" x14ac:dyDescent="0.25">
      <c r="A1808">
        <v>37</v>
      </c>
      <c r="B1808" t="str">
        <f>"8:54:40.011836"</f>
        <v>8:54:40.011836</v>
      </c>
      <c r="C1808">
        <v>-76</v>
      </c>
    </row>
    <row r="1809" spans="1:3" x14ac:dyDescent="0.25">
      <c r="A1809">
        <v>37</v>
      </c>
      <c r="B1809" t="str">
        <f>"8:54:40.012162"</f>
        <v>8:54:40.012162</v>
      </c>
      <c r="C1809">
        <v>-44</v>
      </c>
    </row>
    <row r="1810" spans="1:3" x14ac:dyDescent="0.25">
      <c r="A1810">
        <v>38</v>
      </c>
      <c r="B1810" t="str">
        <f>"8:54:40.012938"</f>
        <v>8:54:40.012938</v>
      </c>
      <c r="C1810">
        <v>-41</v>
      </c>
    </row>
    <row r="1811" spans="1:3" x14ac:dyDescent="0.25">
      <c r="A1811">
        <v>39</v>
      </c>
      <c r="B1811" t="str">
        <f>"8:54:40.013965"</f>
        <v>8:54:40.013965</v>
      </c>
      <c r="C1811">
        <v>-45</v>
      </c>
    </row>
    <row r="1812" spans="1:3" x14ac:dyDescent="0.25">
      <c r="A1812">
        <v>39</v>
      </c>
      <c r="B1812" t="str">
        <f>"8:54:40.014483"</f>
        <v>8:54:40.014483</v>
      </c>
      <c r="C1812">
        <v>-31</v>
      </c>
    </row>
    <row r="1813" spans="1:3" x14ac:dyDescent="0.25">
      <c r="A1813">
        <v>39</v>
      </c>
      <c r="B1813" t="str">
        <f>"8:54:40.014809"</f>
        <v>8:54:40.014809</v>
      </c>
      <c r="C1813">
        <v>-45</v>
      </c>
    </row>
    <row r="1814" spans="1:3" x14ac:dyDescent="0.25">
      <c r="A1814">
        <v>37</v>
      </c>
      <c r="B1814" t="str">
        <f>"8:54:40.366171"</f>
        <v>8:54:40.366171</v>
      </c>
      <c r="C1814">
        <v>-44</v>
      </c>
    </row>
    <row r="1815" spans="1:3" x14ac:dyDescent="0.25">
      <c r="A1815">
        <v>38</v>
      </c>
      <c r="B1815" t="str">
        <f>"8:54:40.367199"</f>
        <v>8:54:40.367199</v>
      </c>
      <c r="C1815">
        <v>-41</v>
      </c>
    </row>
    <row r="1816" spans="1:3" x14ac:dyDescent="0.25">
      <c r="A1816">
        <v>39</v>
      </c>
      <c r="B1816" t="str">
        <f>"8:54:40.368225"</f>
        <v>8:54:40.368225</v>
      </c>
      <c r="C1816">
        <v>-45</v>
      </c>
    </row>
    <row r="1817" spans="1:3" x14ac:dyDescent="0.25">
      <c r="A1817">
        <v>39</v>
      </c>
      <c r="B1817" t="str">
        <f>"8:54:40.368743"</f>
        <v>8:54:40.368743</v>
      </c>
      <c r="C1817">
        <v>-31</v>
      </c>
    </row>
    <row r="1818" spans="1:3" x14ac:dyDescent="0.25">
      <c r="A1818">
        <v>39</v>
      </c>
      <c r="B1818" t="str">
        <f>"8:54:40.369069"</f>
        <v>8:54:40.369069</v>
      </c>
      <c r="C1818">
        <v>-45</v>
      </c>
    </row>
    <row r="1819" spans="1:3" x14ac:dyDescent="0.25">
      <c r="A1819">
        <v>37</v>
      </c>
      <c r="B1819" t="str">
        <f>"8:54:40.723531"</f>
        <v>8:54:40.723531</v>
      </c>
      <c r="C1819">
        <v>-44</v>
      </c>
    </row>
    <row r="1820" spans="1:3" x14ac:dyDescent="0.25">
      <c r="A1820">
        <v>38</v>
      </c>
      <c r="B1820" t="str">
        <f>"8:54:40.724558"</f>
        <v>8:54:40.724558</v>
      </c>
      <c r="C1820">
        <v>-41</v>
      </c>
    </row>
    <row r="1821" spans="1:3" x14ac:dyDescent="0.25">
      <c r="A1821">
        <v>39</v>
      </c>
      <c r="B1821" t="str">
        <f>"8:54:40.725584"</f>
        <v>8:54:40.725584</v>
      </c>
      <c r="C1821">
        <v>-45</v>
      </c>
    </row>
    <row r="1822" spans="1:3" x14ac:dyDescent="0.25">
      <c r="A1822">
        <v>37</v>
      </c>
      <c r="B1822" t="str">
        <f>"8:54:41.078062"</f>
        <v>8:54:41.078062</v>
      </c>
      <c r="C1822">
        <v>-44</v>
      </c>
    </row>
    <row r="1823" spans="1:3" x14ac:dyDescent="0.25">
      <c r="A1823">
        <v>38</v>
      </c>
      <c r="B1823" t="str">
        <f>"8:54:41.079089"</f>
        <v>8:54:41.079089</v>
      </c>
      <c r="C1823">
        <v>-41</v>
      </c>
    </row>
    <row r="1824" spans="1:3" x14ac:dyDescent="0.25">
      <c r="A1824">
        <v>39</v>
      </c>
      <c r="B1824" t="str">
        <f>"8:54:41.080115"</f>
        <v>8:54:41.080115</v>
      </c>
      <c r="C1824">
        <v>-45</v>
      </c>
    </row>
    <row r="1825" spans="1:3" x14ac:dyDescent="0.25">
      <c r="A1825">
        <v>39</v>
      </c>
      <c r="B1825" t="str">
        <f>"8:54:41.080634"</f>
        <v>8:54:41.080634</v>
      </c>
      <c r="C1825">
        <v>-31</v>
      </c>
    </row>
    <row r="1826" spans="1:3" x14ac:dyDescent="0.25">
      <c r="A1826">
        <v>39</v>
      </c>
      <c r="B1826" t="str">
        <f>"8:54:41.080960"</f>
        <v>8:54:41.080960</v>
      </c>
      <c r="C1826">
        <v>-45</v>
      </c>
    </row>
    <row r="1827" spans="1:3" x14ac:dyDescent="0.25">
      <c r="A1827">
        <v>37</v>
      </c>
      <c r="B1827" t="str">
        <f>"8:54:41.435746"</f>
        <v>8:54:41.435746</v>
      </c>
      <c r="C1827">
        <v>-44</v>
      </c>
    </row>
    <row r="1828" spans="1:3" x14ac:dyDescent="0.25">
      <c r="A1828">
        <v>38</v>
      </c>
      <c r="B1828" t="str">
        <f>"8:54:41.436774"</f>
        <v>8:54:41.436774</v>
      </c>
      <c r="C1828">
        <v>-41</v>
      </c>
    </row>
    <row r="1829" spans="1:3" x14ac:dyDescent="0.25">
      <c r="A1829">
        <v>39</v>
      </c>
      <c r="B1829" t="str">
        <f>"8:54:41.437800"</f>
        <v>8:54:41.437800</v>
      </c>
      <c r="C1829">
        <v>-45</v>
      </c>
    </row>
    <row r="1830" spans="1:3" x14ac:dyDescent="0.25">
      <c r="A1830">
        <v>39</v>
      </c>
      <c r="B1830" t="str">
        <f>"8:54:41.438318"</f>
        <v>8:54:41.438318</v>
      </c>
      <c r="C1830">
        <v>-31</v>
      </c>
    </row>
    <row r="1831" spans="1:3" x14ac:dyDescent="0.25">
      <c r="A1831">
        <v>39</v>
      </c>
      <c r="B1831" t="str">
        <f>"8:54:41.438644"</f>
        <v>8:54:41.438644</v>
      </c>
      <c r="C1831">
        <v>-45</v>
      </c>
    </row>
    <row r="1832" spans="1:3" x14ac:dyDescent="0.25">
      <c r="A1832">
        <v>37</v>
      </c>
      <c r="B1832" t="str">
        <f>"8:54:41.789558"</f>
        <v>8:54:41.789558</v>
      </c>
      <c r="C1832">
        <v>-44</v>
      </c>
    </row>
    <row r="1833" spans="1:3" x14ac:dyDescent="0.25">
      <c r="A1833">
        <v>38</v>
      </c>
      <c r="B1833" t="str">
        <f>"8:54:41.790586"</f>
        <v>8:54:41.790586</v>
      </c>
      <c r="C1833">
        <v>-41</v>
      </c>
    </row>
    <row r="1834" spans="1:3" x14ac:dyDescent="0.25">
      <c r="A1834">
        <v>39</v>
      </c>
      <c r="B1834" t="str">
        <f>"8:54:41.791612"</f>
        <v>8:54:41.791612</v>
      </c>
      <c r="C1834">
        <v>-45</v>
      </c>
    </row>
    <row r="1835" spans="1:3" x14ac:dyDescent="0.25">
      <c r="A1835">
        <v>39</v>
      </c>
      <c r="B1835" t="str">
        <f>"8:54:41.792131"</f>
        <v>8:54:41.792131</v>
      </c>
      <c r="C1835">
        <v>-31</v>
      </c>
    </row>
    <row r="1836" spans="1:3" x14ac:dyDescent="0.25">
      <c r="A1836">
        <v>39</v>
      </c>
      <c r="B1836" t="str">
        <f>"8:54:41.792457"</f>
        <v>8:54:41.792457</v>
      </c>
      <c r="C1836">
        <v>-45</v>
      </c>
    </row>
    <row r="1837" spans="1:3" x14ac:dyDescent="0.25">
      <c r="A1837">
        <v>37</v>
      </c>
      <c r="B1837" t="str">
        <f>"8:54:42.147454"</f>
        <v>8:54:42.147454</v>
      </c>
      <c r="C1837">
        <v>-44</v>
      </c>
    </row>
    <row r="1838" spans="1:3" x14ac:dyDescent="0.25">
      <c r="A1838">
        <v>37</v>
      </c>
      <c r="B1838" t="str">
        <f>"8:54:42.147973"</f>
        <v>8:54:42.147973</v>
      </c>
      <c r="C1838">
        <v>-83</v>
      </c>
    </row>
    <row r="1839" spans="1:3" x14ac:dyDescent="0.25">
      <c r="A1839">
        <v>37</v>
      </c>
      <c r="B1839" t="str">
        <f>"8:54:42.148299"</f>
        <v>8:54:42.148299</v>
      </c>
      <c r="C1839">
        <v>-44</v>
      </c>
    </row>
    <row r="1840" spans="1:3" x14ac:dyDescent="0.25">
      <c r="A1840">
        <v>38</v>
      </c>
      <c r="B1840" t="str">
        <f>"8:54:42.149075"</f>
        <v>8:54:42.149075</v>
      </c>
      <c r="C1840">
        <v>-41</v>
      </c>
    </row>
    <row r="1841" spans="1:3" x14ac:dyDescent="0.25">
      <c r="A1841">
        <v>39</v>
      </c>
      <c r="B1841" t="str">
        <f>"8:54:42.150101"</f>
        <v>8:54:42.150101</v>
      </c>
      <c r="C1841">
        <v>-45</v>
      </c>
    </row>
    <row r="1842" spans="1:3" x14ac:dyDescent="0.25">
      <c r="A1842">
        <v>37</v>
      </c>
      <c r="B1842" t="str">
        <f>"8:54:42.507432"</f>
        <v>8:54:42.507432</v>
      </c>
      <c r="C1842">
        <v>-44</v>
      </c>
    </row>
    <row r="1843" spans="1:3" x14ac:dyDescent="0.25">
      <c r="A1843">
        <v>38</v>
      </c>
      <c r="B1843" t="str">
        <f>"8:54:42.508459"</f>
        <v>8:54:42.508459</v>
      </c>
      <c r="C1843">
        <v>-41</v>
      </c>
    </row>
    <row r="1844" spans="1:3" x14ac:dyDescent="0.25">
      <c r="A1844">
        <v>39</v>
      </c>
      <c r="B1844" t="str">
        <f>"8:54:42.509485"</f>
        <v>8:54:42.509485</v>
      </c>
      <c r="C1844">
        <v>-45</v>
      </c>
    </row>
    <row r="1845" spans="1:3" x14ac:dyDescent="0.25">
      <c r="A1845">
        <v>39</v>
      </c>
      <c r="B1845" t="str">
        <f>"8:54:42.510004"</f>
        <v>8:54:42.510004</v>
      </c>
      <c r="C1845">
        <v>-31</v>
      </c>
    </row>
    <row r="1846" spans="1:3" x14ac:dyDescent="0.25">
      <c r="A1846">
        <v>39</v>
      </c>
      <c r="B1846" t="str">
        <f>"8:54:42.510330"</f>
        <v>8:54:42.510330</v>
      </c>
      <c r="C1846">
        <v>-45</v>
      </c>
    </row>
    <row r="1847" spans="1:3" x14ac:dyDescent="0.25">
      <c r="A1847">
        <v>37</v>
      </c>
      <c r="B1847" t="str">
        <f>"8:54:42.864821"</f>
        <v>8:54:42.864821</v>
      </c>
      <c r="C1847">
        <v>-44</v>
      </c>
    </row>
    <row r="1848" spans="1:3" x14ac:dyDescent="0.25">
      <c r="A1848">
        <v>38</v>
      </c>
      <c r="B1848" t="str">
        <f>"8:54:42.865848"</f>
        <v>8:54:42.865848</v>
      </c>
      <c r="C1848">
        <v>-41</v>
      </c>
    </row>
    <row r="1849" spans="1:3" x14ac:dyDescent="0.25">
      <c r="A1849">
        <v>39</v>
      </c>
      <c r="B1849" t="str">
        <f>"8:54:42.866874"</f>
        <v>8:54:42.866874</v>
      </c>
      <c r="C1849">
        <v>-46</v>
      </c>
    </row>
    <row r="1850" spans="1:3" x14ac:dyDescent="0.25">
      <c r="A1850">
        <v>39</v>
      </c>
      <c r="B1850" t="str">
        <f>"8:54:42.867392"</f>
        <v>8:54:42.867392</v>
      </c>
      <c r="C1850">
        <v>-30</v>
      </c>
    </row>
    <row r="1851" spans="1:3" x14ac:dyDescent="0.25">
      <c r="A1851">
        <v>39</v>
      </c>
      <c r="B1851" t="str">
        <f>"8:54:42.867718"</f>
        <v>8:54:42.867718</v>
      </c>
      <c r="C1851">
        <v>-45</v>
      </c>
    </row>
    <row r="1852" spans="1:3" x14ac:dyDescent="0.25">
      <c r="A1852">
        <v>37</v>
      </c>
      <c r="B1852" t="str">
        <f>"8:54:43.217609"</f>
        <v>8:54:43.217609</v>
      </c>
      <c r="C1852">
        <v>-44</v>
      </c>
    </row>
    <row r="1853" spans="1:3" x14ac:dyDescent="0.25">
      <c r="A1853">
        <v>38</v>
      </c>
      <c r="B1853" t="str">
        <f>"8:54:43.218636"</f>
        <v>8:54:43.218636</v>
      </c>
      <c r="C1853">
        <v>-41</v>
      </c>
    </row>
    <row r="1854" spans="1:3" x14ac:dyDescent="0.25">
      <c r="A1854">
        <v>39</v>
      </c>
      <c r="B1854" t="str">
        <f>"8:54:43.219662"</f>
        <v>8:54:43.219662</v>
      </c>
      <c r="C1854">
        <v>-46</v>
      </c>
    </row>
    <row r="1855" spans="1:3" x14ac:dyDescent="0.25">
      <c r="A1855">
        <v>37</v>
      </c>
      <c r="B1855" t="str">
        <f>"8:54:43.569898"</f>
        <v>8:54:43.569898</v>
      </c>
      <c r="C1855">
        <v>-44</v>
      </c>
    </row>
    <row r="1856" spans="1:3" x14ac:dyDescent="0.25">
      <c r="A1856">
        <v>38</v>
      </c>
      <c r="B1856" t="str">
        <f>"8:54:43.570925"</f>
        <v>8:54:43.570925</v>
      </c>
      <c r="C1856">
        <v>-41</v>
      </c>
    </row>
    <row r="1857" spans="1:3" x14ac:dyDescent="0.25">
      <c r="A1857">
        <v>39</v>
      </c>
      <c r="B1857" t="str">
        <f>"8:54:43.571951"</f>
        <v>8:54:43.571951</v>
      </c>
      <c r="C1857">
        <v>-46</v>
      </c>
    </row>
    <row r="1858" spans="1:3" x14ac:dyDescent="0.25">
      <c r="A1858">
        <v>39</v>
      </c>
      <c r="B1858" t="str">
        <f>"8:54:43.572469"</f>
        <v>8:54:43.572469</v>
      </c>
      <c r="C1858">
        <v>-30</v>
      </c>
    </row>
    <row r="1859" spans="1:3" x14ac:dyDescent="0.25">
      <c r="A1859">
        <v>39</v>
      </c>
      <c r="B1859" t="str">
        <f>"8:54:43.572795"</f>
        <v>8:54:43.572795</v>
      </c>
      <c r="C1859">
        <v>-45</v>
      </c>
    </row>
    <row r="1860" spans="1:3" x14ac:dyDescent="0.25">
      <c r="A1860">
        <v>37</v>
      </c>
      <c r="B1860" t="str">
        <f>"8:54:43.923692"</f>
        <v>8:54:43.923692</v>
      </c>
      <c r="C1860">
        <v>-44</v>
      </c>
    </row>
    <row r="1861" spans="1:3" x14ac:dyDescent="0.25">
      <c r="A1861">
        <v>38</v>
      </c>
      <c r="B1861" t="str">
        <f>"8:54:43.924719"</f>
        <v>8:54:43.924719</v>
      </c>
      <c r="C1861">
        <v>-41</v>
      </c>
    </row>
    <row r="1862" spans="1:3" x14ac:dyDescent="0.25">
      <c r="A1862">
        <v>39</v>
      </c>
      <c r="B1862" t="str">
        <f>"8:54:43.925745"</f>
        <v>8:54:43.925745</v>
      </c>
      <c r="C1862">
        <v>-45</v>
      </c>
    </row>
    <row r="1863" spans="1:3" x14ac:dyDescent="0.25">
      <c r="A1863">
        <v>39</v>
      </c>
      <c r="B1863" t="str">
        <f>"8:54:43.926263"</f>
        <v>8:54:43.926263</v>
      </c>
      <c r="C1863">
        <v>-31</v>
      </c>
    </row>
    <row r="1864" spans="1:3" x14ac:dyDescent="0.25">
      <c r="A1864">
        <v>39</v>
      </c>
      <c r="B1864" t="str">
        <f>"8:54:43.926589"</f>
        <v>8:54:43.926589</v>
      </c>
      <c r="C1864">
        <v>-45</v>
      </c>
    </row>
    <row r="1865" spans="1:3" x14ac:dyDescent="0.25">
      <c r="A1865">
        <v>37</v>
      </c>
      <c r="B1865" t="str">
        <f>"8:54:44.283135"</f>
        <v>8:54:44.283135</v>
      </c>
      <c r="C1865">
        <v>-44</v>
      </c>
    </row>
    <row r="1866" spans="1:3" x14ac:dyDescent="0.25">
      <c r="A1866">
        <v>38</v>
      </c>
      <c r="B1866" t="str">
        <f>"8:54:44.284162"</f>
        <v>8:54:44.284162</v>
      </c>
      <c r="C1866">
        <v>-41</v>
      </c>
    </row>
    <row r="1867" spans="1:3" x14ac:dyDescent="0.25">
      <c r="A1867">
        <v>39</v>
      </c>
      <c r="B1867" t="str">
        <f>"8:54:44.285188"</f>
        <v>8:54:44.285188</v>
      </c>
      <c r="C1867">
        <v>-45</v>
      </c>
    </row>
    <row r="1868" spans="1:3" x14ac:dyDescent="0.25">
      <c r="A1868">
        <v>39</v>
      </c>
      <c r="B1868" t="str">
        <f>"8:54:44.285706"</f>
        <v>8:54:44.285706</v>
      </c>
      <c r="C1868">
        <v>-31</v>
      </c>
    </row>
    <row r="1869" spans="1:3" x14ac:dyDescent="0.25">
      <c r="A1869">
        <v>39</v>
      </c>
      <c r="B1869" t="str">
        <f>"8:54:44.286032"</f>
        <v>8:54:44.286032</v>
      </c>
      <c r="C1869">
        <v>-45</v>
      </c>
    </row>
    <row r="1870" spans="1:3" x14ac:dyDescent="0.25">
      <c r="A1870">
        <v>37</v>
      </c>
      <c r="B1870" t="str">
        <f>"8:54:44.636943"</f>
        <v>8:54:44.636943</v>
      </c>
      <c r="C1870">
        <v>-44</v>
      </c>
    </row>
    <row r="1871" spans="1:3" x14ac:dyDescent="0.25">
      <c r="A1871">
        <v>38</v>
      </c>
      <c r="B1871" t="str">
        <f>"8:54:44.637970"</f>
        <v>8:54:44.637970</v>
      </c>
      <c r="C1871">
        <v>-41</v>
      </c>
    </row>
    <row r="1872" spans="1:3" x14ac:dyDescent="0.25">
      <c r="A1872">
        <v>39</v>
      </c>
      <c r="B1872" t="str">
        <f>"8:54:44.638996"</f>
        <v>8:54:44.638996</v>
      </c>
      <c r="C1872">
        <v>-45</v>
      </c>
    </row>
    <row r="1873" spans="1:3" x14ac:dyDescent="0.25">
      <c r="A1873">
        <v>37</v>
      </c>
      <c r="B1873" t="str">
        <f>"8:54:44.989952"</f>
        <v>8:54:44.989952</v>
      </c>
      <c r="C1873">
        <v>-44</v>
      </c>
    </row>
    <row r="1874" spans="1:3" x14ac:dyDescent="0.25">
      <c r="A1874">
        <v>37</v>
      </c>
      <c r="B1874" t="str">
        <f>"8:54:44.990471"</f>
        <v>8:54:44.990471</v>
      </c>
      <c r="C1874">
        <v>-38</v>
      </c>
    </row>
    <row r="1875" spans="1:3" x14ac:dyDescent="0.25">
      <c r="A1875">
        <v>37</v>
      </c>
      <c r="B1875" t="str">
        <f>"8:54:44.990797"</f>
        <v>8:54:44.990797</v>
      </c>
      <c r="C1875">
        <v>-44</v>
      </c>
    </row>
    <row r="1876" spans="1:3" x14ac:dyDescent="0.25">
      <c r="A1876">
        <v>38</v>
      </c>
      <c r="B1876" t="str">
        <f>"8:54:44.991573"</f>
        <v>8:54:44.991573</v>
      </c>
      <c r="C1876">
        <v>-41</v>
      </c>
    </row>
    <row r="1877" spans="1:3" x14ac:dyDescent="0.25">
      <c r="A1877">
        <v>39</v>
      </c>
      <c r="B1877" t="str">
        <f>"8:54:44.992599"</f>
        <v>8:54:44.992599</v>
      </c>
      <c r="C1877">
        <v>-45</v>
      </c>
    </row>
    <row r="1878" spans="1:3" x14ac:dyDescent="0.25">
      <c r="A1878">
        <v>37</v>
      </c>
      <c r="B1878" t="str">
        <f>"8:54:45.349889"</f>
        <v>8:54:45.349889</v>
      </c>
      <c r="C1878">
        <v>-45</v>
      </c>
    </row>
    <row r="1879" spans="1:3" x14ac:dyDescent="0.25">
      <c r="A1879">
        <v>37</v>
      </c>
      <c r="B1879" t="str">
        <f>"8:54:45.350407"</f>
        <v>8:54:45.350407</v>
      </c>
      <c r="C1879">
        <v>-37</v>
      </c>
    </row>
    <row r="1880" spans="1:3" x14ac:dyDescent="0.25">
      <c r="A1880">
        <v>37</v>
      </c>
      <c r="B1880" t="str">
        <f>"8:54:45.350733"</f>
        <v>8:54:45.350733</v>
      </c>
      <c r="C1880">
        <v>-45</v>
      </c>
    </row>
    <row r="1881" spans="1:3" x14ac:dyDescent="0.25">
      <c r="A1881">
        <v>38</v>
      </c>
      <c r="B1881" t="str">
        <f>"8:54:45.351509"</f>
        <v>8:54:45.351509</v>
      </c>
      <c r="C1881">
        <v>-41</v>
      </c>
    </row>
    <row r="1882" spans="1:3" x14ac:dyDescent="0.25">
      <c r="A1882">
        <v>39</v>
      </c>
      <c r="B1882" t="str">
        <f>"8:54:45.352535"</f>
        <v>8:54:45.352535</v>
      </c>
      <c r="C1882">
        <v>-46</v>
      </c>
    </row>
    <row r="1883" spans="1:3" x14ac:dyDescent="0.25">
      <c r="A1883">
        <v>37</v>
      </c>
      <c r="B1883" t="str">
        <f>"8:54:45.703133"</f>
        <v>8:54:45.703133</v>
      </c>
      <c r="C1883">
        <v>-44</v>
      </c>
    </row>
    <row r="1884" spans="1:3" x14ac:dyDescent="0.25">
      <c r="A1884">
        <v>38</v>
      </c>
      <c r="B1884" t="str">
        <f>"8:54:45.704160"</f>
        <v>8:54:45.704160</v>
      </c>
      <c r="C1884">
        <v>-41</v>
      </c>
    </row>
    <row r="1885" spans="1:3" x14ac:dyDescent="0.25">
      <c r="A1885">
        <v>39</v>
      </c>
      <c r="B1885" t="str">
        <f>"8:54:45.705186"</f>
        <v>8:54:45.705186</v>
      </c>
      <c r="C1885">
        <v>-45</v>
      </c>
    </row>
    <row r="1886" spans="1:3" x14ac:dyDescent="0.25">
      <c r="A1886">
        <v>37</v>
      </c>
      <c r="B1886" t="str">
        <f>"8:54:46.062285"</f>
        <v>8:54:46.062285</v>
      </c>
      <c r="C1886">
        <v>-45</v>
      </c>
    </row>
    <row r="1887" spans="1:3" x14ac:dyDescent="0.25">
      <c r="A1887">
        <v>37</v>
      </c>
      <c r="B1887" t="str">
        <f>"8:54:46.062803"</f>
        <v>8:54:46.062803</v>
      </c>
      <c r="C1887">
        <v>-36</v>
      </c>
    </row>
    <row r="1888" spans="1:3" x14ac:dyDescent="0.25">
      <c r="A1888">
        <v>37</v>
      </c>
      <c r="B1888" t="str">
        <f>"8:54:46.063129"</f>
        <v>8:54:46.063129</v>
      </c>
      <c r="C1888">
        <v>-45</v>
      </c>
    </row>
    <row r="1889" spans="1:3" x14ac:dyDescent="0.25">
      <c r="A1889">
        <v>38</v>
      </c>
      <c r="B1889" t="str">
        <f>"8:54:46.063905"</f>
        <v>8:54:46.063905</v>
      </c>
      <c r="C1889">
        <v>-41</v>
      </c>
    </row>
    <row r="1890" spans="1:3" x14ac:dyDescent="0.25">
      <c r="A1890">
        <v>39</v>
      </c>
      <c r="B1890" t="str">
        <f>"8:54:46.064931"</f>
        <v>8:54:46.064931</v>
      </c>
      <c r="C1890">
        <v>-46</v>
      </c>
    </row>
    <row r="1891" spans="1:3" x14ac:dyDescent="0.25">
      <c r="A1891">
        <v>37</v>
      </c>
      <c r="B1891" t="str">
        <f>"8:54:46.420171"</f>
        <v>8:54:46.420171</v>
      </c>
      <c r="C1891">
        <v>-45</v>
      </c>
    </row>
    <row r="1892" spans="1:3" x14ac:dyDescent="0.25">
      <c r="A1892">
        <v>37</v>
      </c>
      <c r="B1892" t="str">
        <f>"8:54:46.420689"</f>
        <v>8:54:46.420689</v>
      </c>
      <c r="C1892">
        <v>-36</v>
      </c>
    </row>
    <row r="1893" spans="1:3" x14ac:dyDescent="0.25">
      <c r="A1893">
        <v>37</v>
      </c>
      <c r="B1893" t="str">
        <f>"8:54:46.421015"</f>
        <v>8:54:46.421015</v>
      </c>
      <c r="C1893">
        <v>-45</v>
      </c>
    </row>
    <row r="1894" spans="1:3" x14ac:dyDescent="0.25">
      <c r="A1894">
        <v>38</v>
      </c>
      <c r="B1894" t="str">
        <f>"8:54:46.421791"</f>
        <v>8:54:46.421791</v>
      </c>
      <c r="C1894">
        <v>-41</v>
      </c>
    </row>
    <row r="1895" spans="1:3" x14ac:dyDescent="0.25">
      <c r="A1895">
        <v>39</v>
      </c>
      <c r="B1895" t="str">
        <f>"8:54:46.422817"</f>
        <v>8:54:46.422817</v>
      </c>
      <c r="C1895">
        <v>-45</v>
      </c>
    </row>
    <row r="1896" spans="1:3" x14ac:dyDescent="0.25">
      <c r="A1896">
        <v>37</v>
      </c>
      <c r="B1896" t="str">
        <f>"8:54:46.777848"</f>
        <v>8:54:46.777848</v>
      </c>
      <c r="C1896">
        <v>-44</v>
      </c>
    </row>
    <row r="1897" spans="1:3" x14ac:dyDescent="0.25">
      <c r="A1897">
        <v>37</v>
      </c>
      <c r="B1897" t="str">
        <f>"8:54:46.778367"</f>
        <v>8:54:46.778367</v>
      </c>
      <c r="C1897">
        <v>-40</v>
      </c>
    </row>
    <row r="1898" spans="1:3" x14ac:dyDescent="0.25">
      <c r="A1898">
        <v>37</v>
      </c>
      <c r="B1898" t="str">
        <f>"8:54:46.778693"</f>
        <v>8:54:46.778693</v>
      </c>
      <c r="C1898">
        <v>-44</v>
      </c>
    </row>
    <row r="1899" spans="1:3" x14ac:dyDescent="0.25">
      <c r="A1899">
        <v>38</v>
      </c>
      <c r="B1899" t="str">
        <f>"8:54:46.779469"</f>
        <v>8:54:46.779469</v>
      </c>
      <c r="C1899">
        <v>-41</v>
      </c>
    </row>
    <row r="1900" spans="1:3" x14ac:dyDescent="0.25">
      <c r="A1900">
        <v>39</v>
      </c>
      <c r="B1900" t="str">
        <f>"8:54:46.780495"</f>
        <v>8:54:46.780495</v>
      </c>
      <c r="C1900">
        <v>-45</v>
      </c>
    </row>
    <row r="1901" spans="1:3" x14ac:dyDescent="0.25">
      <c r="A1901">
        <v>37</v>
      </c>
      <c r="B1901" t="str">
        <f>"8:54:47.134469"</f>
        <v>8:54:47.134469</v>
      </c>
      <c r="C1901">
        <v>-44</v>
      </c>
    </row>
    <row r="1902" spans="1:3" x14ac:dyDescent="0.25">
      <c r="A1902">
        <v>37</v>
      </c>
      <c r="B1902" t="str">
        <f>"8:54:47.134988"</f>
        <v>8:54:47.134988</v>
      </c>
      <c r="C1902">
        <v>-40</v>
      </c>
    </row>
    <row r="1903" spans="1:3" x14ac:dyDescent="0.25">
      <c r="A1903">
        <v>37</v>
      </c>
      <c r="B1903" t="str">
        <f>"8:54:47.135314"</f>
        <v>8:54:47.135314</v>
      </c>
      <c r="C1903">
        <v>-44</v>
      </c>
    </row>
    <row r="1904" spans="1:3" x14ac:dyDescent="0.25">
      <c r="A1904">
        <v>38</v>
      </c>
      <c r="B1904" t="str">
        <f>"8:54:47.136090"</f>
        <v>8:54:47.136090</v>
      </c>
      <c r="C1904">
        <v>-41</v>
      </c>
    </row>
    <row r="1905" spans="1:3" x14ac:dyDescent="0.25">
      <c r="A1905">
        <v>39</v>
      </c>
      <c r="B1905" t="str">
        <f>"8:54:47.137116"</f>
        <v>8:54:47.137116</v>
      </c>
      <c r="C1905">
        <v>-45</v>
      </c>
    </row>
    <row r="1906" spans="1:3" x14ac:dyDescent="0.25">
      <c r="A1906">
        <v>37</v>
      </c>
      <c r="B1906" t="str">
        <f>"8:54:47.491622"</f>
        <v>8:54:47.491622</v>
      </c>
      <c r="C1906">
        <v>-44</v>
      </c>
    </row>
    <row r="1907" spans="1:3" x14ac:dyDescent="0.25">
      <c r="A1907">
        <v>37</v>
      </c>
      <c r="B1907" t="str">
        <f>"8:54:47.492141"</f>
        <v>8:54:47.492141</v>
      </c>
      <c r="C1907">
        <v>-40</v>
      </c>
    </row>
    <row r="1908" spans="1:3" x14ac:dyDescent="0.25">
      <c r="A1908">
        <v>37</v>
      </c>
      <c r="B1908" t="str">
        <f>"8:54:47.492467"</f>
        <v>8:54:47.492467</v>
      </c>
      <c r="C1908">
        <v>-44</v>
      </c>
    </row>
    <row r="1909" spans="1:3" x14ac:dyDescent="0.25">
      <c r="A1909">
        <v>38</v>
      </c>
      <c r="B1909" t="str">
        <f>"8:54:47.493243"</f>
        <v>8:54:47.493243</v>
      </c>
      <c r="C1909">
        <v>-41</v>
      </c>
    </row>
    <row r="1910" spans="1:3" x14ac:dyDescent="0.25">
      <c r="A1910">
        <v>39</v>
      </c>
      <c r="B1910" t="str">
        <f>"8:54:47.494269"</f>
        <v>8:54:47.494269</v>
      </c>
      <c r="C1910">
        <v>-45</v>
      </c>
    </row>
    <row r="1911" spans="1:3" x14ac:dyDescent="0.25">
      <c r="A1911">
        <v>37</v>
      </c>
      <c r="B1911" t="str">
        <f>"8:54:47.849800"</f>
        <v>8:54:47.849800</v>
      </c>
      <c r="C1911">
        <v>-44</v>
      </c>
    </row>
    <row r="1912" spans="1:3" x14ac:dyDescent="0.25">
      <c r="A1912">
        <v>37</v>
      </c>
      <c r="B1912" t="str">
        <f>"8:54:47.850319"</f>
        <v>8:54:47.850319</v>
      </c>
      <c r="C1912">
        <v>-40</v>
      </c>
    </row>
    <row r="1913" spans="1:3" x14ac:dyDescent="0.25">
      <c r="A1913">
        <v>37</v>
      </c>
      <c r="B1913" t="str">
        <f>"8:54:47.850645"</f>
        <v>8:54:47.850645</v>
      </c>
      <c r="C1913">
        <v>-44</v>
      </c>
    </row>
    <row r="1914" spans="1:3" x14ac:dyDescent="0.25">
      <c r="A1914">
        <v>38</v>
      </c>
      <c r="B1914" t="str">
        <f>"8:54:47.851421"</f>
        <v>8:54:47.851421</v>
      </c>
      <c r="C1914">
        <v>-41</v>
      </c>
    </row>
    <row r="1915" spans="1:3" x14ac:dyDescent="0.25">
      <c r="A1915">
        <v>39</v>
      </c>
      <c r="B1915" t="str">
        <f>"8:54:47.852447"</f>
        <v>8:54:47.852447</v>
      </c>
      <c r="C1915">
        <v>-45</v>
      </c>
    </row>
    <row r="1916" spans="1:3" x14ac:dyDescent="0.25">
      <c r="A1916">
        <v>37</v>
      </c>
      <c r="B1916" t="str">
        <f>"8:54:48.201577"</f>
        <v>8:54:48.201577</v>
      </c>
      <c r="C1916">
        <v>-44</v>
      </c>
    </row>
    <row r="1917" spans="1:3" x14ac:dyDescent="0.25">
      <c r="A1917">
        <v>37</v>
      </c>
      <c r="B1917" t="str">
        <f>"8:54:48.202095"</f>
        <v>8:54:48.202095</v>
      </c>
      <c r="C1917">
        <v>-40</v>
      </c>
    </row>
    <row r="1918" spans="1:3" x14ac:dyDescent="0.25">
      <c r="A1918">
        <v>37</v>
      </c>
      <c r="B1918" t="str">
        <f>"8:54:48.202421"</f>
        <v>8:54:48.202421</v>
      </c>
      <c r="C1918">
        <v>-44</v>
      </c>
    </row>
    <row r="1919" spans="1:3" x14ac:dyDescent="0.25">
      <c r="A1919">
        <v>38</v>
      </c>
      <c r="B1919" t="str">
        <f>"8:54:48.203197"</f>
        <v>8:54:48.203197</v>
      </c>
      <c r="C1919">
        <v>-41</v>
      </c>
    </row>
    <row r="1920" spans="1:3" x14ac:dyDescent="0.25">
      <c r="A1920">
        <v>39</v>
      </c>
      <c r="B1920" t="str">
        <f>"8:54:48.204223"</f>
        <v>8:54:48.204223</v>
      </c>
      <c r="C1920">
        <v>-45</v>
      </c>
    </row>
    <row r="1921" spans="1:3" x14ac:dyDescent="0.25">
      <c r="A1921">
        <v>37</v>
      </c>
      <c r="B1921" t="str">
        <f>"8:54:48.554152"</f>
        <v>8:54:48.554152</v>
      </c>
      <c r="C1921">
        <v>-44</v>
      </c>
    </row>
    <row r="1922" spans="1:3" x14ac:dyDescent="0.25">
      <c r="A1922">
        <v>37</v>
      </c>
      <c r="B1922" t="str">
        <f>"8:54:48.554671"</f>
        <v>8:54:48.554671</v>
      </c>
      <c r="C1922">
        <v>-40</v>
      </c>
    </row>
    <row r="1923" spans="1:3" x14ac:dyDescent="0.25">
      <c r="A1923">
        <v>37</v>
      </c>
      <c r="B1923" t="str">
        <f>"8:54:48.554997"</f>
        <v>8:54:48.554997</v>
      </c>
      <c r="C1923">
        <v>-44</v>
      </c>
    </row>
    <row r="1924" spans="1:3" x14ac:dyDescent="0.25">
      <c r="A1924">
        <v>38</v>
      </c>
      <c r="B1924" t="str">
        <f>"8:54:48.555773"</f>
        <v>8:54:48.555773</v>
      </c>
      <c r="C1924">
        <v>-41</v>
      </c>
    </row>
    <row r="1925" spans="1:3" x14ac:dyDescent="0.25">
      <c r="A1925">
        <v>39</v>
      </c>
      <c r="B1925" t="str">
        <f>"8:54:48.556799"</f>
        <v>8:54:48.556799</v>
      </c>
      <c r="C1925">
        <v>-45</v>
      </c>
    </row>
    <row r="1926" spans="1:3" x14ac:dyDescent="0.25">
      <c r="A1926">
        <v>37</v>
      </c>
      <c r="B1926" t="str">
        <f>"8:54:48.904890"</f>
        <v>8:54:48.904890</v>
      </c>
      <c r="C1926">
        <v>-44</v>
      </c>
    </row>
    <row r="1927" spans="1:3" x14ac:dyDescent="0.25">
      <c r="A1927">
        <v>37</v>
      </c>
      <c r="B1927" t="str">
        <f>"8:54:48.905409"</f>
        <v>8:54:48.905409</v>
      </c>
      <c r="C1927">
        <v>-40</v>
      </c>
    </row>
    <row r="1928" spans="1:3" x14ac:dyDescent="0.25">
      <c r="A1928">
        <v>37</v>
      </c>
      <c r="B1928" t="str">
        <f>"8:54:48.905734"</f>
        <v>8:54:48.905734</v>
      </c>
      <c r="C1928">
        <v>-44</v>
      </c>
    </row>
    <row r="1929" spans="1:3" x14ac:dyDescent="0.25">
      <c r="A1929">
        <v>38</v>
      </c>
      <c r="B1929" t="str">
        <f>"8:54:48.906511"</f>
        <v>8:54:48.906511</v>
      </c>
      <c r="C1929">
        <v>-41</v>
      </c>
    </row>
    <row r="1930" spans="1:3" x14ac:dyDescent="0.25">
      <c r="A1930">
        <v>39</v>
      </c>
      <c r="B1930" t="str">
        <f>"8:54:48.907537"</f>
        <v>8:54:48.907537</v>
      </c>
      <c r="C1930">
        <v>-45</v>
      </c>
    </row>
    <row r="1931" spans="1:3" x14ac:dyDescent="0.25">
      <c r="A1931">
        <v>37</v>
      </c>
      <c r="B1931" t="str">
        <f>"8:54:49.264624"</f>
        <v>8:54:49.264624</v>
      </c>
      <c r="C1931">
        <v>-44</v>
      </c>
    </row>
    <row r="1932" spans="1:3" x14ac:dyDescent="0.25">
      <c r="A1932">
        <v>37</v>
      </c>
      <c r="B1932" t="str">
        <f>"8:54:49.265143"</f>
        <v>8:54:49.265143</v>
      </c>
      <c r="C1932">
        <v>-42</v>
      </c>
    </row>
    <row r="1933" spans="1:3" x14ac:dyDescent="0.25">
      <c r="A1933">
        <v>37</v>
      </c>
      <c r="B1933" t="str">
        <f>"8:54:49.265468"</f>
        <v>8:54:49.265468</v>
      </c>
      <c r="C1933">
        <v>-44</v>
      </c>
    </row>
    <row r="1934" spans="1:3" x14ac:dyDescent="0.25">
      <c r="A1934">
        <v>38</v>
      </c>
      <c r="B1934" t="str">
        <f>"8:54:49.266245"</f>
        <v>8:54:49.266245</v>
      </c>
      <c r="C1934">
        <v>-41</v>
      </c>
    </row>
    <row r="1935" spans="1:3" x14ac:dyDescent="0.25">
      <c r="A1935">
        <v>39</v>
      </c>
      <c r="B1935" t="str">
        <f>"8:54:49.267271"</f>
        <v>8:54:49.267271</v>
      </c>
      <c r="C1935">
        <v>-45</v>
      </c>
    </row>
    <row r="1936" spans="1:3" x14ac:dyDescent="0.25">
      <c r="A1936">
        <v>37</v>
      </c>
      <c r="B1936" t="str">
        <f>"8:54:49.618727"</f>
        <v>8:54:49.618727</v>
      </c>
      <c r="C1936">
        <v>-44</v>
      </c>
    </row>
    <row r="1937" spans="1:3" x14ac:dyDescent="0.25">
      <c r="A1937">
        <v>38</v>
      </c>
      <c r="B1937" t="str">
        <f>"8:54:49.619754"</f>
        <v>8:54:49.619754</v>
      </c>
      <c r="C1937">
        <v>-41</v>
      </c>
    </row>
    <row r="1938" spans="1:3" x14ac:dyDescent="0.25">
      <c r="A1938">
        <v>39</v>
      </c>
      <c r="B1938" t="str">
        <f>"8:54:49.620780"</f>
        <v>8:54:49.620780</v>
      </c>
      <c r="C1938">
        <v>-45</v>
      </c>
    </row>
    <row r="1939" spans="1:3" x14ac:dyDescent="0.25">
      <c r="A1939">
        <v>37</v>
      </c>
      <c r="B1939" t="str">
        <f>"8:54:49.973576"</f>
        <v>8:54:49.973576</v>
      </c>
      <c r="C1939">
        <v>-44</v>
      </c>
    </row>
    <row r="1940" spans="1:3" x14ac:dyDescent="0.25">
      <c r="A1940">
        <v>38</v>
      </c>
      <c r="B1940" t="str">
        <f>"8:54:49.974603"</f>
        <v>8:54:49.974603</v>
      </c>
      <c r="C1940">
        <v>-41</v>
      </c>
    </row>
    <row r="1941" spans="1:3" x14ac:dyDescent="0.25">
      <c r="A1941">
        <v>38</v>
      </c>
      <c r="B1941" t="str">
        <f>"8:54:49.975122"</f>
        <v>8:54:49.975122</v>
      </c>
      <c r="C1941">
        <v>-32</v>
      </c>
    </row>
    <row r="1942" spans="1:3" x14ac:dyDescent="0.25">
      <c r="A1942">
        <v>38</v>
      </c>
      <c r="B1942" t="str">
        <f>"8:54:49.975448"</f>
        <v>8:54:49.975448</v>
      </c>
      <c r="C1942">
        <v>-41</v>
      </c>
    </row>
    <row r="1943" spans="1:3" x14ac:dyDescent="0.25">
      <c r="A1943">
        <v>39</v>
      </c>
      <c r="B1943" t="str">
        <f>"8:54:49.976224"</f>
        <v>8:54:49.976224</v>
      </c>
      <c r="C1943">
        <v>-45</v>
      </c>
    </row>
    <row r="1944" spans="1:3" x14ac:dyDescent="0.25">
      <c r="A1944">
        <v>37</v>
      </c>
      <c r="B1944" t="str">
        <f>"8:54:50.323755"</f>
        <v>8:54:50.323755</v>
      </c>
      <c r="C1944">
        <v>-44</v>
      </c>
    </row>
    <row r="1945" spans="1:3" x14ac:dyDescent="0.25">
      <c r="A1945">
        <v>38</v>
      </c>
      <c r="B1945" t="str">
        <f>"8:54:50.324782"</f>
        <v>8:54:50.324782</v>
      </c>
      <c r="C1945">
        <v>-41</v>
      </c>
    </row>
    <row r="1946" spans="1:3" x14ac:dyDescent="0.25">
      <c r="A1946">
        <v>39</v>
      </c>
      <c r="B1946" t="str">
        <f>"8:54:50.325808"</f>
        <v>8:54:50.325808</v>
      </c>
      <c r="C1946">
        <v>-45</v>
      </c>
    </row>
    <row r="1947" spans="1:3" x14ac:dyDescent="0.25">
      <c r="A1947">
        <v>37</v>
      </c>
      <c r="B1947" t="str">
        <f>"8:54:50.682442"</f>
        <v>8:54:50.682442</v>
      </c>
      <c r="C1947">
        <v>-44</v>
      </c>
    </row>
    <row r="1948" spans="1:3" x14ac:dyDescent="0.25">
      <c r="A1948">
        <v>38</v>
      </c>
      <c r="B1948" t="str">
        <f>"8:54:50.683469"</f>
        <v>8:54:50.683469</v>
      </c>
      <c r="C1948">
        <v>-41</v>
      </c>
    </row>
    <row r="1949" spans="1:3" x14ac:dyDescent="0.25">
      <c r="A1949">
        <v>39</v>
      </c>
      <c r="B1949" t="str">
        <f>"8:54:50.684495"</f>
        <v>8:54:50.684495</v>
      </c>
      <c r="C1949">
        <v>-45</v>
      </c>
    </row>
    <row r="1950" spans="1:3" x14ac:dyDescent="0.25">
      <c r="A1950">
        <v>37</v>
      </c>
      <c r="B1950" t="str">
        <f>"8:54:51.037254"</f>
        <v>8:54:51.037254</v>
      </c>
      <c r="C1950">
        <v>-44</v>
      </c>
    </row>
    <row r="1951" spans="1:3" x14ac:dyDescent="0.25">
      <c r="A1951">
        <v>38</v>
      </c>
      <c r="B1951" t="str">
        <f>"8:54:51.038281"</f>
        <v>8:54:51.038281</v>
      </c>
      <c r="C1951">
        <v>-41</v>
      </c>
    </row>
    <row r="1952" spans="1:3" x14ac:dyDescent="0.25">
      <c r="A1952">
        <v>38</v>
      </c>
      <c r="B1952" t="str">
        <f>"8:54:51.038800"</f>
        <v>8:54:51.038800</v>
      </c>
      <c r="C1952">
        <v>-32</v>
      </c>
    </row>
    <row r="1953" spans="1:3" x14ac:dyDescent="0.25">
      <c r="A1953">
        <v>38</v>
      </c>
      <c r="B1953" t="str">
        <f>"8:54:51.039125"</f>
        <v>8:54:51.039125</v>
      </c>
      <c r="C1953">
        <v>-41</v>
      </c>
    </row>
    <row r="1954" spans="1:3" x14ac:dyDescent="0.25">
      <c r="A1954">
        <v>39</v>
      </c>
      <c r="B1954" t="str">
        <f>"8:54:51.039901"</f>
        <v>8:54:51.039901</v>
      </c>
      <c r="C1954">
        <v>-45</v>
      </c>
    </row>
    <row r="1955" spans="1:3" x14ac:dyDescent="0.25">
      <c r="A1955">
        <v>37</v>
      </c>
      <c r="B1955" t="str">
        <f>"8:54:51.389259"</f>
        <v>8:54:51.389259</v>
      </c>
      <c r="C1955">
        <v>-44</v>
      </c>
    </row>
    <row r="1956" spans="1:3" x14ac:dyDescent="0.25">
      <c r="A1956">
        <v>38</v>
      </c>
      <c r="B1956" t="str">
        <f>"8:54:51.390287"</f>
        <v>8:54:51.390287</v>
      </c>
      <c r="C1956">
        <v>-41</v>
      </c>
    </row>
    <row r="1957" spans="1:3" x14ac:dyDescent="0.25">
      <c r="A1957">
        <v>38</v>
      </c>
      <c r="B1957" t="str">
        <f>"8:54:51.390806"</f>
        <v>8:54:51.390806</v>
      </c>
      <c r="C1957">
        <v>-32</v>
      </c>
    </row>
    <row r="1958" spans="1:3" x14ac:dyDescent="0.25">
      <c r="A1958">
        <v>38</v>
      </c>
      <c r="B1958" t="str">
        <f>"8:54:51.391132"</f>
        <v>8:54:51.391132</v>
      </c>
      <c r="C1958">
        <v>-41</v>
      </c>
    </row>
    <row r="1959" spans="1:3" x14ac:dyDescent="0.25">
      <c r="A1959">
        <v>39</v>
      </c>
      <c r="B1959" t="str">
        <f>"8:54:51.391908"</f>
        <v>8:54:51.391908</v>
      </c>
      <c r="C1959">
        <v>-45</v>
      </c>
    </row>
    <row r="1960" spans="1:3" x14ac:dyDescent="0.25">
      <c r="A1960">
        <v>37</v>
      </c>
      <c r="B1960" t="str">
        <f>"8:54:51.741585"</f>
        <v>8:54:51.741585</v>
      </c>
      <c r="C1960">
        <v>-44</v>
      </c>
    </row>
    <row r="1961" spans="1:3" x14ac:dyDescent="0.25">
      <c r="A1961">
        <v>38</v>
      </c>
      <c r="B1961" t="str">
        <f>"8:54:51.742613"</f>
        <v>8:54:51.742613</v>
      </c>
      <c r="C1961">
        <v>-41</v>
      </c>
    </row>
    <row r="1962" spans="1:3" x14ac:dyDescent="0.25">
      <c r="A1962">
        <v>38</v>
      </c>
      <c r="B1962" t="str">
        <f>"8:54:51.743131"</f>
        <v>8:54:51.743131</v>
      </c>
      <c r="C1962">
        <v>-32</v>
      </c>
    </row>
    <row r="1963" spans="1:3" x14ac:dyDescent="0.25">
      <c r="A1963">
        <v>38</v>
      </c>
      <c r="B1963" t="str">
        <f>"8:54:51.743457"</f>
        <v>8:54:51.743457</v>
      </c>
      <c r="C1963">
        <v>-41</v>
      </c>
    </row>
    <row r="1964" spans="1:3" x14ac:dyDescent="0.25">
      <c r="A1964">
        <v>39</v>
      </c>
      <c r="B1964" t="str">
        <f>"8:54:51.744233"</f>
        <v>8:54:51.744233</v>
      </c>
      <c r="C1964">
        <v>-45</v>
      </c>
    </row>
    <row r="1965" spans="1:3" x14ac:dyDescent="0.25">
      <c r="A1965">
        <v>37</v>
      </c>
      <c r="B1965" t="str">
        <f>"8:54:52.095861"</f>
        <v>8:54:52.095861</v>
      </c>
      <c r="C1965">
        <v>-44</v>
      </c>
    </row>
    <row r="1966" spans="1:3" x14ac:dyDescent="0.25">
      <c r="A1966">
        <v>38</v>
      </c>
      <c r="B1966" t="str">
        <f>"8:54:52.096889"</f>
        <v>8:54:52.096889</v>
      </c>
      <c r="C1966">
        <v>-41</v>
      </c>
    </row>
    <row r="1967" spans="1:3" x14ac:dyDescent="0.25">
      <c r="A1967">
        <v>38</v>
      </c>
      <c r="B1967" t="str">
        <f>"8:54:52.097407"</f>
        <v>8:54:52.097407</v>
      </c>
      <c r="C1967">
        <v>-32</v>
      </c>
    </row>
    <row r="1968" spans="1:3" x14ac:dyDescent="0.25">
      <c r="A1968">
        <v>38</v>
      </c>
      <c r="B1968" t="str">
        <f>"8:54:52.097734"</f>
        <v>8:54:52.097734</v>
      </c>
      <c r="C1968">
        <v>-41</v>
      </c>
    </row>
    <row r="1969" spans="1:3" x14ac:dyDescent="0.25">
      <c r="A1969">
        <v>39</v>
      </c>
      <c r="B1969" t="str">
        <f>"8:54:52.098510"</f>
        <v>8:54:52.098510</v>
      </c>
      <c r="C1969">
        <v>-45</v>
      </c>
    </row>
    <row r="1970" spans="1:3" x14ac:dyDescent="0.25">
      <c r="A1970">
        <v>37</v>
      </c>
      <c r="B1970" t="str">
        <f>"8:54:52.447901"</f>
        <v>8:54:52.447901</v>
      </c>
      <c r="C1970">
        <v>-44</v>
      </c>
    </row>
    <row r="1971" spans="1:3" x14ac:dyDescent="0.25">
      <c r="A1971">
        <v>38</v>
      </c>
      <c r="B1971" t="str">
        <f>"8:54:52.448928"</f>
        <v>8:54:52.448928</v>
      </c>
      <c r="C1971">
        <v>-41</v>
      </c>
    </row>
    <row r="1972" spans="1:3" x14ac:dyDescent="0.25">
      <c r="A1972">
        <v>38</v>
      </c>
      <c r="B1972" t="str">
        <f>"8:54:52.449447"</f>
        <v>8:54:52.449447</v>
      </c>
      <c r="C1972">
        <v>-32</v>
      </c>
    </row>
    <row r="1973" spans="1:3" x14ac:dyDescent="0.25">
      <c r="A1973">
        <v>38</v>
      </c>
      <c r="B1973" t="str">
        <f>"8:54:52.449772"</f>
        <v>8:54:52.449772</v>
      </c>
      <c r="C1973">
        <v>-41</v>
      </c>
    </row>
    <row r="1974" spans="1:3" x14ac:dyDescent="0.25">
      <c r="A1974">
        <v>39</v>
      </c>
      <c r="B1974" t="str">
        <f>"8:54:52.450548"</f>
        <v>8:54:52.450548</v>
      </c>
      <c r="C1974">
        <v>-45</v>
      </c>
    </row>
    <row r="1975" spans="1:3" x14ac:dyDescent="0.25">
      <c r="A1975">
        <v>37</v>
      </c>
      <c r="B1975" t="str">
        <f>"8:54:52.798911"</f>
        <v>8:54:52.798911</v>
      </c>
      <c r="C1975">
        <v>-44</v>
      </c>
    </row>
    <row r="1976" spans="1:3" x14ac:dyDescent="0.25">
      <c r="A1976">
        <v>38</v>
      </c>
      <c r="B1976" t="str">
        <f>"8:54:52.799938"</f>
        <v>8:54:52.799938</v>
      </c>
      <c r="C1976">
        <v>-41</v>
      </c>
    </row>
    <row r="1977" spans="1:3" x14ac:dyDescent="0.25">
      <c r="A1977">
        <v>38</v>
      </c>
      <c r="B1977" t="str">
        <f>"8:54:52.800457"</f>
        <v>8:54:52.800457</v>
      </c>
      <c r="C1977">
        <v>-32</v>
      </c>
    </row>
    <row r="1978" spans="1:3" x14ac:dyDescent="0.25">
      <c r="A1978">
        <v>38</v>
      </c>
      <c r="B1978" t="str">
        <f>"8:54:52.800782"</f>
        <v>8:54:52.800782</v>
      </c>
      <c r="C1978">
        <v>-41</v>
      </c>
    </row>
    <row r="1979" spans="1:3" x14ac:dyDescent="0.25">
      <c r="A1979">
        <v>39</v>
      </c>
      <c r="B1979" t="str">
        <f>"8:54:52.801558"</f>
        <v>8:54:52.801558</v>
      </c>
      <c r="C1979">
        <v>-45</v>
      </c>
    </row>
    <row r="1980" spans="1:3" x14ac:dyDescent="0.25">
      <c r="A1980">
        <v>37</v>
      </c>
      <c r="B1980" t="str">
        <f>"8:54:53.154224"</f>
        <v>8:54:53.154224</v>
      </c>
      <c r="C1980">
        <v>-44</v>
      </c>
    </row>
    <row r="1981" spans="1:3" x14ac:dyDescent="0.25">
      <c r="A1981">
        <v>38</v>
      </c>
      <c r="B1981" t="str">
        <f>"8:54:53.155252"</f>
        <v>8:54:53.155252</v>
      </c>
      <c r="C1981">
        <v>-41</v>
      </c>
    </row>
    <row r="1982" spans="1:3" x14ac:dyDescent="0.25">
      <c r="A1982">
        <v>38</v>
      </c>
      <c r="B1982" t="str">
        <f>"8:54:53.155770"</f>
        <v>8:54:53.155770</v>
      </c>
      <c r="C1982">
        <v>-32</v>
      </c>
    </row>
    <row r="1983" spans="1:3" x14ac:dyDescent="0.25">
      <c r="A1983">
        <v>38</v>
      </c>
      <c r="B1983" t="str">
        <f>"8:54:53.156096"</f>
        <v>8:54:53.156096</v>
      </c>
      <c r="C1983">
        <v>-41</v>
      </c>
    </row>
    <row r="1984" spans="1:3" x14ac:dyDescent="0.25">
      <c r="A1984">
        <v>39</v>
      </c>
      <c r="B1984" t="str">
        <f>"8:54:53.156872"</f>
        <v>8:54:53.156872</v>
      </c>
      <c r="C1984">
        <v>-46</v>
      </c>
    </row>
    <row r="1985" spans="1:3" x14ac:dyDescent="0.25">
      <c r="A1985">
        <v>37</v>
      </c>
      <c r="B1985" t="str">
        <f>"8:54:53.509878"</f>
        <v>8:54:53.509878</v>
      </c>
      <c r="C1985">
        <v>-44</v>
      </c>
    </row>
    <row r="1986" spans="1:3" x14ac:dyDescent="0.25">
      <c r="A1986">
        <v>38</v>
      </c>
      <c r="B1986" t="str">
        <f>"8:54:53.510906"</f>
        <v>8:54:53.510906</v>
      </c>
      <c r="C1986">
        <v>-41</v>
      </c>
    </row>
    <row r="1987" spans="1:3" x14ac:dyDescent="0.25">
      <c r="A1987">
        <v>39</v>
      </c>
      <c r="B1987" t="str">
        <f>"8:54:53.511932"</f>
        <v>8:54:53.511932</v>
      </c>
      <c r="C1987">
        <v>-45</v>
      </c>
    </row>
    <row r="1988" spans="1:3" x14ac:dyDescent="0.25">
      <c r="A1988">
        <v>37</v>
      </c>
      <c r="B1988" t="str">
        <f>"8:54:53.865450"</f>
        <v>8:54:53.865450</v>
      </c>
      <c r="C1988">
        <v>-44</v>
      </c>
    </row>
    <row r="1989" spans="1:3" x14ac:dyDescent="0.25">
      <c r="A1989">
        <v>38</v>
      </c>
      <c r="B1989" t="str">
        <f>"8:54:53.866477"</f>
        <v>8:54:53.866477</v>
      </c>
      <c r="C1989">
        <v>-41</v>
      </c>
    </row>
    <row r="1990" spans="1:3" x14ac:dyDescent="0.25">
      <c r="A1990">
        <v>38</v>
      </c>
      <c r="B1990" t="str">
        <f>"8:54:53.866995"</f>
        <v>8:54:53.866995</v>
      </c>
      <c r="C1990">
        <v>-32</v>
      </c>
    </row>
    <row r="1991" spans="1:3" x14ac:dyDescent="0.25">
      <c r="A1991">
        <v>38</v>
      </c>
      <c r="B1991" t="str">
        <f>"8:54:53.867321"</f>
        <v>8:54:53.867321</v>
      </c>
      <c r="C1991">
        <v>-41</v>
      </c>
    </row>
    <row r="1992" spans="1:3" x14ac:dyDescent="0.25">
      <c r="A1992">
        <v>39</v>
      </c>
      <c r="B1992" t="str">
        <f>"8:54:53.868097"</f>
        <v>8:54:53.868097</v>
      </c>
      <c r="C1992">
        <v>-45</v>
      </c>
    </row>
    <row r="1993" spans="1:3" x14ac:dyDescent="0.25">
      <c r="A1993">
        <v>37</v>
      </c>
      <c r="B1993" t="str">
        <f>"8:54:54.218481"</f>
        <v>8:54:54.218481</v>
      </c>
      <c r="C1993">
        <v>-45</v>
      </c>
    </row>
    <row r="1994" spans="1:3" x14ac:dyDescent="0.25">
      <c r="A1994">
        <v>38</v>
      </c>
      <c r="B1994" t="str">
        <f>"8:54:54.219509"</f>
        <v>8:54:54.219509</v>
      </c>
      <c r="C1994">
        <v>-41</v>
      </c>
    </row>
    <row r="1995" spans="1:3" x14ac:dyDescent="0.25">
      <c r="A1995">
        <v>38</v>
      </c>
      <c r="B1995" t="str">
        <f>"8:54:54.220027"</f>
        <v>8:54:54.220027</v>
      </c>
      <c r="C1995">
        <v>-32</v>
      </c>
    </row>
    <row r="1996" spans="1:3" x14ac:dyDescent="0.25">
      <c r="A1996">
        <v>38</v>
      </c>
      <c r="B1996" t="str">
        <f>"8:54:54.220353"</f>
        <v>8:54:54.220353</v>
      </c>
      <c r="C1996">
        <v>-41</v>
      </c>
    </row>
    <row r="1997" spans="1:3" x14ac:dyDescent="0.25">
      <c r="A1997">
        <v>39</v>
      </c>
      <c r="B1997" t="str">
        <f>"8:54:54.221129"</f>
        <v>8:54:54.221129</v>
      </c>
      <c r="C1997">
        <v>-45</v>
      </c>
    </row>
    <row r="1998" spans="1:3" x14ac:dyDescent="0.25">
      <c r="A1998">
        <v>37</v>
      </c>
      <c r="B1998" t="str">
        <f>"8:54:54.569212"</f>
        <v>8:54:54.569212</v>
      </c>
      <c r="C1998">
        <v>-44</v>
      </c>
    </row>
    <row r="1999" spans="1:3" x14ac:dyDescent="0.25">
      <c r="A1999">
        <v>38</v>
      </c>
      <c r="B1999" t="str">
        <f>"8:54:54.570239"</f>
        <v>8:54:54.570239</v>
      </c>
      <c r="C1999">
        <v>-41</v>
      </c>
    </row>
    <row r="2000" spans="1:3" x14ac:dyDescent="0.25">
      <c r="A2000">
        <v>38</v>
      </c>
      <c r="B2000" t="str">
        <f>"8:54:54.571085"</f>
        <v>8:54:54.571085</v>
      </c>
      <c r="C2000">
        <v>-41</v>
      </c>
    </row>
    <row r="2001" spans="1:3" x14ac:dyDescent="0.25">
      <c r="A2001">
        <v>39</v>
      </c>
      <c r="B2001" t="str">
        <f>"8:54:54.571861"</f>
        <v>8:54:54.571861</v>
      </c>
      <c r="C2001">
        <v>-45</v>
      </c>
    </row>
    <row r="2002" spans="1:3" x14ac:dyDescent="0.25">
      <c r="A2002">
        <v>39</v>
      </c>
      <c r="B2002" t="str">
        <f>"8:54:54.572379"</f>
        <v>8:54:54.572379</v>
      </c>
      <c r="C2002">
        <v>-31</v>
      </c>
    </row>
    <row r="2003" spans="1:3" x14ac:dyDescent="0.25">
      <c r="A2003">
        <v>39</v>
      </c>
      <c r="B2003" t="str">
        <f>"8:54:54.572705"</f>
        <v>8:54:54.572705</v>
      </c>
      <c r="C2003">
        <v>-45</v>
      </c>
    </row>
    <row r="2004" spans="1:3" x14ac:dyDescent="0.25">
      <c r="A2004">
        <v>37</v>
      </c>
      <c r="B2004" t="str">
        <f>"8:54:54.924032"</f>
        <v>8:54:54.924032</v>
      </c>
      <c r="C2004">
        <v>-44</v>
      </c>
    </row>
    <row r="2005" spans="1:3" x14ac:dyDescent="0.25">
      <c r="A2005">
        <v>38</v>
      </c>
      <c r="B2005" t="str">
        <f>"8:54:54.925059"</f>
        <v>8:54:54.925059</v>
      </c>
      <c r="C2005">
        <v>-41</v>
      </c>
    </row>
    <row r="2006" spans="1:3" x14ac:dyDescent="0.25">
      <c r="A2006">
        <v>39</v>
      </c>
      <c r="B2006" t="str">
        <f>"8:54:54.926085"</f>
        <v>8:54:54.926085</v>
      </c>
      <c r="C2006">
        <v>-45</v>
      </c>
    </row>
    <row r="2007" spans="1:3" x14ac:dyDescent="0.25">
      <c r="A2007">
        <v>39</v>
      </c>
      <c r="B2007" t="str">
        <f>"8:54:54.926604"</f>
        <v>8:54:54.926604</v>
      </c>
      <c r="C2007">
        <v>-31</v>
      </c>
    </row>
    <row r="2008" spans="1:3" x14ac:dyDescent="0.25">
      <c r="A2008">
        <v>39</v>
      </c>
      <c r="B2008" t="str">
        <f>"8:54:54.926929"</f>
        <v>8:54:54.926929</v>
      </c>
      <c r="C2008">
        <v>-45</v>
      </c>
    </row>
    <row r="2009" spans="1:3" x14ac:dyDescent="0.25">
      <c r="A2009">
        <v>37</v>
      </c>
      <c r="B2009" t="str">
        <f>"8:54:55.283231"</f>
        <v>8:54:55.283231</v>
      </c>
      <c r="C2009">
        <v>-44</v>
      </c>
    </row>
    <row r="2010" spans="1:3" x14ac:dyDescent="0.25">
      <c r="A2010">
        <v>38</v>
      </c>
      <c r="B2010" t="str">
        <f>"8:54:55.284258"</f>
        <v>8:54:55.284258</v>
      </c>
      <c r="C2010">
        <v>-41</v>
      </c>
    </row>
    <row r="2011" spans="1:3" x14ac:dyDescent="0.25">
      <c r="A2011">
        <v>39</v>
      </c>
      <c r="B2011" t="str">
        <f>"8:54:55.285285"</f>
        <v>8:54:55.285285</v>
      </c>
      <c r="C2011">
        <v>-45</v>
      </c>
    </row>
    <row r="2012" spans="1:3" x14ac:dyDescent="0.25">
      <c r="A2012">
        <v>39</v>
      </c>
      <c r="B2012" t="str">
        <f>"8:54:55.285803"</f>
        <v>8:54:55.285803</v>
      </c>
      <c r="C2012">
        <v>-31</v>
      </c>
    </row>
    <row r="2013" spans="1:3" x14ac:dyDescent="0.25">
      <c r="A2013">
        <v>39</v>
      </c>
      <c r="B2013" t="str">
        <f>"8:54:55.286129"</f>
        <v>8:54:55.286129</v>
      </c>
      <c r="C2013">
        <v>-45</v>
      </c>
    </row>
    <row r="2014" spans="1:3" x14ac:dyDescent="0.25">
      <c r="A2014">
        <v>37</v>
      </c>
      <c r="B2014" t="str">
        <f>"8:54:55.636514"</f>
        <v>8:54:55.636514</v>
      </c>
      <c r="C2014">
        <v>-44</v>
      </c>
    </row>
    <row r="2015" spans="1:3" x14ac:dyDescent="0.25">
      <c r="A2015">
        <v>38</v>
      </c>
      <c r="B2015" t="str">
        <f>"8:54:55.637542"</f>
        <v>8:54:55.637542</v>
      </c>
      <c r="C2015">
        <v>-41</v>
      </c>
    </row>
    <row r="2016" spans="1:3" x14ac:dyDescent="0.25">
      <c r="A2016">
        <v>39</v>
      </c>
      <c r="B2016" t="str">
        <f>"8:54:55.638568"</f>
        <v>8:54:55.638568</v>
      </c>
      <c r="C2016">
        <v>-45</v>
      </c>
    </row>
    <row r="2017" spans="1:3" x14ac:dyDescent="0.25">
      <c r="A2017">
        <v>39</v>
      </c>
      <c r="B2017" t="str">
        <f>"8:54:55.639086"</f>
        <v>8:54:55.639086</v>
      </c>
      <c r="C2017">
        <v>-31</v>
      </c>
    </row>
    <row r="2018" spans="1:3" x14ac:dyDescent="0.25">
      <c r="A2018">
        <v>39</v>
      </c>
      <c r="B2018" t="str">
        <f>"8:54:55.639412"</f>
        <v>8:54:55.639412</v>
      </c>
      <c r="C2018">
        <v>-45</v>
      </c>
    </row>
    <row r="2019" spans="1:3" x14ac:dyDescent="0.25">
      <c r="A2019">
        <v>37</v>
      </c>
      <c r="B2019" t="str">
        <f>"8:54:55.995438"</f>
        <v>8:54:55.995438</v>
      </c>
      <c r="C2019">
        <v>-44</v>
      </c>
    </row>
    <row r="2020" spans="1:3" x14ac:dyDescent="0.25">
      <c r="A2020">
        <v>38</v>
      </c>
      <c r="B2020" t="str">
        <f>"8:54:55.996465"</f>
        <v>8:54:55.996465</v>
      </c>
      <c r="C2020">
        <v>-41</v>
      </c>
    </row>
    <row r="2021" spans="1:3" x14ac:dyDescent="0.25">
      <c r="A2021">
        <v>39</v>
      </c>
      <c r="B2021" t="str">
        <f>"8:54:55.997491"</f>
        <v>8:54:55.997491</v>
      </c>
      <c r="C2021">
        <v>-45</v>
      </c>
    </row>
    <row r="2022" spans="1:3" x14ac:dyDescent="0.25">
      <c r="A2022">
        <v>39</v>
      </c>
      <c r="B2022" t="str">
        <f>"8:54:55.998009"</f>
        <v>8:54:55.998009</v>
      </c>
      <c r="C2022">
        <v>-31</v>
      </c>
    </row>
    <row r="2023" spans="1:3" x14ac:dyDescent="0.25">
      <c r="A2023">
        <v>39</v>
      </c>
      <c r="B2023" t="str">
        <f>"8:54:55.998335"</f>
        <v>8:54:55.998335</v>
      </c>
      <c r="C2023">
        <v>-45</v>
      </c>
    </row>
    <row r="2024" spans="1:3" x14ac:dyDescent="0.25">
      <c r="A2024">
        <v>37</v>
      </c>
      <c r="B2024" t="str">
        <f>"8:54:56.352316"</f>
        <v>8:54:56.352316</v>
      </c>
      <c r="C2024">
        <v>-45</v>
      </c>
    </row>
    <row r="2025" spans="1:3" x14ac:dyDescent="0.25">
      <c r="A2025">
        <v>38</v>
      </c>
      <c r="B2025" t="str">
        <f>"8:54:56.353344"</f>
        <v>8:54:56.353344</v>
      </c>
      <c r="C2025">
        <v>-41</v>
      </c>
    </row>
    <row r="2026" spans="1:3" x14ac:dyDescent="0.25">
      <c r="A2026">
        <v>39</v>
      </c>
      <c r="B2026" t="str">
        <f>"8:54:56.354370"</f>
        <v>8:54:56.354370</v>
      </c>
      <c r="C2026">
        <v>-45</v>
      </c>
    </row>
    <row r="2027" spans="1:3" x14ac:dyDescent="0.25">
      <c r="A2027">
        <v>39</v>
      </c>
      <c r="B2027" t="str">
        <f>"8:54:56.354888"</f>
        <v>8:54:56.354888</v>
      </c>
      <c r="C2027">
        <v>-31</v>
      </c>
    </row>
    <row r="2028" spans="1:3" x14ac:dyDescent="0.25">
      <c r="A2028">
        <v>39</v>
      </c>
      <c r="B2028" t="str">
        <f>"8:54:56.355214"</f>
        <v>8:54:56.355214</v>
      </c>
      <c r="C2028">
        <v>-45</v>
      </c>
    </row>
    <row r="2029" spans="1:3" x14ac:dyDescent="0.25">
      <c r="A2029">
        <v>37</v>
      </c>
      <c r="B2029" t="str">
        <f>"8:54:56.712242"</f>
        <v>8:54:56.712242</v>
      </c>
      <c r="C2029">
        <v>-44</v>
      </c>
    </row>
    <row r="2030" spans="1:3" x14ac:dyDescent="0.25">
      <c r="A2030">
        <v>38</v>
      </c>
      <c r="B2030" t="str">
        <f>"8:54:56.713270"</f>
        <v>8:54:56.713270</v>
      </c>
      <c r="C2030">
        <v>-41</v>
      </c>
    </row>
    <row r="2031" spans="1:3" x14ac:dyDescent="0.25">
      <c r="A2031">
        <v>39</v>
      </c>
      <c r="B2031" t="str">
        <f>"8:54:56.714296"</f>
        <v>8:54:56.714296</v>
      </c>
      <c r="C2031">
        <v>-45</v>
      </c>
    </row>
    <row r="2032" spans="1:3" x14ac:dyDescent="0.25">
      <c r="A2032">
        <v>39</v>
      </c>
      <c r="B2032" t="str">
        <f>"8:54:56.714814"</f>
        <v>8:54:56.714814</v>
      </c>
      <c r="C2032">
        <v>-31</v>
      </c>
    </row>
    <row r="2033" spans="1:3" x14ac:dyDescent="0.25">
      <c r="A2033">
        <v>39</v>
      </c>
      <c r="B2033" t="str">
        <f>"8:54:56.715140"</f>
        <v>8:54:56.715140</v>
      </c>
      <c r="C2033">
        <v>-45</v>
      </c>
    </row>
    <row r="2034" spans="1:3" x14ac:dyDescent="0.25">
      <c r="A2034">
        <v>37</v>
      </c>
      <c r="B2034" t="str">
        <f>"8:54:57.062679"</f>
        <v>8:54:57.062679</v>
      </c>
      <c r="C2034">
        <v>-44</v>
      </c>
    </row>
    <row r="2035" spans="1:3" x14ac:dyDescent="0.25">
      <c r="A2035">
        <v>38</v>
      </c>
      <c r="B2035" t="str">
        <f>"8:54:57.063707"</f>
        <v>8:54:57.063707</v>
      </c>
      <c r="C2035">
        <v>-41</v>
      </c>
    </row>
    <row r="2036" spans="1:3" x14ac:dyDescent="0.25">
      <c r="A2036">
        <v>39</v>
      </c>
      <c r="B2036" t="str">
        <f>"8:54:57.064733"</f>
        <v>8:54:57.064733</v>
      </c>
      <c r="C2036">
        <v>-45</v>
      </c>
    </row>
    <row r="2037" spans="1:3" x14ac:dyDescent="0.25">
      <c r="A2037">
        <v>39</v>
      </c>
      <c r="B2037" t="str">
        <f>"8:54:57.065251"</f>
        <v>8:54:57.065251</v>
      </c>
      <c r="C2037">
        <v>-31</v>
      </c>
    </row>
    <row r="2038" spans="1:3" x14ac:dyDescent="0.25">
      <c r="A2038">
        <v>39</v>
      </c>
      <c r="B2038" t="str">
        <f>"8:54:57.065577"</f>
        <v>8:54:57.065577</v>
      </c>
      <c r="C2038">
        <v>-45</v>
      </c>
    </row>
    <row r="2039" spans="1:3" x14ac:dyDescent="0.25">
      <c r="A2039">
        <v>37</v>
      </c>
      <c r="B2039" t="str">
        <f>"8:54:57.417754"</f>
        <v>8:54:57.417754</v>
      </c>
      <c r="C2039">
        <v>-44</v>
      </c>
    </row>
    <row r="2040" spans="1:3" x14ac:dyDescent="0.25">
      <c r="A2040">
        <v>38</v>
      </c>
      <c r="B2040" t="str">
        <f>"8:54:57.418781"</f>
        <v>8:54:57.418781</v>
      </c>
      <c r="C2040">
        <v>-41</v>
      </c>
    </row>
    <row r="2041" spans="1:3" x14ac:dyDescent="0.25">
      <c r="A2041">
        <v>39</v>
      </c>
      <c r="B2041" t="str">
        <f>"8:54:57.419807"</f>
        <v>8:54:57.419807</v>
      </c>
      <c r="C2041">
        <v>-45</v>
      </c>
    </row>
    <row r="2042" spans="1:3" x14ac:dyDescent="0.25">
      <c r="A2042">
        <v>39</v>
      </c>
      <c r="B2042" t="str">
        <f>"8:54:57.420326"</f>
        <v>8:54:57.420326</v>
      </c>
      <c r="C2042">
        <v>-31</v>
      </c>
    </row>
    <row r="2043" spans="1:3" x14ac:dyDescent="0.25">
      <c r="A2043">
        <v>39</v>
      </c>
      <c r="B2043" t="str">
        <f>"8:54:57.420652"</f>
        <v>8:54:57.420652</v>
      </c>
      <c r="C2043">
        <v>-45</v>
      </c>
    </row>
    <row r="2044" spans="1:3" x14ac:dyDescent="0.25">
      <c r="A2044">
        <v>37</v>
      </c>
      <c r="B2044" t="str">
        <f>"8:54:57.773873"</f>
        <v>8:54:57.773873</v>
      </c>
      <c r="C2044">
        <v>-44</v>
      </c>
    </row>
    <row r="2045" spans="1:3" x14ac:dyDescent="0.25">
      <c r="A2045">
        <v>38</v>
      </c>
      <c r="B2045" t="str">
        <f>"8:54:57.774900"</f>
        <v>8:54:57.774900</v>
      </c>
      <c r="C2045">
        <v>-41</v>
      </c>
    </row>
    <row r="2046" spans="1:3" x14ac:dyDescent="0.25">
      <c r="A2046">
        <v>39</v>
      </c>
      <c r="B2046" t="str">
        <f>"8:54:57.775926"</f>
        <v>8:54:57.775926</v>
      </c>
      <c r="C2046">
        <v>-45</v>
      </c>
    </row>
    <row r="2047" spans="1:3" x14ac:dyDescent="0.25">
      <c r="A2047">
        <v>39</v>
      </c>
      <c r="B2047" t="str">
        <f>"8:54:57.776445"</f>
        <v>8:54:57.776445</v>
      </c>
      <c r="C2047">
        <v>-31</v>
      </c>
    </row>
    <row r="2048" spans="1:3" x14ac:dyDescent="0.25">
      <c r="A2048">
        <v>39</v>
      </c>
      <c r="B2048" t="str">
        <f>"8:54:57.776771"</f>
        <v>8:54:57.776771</v>
      </c>
      <c r="C2048">
        <v>-45</v>
      </c>
    </row>
    <row r="2049" spans="1:3" x14ac:dyDescent="0.25">
      <c r="A2049">
        <v>37</v>
      </c>
      <c r="B2049" t="str">
        <f>"8:54:58.125163"</f>
        <v>8:54:58.125163</v>
      </c>
      <c r="C2049">
        <v>-45</v>
      </c>
    </row>
    <row r="2050" spans="1:3" x14ac:dyDescent="0.25">
      <c r="A2050">
        <v>38</v>
      </c>
      <c r="B2050" t="str">
        <f>"8:54:58.126191"</f>
        <v>8:54:58.126191</v>
      </c>
      <c r="C2050">
        <v>-41</v>
      </c>
    </row>
    <row r="2051" spans="1:3" x14ac:dyDescent="0.25">
      <c r="A2051">
        <v>39</v>
      </c>
      <c r="B2051" t="str">
        <f>"8:54:58.127217"</f>
        <v>8:54:58.127217</v>
      </c>
      <c r="C2051">
        <v>-45</v>
      </c>
    </row>
    <row r="2052" spans="1:3" x14ac:dyDescent="0.25">
      <c r="A2052">
        <v>39</v>
      </c>
      <c r="B2052" t="str">
        <f>"8:54:58.127735"</f>
        <v>8:54:58.127735</v>
      </c>
      <c r="C2052">
        <v>-31</v>
      </c>
    </row>
    <row r="2053" spans="1:3" x14ac:dyDescent="0.25">
      <c r="A2053">
        <v>39</v>
      </c>
      <c r="B2053" t="str">
        <f>"8:54:58.128062"</f>
        <v>8:54:58.128062</v>
      </c>
      <c r="C2053">
        <v>-45</v>
      </c>
    </row>
    <row r="2054" spans="1:3" x14ac:dyDescent="0.25">
      <c r="A2054">
        <v>37</v>
      </c>
      <c r="B2054" t="str">
        <f>"8:54:58.478521"</f>
        <v>8:54:58.478521</v>
      </c>
      <c r="C2054">
        <v>-44</v>
      </c>
    </row>
    <row r="2055" spans="1:3" x14ac:dyDescent="0.25">
      <c r="A2055">
        <v>38</v>
      </c>
      <c r="B2055" t="str">
        <f>"8:54:58.479548"</f>
        <v>8:54:58.479548</v>
      </c>
      <c r="C2055">
        <v>-41</v>
      </c>
    </row>
    <row r="2056" spans="1:3" x14ac:dyDescent="0.25">
      <c r="A2056">
        <v>39</v>
      </c>
      <c r="B2056" t="str">
        <f>"8:54:58.480574"</f>
        <v>8:54:58.480574</v>
      </c>
      <c r="C2056">
        <v>-46</v>
      </c>
    </row>
    <row r="2057" spans="1:3" x14ac:dyDescent="0.25">
      <c r="A2057">
        <v>39</v>
      </c>
      <c r="B2057" t="str">
        <f>"8:54:58.481093"</f>
        <v>8:54:58.481093</v>
      </c>
      <c r="C2057">
        <v>-31</v>
      </c>
    </row>
    <row r="2058" spans="1:3" x14ac:dyDescent="0.25">
      <c r="A2058">
        <v>39</v>
      </c>
      <c r="B2058" t="str">
        <f>"8:54:58.481418"</f>
        <v>8:54:58.481418</v>
      </c>
      <c r="C2058">
        <v>-45</v>
      </c>
    </row>
    <row r="2059" spans="1:3" x14ac:dyDescent="0.25">
      <c r="A2059">
        <v>37</v>
      </c>
      <c r="B2059" t="str">
        <f>"8:54:58.837219"</f>
        <v>8:54:58.837219</v>
      </c>
      <c r="C2059">
        <v>-44</v>
      </c>
    </row>
    <row r="2060" spans="1:3" x14ac:dyDescent="0.25">
      <c r="A2060">
        <v>38</v>
      </c>
      <c r="B2060" t="str">
        <f>"8:54:58.838246"</f>
        <v>8:54:58.838246</v>
      </c>
      <c r="C2060">
        <v>-41</v>
      </c>
    </row>
    <row r="2061" spans="1:3" x14ac:dyDescent="0.25">
      <c r="A2061">
        <v>39</v>
      </c>
      <c r="B2061" t="str">
        <f>"8:54:58.839272"</f>
        <v>8:54:58.839272</v>
      </c>
      <c r="C2061">
        <v>-46</v>
      </c>
    </row>
    <row r="2062" spans="1:3" x14ac:dyDescent="0.25">
      <c r="A2062">
        <v>39</v>
      </c>
      <c r="B2062" t="str">
        <f>"8:54:58.839791"</f>
        <v>8:54:58.839791</v>
      </c>
      <c r="C2062">
        <v>-31</v>
      </c>
    </row>
    <row r="2063" spans="1:3" x14ac:dyDescent="0.25">
      <c r="A2063">
        <v>39</v>
      </c>
      <c r="B2063" t="str">
        <f>"8:54:58.840117"</f>
        <v>8:54:58.840117</v>
      </c>
      <c r="C2063">
        <v>-45</v>
      </c>
    </row>
    <row r="2064" spans="1:3" x14ac:dyDescent="0.25">
      <c r="A2064">
        <v>37</v>
      </c>
      <c r="B2064" t="str">
        <f>"8:54:59.191003"</f>
        <v>8:54:59.191003</v>
      </c>
      <c r="C2064">
        <v>-44</v>
      </c>
    </row>
    <row r="2065" spans="1:3" x14ac:dyDescent="0.25">
      <c r="A2065">
        <v>38</v>
      </c>
      <c r="B2065" t="str">
        <f>"8:54:59.192030"</f>
        <v>8:54:59.192030</v>
      </c>
      <c r="C2065">
        <v>-41</v>
      </c>
    </row>
    <row r="2066" spans="1:3" x14ac:dyDescent="0.25">
      <c r="A2066">
        <v>39</v>
      </c>
      <c r="B2066" t="str">
        <f>"8:54:59.193056"</f>
        <v>8:54:59.193056</v>
      </c>
      <c r="C2066">
        <v>-46</v>
      </c>
    </row>
    <row r="2067" spans="1:3" x14ac:dyDescent="0.25">
      <c r="A2067">
        <v>39</v>
      </c>
      <c r="B2067" t="str">
        <f>"8:54:59.193574"</f>
        <v>8:54:59.193574</v>
      </c>
      <c r="C2067">
        <v>-31</v>
      </c>
    </row>
    <row r="2068" spans="1:3" x14ac:dyDescent="0.25">
      <c r="A2068">
        <v>39</v>
      </c>
      <c r="B2068" t="str">
        <f>"8:54:59.193900"</f>
        <v>8:54:59.193900</v>
      </c>
      <c r="C2068">
        <v>-45</v>
      </c>
    </row>
    <row r="2069" spans="1:3" x14ac:dyDescent="0.25">
      <c r="A2069">
        <v>37</v>
      </c>
      <c r="B2069" t="str">
        <f>"8:54:59.548624"</f>
        <v>8:54:59.548624</v>
      </c>
      <c r="C2069">
        <v>-44</v>
      </c>
    </row>
    <row r="2070" spans="1:3" x14ac:dyDescent="0.25">
      <c r="A2070">
        <v>37</v>
      </c>
      <c r="B2070" t="str">
        <f>"8:54:59.549143"</f>
        <v>8:54:59.549143</v>
      </c>
      <c r="C2070">
        <v>-37</v>
      </c>
    </row>
    <row r="2071" spans="1:3" x14ac:dyDescent="0.25">
      <c r="A2071">
        <v>37</v>
      </c>
      <c r="B2071" t="str">
        <f>"8:54:59.549468"</f>
        <v>8:54:59.549468</v>
      </c>
      <c r="C2071">
        <v>-45</v>
      </c>
    </row>
    <row r="2072" spans="1:3" x14ac:dyDescent="0.25">
      <c r="A2072">
        <v>38</v>
      </c>
      <c r="B2072" t="str">
        <f>"8:54:59.550244"</f>
        <v>8:54:59.550244</v>
      </c>
      <c r="C2072">
        <v>-41</v>
      </c>
    </row>
    <row r="2073" spans="1:3" x14ac:dyDescent="0.25">
      <c r="A2073">
        <v>39</v>
      </c>
      <c r="B2073" t="str">
        <f>"8:54:59.551270"</f>
        <v>8:54:59.551270</v>
      </c>
      <c r="C2073">
        <v>-45</v>
      </c>
    </row>
    <row r="2074" spans="1:3" x14ac:dyDescent="0.25">
      <c r="A2074">
        <v>37</v>
      </c>
      <c r="B2074" t="str">
        <f>"8:54:59.900375"</f>
        <v>8:54:59.900375</v>
      </c>
      <c r="C2074">
        <v>-44</v>
      </c>
    </row>
    <row r="2075" spans="1:3" x14ac:dyDescent="0.25">
      <c r="A2075">
        <v>37</v>
      </c>
      <c r="B2075" t="str">
        <f>"8:54:59.900893"</f>
        <v>8:54:59.900893</v>
      </c>
      <c r="C2075">
        <v>-37</v>
      </c>
    </row>
    <row r="2076" spans="1:3" x14ac:dyDescent="0.25">
      <c r="A2076">
        <v>37</v>
      </c>
      <c r="B2076" t="str">
        <f>"8:54:59.901219"</f>
        <v>8:54:59.901219</v>
      </c>
      <c r="C2076">
        <v>-44</v>
      </c>
    </row>
    <row r="2077" spans="1:3" x14ac:dyDescent="0.25">
      <c r="A2077">
        <v>38</v>
      </c>
      <c r="B2077" t="str">
        <f>"8:54:59.901995"</f>
        <v>8:54:59.901995</v>
      </c>
      <c r="C2077">
        <v>-41</v>
      </c>
    </row>
    <row r="2078" spans="1:3" x14ac:dyDescent="0.25">
      <c r="A2078">
        <v>39</v>
      </c>
      <c r="B2078" t="str">
        <f>"8:54:59.903021"</f>
        <v>8:54:59.903021</v>
      </c>
      <c r="C2078">
        <v>-46</v>
      </c>
    </row>
    <row r="2079" spans="1:3" x14ac:dyDescent="0.25">
      <c r="A2079">
        <v>37</v>
      </c>
      <c r="B2079" t="str">
        <f>"8:55:00.252866"</f>
        <v>8:55:00.252866</v>
      </c>
      <c r="C2079">
        <v>-44</v>
      </c>
    </row>
    <row r="2080" spans="1:3" x14ac:dyDescent="0.25">
      <c r="A2080">
        <v>37</v>
      </c>
      <c r="B2080" t="str">
        <f>"8:55:00.253384"</f>
        <v>8:55:00.253384</v>
      </c>
      <c r="C2080">
        <v>-37</v>
      </c>
    </row>
    <row r="2081" spans="1:3" x14ac:dyDescent="0.25">
      <c r="A2081">
        <v>37</v>
      </c>
      <c r="B2081" t="str">
        <f>"8:55:00.253710"</f>
        <v>8:55:00.253710</v>
      </c>
      <c r="C2081">
        <v>-44</v>
      </c>
    </row>
    <row r="2082" spans="1:3" x14ac:dyDescent="0.25">
      <c r="A2082">
        <v>38</v>
      </c>
      <c r="B2082" t="str">
        <f>"8:55:00.254486"</f>
        <v>8:55:00.254486</v>
      </c>
      <c r="C2082">
        <v>-41</v>
      </c>
    </row>
    <row r="2083" spans="1:3" x14ac:dyDescent="0.25">
      <c r="A2083">
        <v>39</v>
      </c>
      <c r="B2083" t="str">
        <f>"8:55:00.255512"</f>
        <v>8:55:00.255512</v>
      </c>
      <c r="C2083">
        <v>-45</v>
      </c>
    </row>
    <row r="2084" spans="1:3" x14ac:dyDescent="0.25">
      <c r="A2084">
        <v>37</v>
      </c>
      <c r="B2084" t="str">
        <f>"8:55:00.607482"</f>
        <v>8:55:00.607482</v>
      </c>
      <c r="C2084">
        <v>-44</v>
      </c>
    </row>
    <row r="2085" spans="1:3" x14ac:dyDescent="0.25">
      <c r="A2085">
        <v>38</v>
      </c>
      <c r="B2085" t="str">
        <f>"8:55:00.608509"</f>
        <v>8:55:00.608509</v>
      </c>
      <c r="C2085">
        <v>-41</v>
      </c>
    </row>
    <row r="2086" spans="1:3" x14ac:dyDescent="0.25">
      <c r="A2086">
        <v>39</v>
      </c>
      <c r="B2086" t="str">
        <f>"8:55:00.609536"</f>
        <v>8:55:00.609536</v>
      </c>
      <c r="C2086">
        <v>-45</v>
      </c>
    </row>
    <row r="2087" spans="1:3" x14ac:dyDescent="0.25">
      <c r="A2087">
        <v>37</v>
      </c>
      <c r="B2087" t="str">
        <f>"8:55:00.964850"</f>
        <v>8:55:00.964850</v>
      </c>
      <c r="C2087">
        <v>-44</v>
      </c>
    </row>
    <row r="2088" spans="1:3" x14ac:dyDescent="0.25">
      <c r="A2088">
        <v>38</v>
      </c>
      <c r="B2088" t="str">
        <f>"8:55:00.965878"</f>
        <v>8:55:00.965878</v>
      </c>
      <c r="C2088">
        <v>-41</v>
      </c>
    </row>
    <row r="2089" spans="1:3" x14ac:dyDescent="0.25">
      <c r="A2089">
        <v>39</v>
      </c>
      <c r="B2089" t="str">
        <f>"8:55:00.966904"</f>
        <v>8:55:00.966904</v>
      </c>
      <c r="C2089">
        <v>-45</v>
      </c>
    </row>
    <row r="2090" spans="1:3" x14ac:dyDescent="0.25">
      <c r="A2090">
        <v>37</v>
      </c>
      <c r="B2090" t="str">
        <f>"8:55:01.317163"</f>
        <v>8:55:01.317163</v>
      </c>
      <c r="C2090">
        <v>-44</v>
      </c>
    </row>
    <row r="2091" spans="1:3" x14ac:dyDescent="0.25">
      <c r="A2091">
        <v>38</v>
      </c>
      <c r="B2091" t="str">
        <f>"8:55:01.318190"</f>
        <v>8:55:01.318190</v>
      </c>
      <c r="C2091">
        <v>-41</v>
      </c>
    </row>
    <row r="2092" spans="1:3" x14ac:dyDescent="0.25">
      <c r="A2092">
        <v>39</v>
      </c>
      <c r="B2092" t="str">
        <f>"8:55:01.319216"</f>
        <v>8:55:01.319216</v>
      </c>
      <c r="C2092">
        <v>-45</v>
      </c>
    </row>
    <row r="2093" spans="1:3" x14ac:dyDescent="0.25">
      <c r="A2093">
        <v>39</v>
      </c>
      <c r="B2093" t="str">
        <f>"8:55:01.320062"</f>
        <v>8:55:01.320062</v>
      </c>
      <c r="C2093">
        <v>-45</v>
      </c>
    </row>
    <row r="2094" spans="1:3" x14ac:dyDescent="0.25">
      <c r="A2094">
        <v>37</v>
      </c>
      <c r="B2094" t="str">
        <f>"8:55:01.670456"</f>
        <v>8:55:01.670456</v>
      </c>
      <c r="C2094">
        <v>-44</v>
      </c>
    </row>
    <row r="2095" spans="1:3" x14ac:dyDescent="0.25">
      <c r="A2095">
        <v>38</v>
      </c>
      <c r="B2095" t="str">
        <f>"8:55:01.671483"</f>
        <v>8:55:01.671483</v>
      </c>
      <c r="C2095">
        <v>-41</v>
      </c>
    </row>
    <row r="2096" spans="1:3" x14ac:dyDescent="0.25">
      <c r="A2096">
        <v>39</v>
      </c>
      <c r="B2096" t="str">
        <f>"8:55:01.672509"</f>
        <v>8:55:01.672509</v>
      </c>
      <c r="C2096">
        <v>-46</v>
      </c>
    </row>
    <row r="2097" spans="1:3" x14ac:dyDescent="0.25">
      <c r="A2097">
        <v>37</v>
      </c>
      <c r="B2097" t="str">
        <f>"8:55:02.022439"</f>
        <v>8:55:02.022439</v>
      </c>
      <c r="C2097">
        <v>-44</v>
      </c>
    </row>
    <row r="2098" spans="1:3" x14ac:dyDescent="0.25">
      <c r="A2098">
        <v>37</v>
      </c>
      <c r="B2098" t="str">
        <f>"8:55:02.022957"</f>
        <v>8:55:02.022957</v>
      </c>
      <c r="C2098">
        <v>-37</v>
      </c>
    </row>
    <row r="2099" spans="1:3" x14ac:dyDescent="0.25">
      <c r="A2099">
        <v>37</v>
      </c>
      <c r="B2099" t="str">
        <f>"8:55:02.023283"</f>
        <v>8:55:02.023283</v>
      </c>
      <c r="C2099">
        <v>-44</v>
      </c>
    </row>
    <row r="2100" spans="1:3" x14ac:dyDescent="0.25">
      <c r="A2100">
        <v>38</v>
      </c>
      <c r="B2100" t="str">
        <f>"8:55:02.024059"</f>
        <v>8:55:02.024059</v>
      </c>
      <c r="C2100">
        <v>-41</v>
      </c>
    </row>
    <row r="2101" spans="1:3" x14ac:dyDescent="0.25">
      <c r="A2101">
        <v>38</v>
      </c>
      <c r="B2101" t="str">
        <f>"8:55:02.024578"</f>
        <v>8:55:02.024578</v>
      </c>
      <c r="C2101">
        <v>-73</v>
      </c>
    </row>
    <row r="2102" spans="1:3" x14ac:dyDescent="0.25">
      <c r="A2102">
        <v>39</v>
      </c>
      <c r="B2102" t="str">
        <f>"8:55:02.025219"</f>
        <v>8:55:02.025219</v>
      </c>
      <c r="C2102">
        <v>-46</v>
      </c>
    </row>
    <row r="2103" spans="1:3" x14ac:dyDescent="0.25">
      <c r="A2103">
        <v>37</v>
      </c>
      <c r="B2103" t="str">
        <f>"8:55:02.374479"</f>
        <v>8:55:02.374479</v>
      </c>
      <c r="C2103">
        <v>-44</v>
      </c>
    </row>
    <row r="2104" spans="1:3" x14ac:dyDescent="0.25">
      <c r="A2104">
        <v>37</v>
      </c>
      <c r="B2104" t="str">
        <f>"8:55:02.374997"</f>
        <v>8:55:02.374997</v>
      </c>
      <c r="C2104">
        <v>-37</v>
      </c>
    </row>
    <row r="2105" spans="1:3" x14ac:dyDescent="0.25">
      <c r="A2105">
        <v>37</v>
      </c>
      <c r="B2105" t="str">
        <f>"8:55:02.375323"</f>
        <v>8:55:02.375323</v>
      </c>
      <c r="C2105">
        <v>-45</v>
      </c>
    </row>
    <row r="2106" spans="1:3" x14ac:dyDescent="0.25">
      <c r="A2106">
        <v>38</v>
      </c>
      <c r="B2106" t="str">
        <f>"8:55:02.376099"</f>
        <v>8:55:02.376099</v>
      </c>
      <c r="C2106">
        <v>-41</v>
      </c>
    </row>
    <row r="2107" spans="1:3" x14ac:dyDescent="0.25">
      <c r="A2107">
        <v>39</v>
      </c>
      <c r="B2107" t="str">
        <f>"8:55:02.377125"</f>
        <v>8:55:02.377125</v>
      </c>
      <c r="C2107">
        <v>-45</v>
      </c>
    </row>
    <row r="2108" spans="1:3" x14ac:dyDescent="0.25">
      <c r="A2108">
        <v>37</v>
      </c>
      <c r="B2108" t="str">
        <f>"8:55:02.727830"</f>
        <v>8:55:02.727830</v>
      </c>
      <c r="C2108">
        <v>-44</v>
      </c>
    </row>
    <row r="2109" spans="1:3" x14ac:dyDescent="0.25">
      <c r="A2109">
        <v>38</v>
      </c>
      <c r="B2109" t="str">
        <f>"8:55:02.728858"</f>
        <v>8:55:02.728858</v>
      </c>
      <c r="C2109">
        <v>-41</v>
      </c>
    </row>
    <row r="2110" spans="1:3" x14ac:dyDescent="0.25">
      <c r="A2110">
        <v>39</v>
      </c>
      <c r="B2110" t="str">
        <f>"8:55:02.729884"</f>
        <v>8:55:02.729884</v>
      </c>
      <c r="C2110">
        <v>-46</v>
      </c>
    </row>
    <row r="2111" spans="1:3" x14ac:dyDescent="0.25">
      <c r="A2111">
        <v>37</v>
      </c>
      <c r="B2111" t="str">
        <f>"8:55:03.085276"</f>
        <v>8:55:03.085276</v>
      </c>
      <c r="C2111">
        <v>-44</v>
      </c>
    </row>
    <row r="2112" spans="1:3" x14ac:dyDescent="0.25">
      <c r="A2112">
        <v>37</v>
      </c>
      <c r="B2112" t="str">
        <f>"8:55:03.085795"</f>
        <v>8:55:03.085795</v>
      </c>
      <c r="C2112">
        <v>-37</v>
      </c>
    </row>
    <row r="2113" spans="1:3" x14ac:dyDescent="0.25">
      <c r="A2113">
        <v>37</v>
      </c>
      <c r="B2113" t="str">
        <f>"8:55:03.086121"</f>
        <v>8:55:03.086121</v>
      </c>
      <c r="C2113">
        <v>-45</v>
      </c>
    </row>
    <row r="2114" spans="1:3" x14ac:dyDescent="0.25">
      <c r="A2114">
        <v>38</v>
      </c>
      <c r="B2114" t="str">
        <f>"8:55:03.086897"</f>
        <v>8:55:03.086897</v>
      </c>
      <c r="C2114">
        <v>-41</v>
      </c>
    </row>
    <row r="2115" spans="1:3" x14ac:dyDescent="0.25">
      <c r="A2115">
        <v>39</v>
      </c>
      <c r="B2115" t="str">
        <f>"8:55:03.087923"</f>
        <v>8:55:03.087923</v>
      </c>
      <c r="C2115">
        <v>-45</v>
      </c>
    </row>
    <row r="2116" spans="1:3" x14ac:dyDescent="0.25">
      <c r="A2116">
        <v>38</v>
      </c>
      <c r="B2116" t="str">
        <f>"8:55:03.439558"</f>
        <v>8:55:03.439558</v>
      </c>
      <c r="C2116">
        <v>-41</v>
      </c>
    </row>
    <row r="2117" spans="1:3" x14ac:dyDescent="0.25">
      <c r="A2117">
        <v>39</v>
      </c>
      <c r="B2117" t="str">
        <f>"8:55:03.440584"</f>
        <v>8:55:03.440584</v>
      </c>
      <c r="C2117">
        <v>-46</v>
      </c>
    </row>
    <row r="2118" spans="1:3" x14ac:dyDescent="0.25">
      <c r="A2118">
        <v>37</v>
      </c>
      <c r="B2118" t="str">
        <f>"8:55:03.795975"</f>
        <v>8:55:03.795975</v>
      </c>
      <c r="C2118">
        <v>-44</v>
      </c>
    </row>
    <row r="2119" spans="1:3" x14ac:dyDescent="0.25">
      <c r="A2119">
        <v>37</v>
      </c>
      <c r="B2119" t="str">
        <f>"8:55:03.796493"</f>
        <v>8:55:03.796493</v>
      </c>
      <c r="C2119">
        <v>-37</v>
      </c>
    </row>
    <row r="2120" spans="1:3" x14ac:dyDescent="0.25">
      <c r="A2120">
        <v>37</v>
      </c>
      <c r="B2120" t="str">
        <f>"8:55:03.796820"</f>
        <v>8:55:03.796820</v>
      </c>
      <c r="C2120">
        <v>-44</v>
      </c>
    </row>
    <row r="2121" spans="1:3" x14ac:dyDescent="0.25">
      <c r="A2121">
        <v>38</v>
      </c>
      <c r="B2121" t="str">
        <f>"8:55:03.797596"</f>
        <v>8:55:03.797596</v>
      </c>
      <c r="C2121">
        <v>-41</v>
      </c>
    </row>
    <row r="2122" spans="1:3" x14ac:dyDescent="0.25">
      <c r="A2122">
        <v>39</v>
      </c>
      <c r="B2122" t="str">
        <f>"8:55:03.798622"</f>
        <v>8:55:03.798622</v>
      </c>
      <c r="C2122">
        <v>-46</v>
      </c>
    </row>
    <row r="2123" spans="1:3" x14ac:dyDescent="0.25">
      <c r="A2123">
        <v>37</v>
      </c>
      <c r="B2123" t="str">
        <f>"8:55:04.148538"</f>
        <v>8:55:04.148538</v>
      </c>
      <c r="C2123">
        <v>-44</v>
      </c>
    </row>
    <row r="2124" spans="1:3" x14ac:dyDescent="0.25">
      <c r="A2124">
        <v>37</v>
      </c>
      <c r="B2124" t="str">
        <f>"8:55:04.149057"</f>
        <v>8:55:04.149057</v>
      </c>
      <c r="C2124">
        <v>-37</v>
      </c>
    </row>
    <row r="2125" spans="1:3" x14ac:dyDescent="0.25">
      <c r="A2125">
        <v>37</v>
      </c>
      <c r="B2125" t="str">
        <f>"8:55:04.149382"</f>
        <v>8:55:04.149382</v>
      </c>
      <c r="C2125">
        <v>-44</v>
      </c>
    </row>
    <row r="2126" spans="1:3" x14ac:dyDescent="0.25">
      <c r="A2126">
        <v>38</v>
      </c>
      <c r="B2126" t="str">
        <f>"8:55:04.150158"</f>
        <v>8:55:04.150158</v>
      </c>
      <c r="C2126">
        <v>-41</v>
      </c>
    </row>
    <row r="2127" spans="1:3" x14ac:dyDescent="0.25">
      <c r="A2127">
        <v>39</v>
      </c>
      <c r="B2127" t="str">
        <f>"8:55:04.151185"</f>
        <v>8:55:04.151185</v>
      </c>
      <c r="C2127">
        <v>-45</v>
      </c>
    </row>
    <row r="2128" spans="1:3" x14ac:dyDescent="0.25">
      <c r="A2128">
        <v>37</v>
      </c>
      <c r="B2128" t="str">
        <f>"8:55:04.507521"</f>
        <v>8:55:04.507521</v>
      </c>
      <c r="C2128">
        <v>-44</v>
      </c>
    </row>
    <row r="2129" spans="1:3" x14ac:dyDescent="0.25">
      <c r="A2129">
        <v>38</v>
      </c>
      <c r="B2129" t="str">
        <f>"8:55:04.508548"</f>
        <v>8:55:04.508548</v>
      </c>
      <c r="C2129">
        <v>-41</v>
      </c>
    </row>
    <row r="2130" spans="1:3" x14ac:dyDescent="0.25">
      <c r="A2130">
        <v>38</v>
      </c>
      <c r="B2130" t="str">
        <f>"8:55:04.509067"</f>
        <v>8:55:04.509067</v>
      </c>
      <c r="C2130">
        <v>-32</v>
      </c>
    </row>
    <row r="2131" spans="1:3" x14ac:dyDescent="0.25">
      <c r="A2131">
        <v>38</v>
      </c>
      <c r="B2131" t="str">
        <f>"8:55:04.509392"</f>
        <v>8:55:04.509392</v>
      </c>
      <c r="C2131">
        <v>-41</v>
      </c>
    </row>
    <row r="2132" spans="1:3" x14ac:dyDescent="0.25">
      <c r="A2132">
        <v>39</v>
      </c>
      <c r="B2132" t="str">
        <f>"8:55:04.510168"</f>
        <v>8:55:04.510168</v>
      </c>
      <c r="C2132">
        <v>-46</v>
      </c>
    </row>
    <row r="2133" spans="1:3" x14ac:dyDescent="0.25">
      <c r="A2133">
        <v>37</v>
      </c>
      <c r="B2133" t="str">
        <f>"8:55:04.864936"</f>
        <v>8:55:04.864936</v>
      </c>
      <c r="C2133">
        <v>-44</v>
      </c>
    </row>
    <row r="2134" spans="1:3" x14ac:dyDescent="0.25">
      <c r="A2134">
        <v>38</v>
      </c>
      <c r="B2134" t="str">
        <f>"8:55:04.865964"</f>
        <v>8:55:04.865964</v>
      </c>
      <c r="C2134">
        <v>-41</v>
      </c>
    </row>
    <row r="2135" spans="1:3" x14ac:dyDescent="0.25">
      <c r="A2135">
        <v>39</v>
      </c>
      <c r="B2135" t="str">
        <f>"8:55:04.866990"</f>
        <v>8:55:04.866990</v>
      </c>
      <c r="C2135">
        <v>-46</v>
      </c>
    </row>
    <row r="2136" spans="1:3" x14ac:dyDescent="0.25">
      <c r="A2136">
        <v>37</v>
      </c>
      <c r="B2136" t="str">
        <f>"8:55:05.219743"</f>
        <v>8:55:05.219743</v>
      </c>
      <c r="C2136">
        <v>-44</v>
      </c>
    </row>
    <row r="2137" spans="1:3" x14ac:dyDescent="0.25">
      <c r="A2137">
        <v>38</v>
      </c>
      <c r="B2137" t="str">
        <f>"8:55:05.220770"</f>
        <v>8:55:05.220770</v>
      </c>
      <c r="C2137">
        <v>-41</v>
      </c>
    </row>
    <row r="2138" spans="1:3" x14ac:dyDescent="0.25">
      <c r="A2138">
        <v>38</v>
      </c>
      <c r="B2138" t="str">
        <f>"8:55:05.221289"</f>
        <v>8:55:05.221289</v>
      </c>
      <c r="C2138">
        <v>-32</v>
      </c>
    </row>
    <row r="2139" spans="1:3" x14ac:dyDescent="0.25">
      <c r="A2139">
        <v>38</v>
      </c>
      <c r="B2139" t="str">
        <f>"8:55:05.221615"</f>
        <v>8:55:05.221615</v>
      </c>
      <c r="C2139">
        <v>-41</v>
      </c>
    </row>
    <row r="2140" spans="1:3" x14ac:dyDescent="0.25">
      <c r="A2140">
        <v>39</v>
      </c>
      <c r="B2140" t="str">
        <f>"8:55:05.222391"</f>
        <v>8:55:05.222391</v>
      </c>
      <c r="C2140">
        <v>-45</v>
      </c>
    </row>
    <row r="2141" spans="1:3" x14ac:dyDescent="0.25">
      <c r="A2141">
        <v>37</v>
      </c>
      <c r="B2141" t="str">
        <f>"8:55:05.577884"</f>
        <v>8:55:05.577884</v>
      </c>
      <c r="C2141">
        <v>-44</v>
      </c>
    </row>
    <row r="2142" spans="1:3" x14ac:dyDescent="0.25">
      <c r="A2142">
        <v>38</v>
      </c>
      <c r="B2142" t="str">
        <f>"8:55:05.578912"</f>
        <v>8:55:05.578912</v>
      </c>
      <c r="C2142">
        <v>-41</v>
      </c>
    </row>
    <row r="2143" spans="1:3" x14ac:dyDescent="0.25">
      <c r="A2143">
        <v>38</v>
      </c>
      <c r="B2143" t="str">
        <f>"8:55:05.579430"</f>
        <v>8:55:05.579430</v>
      </c>
      <c r="C2143">
        <v>-32</v>
      </c>
    </row>
    <row r="2144" spans="1:3" x14ac:dyDescent="0.25">
      <c r="A2144">
        <v>38</v>
      </c>
      <c r="B2144" t="str">
        <f>"8:55:05.579756"</f>
        <v>8:55:05.579756</v>
      </c>
      <c r="C2144">
        <v>-41</v>
      </c>
    </row>
    <row r="2145" spans="1:3" x14ac:dyDescent="0.25">
      <c r="A2145">
        <v>39</v>
      </c>
      <c r="B2145" t="str">
        <f>"8:55:05.580532"</f>
        <v>8:55:05.580532</v>
      </c>
      <c r="C2145">
        <v>-45</v>
      </c>
    </row>
    <row r="2146" spans="1:3" x14ac:dyDescent="0.25">
      <c r="A2146">
        <v>37</v>
      </c>
      <c r="B2146" t="str">
        <f>"8:55:05.929402"</f>
        <v>8:55:05.929402</v>
      </c>
      <c r="C2146">
        <v>-44</v>
      </c>
    </row>
    <row r="2147" spans="1:3" x14ac:dyDescent="0.25">
      <c r="A2147">
        <v>38</v>
      </c>
      <c r="B2147" t="str">
        <f>"8:55:05.930429"</f>
        <v>8:55:05.930429</v>
      </c>
      <c r="C2147">
        <v>-41</v>
      </c>
    </row>
    <row r="2148" spans="1:3" x14ac:dyDescent="0.25">
      <c r="A2148">
        <v>38</v>
      </c>
      <c r="B2148" t="str">
        <f>"8:55:05.930947"</f>
        <v>8:55:05.930947</v>
      </c>
      <c r="C2148">
        <v>-32</v>
      </c>
    </row>
    <row r="2149" spans="1:3" x14ac:dyDescent="0.25">
      <c r="A2149">
        <v>38</v>
      </c>
      <c r="B2149" t="str">
        <f>"8:55:05.931273"</f>
        <v>8:55:05.931273</v>
      </c>
      <c r="C2149">
        <v>-41</v>
      </c>
    </row>
    <row r="2150" spans="1:3" x14ac:dyDescent="0.25">
      <c r="A2150">
        <v>39</v>
      </c>
      <c r="B2150" t="str">
        <f>"8:55:05.932049"</f>
        <v>8:55:05.932049</v>
      </c>
      <c r="C2150">
        <v>-45</v>
      </c>
    </row>
    <row r="2151" spans="1:3" x14ac:dyDescent="0.25">
      <c r="A2151">
        <v>37</v>
      </c>
      <c r="B2151" t="str">
        <f>"8:55:06.289404"</f>
        <v>8:55:06.289404</v>
      </c>
      <c r="C2151">
        <v>-44</v>
      </c>
    </row>
    <row r="2152" spans="1:3" x14ac:dyDescent="0.25">
      <c r="A2152">
        <v>38</v>
      </c>
      <c r="B2152" t="str">
        <f>"8:55:06.290431"</f>
        <v>8:55:06.290431</v>
      </c>
      <c r="C2152">
        <v>-41</v>
      </c>
    </row>
    <row r="2153" spans="1:3" x14ac:dyDescent="0.25">
      <c r="A2153">
        <v>38</v>
      </c>
      <c r="B2153" t="str">
        <f>"8:55:06.290949"</f>
        <v>8:55:06.290949</v>
      </c>
      <c r="C2153">
        <v>-32</v>
      </c>
    </row>
    <row r="2154" spans="1:3" x14ac:dyDescent="0.25">
      <c r="A2154">
        <v>38</v>
      </c>
      <c r="B2154" t="str">
        <f>"8:55:06.291275"</f>
        <v>8:55:06.291275</v>
      </c>
      <c r="C2154">
        <v>-41</v>
      </c>
    </row>
    <row r="2155" spans="1:3" x14ac:dyDescent="0.25">
      <c r="A2155">
        <v>39</v>
      </c>
      <c r="B2155" t="str">
        <f>"8:55:06.292051"</f>
        <v>8:55:06.292051</v>
      </c>
      <c r="C2155">
        <v>-46</v>
      </c>
    </row>
    <row r="2156" spans="1:3" x14ac:dyDescent="0.25">
      <c r="A2156">
        <v>37</v>
      </c>
      <c r="B2156" t="str">
        <f>"8:55:06.645053"</f>
        <v>8:55:06.645053</v>
      </c>
      <c r="C2156">
        <v>-44</v>
      </c>
    </row>
    <row r="2157" spans="1:3" x14ac:dyDescent="0.25">
      <c r="A2157">
        <v>38</v>
      </c>
      <c r="B2157" t="str">
        <f>"8:55:06.646080"</f>
        <v>8:55:06.646080</v>
      </c>
      <c r="C2157">
        <v>-41</v>
      </c>
    </row>
    <row r="2158" spans="1:3" x14ac:dyDescent="0.25">
      <c r="A2158">
        <v>39</v>
      </c>
      <c r="B2158" t="str">
        <f>"8:55:06.647106"</f>
        <v>8:55:06.647106</v>
      </c>
      <c r="C2158">
        <v>-45</v>
      </c>
    </row>
    <row r="2159" spans="1:3" x14ac:dyDescent="0.25">
      <c r="A2159">
        <v>37</v>
      </c>
      <c r="B2159" t="str">
        <f>"8:55:07.002246"</f>
        <v>8:55:07.002246</v>
      </c>
      <c r="C2159">
        <v>-44</v>
      </c>
    </row>
    <row r="2160" spans="1:3" x14ac:dyDescent="0.25">
      <c r="A2160">
        <v>38</v>
      </c>
      <c r="B2160" t="str">
        <f>"8:55:07.003273"</f>
        <v>8:55:07.003273</v>
      </c>
      <c r="C2160">
        <v>-41</v>
      </c>
    </row>
    <row r="2161" spans="1:3" x14ac:dyDescent="0.25">
      <c r="A2161">
        <v>38</v>
      </c>
      <c r="B2161" t="str">
        <f>"8:55:07.003792"</f>
        <v>8:55:07.003792</v>
      </c>
      <c r="C2161">
        <v>-32</v>
      </c>
    </row>
    <row r="2162" spans="1:3" x14ac:dyDescent="0.25">
      <c r="A2162">
        <v>38</v>
      </c>
      <c r="B2162" t="str">
        <f>"8:55:07.004117"</f>
        <v>8:55:07.004117</v>
      </c>
      <c r="C2162">
        <v>-41</v>
      </c>
    </row>
    <row r="2163" spans="1:3" x14ac:dyDescent="0.25">
      <c r="A2163">
        <v>39</v>
      </c>
      <c r="B2163" t="str">
        <f>"8:55:07.004893"</f>
        <v>8:55:07.004893</v>
      </c>
      <c r="C2163">
        <v>-45</v>
      </c>
    </row>
    <row r="2164" spans="1:3" x14ac:dyDescent="0.25">
      <c r="A2164">
        <v>37</v>
      </c>
      <c r="B2164" t="str">
        <f>"8:55:07.358090"</f>
        <v>8:55:07.358090</v>
      </c>
      <c r="C2164">
        <v>-44</v>
      </c>
    </row>
    <row r="2165" spans="1:3" x14ac:dyDescent="0.25">
      <c r="A2165">
        <v>38</v>
      </c>
      <c r="B2165" t="str">
        <f>"8:55:07.359117"</f>
        <v>8:55:07.359117</v>
      </c>
      <c r="C2165">
        <v>-41</v>
      </c>
    </row>
    <row r="2166" spans="1:3" x14ac:dyDescent="0.25">
      <c r="A2166">
        <v>38</v>
      </c>
      <c r="B2166" t="str">
        <f>"8:55:07.359636"</f>
        <v>8:55:07.359636</v>
      </c>
      <c r="C2166">
        <v>-32</v>
      </c>
    </row>
    <row r="2167" spans="1:3" x14ac:dyDescent="0.25">
      <c r="A2167">
        <v>38</v>
      </c>
      <c r="B2167" t="str">
        <f>"8:55:07.359961"</f>
        <v>8:55:07.359961</v>
      </c>
      <c r="C2167">
        <v>-41</v>
      </c>
    </row>
    <row r="2168" spans="1:3" x14ac:dyDescent="0.25">
      <c r="A2168">
        <v>39</v>
      </c>
      <c r="B2168" t="str">
        <f>"8:55:07.360737"</f>
        <v>8:55:07.360737</v>
      </c>
      <c r="C2168">
        <v>-45</v>
      </c>
    </row>
    <row r="2169" spans="1:3" x14ac:dyDescent="0.25">
      <c r="A2169">
        <v>37</v>
      </c>
      <c r="B2169" t="str">
        <f>"8:55:07.716275"</f>
        <v>8:55:07.716275</v>
      </c>
      <c r="C2169">
        <v>-44</v>
      </c>
    </row>
    <row r="2170" spans="1:3" x14ac:dyDescent="0.25">
      <c r="A2170">
        <v>38</v>
      </c>
      <c r="B2170" t="str">
        <f>"8:55:07.717302"</f>
        <v>8:55:07.717302</v>
      </c>
      <c r="C2170">
        <v>-41</v>
      </c>
    </row>
    <row r="2171" spans="1:3" x14ac:dyDescent="0.25">
      <c r="A2171">
        <v>38</v>
      </c>
      <c r="B2171" t="str">
        <f>"8:55:07.717821"</f>
        <v>8:55:07.717821</v>
      </c>
      <c r="C2171">
        <v>-32</v>
      </c>
    </row>
    <row r="2172" spans="1:3" x14ac:dyDescent="0.25">
      <c r="A2172">
        <v>38</v>
      </c>
      <c r="B2172" t="str">
        <f>"8:55:07.718147"</f>
        <v>8:55:07.718147</v>
      </c>
      <c r="C2172">
        <v>-41</v>
      </c>
    </row>
    <row r="2173" spans="1:3" x14ac:dyDescent="0.25">
      <c r="A2173">
        <v>39</v>
      </c>
      <c r="B2173" t="str">
        <f>"8:55:07.718923"</f>
        <v>8:55:07.718923</v>
      </c>
      <c r="C2173">
        <v>-45</v>
      </c>
    </row>
    <row r="2174" spans="1:3" x14ac:dyDescent="0.25">
      <c r="A2174">
        <v>37</v>
      </c>
      <c r="B2174" t="str">
        <f>"8:55:08.071432"</f>
        <v>8:55:08.071432</v>
      </c>
      <c r="C2174">
        <v>-44</v>
      </c>
    </row>
    <row r="2175" spans="1:3" x14ac:dyDescent="0.25">
      <c r="A2175">
        <v>38</v>
      </c>
      <c r="B2175" t="str">
        <f>"8:55:08.072459"</f>
        <v>8:55:08.072459</v>
      </c>
      <c r="C2175">
        <v>-41</v>
      </c>
    </row>
    <row r="2176" spans="1:3" x14ac:dyDescent="0.25">
      <c r="A2176">
        <v>38</v>
      </c>
      <c r="B2176" t="str">
        <f>"8:55:08.072978"</f>
        <v>8:55:08.072978</v>
      </c>
      <c r="C2176">
        <v>-32</v>
      </c>
    </row>
    <row r="2177" spans="1:3" x14ac:dyDescent="0.25">
      <c r="A2177">
        <v>38</v>
      </c>
      <c r="B2177" t="str">
        <f>"8:55:08.073303"</f>
        <v>8:55:08.073303</v>
      </c>
      <c r="C2177">
        <v>-41</v>
      </c>
    </row>
    <row r="2178" spans="1:3" x14ac:dyDescent="0.25">
      <c r="A2178">
        <v>39</v>
      </c>
      <c r="B2178" t="str">
        <f>"8:55:08.074079"</f>
        <v>8:55:08.074079</v>
      </c>
      <c r="C2178">
        <v>-46</v>
      </c>
    </row>
    <row r="2179" spans="1:3" x14ac:dyDescent="0.25">
      <c r="A2179">
        <v>37</v>
      </c>
      <c r="B2179" t="str">
        <f>"8:55:08.423710"</f>
        <v>8:55:08.423710</v>
      </c>
      <c r="C2179">
        <v>-44</v>
      </c>
    </row>
    <row r="2180" spans="1:3" x14ac:dyDescent="0.25">
      <c r="A2180">
        <v>38</v>
      </c>
      <c r="B2180" t="str">
        <f>"8:55:08.424737"</f>
        <v>8:55:08.424737</v>
      </c>
      <c r="C2180">
        <v>-41</v>
      </c>
    </row>
    <row r="2181" spans="1:3" x14ac:dyDescent="0.25">
      <c r="A2181">
        <v>38</v>
      </c>
      <c r="B2181" t="str">
        <f>"8:55:08.425256"</f>
        <v>8:55:08.425256</v>
      </c>
      <c r="C2181">
        <v>-32</v>
      </c>
    </row>
    <row r="2182" spans="1:3" x14ac:dyDescent="0.25">
      <c r="A2182">
        <v>38</v>
      </c>
      <c r="B2182" t="str">
        <f>"8:55:08.425582"</f>
        <v>8:55:08.425582</v>
      </c>
      <c r="C2182">
        <v>-41</v>
      </c>
    </row>
    <row r="2183" spans="1:3" x14ac:dyDescent="0.25">
      <c r="A2183">
        <v>39</v>
      </c>
      <c r="B2183" t="str">
        <f>"8:55:08.426358"</f>
        <v>8:55:08.426358</v>
      </c>
      <c r="C2183">
        <v>-45</v>
      </c>
    </row>
    <row r="2184" spans="1:3" x14ac:dyDescent="0.25">
      <c r="A2184">
        <v>37</v>
      </c>
      <c r="B2184" t="str">
        <f>"8:55:08.777523"</f>
        <v>8:55:08.777523</v>
      </c>
      <c r="C2184">
        <v>-44</v>
      </c>
    </row>
    <row r="2185" spans="1:3" x14ac:dyDescent="0.25">
      <c r="A2185">
        <v>38</v>
      </c>
      <c r="B2185" t="str">
        <f>"8:55:08.778550"</f>
        <v>8:55:08.778550</v>
      </c>
      <c r="C2185">
        <v>-41</v>
      </c>
    </row>
    <row r="2186" spans="1:3" x14ac:dyDescent="0.25">
      <c r="A2186">
        <v>38</v>
      </c>
      <c r="B2186" t="str">
        <f>"8:55:08.779069"</f>
        <v>8:55:08.779069</v>
      </c>
      <c r="C2186">
        <v>-32</v>
      </c>
    </row>
    <row r="2187" spans="1:3" x14ac:dyDescent="0.25">
      <c r="A2187">
        <v>38</v>
      </c>
      <c r="B2187" t="str">
        <f>"8:55:08.779395"</f>
        <v>8:55:08.779395</v>
      </c>
      <c r="C2187">
        <v>-41</v>
      </c>
    </row>
    <row r="2188" spans="1:3" x14ac:dyDescent="0.25">
      <c r="A2188">
        <v>39</v>
      </c>
      <c r="B2188" t="str">
        <f>"8:55:08.780171"</f>
        <v>8:55:08.780171</v>
      </c>
      <c r="C2188">
        <v>-46</v>
      </c>
    </row>
    <row r="2189" spans="1:3" x14ac:dyDescent="0.25">
      <c r="A2189">
        <v>37</v>
      </c>
      <c r="B2189" t="str">
        <f>"8:55:09.136758"</f>
        <v>8:55:09.136758</v>
      </c>
      <c r="C2189">
        <v>-44</v>
      </c>
    </row>
    <row r="2190" spans="1:3" x14ac:dyDescent="0.25">
      <c r="A2190">
        <v>38</v>
      </c>
      <c r="B2190" t="str">
        <f>"8:55:09.137785"</f>
        <v>8:55:09.137785</v>
      </c>
      <c r="C2190">
        <v>-41</v>
      </c>
    </row>
    <row r="2191" spans="1:3" x14ac:dyDescent="0.25">
      <c r="A2191">
        <v>38</v>
      </c>
      <c r="B2191" t="str">
        <f>"8:55:09.138304"</f>
        <v>8:55:09.138304</v>
      </c>
      <c r="C2191">
        <v>-32</v>
      </c>
    </row>
    <row r="2192" spans="1:3" x14ac:dyDescent="0.25">
      <c r="A2192">
        <v>38</v>
      </c>
      <c r="B2192" t="str">
        <f>"8:55:09.138630"</f>
        <v>8:55:09.138630</v>
      </c>
      <c r="C2192">
        <v>-41</v>
      </c>
    </row>
    <row r="2193" spans="1:3" x14ac:dyDescent="0.25">
      <c r="A2193">
        <v>39</v>
      </c>
      <c r="B2193" t="str">
        <f>"8:55:09.139406"</f>
        <v>8:55:09.139406</v>
      </c>
      <c r="C2193">
        <v>-45</v>
      </c>
    </row>
    <row r="2194" spans="1:3" x14ac:dyDescent="0.25">
      <c r="A2194">
        <v>37</v>
      </c>
      <c r="B2194" t="str">
        <f>"8:55:09.491844"</f>
        <v>8:55:09.491844</v>
      </c>
      <c r="C2194">
        <v>-44</v>
      </c>
    </row>
    <row r="2195" spans="1:3" x14ac:dyDescent="0.25">
      <c r="A2195">
        <v>38</v>
      </c>
      <c r="B2195" t="str">
        <f>"8:55:09.492871"</f>
        <v>8:55:09.492871</v>
      </c>
      <c r="C2195">
        <v>-41</v>
      </c>
    </row>
    <row r="2196" spans="1:3" x14ac:dyDescent="0.25">
      <c r="A2196">
        <v>39</v>
      </c>
      <c r="B2196" t="str">
        <f>"8:55:09.493897"</f>
        <v>8:55:09.493897</v>
      </c>
      <c r="C2196">
        <v>-45</v>
      </c>
    </row>
    <row r="2197" spans="1:3" x14ac:dyDescent="0.25">
      <c r="A2197">
        <v>39</v>
      </c>
      <c r="B2197" t="str">
        <f>"8:55:09.494415"</f>
        <v>8:55:09.494415</v>
      </c>
      <c r="C2197">
        <v>-31</v>
      </c>
    </row>
    <row r="2198" spans="1:3" x14ac:dyDescent="0.25">
      <c r="A2198">
        <v>39</v>
      </c>
      <c r="B2198" t="str">
        <f>"8:55:09.494741"</f>
        <v>8:55:09.494741</v>
      </c>
      <c r="C2198">
        <v>-45</v>
      </c>
    </row>
    <row r="2199" spans="1:3" x14ac:dyDescent="0.25">
      <c r="A2199">
        <v>37</v>
      </c>
      <c r="B2199" t="str">
        <f>"8:55:09.843875"</f>
        <v>8:55:09.843875</v>
      </c>
      <c r="C2199">
        <v>-44</v>
      </c>
    </row>
    <row r="2200" spans="1:3" x14ac:dyDescent="0.25">
      <c r="A2200">
        <v>38</v>
      </c>
      <c r="B2200" t="str">
        <f>"8:55:09.844902"</f>
        <v>8:55:09.844902</v>
      </c>
      <c r="C2200">
        <v>-41</v>
      </c>
    </row>
    <row r="2201" spans="1:3" x14ac:dyDescent="0.25">
      <c r="A2201">
        <v>38</v>
      </c>
      <c r="B2201" t="str">
        <f>"8:55:09.845747"</f>
        <v>8:55:09.845747</v>
      </c>
      <c r="C2201">
        <v>-41</v>
      </c>
    </row>
    <row r="2202" spans="1:3" x14ac:dyDescent="0.25">
      <c r="A2202">
        <v>39</v>
      </c>
      <c r="B2202" t="str">
        <f>"8:55:09.846523"</f>
        <v>8:55:09.846523</v>
      </c>
      <c r="C2202">
        <v>-45</v>
      </c>
    </row>
    <row r="2203" spans="1:3" x14ac:dyDescent="0.25">
      <c r="A2203">
        <v>39</v>
      </c>
      <c r="B2203" t="str">
        <f>"8:55:09.847042"</f>
        <v>8:55:09.847042</v>
      </c>
      <c r="C2203">
        <v>-31</v>
      </c>
    </row>
    <row r="2204" spans="1:3" x14ac:dyDescent="0.25">
      <c r="A2204">
        <v>39</v>
      </c>
      <c r="B2204" t="str">
        <f>"8:55:09.847368"</f>
        <v>8:55:09.847368</v>
      </c>
      <c r="C2204">
        <v>-45</v>
      </c>
    </row>
    <row r="2205" spans="1:3" x14ac:dyDescent="0.25">
      <c r="A2205">
        <v>37</v>
      </c>
      <c r="B2205" t="str">
        <f>"8:55:10.195140"</f>
        <v>8:55:10.195140</v>
      </c>
      <c r="C2205">
        <v>-44</v>
      </c>
    </row>
    <row r="2206" spans="1:3" x14ac:dyDescent="0.25">
      <c r="A2206">
        <v>37</v>
      </c>
      <c r="B2206" t="str">
        <f>"8:55:10.195660"</f>
        <v>8:55:10.195660</v>
      </c>
      <c r="C2206">
        <v>-86</v>
      </c>
    </row>
    <row r="2207" spans="1:3" x14ac:dyDescent="0.25">
      <c r="A2207">
        <v>37</v>
      </c>
      <c r="B2207" t="str">
        <f>"8:55:10.195986"</f>
        <v>8:55:10.195986</v>
      </c>
      <c r="C2207">
        <v>-44</v>
      </c>
    </row>
    <row r="2208" spans="1:3" x14ac:dyDescent="0.25">
      <c r="A2208">
        <v>38</v>
      </c>
      <c r="B2208" t="str">
        <f>"8:55:10.196763"</f>
        <v>8:55:10.196763</v>
      </c>
      <c r="C2208">
        <v>-41</v>
      </c>
    </row>
    <row r="2209" spans="1:3" x14ac:dyDescent="0.25">
      <c r="A2209">
        <v>39</v>
      </c>
      <c r="B2209" t="str">
        <f>"8:55:10.197789"</f>
        <v>8:55:10.197789</v>
      </c>
      <c r="C2209">
        <v>-45</v>
      </c>
    </row>
    <row r="2210" spans="1:3" x14ac:dyDescent="0.25">
      <c r="A2210">
        <v>37</v>
      </c>
      <c r="B2210" t="str">
        <f>"8:55:10.548934"</f>
        <v>8:55:10.548934</v>
      </c>
      <c r="C2210">
        <v>-44</v>
      </c>
    </row>
    <row r="2211" spans="1:3" x14ac:dyDescent="0.25">
      <c r="A2211">
        <v>38</v>
      </c>
      <c r="B2211" t="str">
        <f>"8:55:10.549962"</f>
        <v>8:55:10.549962</v>
      </c>
      <c r="C2211">
        <v>-41</v>
      </c>
    </row>
    <row r="2212" spans="1:3" x14ac:dyDescent="0.25">
      <c r="A2212">
        <v>39</v>
      </c>
      <c r="B2212" t="str">
        <f>"8:55:10.550988"</f>
        <v>8:55:10.550988</v>
      </c>
      <c r="C2212">
        <v>-45</v>
      </c>
    </row>
    <row r="2213" spans="1:3" x14ac:dyDescent="0.25">
      <c r="A2213">
        <v>37</v>
      </c>
      <c r="B2213" t="str">
        <f>"8:55:10.901184"</f>
        <v>8:55:10.901184</v>
      </c>
      <c r="C2213">
        <v>-44</v>
      </c>
    </row>
    <row r="2214" spans="1:3" x14ac:dyDescent="0.25">
      <c r="A2214">
        <v>38</v>
      </c>
      <c r="B2214" t="str">
        <f>"8:55:10.902211"</f>
        <v>8:55:10.902211</v>
      </c>
      <c r="C2214">
        <v>-41</v>
      </c>
    </row>
    <row r="2215" spans="1:3" x14ac:dyDescent="0.25">
      <c r="A2215">
        <v>39</v>
      </c>
      <c r="B2215" t="str">
        <f>"8:55:10.903237"</f>
        <v>8:55:10.903237</v>
      </c>
      <c r="C2215">
        <v>-46</v>
      </c>
    </row>
    <row r="2216" spans="1:3" x14ac:dyDescent="0.25">
      <c r="A2216">
        <v>39</v>
      </c>
      <c r="B2216" t="str">
        <f>"8:55:10.903755"</f>
        <v>8:55:10.903755</v>
      </c>
      <c r="C2216">
        <v>-31</v>
      </c>
    </row>
    <row r="2217" spans="1:3" x14ac:dyDescent="0.25">
      <c r="A2217">
        <v>39</v>
      </c>
      <c r="B2217" t="str">
        <f>"8:55:10.904081"</f>
        <v>8:55:10.904081</v>
      </c>
      <c r="C2217">
        <v>-45</v>
      </c>
    </row>
    <row r="2218" spans="1:3" x14ac:dyDescent="0.25">
      <c r="A2218">
        <v>37</v>
      </c>
      <c r="B2218" t="str">
        <f>"8:55:11.255268"</f>
        <v>8:55:11.255268</v>
      </c>
      <c r="C2218">
        <v>-44</v>
      </c>
    </row>
    <row r="2219" spans="1:3" x14ac:dyDescent="0.25">
      <c r="A2219">
        <v>38</v>
      </c>
      <c r="B2219" t="str">
        <f>"8:55:11.256296"</f>
        <v>8:55:11.256296</v>
      </c>
      <c r="C2219">
        <v>-41</v>
      </c>
    </row>
    <row r="2220" spans="1:3" x14ac:dyDescent="0.25">
      <c r="A2220">
        <v>39</v>
      </c>
      <c r="B2220" t="str">
        <f>"8:55:11.257322"</f>
        <v>8:55:11.257322</v>
      </c>
      <c r="C2220">
        <v>-45</v>
      </c>
    </row>
    <row r="2221" spans="1:3" x14ac:dyDescent="0.25">
      <c r="A2221">
        <v>39</v>
      </c>
      <c r="B2221" t="str">
        <f>"8:55:11.257840"</f>
        <v>8:55:11.257840</v>
      </c>
      <c r="C2221">
        <v>-31</v>
      </c>
    </row>
    <row r="2222" spans="1:3" x14ac:dyDescent="0.25">
      <c r="A2222">
        <v>39</v>
      </c>
      <c r="B2222" t="str">
        <f>"8:55:11.258166"</f>
        <v>8:55:11.258166</v>
      </c>
      <c r="C2222">
        <v>-45</v>
      </c>
    </row>
    <row r="2223" spans="1:3" x14ac:dyDescent="0.25">
      <c r="A2223">
        <v>37</v>
      </c>
      <c r="B2223" t="str">
        <f>"8:55:11.610647"</f>
        <v>8:55:11.610647</v>
      </c>
      <c r="C2223">
        <v>-45</v>
      </c>
    </row>
    <row r="2224" spans="1:3" x14ac:dyDescent="0.25">
      <c r="A2224">
        <v>38</v>
      </c>
      <c r="B2224" t="str">
        <f>"8:55:11.611674"</f>
        <v>8:55:11.611674</v>
      </c>
      <c r="C2224">
        <v>-41</v>
      </c>
    </row>
    <row r="2225" spans="1:3" x14ac:dyDescent="0.25">
      <c r="A2225">
        <v>39</v>
      </c>
      <c r="B2225" t="str">
        <f>"8:55:11.612700"</f>
        <v>8:55:11.612700</v>
      </c>
      <c r="C2225">
        <v>-46</v>
      </c>
    </row>
    <row r="2226" spans="1:3" x14ac:dyDescent="0.25">
      <c r="A2226">
        <v>37</v>
      </c>
      <c r="B2226" t="str">
        <f>"8:55:11.967832"</f>
        <v>8:55:11.967832</v>
      </c>
      <c r="C2226">
        <v>-45</v>
      </c>
    </row>
    <row r="2227" spans="1:3" x14ac:dyDescent="0.25">
      <c r="A2227">
        <v>38</v>
      </c>
      <c r="B2227" t="str">
        <f>"8:55:11.968859"</f>
        <v>8:55:11.968859</v>
      </c>
      <c r="C2227">
        <v>-41</v>
      </c>
    </row>
    <row r="2228" spans="1:3" x14ac:dyDescent="0.25">
      <c r="A2228">
        <v>39</v>
      </c>
      <c r="B2228" t="str">
        <f>"8:55:11.969885"</f>
        <v>8:55:11.969885</v>
      </c>
      <c r="C2228">
        <v>-45</v>
      </c>
    </row>
    <row r="2229" spans="1:3" x14ac:dyDescent="0.25">
      <c r="A2229">
        <v>39</v>
      </c>
      <c r="B2229" t="str">
        <f>"8:55:11.970403"</f>
        <v>8:55:11.970403</v>
      </c>
      <c r="C2229">
        <v>-31</v>
      </c>
    </row>
    <row r="2230" spans="1:3" x14ac:dyDescent="0.25">
      <c r="A2230">
        <v>39</v>
      </c>
      <c r="B2230" t="str">
        <f>"8:55:11.970729"</f>
        <v>8:55:11.970729</v>
      </c>
      <c r="C2230">
        <v>-45</v>
      </c>
    </row>
    <row r="2231" spans="1:3" x14ac:dyDescent="0.25">
      <c r="A2231">
        <v>37</v>
      </c>
      <c r="B2231" t="str">
        <f>"8:55:12.324206"</f>
        <v>8:55:12.324206</v>
      </c>
      <c r="C2231">
        <v>-45</v>
      </c>
    </row>
    <row r="2232" spans="1:3" x14ac:dyDescent="0.25">
      <c r="A2232">
        <v>38</v>
      </c>
      <c r="B2232" t="str">
        <f>"8:55:12.325233"</f>
        <v>8:55:12.325233</v>
      </c>
      <c r="C2232">
        <v>-41</v>
      </c>
    </row>
    <row r="2233" spans="1:3" x14ac:dyDescent="0.25">
      <c r="A2233">
        <v>39</v>
      </c>
      <c r="B2233" t="str">
        <f>"8:55:12.326259"</f>
        <v>8:55:12.326259</v>
      </c>
      <c r="C2233">
        <v>-45</v>
      </c>
    </row>
    <row r="2234" spans="1:3" x14ac:dyDescent="0.25">
      <c r="A2234">
        <v>39</v>
      </c>
      <c r="B2234" t="str">
        <f>"8:55:12.326778"</f>
        <v>8:55:12.326778</v>
      </c>
      <c r="C2234">
        <v>-31</v>
      </c>
    </row>
    <row r="2235" spans="1:3" x14ac:dyDescent="0.25">
      <c r="A2235">
        <v>39</v>
      </c>
      <c r="B2235" t="str">
        <f>"8:55:12.327103"</f>
        <v>8:55:12.327103</v>
      </c>
      <c r="C2235">
        <v>-45</v>
      </c>
    </row>
    <row r="2236" spans="1:3" x14ac:dyDescent="0.25">
      <c r="A2236">
        <v>37</v>
      </c>
      <c r="B2236" t="str">
        <f>"8:55:12.674962"</f>
        <v>8:55:12.674962</v>
      </c>
      <c r="C2236">
        <v>-45</v>
      </c>
    </row>
    <row r="2237" spans="1:3" x14ac:dyDescent="0.25">
      <c r="A2237">
        <v>38</v>
      </c>
      <c r="B2237" t="str">
        <f>"8:55:12.675989"</f>
        <v>8:55:12.675989</v>
      </c>
      <c r="C2237">
        <v>-41</v>
      </c>
    </row>
    <row r="2238" spans="1:3" x14ac:dyDescent="0.25">
      <c r="A2238">
        <v>39</v>
      </c>
      <c r="B2238" t="str">
        <f>"8:55:12.677015"</f>
        <v>8:55:12.677015</v>
      </c>
      <c r="C2238">
        <v>-46</v>
      </c>
    </row>
    <row r="2239" spans="1:3" x14ac:dyDescent="0.25">
      <c r="A2239">
        <v>39</v>
      </c>
      <c r="B2239" t="str">
        <f>"8:55:12.677534"</f>
        <v>8:55:12.677534</v>
      </c>
      <c r="C2239">
        <v>-30</v>
      </c>
    </row>
    <row r="2240" spans="1:3" x14ac:dyDescent="0.25">
      <c r="A2240">
        <v>39</v>
      </c>
      <c r="B2240" t="str">
        <f>"8:55:12.677859"</f>
        <v>8:55:12.677859</v>
      </c>
      <c r="C2240">
        <v>-45</v>
      </c>
    </row>
    <row r="2241" spans="1:3" x14ac:dyDescent="0.25">
      <c r="A2241">
        <v>37</v>
      </c>
      <c r="B2241" t="str">
        <f>"8:55:13.032375"</f>
        <v>8:55:13.032375</v>
      </c>
      <c r="C2241">
        <v>-44</v>
      </c>
    </row>
    <row r="2242" spans="1:3" x14ac:dyDescent="0.25">
      <c r="A2242">
        <v>38</v>
      </c>
      <c r="B2242" t="str">
        <f>"8:55:13.033402"</f>
        <v>8:55:13.033402</v>
      </c>
      <c r="C2242">
        <v>-41</v>
      </c>
    </row>
    <row r="2243" spans="1:3" x14ac:dyDescent="0.25">
      <c r="A2243">
        <v>39</v>
      </c>
      <c r="B2243" t="str">
        <f>"8:55:13.034428"</f>
        <v>8:55:13.034428</v>
      </c>
      <c r="C2243">
        <v>-46</v>
      </c>
    </row>
    <row r="2244" spans="1:3" x14ac:dyDescent="0.25">
      <c r="A2244">
        <v>39</v>
      </c>
      <c r="B2244" t="str">
        <f>"8:55:13.034946"</f>
        <v>8:55:13.034946</v>
      </c>
      <c r="C2244">
        <v>-31</v>
      </c>
    </row>
    <row r="2245" spans="1:3" x14ac:dyDescent="0.25">
      <c r="A2245">
        <v>39</v>
      </c>
      <c r="B2245" t="str">
        <f>"8:55:13.035272"</f>
        <v>8:55:13.035272</v>
      </c>
      <c r="C2245">
        <v>-45</v>
      </c>
    </row>
    <row r="2246" spans="1:3" x14ac:dyDescent="0.25">
      <c r="A2246">
        <v>37</v>
      </c>
      <c r="B2246" t="str">
        <f>"8:55:13.387215"</f>
        <v>8:55:13.387215</v>
      </c>
      <c r="C2246">
        <v>-44</v>
      </c>
    </row>
    <row r="2247" spans="1:3" x14ac:dyDescent="0.25">
      <c r="A2247">
        <v>38</v>
      </c>
      <c r="B2247" t="str">
        <f>"8:55:13.388243"</f>
        <v>8:55:13.388243</v>
      </c>
      <c r="C2247">
        <v>-41</v>
      </c>
    </row>
    <row r="2248" spans="1:3" x14ac:dyDescent="0.25">
      <c r="A2248">
        <v>39</v>
      </c>
      <c r="B2248" t="str">
        <f>"8:55:13.389269"</f>
        <v>8:55:13.389269</v>
      </c>
      <c r="C2248">
        <v>-46</v>
      </c>
    </row>
    <row r="2249" spans="1:3" x14ac:dyDescent="0.25">
      <c r="A2249">
        <v>39</v>
      </c>
      <c r="B2249" t="str">
        <f>"8:55:13.389787"</f>
        <v>8:55:13.389787</v>
      </c>
      <c r="C2249">
        <v>-31</v>
      </c>
    </row>
    <row r="2250" spans="1:3" x14ac:dyDescent="0.25">
      <c r="A2250">
        <v>39</v>
      </c>
      <c r="B2250" t="str">
        <f>"8:55:13.390113"</f>
        <v>8:55:13.390113</v>
      </c>
      <c r="C2250">
        <v>-45</v>
      </c>
    </row>
    <row r="2251" spans="1:3" x14ac:dyDescent="0.25">
      <c r="A2251">
        <v>37</v>
      </c>
      <c r="B2251" t="str">
        <f>"8:55:13.747233"</f>
        <v>8:55:13.747233</v>
      </c>
      <c r="C2251">
        <v>-44</v>
      </c>
    </row>
    <row r="2252" spans="1:3" x14ac:dyDescent="0.25">
      <c r="A2252">
        <v>38</v>
      </c>
      <c r="B2252" t="str">
        <f>"8:55:13.748260"</f>
        <v>8:55:13.748260</v>
      </c>
      <c r="C2252">
        <v>-41</v>
      </c>
    </row>
    <row r="2253" spans="1:3" x14ac:dyDescent="0.25">
      <c r="A2253">
        <v>39</v>
      </c>
      <c r="B2253" t="str">
        <f>"8:55:13.749286"</f>
        <v>8:55:13.749286</v>
      </c>
      <c r="C2253">
        <v>-45</v>
      </c>
    </row>
    <row r="2254" spans="1:3" x14ac:dyDescent="0.25">
      <c r="A2254">
        <v>37</v>
      </c>
      <c r="B2254" t="str">
        <f>"8:55:14.100304"</f>
        <v>8:55:14.100304</v>
      </c>
      <c r="C2254">
        <v>-44</v>
      </c>
    </row>
    <row r="2255" spans="1:3" x14ac:dyDescent="0.25">
      <c r="A2255">
        <v>38</v>
      </c>
      <c r="B2255" t="str">
        <f>"8:55:14.101331"</f>
        <v>8:55:14.101331</v>
      </c>
      <c r="C2255">
        <v>-41</v>
      </c>
    </row>
    <row r="2256" spans="1:3" x14ac:dyDescent="0.25">
      <c r="A2256">
        <v>39</v>
      </c>
      <c r="B2256" t="str">
        <f>"8:55:14.102357"</f>
        <v>8:55:14.102357</v>
      </c>
      <c r="C2256">
        <v>-45</v>
      </c>
    </row>
    <row r="2257" spans="1:3" x14ac:dyDescent="0.25">
      <c r="A2257">
        <v>39</v>
      </c>
      <c r="B2257" t="str">
        <f>"8:55:14.102876"</f>
        <v>8:55:14.102876</v>
      </c>
      <c r="C2257">
        <v>-31</v>
      </c>
    </row>
    <row r="2258" spans="1:3" x14ac:dyDescent="0.25">
      <c r="A2258">
        <v>39</v>
      </c>
      <c r="B2258" t="str">
        <f>"8:55:14.103201"</f>
        <v>8:55:14.103201</v>
      </c>
      <c r="C2258">
        <v>-45</v>
      </c>
    </row>
    <row r="2259" spans="1:3" x14ac:dyDescent="0.25">
      <c r="A2259">
        <v>37</v>
      </c>
      <c r="B2259" t="str">
        <f>"8:55:14.453061"</f>
        <v>8:55:14.453061</v>
      </c>
      <c r="C2259">
        <v>-44</v>
      </c>
    </row>
    <row r="2260" spans="1:3" x14ac:dyDescent="0.25">
      <c r="A2260">
        <v>37</v>
      </c>
      <c r="B2260" t="str">
        <f>"8:55:14.453580"</f>
        <v>8:55:14.453580</v>
      </c>
      <c r="C2260">
        <v>-37</v>
      </c>
    </row>
    <row r="2261" spans="1:3" x14ac:dyDescent="0.25">
      <c r="A2261">
        <v>37</v>
      </c>
      <c r="B2261" t="str">
        <f>"8:55:14.453906"</f>
        <v>8:55:14.453906</v>
      </c>
      <c r="C2261">
        <v>-45</v>
      </c>
    </row>
    <row r="2262" spans="1:3" x14ac:dyDescent="0.25">
      <c r="A2262">
        <v>38</v>
      </c>
      <c r="B2262" t="str">
        <f>"8:55:14.454683"</f>
        <v>8:55:14.454683</v>
      </c>
      <c r="C2262">
        <v>-41</v>
      </c>
    </row>
    <row r="2263" spans="1:3" x14ac:dyDescent="0.25">
      <c r="A2263">
        <v>39</v>
      </c>
      <c r="B2263" t="str">
        <f>"8:55:14.455709"</f>
        <v>8:55:14.455709</v>
      </c>
      <c r="C2263">
        <v>-45</v>
      </c>
    </row>
    <row r="2264" spans="1:3" x14ac:dyDescent="0.25">
      <c r="A2264">
        <v>39</v>
      </c>
      <c r="B2264" t="str">
        <f>"8:55:14.456554"</f>
        <v>8:55:14.456554</v>
      </c>
      <c r="C2264">
        <v>-45</v>
      </c>
    </row>
    <row r="2265" spans="1:3" x14ac:dyDescent="0.25">
      <c r="A2265">
        <v>37</v>
      </c>
      <c r="B2265" t="str">
        <f>"8:55:14.810012"</f>
        <v>8:55:14.810012</v>
      </c>
      <c r="C2265">
        <v>-44</v>
      </c>
    </row>
    <row r="2266" spans="1:3" x14ac:dyDescent="0.25">
      <c r="A2266">
        <v>37</v>
      </c>
      <c r="B2266" t="str">
        <f>"8:55:14.810531"</f>
        <v>8:55:14.810531</v>
      </c>
      <c r="C2266">
        <v>-37</v>
      </c>
    </row>
    <row r="2267" spans="1:3" x14ac:dyDescent="0.25">
      <c r="A2267">
        <v>37</v>
      </c>
      <c r="B2267" t="str">
        <f>"8:55:14.810856"</f>
        <v>8:55:14.810856</v>
      </c>
      <c r="C2267">
        <v>-44</v>
      </c>
    </row>
    <row r="2268" spans="1:3" x14ac:dyDescent="0.25">
      <c r="A2268">
        <v>38</v>
      </c>
      <c r="B2268" t="str">
        <f>"8:55:14.811632"</f>
        <v>8:55:14.811632</v>
      </c>
      <c r="C2268">
        <v>-41</v>
      </c>
    </row>
    <row r="2269" spans="1:3" x14ac:dyDescent="0.25">
      <c r="A2269">
        <v>39</v>
      </c>
      <c r="B2269" t="str">
        <f>"8:55:14.812658"</f>
        <v>8:55:14.812658</v>
      </c>
      <c r="C2269">
        <v>-45</v>
      </c>
    </row>
    <row r="2270" spans="1:3" x14ac:dyDescent="0.25">
      <c r="A2270">
        <v>37</v>
      </c>
      <c r="B2270" t="str">
        <f>"8:55:15.163367"</f>
        <v>8:55:15.163367</v>
      </c>
      <c r="C2270">
        <v>-44</v>
      </c>
    </row>
    <row r="2271" spans="1:3" x14ac:dyDescent="0.25">
      <c r="A2271">
        <v>37</v>
      </c>
      <c r="B2271" t="str">
        <f>"8:55:15.163886"</f>
        <v>8:55:15.163886</v>
      </c>
      <c r="C2271">
        <v>-37</v>
      </c>
    </row>
    <row r="2272" spans="1:3" x14ac:dyDescent="0.25">
      <c r="A2272">
        <v>37</v>
      </c>
      <c r="B2272" t="str">
        <f>"8:55:15.164212"</f>
        <v>8:55:15.164212</v>
      </c>
      <c r="C2272">
        <v>-45</v>
      </c>
    </row>
    <row r="2273" spans="1:3" x14ac:dyDescent="0.25">
      <c r="A2273">
        <v>38</v>
      </c>
      <c r="B2273" t="str">
        <f>"8:55:15.164988"</f>
        <v>8:55:15.164988</v>
      </c>
      <c r="C2273">
        <v>-41</v>
      </c>
    </row>
    <row r="2274" spans="1:3" x14ac:dyDescent="0.25">
      <c r="A2274">
        <v>39</v>
      </c>
      <c r="B2274" t="str">
        <f>"8:55:15.166014"</f>
        <v>8:55:15.166014</v>
      </c>
      <c r="C2274">
        <v>-45</v>
      </c>
    </row>
    <row r="2275" spans="1:3" x14ac:dyDescent="0.25">
      <c r="A2275">
        <v>37</v>
      </c>
      <c r="B2275" t="str">
        <f>"8:55:15.522619"</f>
        <v>8:55:15.522619</v>
      </c>
      <c r="C2275">
        <v>-44</v>
      </c>
    </row>
    <row r="2276" spans="1:3" x14ac:dyDescent="0.25">
      <c r="A2276">
        <v>37</v>
      </c>
      <c r="B2276" t="str">
        <f>"8:55:15.523137"</f>
        <v>8:55:15.523137</v>
      </c>
      <c r="C2276">
        <v>-37</v>
      </c>
    </row>
    <row r="2277" spans="1:3" x14ac:dyDescent="0.25">
      <c r="A2277">
        <v>37</v>
      </c>
      <c r="B2277" t="str">
        <f>"8:55:15.523463"</f>
        <v>8:55:15.523463</v>
      </c>
      <c r="C2277">
        <v>-44</v>
      </c>
    </row>
    <row r="2278" spans="1:3" x14ac:dyDescent="0.25">
      <c r="A2278">
        <v>38</v>
      </c>
      <c r="B2278" t="str">
        <f>"8:55:15.524239"</f>
        <v>8:55:15.524239</v>
      </c>
      <c r="C2278">
        <v>-41</v>
      </c>
    </row>
    <row r="2279" spans="1:3" x14ac:dyDescent="0.25">
      <c r="A2279">
        <v>39</v>
      </c>
      <c r="B2279" t="str">
        <f>"8:55:15.525265"</f>
        <v>8:55:15.525265</v>
      </c>
      <c r="C2279">
        <v>-46</v>
      </c>
    </row>
    <row r="2280" spans="1:3" x14ac:dyDescent="0.25">
      <c r="A2280">
        <v>37</v>
      </c>
      <c r="B2280" t="str">
        <f>"8:55:15.879284"</f>
        <v>8:55:15.879284</v>
      </c>
      <c r="C2280">
        <v>-44</v>
      </c>
    </row>
    <row r="2281" spans="1:3" x14ac:dyDescent="0.25">
      <c r="A2281">
        <v>38</v>
      </c>
      <c r="B2281" t="str">
        <f>"8:55:15.880312"</f>
        <v>8:55:15.880312</v>
      </c>
      <c r="C2281">
        <v>-41</v>
      </c>
    </row>
    <row r="2282" spans="1:3" x14ac:dyDescent="0.25">
      <c r="A2282">
        <v>39</v>
      </c>
      <c r="B2282" t="str">
        <f>"8:55:15.881338"</f>
        <v>8:55:15.881338</v>
      </c>
      <c r="C2282">
        <v>-46</v>
      </c>
    </row>
    <row r="2283" spans="1:3" x14ac:dyDescent="0.25">
      <c r="A2283">
        <v>37</v>
      </c>
      <c r="B2283" t="str">
        <f>"8:55:16.237702"</f>
        <v>8:55:16.237702</v>
      </c>
      <c r="C2283">
        <v>-44</v>
      </c>
    </row>
    <row r="2284" spans="1:3" x14ac:dyDescent="0.25">
      <c r="A2284">
        <v>37</v>
      </c>
      <c r="B2284" t="str">
        <f>"8:55:16.238221"</f>
        <v>8:55:16.238221</v>
      </c>
      <c r="C2284">
        <v>-37</v>
      </c>
    </row>
    <row r="2285" spans="1:3" x14ac:dyDescent="0.25">
      <c r="A2285">
        <v>37</v>
      </c>
      <c r="B2285" t="str">
        <f>"8:55:16.238546"</f>
        <v>8:55:16.238546</v>
      </c>
      <c r="C2285">
        <v>-45</v>
      </c>
    </row>
    <row r="2286" spans="1:3" x14ac:dyDescent="0.25">
      <c r="A2286">
        <v>38</v>
      </c>
      <c r="B2286" t="str">
        <f>"8:55:16.239323"</f>
        <v>8:55:16.239323</v>
      </c>
      <c r="C2286">
        <v>-41</v>
      </c>
    </row>
    <row r="2287" spans="1:3" x14ac:dyDescent="0.25">
      <c r="A2287">
        <v>39</v>
      </c>
      <c r="B2287" t="str">
        <f>"8:55:16.240349"</f>
        <v>8:55:16.240349</v>
      </c>
      <c r="C2287">
        <v>-46</v>
      </c>
    </row>
    <row r="2288" spans="1:3" x14ac:dyDescent="0.25">
      <c r="A2288">
        <v>37</v>
      </c>
      <c r="B2288" t="str">
        <f>"8:55:16.594595"</f>
        <v>8:55:16.594595</v>
      </c>
      <c r="C2288">
        <v>-44</v>
      </c>
    </row>
    <row r="2289" spans="1:3" x14ac:dyDescent="0.25">
      <c r="A2289">
        <v>37</v>
      </c>
      <c r="B2289" t="str">
        <f>"8:55:16.595114"</f>
        <v>8:55:16.595114</v>
      </c>
      <c r="C2289">
        <v>-37</v>
      </c>
    </row>
    <row r="2290" spans="1:3" x14ac:dyDescent="0.25">
      <c r="A2290">
        <v>37</v>
      </c>
      <c r="B2290" t="str">
        <f>"8:55:16.595439"</f>
        <v>8:55:16.595439</v>
      </c>
      <c r="C2290">
        <v>-45</v>
      </c>
    </row>
    <row r="2291" spans="1:3" x14ac:dyDescent="0.25">
      <c r="A2291">
        <v>38</v>
      </c>
      <c r="B2291" t="str">
        <f>"8:55:16.596216"</f>
        <v>8:55:16.596216</v>
      </c>
      <c r="C2291">
        <v>-41</v>
      </c>
    </row>
    <row r="2292" spans="1:3" x14ac:dyDescent="0.25">
      <c r="A2292">
        <v>39</v>
      </c>
      <c r="B2292" t="str">
        <f>"8:55:16.597242"</f>
        <v>8:55:16.597242</v>
      </c>
      <c r="C2292">
        <v>-45</v>
      </c>
    </row>
    <row r="2293" spans="1:3" x14ac:dyDescent="0.25">
      <c r="A2293">
        <v>37</v>
      </c>
      <c r="B2293" t="str">
        <f>"8:55:16.954627"</f>
        <v>8:55:16.954627</v>
      </c>
      <c r="C2293">
        <v>-44</v>
      </c>
    </row>
    <row r="2294" spans="1:3" x14ac:dyDescent="0.25">
      <c r="A2294">
        <v>38</v>
      </c>
      <c r="B2294" t="str">
        <f>"8:55:16.955655"</f>
        <v>8:55:16.955655</v>
      </c>
      <c r="C2294">
        <v>-41</v>
      </c>
    </row>
    <row r="2295" spans="1:3" x14ac:dyDescent="0.25">
      <c r="A2295">
        <v>39</v>
      </c>
      <c r="B2295" t="str">
        <f>"8:55:16.956681"</f>
        <v>8:55:16.956681</v>
      </c>
      <c r="C2295">
        <v>-45</v>
      </c>
    </row>
    <row r="2296" spans="1:3" x14ac:dyDescent="0.25">
      <c r="A2296">
        <v>37</v>
      </c>
      <c r="B2296" t="str">
        <f>"8:55:17.312802"</f>
        <v>8:55:17.312802</v>
      </c>
      <c r="C2296">
        <v>-44</v>
      </c>
    </row>
    <row r="2297" spans="1:3" x14ac:dyDescent="0.25">
      <c r="A2297">
        <v>37</v>
      </c>
      <c r="B2297" t="str">
        <f>"8:55:17.313321"</f>
        <v>8:55:17.313321</v>
      </c>
      <c r="C2297">
        <v>-37</v>
      </c>
    </row>
    <row r="2298" spans="1:3" x14ac:dyDescent="0.25">
      <c r="A2298">
        <v>37</v>
      </c>
      <c r="B2298" t="str">
        <f>"8:55:17.313647"</f>
        <v>8:55:17.313647</v>
      </c>
      <c r="C2298">
        <v>-45</v>
      </c>
    </row>
    <row r="2299" spans="1:3" x14ac:dyDescent="0.25">
      <c r="A2299">
        <v>38</v>
      </c>
      <c r="B2299" t="str">
        <f>"8:55:17.314424"</f>
        <v>8:55:17.314424</v>
      </c>
      <c r="C2299">
        <v>-41</v>
      </c>
    </row>
    <row r="2300" spans="1:3" x14ac:dyDescent="0.25">
      <c r="A2300">
        <v>39</v>
      </c>
      <c r="B2300" t="str">
        <f>"8:55:17.315450"</f>
        <v>8:55:17.315450</v>
      </c>
      <c r="C2300">
        <v>-45</v>
      </c>
    </row>
    <row r="2301" spans="1:3" x14ac:dyDescent="0.25">
      <c r="A2301">
        <v>37</v>
      </c>
      <c r="B2301" t="str">
        <f>"8:55:17.663584"</f>
        <v>8:55:17.663584</v>
      </c>
      <c r="C2301">
        <v>-45</v>
      </c>
    </row>
    <row r="2302" spans="1:3" x14ac:dyDescent="0.25">
      <c r="A2302">
        <v>37</v>
      </c>
      <c r="B2302" t="str">
        <f>"8:55:17.664102"</f>
        <v>8:55:17.664102</v>
      </c>
      <c r="C2302">
        <v>-37</v>
      </c>
    </row>
    <row r="2303" spans="1:3" x14ac:dyDescent="0.25">
      <c r="A2303">
        <v>37</v>
      </c>
      <c r="B2303" t="str">
        <f>"8:55:17.664428"</f>
        <v>8:55:17.664428</v>
      </c>
      <c r="C2303">
        <v>-45</v>
      </c>
    </row>
    <row r="2304" spans="1:3" x14ac:dyDescent="0.25">
      <c r="A2304">
        <v>38</v>
      </c>
      <c r="B2304" t="str">
        <f>"8:55:17.665204"</f>
        <v>8:55:17.665204</v>
      </c>
      <c r="C2304">
        <v>-41</v>
      </c>
    </row>
    <row r="2305" spans="1:3" x14ac:dyDescent="0.25">
      <c r="A2305">
        <v>39</v>
      </c>
      <c r="B2305" t="str">
        <f>"8:55:17.666230"</f>
        <v>8:55:17.666230</v>
      </c>
      <c r="C2305">
        <v>-45</v>
      </c>
    </row>
    <row r="2306" spans="1:3" x14ac:dyDescent="0.25">
      <c r="A2306">
        <v>37</v>
      </c>
      <c r="B2306" t="str">
        <f>"8:55:18.016942"</f>
        <v>8:55:18.016942</v>
      </c>
      <c r="C2306">
        <v>-45</v>
      </c>
    </row>
    <row r="2307" spans="1:3" x14ac:dyDescent="0.25">
      <c r="A2307">
        <v>37</v>
      </c>
      <c r="B2307" t="str">
        <f>"8:55:18.017460"</f>
        <v>8:55:18.017460</v>
      </c>
      <c r="C2307">
        <v>-37</v>
      </c>
    </row>
    <row r="2308" spans="1:3" x14ac:dyDescent="0.25">
      <c r="A2308">
        <v>37</v>
      </c>
      <c r="B2308" t="str">
        <f>"8:55:18.017786"</f>
        <v>8:55:18.017786</v>
      </c>
      <c r="C2308">
        <v>-45</v>
      </c>
    </row>
    <row r="2309" spans="1:3" x14ac:dyDescent="0.25">
      <c r="A2309">
        <v>38</v>
      </c>
      <c r="B2309" t="str">
        <f>"8:55:18.018562"</f>
        <v>8:55:18.018562</v>
      </c>
      <c r="C2309">
        <v>-41</v>
      </c>
    </row>
    <row r="2310" spans="1:3" x14ac:dyDescent="0.25">
      <c r="A2310">
        <v>39</v>
      </c>
      <c r="B2310" t="str">
        <f>"8:55:18.019588"</f>
        <v>8:55:18.019588</v>
      </c>
      <c r="C2310">
        <v>-45</v>
      </c>
    </row>
    <row r="2311" spans="1:3" x14ac:dyDescent="0.25">
      <c r="A2311">
        <v>37</v>
      </c>
      <c r="B2311" t="str">
        <f>"8:55:18.370985"</f>
        <v>8:55:18.370985</v>
      </c>
      <c r="C2311">
        <v>-44</v>
      </c>
    </row>
    <row r="2312" spans="1:3" x14ac:dyDescent="0.25">
      <c r="A2312">
        <v>37</v>
      </c>
      <c r="B2312" t="str">
        <f>"8:55:18.371504"</f>
        <v>8:55:18.371504</v>
      </c>
      <c r="C2312">
        <v>-40</v>
      </c>
    </row>
    <row r="2313" spans="1:3" x14ac:dyDescent="0.25">
      <c r="A2313">
        <v>37</v>
      </c>
      <c r="B2313" t="str">
        <f>"8:55:18.371831"</f>
        <v>8:55:18.371831</v>
      </c>
      <c r="C2313">
        <v>-44</v>
      </c>
    </row>
    <row r="2314" spans="1:3" x14ac:dyDescent="0.25">
      <c r="A2314">
        <v>38</v>
      </c>
      <c r="B2314" t="str">
        <f>"8:55:18.372607"</f>
        <v>8:55:18.372607</v>
      </c>
      <c r="C2314">
        <v>-41</v>
      </c>
    </row>
    <row r="2315" spans="1:3" x14ac:dyDescent="0.25">
      <c r="A2315">
        <v>39</v>
      </c>
      <c r="B2315" t="str">
        <f>"8:55:18.373633"</f>
        <v>8:55:18.373633</v>
      </c>
      <c r="C2315">
        <v>-45</v>
      </c>
    </row>
    <row r="2316" spans="1:3" x14ac:dyDescent="0.25">
      <c r="A2316">
        <v>37</v>
      </c>
      <c r="B2316" t="str">
        <f>"8:55:18.723802"</f>
        <v>8:55:18.723802</v>
      </c>
      <c r="C2316">
        <v>-44</v>
      </c>
    </row>
    <row r="2317" spans="1:3" x14ac:dyDescent="0.25">
      <c r="A2317">
        <v>37</v>
      </c>
      <c r="B2317" t="str">
        <f>"8:55:18.724320"</f>
        <v>8:55:18.724320</v>
      </c>
      <c r="C2317">
        <v>-40</v>
      </c>
    </row>
    <row r="2318" spans="1:3" x14ac:dyDescent="0.25">
      <c r="A2318">
        <v>37</v>
      </c>
      <c r="B2318" t="str">
        <f>"8:55:18.724646"</f>
        <v>8:55:18.724646</v>
      </c>
      <c r="C2318">
        <v>-44</v>
      </c>
    </row>
    <row r="2319" spans="1:3" x14ac:dyDescent="0.25">
      <c r="A2319">
        <v>38</v>
      </c>
      <c r="B2319" t="str">
        <f>"8:55:18.725422"</f>
        <v>8:55:18.725422</v>
      </c>
      <c r="C2319">
        <v>-41</v>
      </c>
    </row>
    <row r="2320" spans="1:3" x14ac:dyDescent="0.25">
      <c r="A2320">
        <v>39</v>
      </c>
      <c r="B2320" t="str">
        <f>"8:55:18.726448"</f>
        <v>8:55:18.726448</v>
      </c>
      <c r="C2320">
        <v>-45</v>
      </c>
    </row>
    <row r="2321" spans="1:3" x14ac:dyDescent="0.25">
      <c r="A2321">
        <v>37</v>
      </c>
      <c r="B2321" t="str">
        <f>"8:55:19.078661"</f>
        <v>8:55:19.078661</v>
      </c>
      <c r="C2321">
        <v>-44</v>
      </c>
    </row>
    <row r="2322" spans="1:3" x14ac:dyDescent="0.25">
      <c r="A2322">
        <v>37</v>
      </c>
      <c r="B2322" t="str">
        <f>"8:55:19.079179"</f>
        <v>8:55:19.079179</v>
      </c>
      <c r="C2322">
        <v>-40</v>
      </c>
    </row>
    <row r="2323" spans="1:3" x14ac:dyDescent="0.25">
      <c r="A2323">
        <v>37</v>
      </c>
      <c r="B2323" t="str">
        <f>"8:55:19.079506"</f>
        <v>8:55:19.079506</v>
      </c>
      <c r="C2323">
        <v>-44</v>
      </c>
    </row>
    <row r="2324" spans="1:3" x14ac:dyDescent="0.25">
      <c r="A2324">
        <v>38</v>
      </c>
      <c r="B2324" t="str">
        <f>"8:55:19.080282"</f>
        <v>8:55:19.080282</v>
      </c>
      <c r="C2324">
        <v>-41</v>
      </c>
    </row>
    <row r="2325" spans="1:3" x14ac:dyDescent="0.25">
      <c r="A2325">
        <v>39</v>
      </c>
      <c r="B2325" t="str">
        <f>"8:55:19.081308"</f>
        <v>8:55:19.081308</v>
      </c>
      <c r="C2325">
        <v>-45</v>
      </c>
    </row>
    <row r="2326" spans="1:3" x14ac:dyDescent="0.25">
      <c r="A2326">
        <v>37</v>
      </c>
      <c r="B2326" t="str">
        <f>"8:55:19.437077"</f>
        <v>8:55:19.437077</v>
      </c>
      <c r="C2326">
        <v>-44</v>
      </c>
    </row>
    <row r="2327" spans="1:3" x14ac:dyDescent="0.25">
      <c r="A2327">
        <v>38</v>
      </c>
      <c r="B2327" t="str">
        <f>"8:55:19.438104"</f>
        <v>8:55:19.438104</v>
      </c>
      <c r="C2327">
        <v>-41</v>
      </c>
    </row>
    <row r="2328" spans="1:3" x14ac:dyDescent="0.25">
      <c r="A2328">
        <v>38</v>
      </c>
      <c r="B2328" t="str">
        <f>"8:55:19.438622"</f>
        <v>8:55:19.438622</v>
      </c>
      <c r="C2328">
        <v>-32</v>
      </c>
    </row>
    <row r="2329" spans="1:3" x14ac:dyDescent="0.25">
      <c r="A2329">
        <v>38</v>
      </c>
      <c r="B2329" t="str">
        <f>"8:55:19.438948"</f>
        <v>8:55:19.438948</v>
      </c>
      <c r="C2329">
        <v>-41</v>
      </c>
    </row>
    <row r="2330" spans="1:3" x14ac:dyDescent="0.25">
      <c r="A2330">
        <v>39</v>
      </c>
      <c r="B2330" t="str">
        <f>"8:55:19.439724"</f>
        <v>8:55:19.439724</v>
      </c>
      <c r="C2330">
        <v>-45</v>
      </c>
    </row>
    <row r="2331" spans="1:3" x14ac:dyDescent="0.25">
      <c r="A2331">
        <v>37</v>
      </c>
      <c r="B2331" t="str">
        <f>"8:55:19.788337"</f>
        <v>8:55:19.788337</v>
      </c>
      <c r="C2331">
        <v>-44</v>
      </c>
    </row>
    <row r="2332" spans="1:3" x14ac:dyDescent="0.25">
      <c r="A2332">
        <v>38</v>
      </c>
      <c r="B2332" t="str">
        <f>"8:55:19.789364"</f>
        <v>8:55:19.789364</v>
      </c>
      <c r="C2332">
        <v>-41</v>
      </c>
    </row>
    <row r="2333" spans="1:3" x14ac:dyDescent="0.25">
      <c r="A2333">
        <v>38</v>
      </c>
      <c r="B2333" t="str">
        <f>"8:55:19.789883"</f>
        <v>8:55:19.789883</v>
      </c>
      <c r="C2333">
        <v>-32</v>
      </c>
    </row>
    <row r="2334" spans="1:3" x14ac:dyDescent="0.25">
      <c r="A2334">
        <v>38</v>
      </c>
      <c r="B2334" t="str">
        <f>"8:55:19.790209"</f>
        <v>8:55:19.790209</v>
      </c>
      <c r="C2334">
        <v>-41</v>
      </c>
    </row>
    <row r="2335" spans="1:3" x14ac:dyDescent="0.25">
      <c r="A2335">
        <v>39</v>
      </c>
      <c r="B2335" t="str">
        <f>"8:55:19.790984"</f>
        <v>8:55:19.790984</v>
      </c>
      <c r="C2335">
        <v>-45</v>
      </c>
    </row>
    <row r="2336" spans="1:3" x14ac:dyDescent="0.25">
      <c r="A2336">
        <v>37</v>
      </c>
      <c r="B2336" t="str">
        <f>"8:55:20.146821"</f>
        <v>8:55:20.146821</v>
      </c>
      <c r="C2336">
        <v>-44</v>
      </c>
    </row>
    <row r="2337" spans="1:3" x14ac:dyDescent="0.25">
      <c r="A2337">
        <v>38</v>
      </c>
      <c r="B2337" t="str">
        <f>"8:55:20.147848"</f>
        <v>8:55:20.147848</v>
      </c>
      <c r="C2337">
        <v>-41</v>
      </c>
    </row>
    <row r="2338" spans="1:3" x14ac:dyDescent="0.25">
      <c r="A2338">
        <v>38</v>
      </c>
      <c r="B2338" t="str">
        <f>"8:55:20.148367"</f>
        <v>8:55:20.148367</v>
      </c>
      <c r="C2338">
        <v>-32</v>
      </c>
    </row>
    <row r="2339" spans="1:3" x14ac:dyDescent="0.25">
      <c r="A2339">
        <v>38</v>
      </c>
      <c r="B2339" t="str">
        <f>"8:55:20.148692"</f>
        <v>8:55:20.148692</v>
      </c>
      <c r="C2339">
        <v>-41</v>
      </c>
    </row>
    <row r="2340" spans="1:3" x14ac:dyDescent="0.25">
      <c r="A2340">
        <v>39</v>
      </c>
      <c r="B2340" t="str">
        <f>"8:55:20.149468"</f>
        <v>8:55:20.149468</v>
      </c>
      <c r="C2340">
        <v>-45</v>
      </c>
    </row>
    <row r="2341" spans="1:3" x14ac:dyDescent="0.25">
      <c r="A2341">
        <v>37</v>
      </c>
      <c r="B2341" t="str">
        <f>"8:55:20.505042"</f>
        <v>8:55:20.505042</v>
      </c>
      <c r="C2341">
        <v>-44</v>
      </c>
    </row>
    <row r="2342" spans="1:3" x14ac:dyDescent="0.25">
      <c r="A2342">
        <v>38</v>
      </c>
      <c r="B2342" t="str">
        <f>"8:55:20.506070"</f>
        <v>8:55:20.506070</v>
      </c>
      <c r="C2342">
        <v>-41</v>
      </c>
    </row>
    <row r="2343" spans="1:3" x14ac:dyDescent="0.25">
      <c r="A2343">
        <v>38</v>
      </c>
      <c r="B2343" t="str">
        <f>"8:55:20.506588"</f>
        <v>8:55:20.506588</v>
      </c>
      <c r="C2343">
        <v>-32</v>
      </c>
    </row>
    <row r="2344" spans="1:3" x14ac:dyDescent="0.25">
      <c r="A2344">
        <v>38</v>
      </c>
      <c r="B2344" t="str">
        <f>"8:55:20.506914"</f>
        <v>8:55:20.506914</v>
      </c>
      <c r="C2344">
        <v>-41</v>
      </c>
    </row>
    <row r="2345" spans="1:3" x14ac:dyDescent="0.25">
      <c r="A2345">
        <v>39</v>
      </c>
      <c r="B2345" t="str">
        <f>"8:55:20.507690"</f>
        <v>8:55:20.507690</v>
      </c>
      <c r="C2345">
        <v>-45</v>
      </c>
    </row>
    <row r="2346" spans="1:3" x14ac:dyDescent="0.25">
      <c r="A2346">
        <v>37</v>
      </c>
      <c r="B2346" t="str">
        <f>"8:55:20.856539"</f>
        <v>8:55:20.856539</v>
      </c>
      <c r="C2346">
        <v>-44</v>
      </c>
    </row>
    <row r="2347" spans="1:3" x14ac:dyDescent="0.25">
      <c r="A2347">
        <v>38</v>
      </c>
      <c r="B2347" t="str">
        <f>"8:55:20.857566"</f>
        <v>8:55:20.857566</v>
      </c>
      <c r="C2347">
        <v>-41</v>
      </c>
    </row>
    <row r="2348" spans="1:3" x14ac:dyDescent="0.25">
      <c r="A2348">
        <v>38</v>
      </c>
      <c r="B2348" t="str">
        <f>"8:55:20.858085"</f>
        <v>8:55:20.858085</v>
      </c>
      <c r="C2348">
        <v>-32</v>
      </c>
    </row>
    <row r="2349" spans="1:3" x14ac:dyDescent="0.25">
      <c r="A2349">
        <v>38</v>
      </c>
      <c r="B2349" t="str">
        <f>"8:55:20.858411"</f>
        <v>8:55:20.858411</v>
      </c>
      <c r="C2349">
        <v>-41</v>
      </c>
    </row>
    <row r="2350" spans="1:3" x14ac:dyDescent="0.25">
      <c r="A2350">
        <v>39</v>
      </c>
      <c r="B2350" t="str">
        <f>"8:55:20.859187"</f>
        <v>8:55:20.859187</v>
      </c>
      <c r="C2350">
        <v>-46</v>
      </c>
    </row>
    <row r="2351" spans="1:3" x14ac:dyDescent="0.25">
      <c r="A2351">
        <v>37</v>
      </c>
      <c r="B2351" t="str">
        <f>"8:55:21.211156"</f>
        <v>8:55:21.211156</v>
      </c>
      <c r="C2351">
        <v>-44</v>
      </c>
    </row>
    <row r="2352" spans="1:3" x14ac:dyDescent="0.25">
      <c r="A2352">
        <v>38</v>
      </c>
      <c r="B2352" t="str">
        <f>"8:55:21.212184"</f>
        <v>8:55:21.212184</v>
      </c>
      <c r="C2352">
        <v>-41</v>
      </c>
    </row>
    <row r="2353" spans="1:3" x14ac:dyDescent="0.25">
      <c r="A2353">
        <v>38</v>
      </c>
      <c r="B2353" t="str">
        <f>"8:55:21.212702"</f>
        <v>8:55:21.212702</v>
      </c>
      <c r="C2353">
        <v>-32</v>
      </c>
    </row>
    <row r="2354" spans="1:3" x14ac:dyDescent="0.25">
      <c r="A2354">
        <v>38</v>
      </c>
      <c r="B2354" t="str">
        <f>"8:55:21.213028"</f>
        <v>8:55:21.213028</v>
      </c>
      <c r="C2354">
        <v>-41</v>
      </c>
    </row>
    <row r="2355" spans="1:3" x14ac:dyDescent="0.25">
      <c r="A2355">
        <v>39</v>
      </c>
      <c r="B2355" t="str">
        <f>"8:55:21.213804"</f>
        <v>8:55:21.213804</v>
      </c>
      <c r="C2355">
        <v>-45</v>
      </c>
    </row>
    <row r="2356" spans="1:3" x14ac:dyDescent="0.25">
      <c r="A2356">
        <v>39</v>
      </c>
      <c r="B2356" t="str">
        <f>"8:55:21.214650"</f>
        <v>8:55:21.214650</v>
      </c>
      <c r="C2356">
        <v>-45</v>
      </c>
    </row>
    <row r="2357" spans="1:3" x14ac:dyDescent="0.25">
      <c r="A2357">
        <v>37</v>
      </c>
      <c r="B2357" t="str">
        <f>"8:55:21.567601"</f>
        <v>8:55:21.567601</v>
      </c>
      <c r="C2357">
        <v>-44</v>
      </c>
    </row>
    <row r="2358" spans="1:3" x14ac:dyDescent="0.25">
      <c r="A2358">
        <v>38</v>
      </c>
      <c r="B2358" t="str">
        <f>"8:55:21.568628"</f>
        <v>8:55:21.568628</v>
      </c>
      <c r="C2358">
        <v>-41</v>
      </c>
    </row>
    <row r="2359" spans="1:3" x14ac:dyDescent="0.25">
      <c r="A2359">
        <v>38</v>
      </c>
      <c r="B2359" t="str">
        <f>"8:55:21.569147"</f>
        <v>8:55:21.569147</v>
      </c>
      <c r="C2359">
        <v>-32</v>
      </c>
    </row>
    <row r="2360" spans="1:3" x14ac:dyDescent="0.25">
      <c r="A2360">
        <v>38</v>
      </c>
      <c r="B2360" t="str">
        <f>"8:55:21.569472"</f>
        <v>8:55:21.569472</v>
      </c>
      <c r="C2360">
        <v>-41</v>
      </c>
    </row>
    <row r="2361" spans="1:3" x14ac:dyDescent="0.25">
      <c r="A2361">
        <v>39</v>
      </c>
      <c r="B2361" t="str">
        <f>"8:55:21.570248"</f>
        <v>8:55:21.570248</v>
      </c>
      <c r="C2361">
        <v>-45</v>
      </c>
    </row>
    <row r="2362" spans="1:3" x14ac:dyDescent="0.25">
      <c r="A2362">
        <v>37</v>
      </c>
      <c r="B2362" t="str">
        <f>"8:55:21.925304"</f>
        <v>8:55:21.925304</v>
      </c>
      <c r="C2362">
        <v>-44</v>
      </c>
    </row>
    <row r="2363" spans="1:3" x14ac:dyDescent="0.25">
      <c r="A2363">
        <v>38</v>
      </c>
      <c r="B2363" t="str">
        <f>"8:55:21.926332"</f>
        <v>8:55:21.926332</v>
      </c>
      <c r="C2363">
        <v>-41</v>
      </c>
    </row>
    <row r="2364" spans="1:3" x14ac:dyDescent="0.25">
      <c r="A2364">
        <v>38</v>
      </c>
      <c r="B2364" t="str">
        <f>"8:55:21.926850"</f>
        <v>8:55:21.926850</v>
      </c>
      <c r="C2364">
        <v>-32</v>
      </c>
    </row>
    <row r="2365" spans="1:3" x14ac:dyDescent="0.25">
      <c r="A2365">
        <v>38</v>
      </c>
      <c r="B2365" t="str">
        <f>"8:55:21.927176"</f>
        <v>8:55:21.927176</v>
      </c>
      <c r="C2365">
        <v>-41</v>
      </c>
    </row>
    <row r="2366" spans="1:3" x14ac:dyDescent="0.25">
      <c r="A2366">
        <v>39</v>
      </c>
      <c r="B2366" t="str">
        <f>"8:55:21.927952"</f>
        <v>8:55:21.927952</v>
      </c>
      <c r="C2366">
        <v>-45</v>
      </c>
    </row>
    <row r="2367" spans="1:3" x14ac:dyDescent="0.25">
      <c r="A2367">
        <v>37</v>
      </c>
      <c r="B2367" t="str">
        <f>"8:55:22.283201"</f>
        <v>8:55:22.283201</v>
      </c>
      <c r="C2367">
        <v>-45</v>
      </c>
    </row>
    <row r="2368" spans="1:3" x14ac:dyDescent="0.25">
      <c r="A2368">
        <v>38</v>
      </c>
      <c r="B2368" t="str">
        <f>"8:55:22.284229"</f>
        <v>8:55:22.284229</v>
      </c>
      <c r="C2368">
        <v>-41</v>
      </c>
    </row>
    <row r="2369" spans="1:3" x14ac:dyDescent="0.25">
      <c r="A2369">
        <v>38</v>
      </c>
      <c r="B2369" t="str">
        <f>"8:55:22.284747"</f>
        <v>8:55:22.284747</v>
      </c>
      <c r="C2369">
        <v>-32</v>
      </c>
    </row>
    <row r="2370" spans="1:3" x14ac:dyDescent="0.25">
      <c r="A2370">
        <v>38</v>
      </c>
      <c r="B2370" t="str">
        <f>"8:55:22.285073"</f>
        <v>8:55:22.285073</v>
      </c>
      <c r="C2370">
        <v>-41</v>
      </c>
    </row>
    <row r="2371" spans="1:3" x14ac:dyDescent="0.25">
      <c r="A2371">
        <v>39</v>
      </c>
      <c r="B2371" t="str">
        <f>"8:55:22.285849"</f>
        <v>8:55:22.285849</v>
      </c>
      <c r="C2371">
        <v>-46</v>
      </c>
    </row>
    <row r="2372" spans="1:3" x14ac:dyDescent="0.25">
      <c r="A2372">
        <v>37</v>
      </c>
      <c r="B2372" t="str">
        <f>"8:55:22.642711"</f>
        <v>8:55:22.642711</v>
      </c>
      <c r="C2372">
        <v>-45</v>
      </c>
    </row>
    <row r="2373" spans="1:3" x14ac:dyDescent="0.25">
      <c r="A2373">
        <v>38</v>
      </c>
      <c r="B2373" t="str">
        <f>"8:55:22.643738"</f>
        <v>8:55:22.643738</v>
      </c>
      <c r="C2373">
        <v>-41</v>
      </c>
    </row>
    <row r="2374" spans="1:3" x14ac:dyDescent="0.25">
      <c r="A2374">
        <v>38</v>
      </c>
      <c r="B2374" t="str">
        <f>"8:55:22.644257"</f>
        <v>8:55:22.644257</v>
      </c>
      <c r="C2374">
        <v>-32</v>
      </c>
    </row>
    <row r="2375" spans="1:3" x14ac:dyDescent="0.25">
      <c r="A2375">
        <v>38</v>
      </c>
      <c r="B2375" t="str">
        <f>"8:55:22.644584"</f>
        <v>8:55:22.644584</v>
      </c>
      <c r="C2375">
        <v>-41</v>
      </c>
    </row>
    <row r="2376" spans="1:3" x14ac:dyDescent="0.25">
      <c r="A2376">
        <v>39</v>
      </c>
      <c r="B2376" t="str">
        <f>"8:55:22.645360"</f>
        <v>8:55:22.645360</v>
      </c>
      <c r="C2376">
        <v>-46</v>
      </c>
    </row>
    <row r="2377" spans="1:3" x14ac:dyDescent="0.25">
      <c r="A2377">
        <v>37</v>
      </c>
      <c r="B2377" t="str">
        <f>"8:55:23.001716"</f>
        <v>8:55:23.001716</v>
      </c>
      <c r="C2377">
        <v>-45</v>
      </c>
    </row>
    <row r="2378" spans="1:3" x14ac:dyDescent="0.25">
      <c r="A2378">
        <v>38</v>
      </c>
      <c r="B2378" t="str">
        <f>"8:55:23.002743"</f>
        <v>8:55:23.002743</v>
      </c>
      <c r="C2378">
        <v>-41</v>
      </c>
    </row>
    <row r="2379" spans="1:3" x14ac:dyDescent="0.25">
      <c r="A2379">
        <v>38</v>
      </c>
      <c r="B2379" t="str">
        <f>"8:55:23.003262"</f>
        <v>8:55:23.003262</v>
      </c>
      <c r="C2379">
        <v>-32</v>
      </c>
    </row>
    <row r="2380" spans="1:3" x14ac:dyDescent="0.25">
      <c r="A2380">
        <v>38</v>
      </c>
      <c r="B2380" t="str">
        <f>"8:55:23.003588"</f>
        <v>8:55:23.003588</v>
      </c>
      <c r="C2380">
        <v>-41</v>
      </c>
    </row>
    <row r="2381" spans="1:3" x14ac:dyDescent="0.25">
      <c r="A2381">
        <v>39</v>
      </c>
      <c r="B2381" t="str">
        <f>"8:55:23.004364"</f>
        <v>8:55:23.004364</v>
      </c>
      <c r="C2381">
        <v>-46</v>
      </c>
    </row>
    <row r="2382" spans="1:3" x14ac:dyDescent="0.25">
      <c r="A2382">
        <v>37</v>
      </c>
      <c r="B2382" t="str">
        <f>"8:55:23.361701"</f>
        <v>8:55:23.361701</v>
      </c>
      <c r="C2382">
        <v>-44</v>
      </c>
    </row>
    <row r="2383" spans="1:3" x14ac:dyDescent="0.25">
      <c r="A2383">
        <v>38</v>
      </c>
      <c r="B2383" t="str">
        <f>"8:55:23.362728"</f>
        <v>8:55:23.362728</v>
      </c>
      <c r="C2383">
        <v>-41</v>
      </c>
    </row>
    <row r="2384" spans="1:3" x14ac:dyDescent="0.25">
      <c r="A2384">
        <v>38</v>
      </c>
      <c r="B2384" t="str">
        <f>"8:55:23.363247"</f>
        <v>8:55:23.363247</v>
      </c>
      <c r="C2384">
        <v>-32</v>
      </c>
    </row>
    <row r="2385" spans="1:3" x14ac:dyDescent="0.25">
      <c r="A2385">
        <v>38</v>
      </c>
      <c r="B2385" t="str">
        <f>"8:55:23.363572"</f>
        <v>8:55:23.363572</v>
      </c>
      <c r="C2385">
        <v>-41</v>
      </c>
    </row>
    <row r="2386" spans="1:3" x14ac:dyDescent="0.25">
      <c r="A2386">
        <v>39</v>
      </c>
      <c r="B2386" t="str">
        <f>"8:55:23.364348"</f>
        <v>8:55:23.364348</v>
      </c>
      <c r="C2386">
        <v>-46</v>
      </c>
    </row>
    <row r="2387" spans="1:3" x14ac:dyDescent="0.25">
      <c r="A2387">
        <v>37</v>
      </c>
      <c r="B2387" t="str">
        <f>"8:55:23.717864"</f>
        <v>8:55:23.717864</v>
      </c>
      <c r="C2387">
        <v>-45</v>
      </c>
    </row>
    <row r="2388" spans="1:3" x14ac:dyDescent="0.25">
      <c r="A2388">
        <v>38</v>
      </c>
      <c r="B2388" t="str">
        <f>"8:55:23.718892"</f>
        <v>8:55:23.718892</v>
      </c>
      <c r="C2388">
        <v>-41</v>
      </c>
    </row>
    <row r="2389" spans="1:3" x14ac:dyDescent="0.25">
      <c r="A2389">
        <v>38</v>
      </c>
      <c r="B2389" t="str">
        <f>"8:55:23.719411"</f>
        <v>8:55:23.719411</v>
      </c>
      <c r="C2389">
        <v>-32</v>
      </c>
    </row>
    <row r="2390" spans="1:3" x14ac:dyDescent="0.25">
      <c r="A2390">
        <v>38</v>
      </c>
      <c r="B2390" t="str">
        <f>"8:55:23.719737"</f>
        <v>8:55:23.719737</v>
      </c>
      <c r="C2390">
        <v>-41</v>
      </c>
    </row>
    <row r="2391" spans="1:3" x14ac:dyDescent="0.25">
      <c r="A2391">
        <v>39</v>
      </c>
      <c r="B2391" t="str">
        <f>"8:55:23.720513"</f>
        <v>8:55:23.720513</v>
      </c>
      <c r="C2391">
        <v>-46</v>
      </c>
    </row>
    <row r="2392" spans="1:3" x14ac:dyDescent="0.25">
      <c r="A2392">
        <v>39</v>
      </c>
      <c r="B2392" t="str">
        <f>"8:55:23.721031"</f>
        <v>8:55:23.721031</v>
      </c>
      <c r="C2392">
        <v>-78</v>
      </c>
    </row>
    <row r="2393" spans="1:3" x14ac:dyDescent="0.25">
      <c r="A2393">
        <v>39</v>
      </c>
      <c r="B2393" t="str">
        <f>"8:55:23.721358"</f>
        <v>8:55:23.721358</v>
      </c>
      <c r="C2393">
        <v>-45</v>
      </c>
    </row>
    <row r="2394" spans="1:3" x14ac:dyDescent="0.25">
      <c r="A2394">
        <v>37</v>
      </c>
      <c r="B2394" t="str">
        <f>"8:55:24.072511"</f>
        <v>8:55:24.072511</v>
      </c>
      <c r="C2394">
        <v>-45</v>
      </c>
    </row>
    <row r="2395" spans="1:3" x14ac:dyDescent="0.25">
      <c r="A2395">
        <v>38</v>
      </c>
      <c r="B2395" t="str">
        <f>"8:55:24.073539"</f>
        <v>8:55:24.073539</v>
      </c>
      <c r="C2395">
        <v>-41</v>
      </c>
    </row>
    <row r="2396" spans="1:3" x14ac:dyDescent="0.25">
      <c r="A2396">
        <v>38</v>
      </c>
      <c r="B2396" t="str">
        <f>"8:55:24.074057"</f>
        <v>8:55:24.074057</v>
      </c>
      <c r="C2396">
        <v>-32</v>
      </c>
    </row>
    <row r="2397" spans="1:3" x14ac:dyDescent="0.25">
      <c r="A2397">
        <v>38</v>
      </c>
      <c r="B2397" t="str">
        <f>"8:55:24.074383"</f>
        <v>8:55:24.074383</v>
      </c>
      <c r="C2397">
        <v>-41</v>
      </c>
    </row>
    <row r="2398" spans="1:3" x14ac:dyDescent="0.25">
      <c r="A2398">
        <v>39</v>
      </c>
      <c r="B2398" t="str">
        <f>"8:55:24.075159"</f>
        <v>8:55:24.075159</v>
      </c>
      <c r="C2398">
        <v>-46</v>
      </c>
    </row>
    <row r="2399" spans="1:3" x14ac:dyDescent="0.25">
      <c r="A2399">
        <v>37</v>
      </c>
      <c r="B2399" t="str">
        <f>"8:55:24.425118"</f>
        <v>8:55:24.425118</v>
      </c>
      <c r="C2399">
        <v>-44</v>
      </c>
    </row>
    <row r="2400" spans="1:3" x14ac:dyDescent="0.25">
      <c r="A2400">
        <v>38</v>
      </c>
      <c r="B2400" t="str">
        <f>"8:55:24.426145"</f>
        <v>8:55:24.426145</v>
      </c>
      <c r="C2400">
        <v>-41</v>
      </c>
    </row>
    <row r="2401" spans="1:3" x14ac:dyDescent="0.25">
      <c r="A2401">
        <v>38</v>
      </c>
      <c r="B2401" t="str">
        <f>"8:55:24.426664"</f>
        <v>8:55:24.426664</v>
      </c>
      <c r="C2401">
        <v>-32</v>
      </c>
    </row>
    <row r="2402" spans="1:3" x14ac:dyDescent="0.25">
      <c r="A2402">
        <v>38</v>
      </c>
      <c r="B2402" t="str">
        <f>"8:55:24.426990"</f>
        <v>8:55:24.426990</v>
      </c>
      <c r="C2402">
        <v>-41</v>
      </c>
    </row>
    <row r="2403" spans="1:3" x14ac:dyDescent="0.25">
      <c r="A2403">
        <v>39</v>
      </c>
      <c r="B2403" t="str">
        <f>"8:55:24.427766"</f>
        <v>8:55:24.427766</v>
      </c>
      <c r="C2403">
        <v>-45</v>
      </c>
    </row>
    <row r="2404" spans="1:3" x14ac:dyDescent="0.25">
      <c r="A2404">
        <v>37</v>
      </c>
      <c r="B2404" t="str">
        <f>"8:55:24.779443"</f>
        <v>8:55:24.779443</v>
      </c>
      <c r="C2404">
        <v>-44</v>
      </c>
    </row>
    <row r="2405" spans="1:3" x14ac:dyDescent="0.25">
      <c r="A2405">
        <v>38</v>
      </c>
      <c r="B2405" t="str">
        <f>"8:55:24.780470"</f>
        <v>8:55:24.780470</v>
      </c>
      <c r="C2405">
        <v>-41</v>
      </c>
    </row>
    <row r="2406" spans="1:3" x14ac:dyDescent="0.25">
      <c r="A2406">
        <v>39</v>
      </c>
      <c r="B2406" t="str">
        <f>"8:55:24.781496"</f>
        <v>8:55:24.781496</v>
      </c>
      <c r="C2406">
        <v>-45</v>
      </c>
    </row>
    <row r="2407" spans="1:3" x14ac:dyDescent="0.25">
      <c r="A2407">
        <v>39</v>
      </c>
      <c r="B2407" t="str">
        <f>"8:55:24.782015"</f>
        <v>8:55:24.782015</v>
      </c>
      <c r="C2407">
        <v>-31</v>
      </c>
    </row>
    <row r="2408" spans="1:3" x14ac:dyDescent="0.25">
      <c r="A2408">
        <v>39</v>
      </c>
      <c r="B2408" t="str">
        <f>"8:55:24.782341"</f>
        <v>8:55:24.782341</v>
      </c>
      <c r="C2408">
        <v>-45</v>
      </c>
    </row>
    <row r="2409" spans="1:3" x14ac:dyDescent="0.25">
      <c r="A2409">
        <v>37</v>
      </c>
      <c r="B2409" t="str">
        <f>"8:55:25.131996"</f>
        <v>8:55:25.131996</v>
      </c>
      <c r="C2409">
        <v>-44</v>
      </c>
    </row>
    <row r="2410" spans="1:3" x14ac:dyDescent="0.25">
      <c r="A2410">
        <v>38</v>
      </c>
      <c r="B2410" t="str">
        <f>"8:55:25.133024"</f>
        <v>8:55:25.133024</v>
      </c>
      <c r="C2410">
        <v>-41</v>
      </c>
    </row>
    <row r="2411" spans="1:3" x14ac:dyDescent="0.25">
      <c r="A2411">
        <v>39</v>
      </c>
      <c r="B2411" t="str">
        <f>"8:55:25.134050"</f>
        <v>8:55:25.134050</v>
      </c>
      <c r="C2411">
        <v>-45</v>
      </c>
    </row>
    <row r="2412" spans="1:3" x14ac:dyDescent="0.25">
      <c r="A2412">
        <v>39</v>
      </c>
      <c r="B2412" t="str">
        <f>"8:55:25.134568"</f>
        <v>8:55:25.134568</v>
      </c>
      <c r="C2412">
        <v>-31</v>
      </c>
    </row>
    <row r="2413" spans="1:3" x14ac:dyDescent="0.25">
      <c r="A2413">
        <v>39</v>
      </c>
      <c r="B2413" t="str">
        <f>"8:55:25.134894"</f>
        <v>8:55:25.134894</v>
      </c>
      <c r="C2413">
        <v>-45</v>
      </c>
    </row>
    <row r="2414" spans="1:3" x14ac:dyDescent="0.25">
      <c r="A2414">
        <v>37</v>
      </c>
      <c r="B2414" t="str">
        <f>"8:55:25.487862"</f>
        <v>8:55:25.487862</v>
      </c>
      <c r="C2414">
        <v>-44</v>
      </c>
    </row>
    <row r="2415" spans="1:3" x14ac:dyDescent="0.25">
      <c r="A2415">
        <v>38</v>
      </c>
      <c r="B2415" t="str">
        <f>"8:55:25.488889"</f>
        <v>8:55:25.488889</v>
      </c>
      <c r="C2415">
        <v>-41</v>
      </c>
    </row>
    <row r="2416" spans="1:3" x14ac:dyDescent="0.25">
      <c r="A2416">
        <v>39</v>
      </c>
      <c r="B2416" t="str">
        <f>"8:55:25.489915"</f>
        <v>8:55:25.489915</v>
      </c>
      <c r="C2416">
        <v>-45</v>
      </c>
    </row>
    <row r="2417" spans="1:3" x14ac:dyDescent="0.25">
      <c r="A2417">
        <v>37</v>
      </c>
      <c r="B2417" t="str">
        <f>"8:55:25.845766"</f>
        <v>8:55:25.845766</v>
      </c>
      <c r="C2417">
        <v>-44</v>
      </c>
    </row>
    <row r="2418" spans="1:3" x14ac:dyDescent="0.25">
      <c r="A2418">
        <v>38</v>
      </c>
      <c r="B2418" t="str">
        <f>"8:55:25.846793"</f>
        <v>8:55:25.846793</v>
      </c>
      <c r="C2418">
        <v>-41</v>
      </c>
    </row>
    <row r="2419" spans="1:3" x14ac:dyDescent="0.25">
      <c r="A2419">
        <v>39</v>
      </c>
      <c r="B2419" t="str">
        <f>"8:55:25.847819"</f>
        <v>8:55:25.847819</v>
      </c>
      <c r="C2419">
        <v>-45</v>
      </c>
    </row>
    <row r="2420" spans="1:3" x14ac:dyDescent="0.25">
      <c r="A2420">
        <v>37</v>
      </c>
      <c r="B2420" t="str">
        <f>"8:55:26.200870"</f>
        <v>8:55:26.200870</v>
      </c>
      <c r="C2420">
        <v>-44</v>
      </c>
    </row>
    <row r="2421" spans="1:3" x14ac:dyDescent="0.25">
      <c r="A2421">
        <v>38</v>
      </c>
      <c r="B2421" t="str">
        <f>"8:55:26.201897"</f>
        <v>8:55:26.201897</v>
      </c>
      <c r="C2421">
        <v>-41</v>
      </c>
    </row>
    <row r="2422" spans="1:3" x14ac:dyDescent="0.25">
      <c r="A2422">
        <v>39</v>
      </c>
      <c r="B2422" t="str">
        <f>"8:55:26.202923"</f>
        <v>8:55:26.202923</v>
      </c>
      <c r="C2422">
        <v>-45</v>
      </c>
    </row>
    <row r="2423" spans="1:3" x14ac:dyDescent="0.25">
      <c r="A2423">
        <v>39</v>
      </c>
      <c r="B2423" t="str">
        <f>"8:55:26.203441"</f>
        <v>8:55:26.203441</v>
      </c>
      <c r="C2423">
        <v>-31</v>
      </c>
    </row>
    <row r="2424" spans="1:3" x14ac:dyDescent="0.25">
      <c r="A2424">
        <v>39</v>
      </c>
      <c r="B2424" t="str">
        <f>"8:55:26.203767"</f>
        <v>8:55:26.203767</v>
      </c>
      <c r="C2424">
        <v>-45</v>
      </c>
    </row>
    <row r="2425" spans="1:3" x14ac:dyDescent="0.25">
      <c r="A2425">
        <v>37</v>
      </c>
      <c r="B2425" t="str">
        <f>"8:55:26.556521"</f>
        <v>8:55:26.556521</v>
      </c>
      <c r="C2425">
        <v>-44</v>
      </c>
    </row>
    <row r="2426" spans="1:3" x14ac:dyDescent="0.25">
      <c r="A2426">
        <v>38</v>
      </c>
      <c r="B2426" t="str">
        <f>"8:55:26.557548"</f>
        <v>8:55:26.557548</v>
      </c>
      <c r="C2426">
        <v>-41</v>
      </c>
    </row>
    <row r="2427" spans="1:3" x14ac:dyDescent="0.25">
      <c r="A2427">
        <v>39</v>
      </c>
      <c r="B2427" t="str">
        <f>"8:55:26.558574"</f>
        <v>8:55:26.558574</v>
      </c>
      <c r="C2427">
        <v>-45</v>
      </c>
    </row>
    <row r="2428" spans="1:3" x14ac:dyDescent="0.25">
      <c r="A2428">
        <v>39</v>
      </c>
      <c r="B2428" t="str">
        <f>"8:55:26.559093"</f>
        <v>8:55:26.559093</v>
      </c>
      <c r="C2428">
        <v>-31</v>
      </c>
    </row>
    <row r="2429" spans="1:3" x14ac:dyDescent="0.25">
      <c r="A2429">
        <v>39</v>
      </c>
      <c r="B2429" t="str">
        <f>"8:55:26.559419"</f>
        <v>8:55:26.559419</v>
      </c>
      <c r="C2429">
        <v>-45</v>
      </c>
    </row>
    <row r="2430" spans="1:3" x14ac:dyDescent="0.25">
      <c r="A2430">
        <v>37</v>
      </c>
      <c r="B2430" t="str">
        <f>"8:55:26.909557"</f>
        <v>8:55:26.909557</v>
      </c>
      <c r="C2430">
        <v>-44</v>
      </c>
    </row>
    <row r="2431" spans="1:3" x14ac:dyDescent="0.25">
      <c r="A2431">
        <v>37</v>
      </c>
      <c r="B2431" t="str">
        <f>"8:55:26.910077"</f>
        <v>8:55:26.910077</v>
      </c>
      <c r="C2431">
        <v>-89</v>
      </c>
    </row>
    <row r="2432" spans="1:3" x14ac:dyDescent="0.25">
      <c r="A2432">
        <v>37</v>
      </c>
      <c r="B2432" t="str">
        <f>"8:55:26.910403"</f>
        <v>8:55:26.910403</v>
      </c>
      <c r="C2432">
        <v>-44</v>
      </c>
    </row>
    <row r="2433" spans="1:3" x14ac:dyDescent="0.25">
      <c r="A2433">
        <v>38</v>
      </c>
      <c r="B2433" t="str">
        <f>"8:55:26.911179"</f>
        <v>8:55:26.911179</v>
      </c>
      <c r="C2433">
        <v>-41</v>
      </c>
    </row>
    <row r="2434" spans="1:3" x14ac:dyDescent="0.25">
      <c r="A2434">
        <v>39</v>
      </c>
      <c r="B2434" t="str">
        <f>"8:55:26.912206"</f>
        <v>8:55:26.912206</v>
      </c>
      <c r="C2434">
        <v>-45</v>
      </c>
    </row>
    <row r="2435" spans="1:3" x14ac:dyDescent="0.25">
      <c r="A2435">
        <v>39</v>
      </c>
      <c r="B2435" t="str">
        <f>"8:55:26.912724"</f>
        <v>8:55:26.912724</v>
      </c>
      <c r="C2435">
        <v>-31</v>
      </c>
    </row>
    <row r="2436" spans="1:3" x14ac:dyDescent="0.25">
      <c r="A2436">
        <v>39</v>
      </c>
      <c r="B2436" t="str">
        <f>"8:55:26.913050"</f>
        <v>8:55:26.913050</v>
      </c>
      <c r="C2436">
        <v>-45</v>
      </c>
    </row>
    <row r="2437" spans="1:3" x14ac:dyDescent="0.25">
      <c r="A2437">
        <v>37</v>
      </c>
      <c r="B2437" t="str">
        <f>"8:55:27.268484"</f>
        <v>8:55:27.268484</v>
      </c>
      <c r="C2437">
        <v>-44</v>
      </c>
    </row>
    <row r="2438" spans="1:3" x14ac:dyDescent="0.25">
      <c r="A2438">
        <v>38</v>
      </c>
      <c r="B2438" t="str">
        <f>"8:55:27.269512"</f>
        <v>8:55:27.269512</v>
      </c>
      <c r="C2438">
        <v>-41</v>
      </c>
    </row>
    <row r="2439" spans="1:3" x14ac:dyDescent="0.25">
      <c r="A2439">
        <v>39</v>
      </c>
      <c r="B2439" t="str">
        <f>"8:55:27.270538"</f>
        <v>8:55:27.270538</v>
      </c>
      <c r="C2439">
        <v>-45</v>
      </c>
    </row>
    <row r="2440" spans="1:3" x14ac:dyDescent="0.25">
      <c r="A2440">
        <v>39</v>
      </c>
      <c r="B2440" t="str">
        <f>"8:55:27.271056"</f>
        <v>8:55:27.271056</v>
      </c>
      <c r="C2440">
        <v>-31</v>
      </c>
    </row>
    <row r="2441" spans="1:3" x14ac:dyDescent="0.25">
      <c r="A2441">
        <v>39</v>
      </c>
      <c r="B2441" t="str">
        <f>"8:55:27.271382"</f>
        <v>8:55:27.271382</v>
      </c>
      <c r="C2441">
        <v>-45</v>
      </c>
    </row>
    <row r="2442" spans="1:3" x14ac:dyDescent="0.25">
      <c r="A2442">
        <v>37</v>
      </c>
      <c r="B2442" t="str">
        <f>"8:55:27.626422"</f>
        <v>8:55:27.626422</v>
      </c>
      <c r="C2442">
        <v>-44</v>
      </c>
    </row>
    <row r="2443" spans="1:3" x14ac:dyDescent="0.25">
      <c r="A2443">
        <v>38</v>
      </c>
      <c r="B2443" t="str">
        <f>"8:55:27.627450"</f>
        <v>8:55:27.627450</v>
      </c>
      <c r="C2443">
        <v>-41</v>
      </c>
    </row>
    <row r="2444" spans="1:3" x14ac:dyDescent="0.25">
      <c r="A2444">
        <v>39</v>
      </c>
      <c r="B2444" t="str">
        <f>"8:55:27.628476"</f>
        <v>8:55:27.628476</v>
      </c>
      <c r="C2444">
        <v>-45</v>
      </c>
    </row>
    <row r="2445" spans="1:3" x14ac:dyDescent="0.25">
      <c r="A2445">
        <v>39</v>
      </c>
      <c r="B2445" t="str">
        <f>"8:55:27.628994"</f>
        <v>8:55:27.628994</v>
      </c>
      <c r="C2445">
        <v>-31</v>
      </c>
    </row>
    <row r="2446" spans="1:3" x14ac:dyDescent="0.25">
      <c r="A2446">
        <v>39</v>
      </c>
      <c r="B2446" t="str">
        <f>"8:55:27.629320"</f>
        <v>8:55:27.629320</v>
      </c>
      <c r="C2446">
        <v>-45</v>
      </c>
    </row>
    <row r="2447" spans="1:3" x14ac:dyDescent="0.25">
      <c r="A2447">
        <v>37</v>
      </c>
      <c r="B2447" t="str">
        <f>"8:55:27.982563"</f>
        <v>8:55:27.982563</v>
      </c>
      <c r="C2447">
        <v>-44</v>
      </c>
    </row>
    <row r="2448" spans="1:3" x14ac:dyDescent="0.25">
      <c r="A2448">
        <v>38</v>
      </c>
      <c r="B2448" t="str">
        <f>"8:55:27.983591"</f>
        <v>8:55:27.983591</v>
      </c>
      <c r="C2448">
        <v>-41</v>
      </c>
    </row>
    <row r="2449" spans="1:3" x14ac:dyDescent="0.25">
      <c r="A2449">
        <v>39</v>
      </c>
      <c r="B2449" t="str">
        <f>"8:55:27.984617"</f>
        <v>8:55:27.984617</v>
      </c>
      <c r="C2449">
        <v>-45</v>
      </c>
    </row>
    <row r="2450" spans="1:3" x14ac:dyDescent="0.25">
      <c r="A2450">
        <v>39</v>
      </c>
      <c r="B2450" t="str">
        <f>"8:55:27.985135"</f>
        <v>8:55:27.985135</v>
      </c>
      <c r="C2450">
        <v>-31</v>
      </c>
    </row>
    <row r="2451" spans="1:3" x14ac:dyDescent="0.25">
      <c r="A2451">
        <v>39</v>
      </c>
      <c r="B2451" t="str">
        <f>"8:55:27.985461"</f>
        <v>8:55:27.985461</v>
      </c>
      <c r="C2451">
        <v>-45</v>
      </c>
    </row>
    <row r="2452" spans="1:3" x14ac:dyDescent="0.25">
      <c r="A2452">
        <v>37</v>
      </c>
      <c r="B2452" t="str">
        <f>"8:55:28.337650"</f>
        <v>8:55:28.337650</v>
      </c>
      <c r="C2452">
        <v>-44</v>
      </c>
    </row>
    <row r="2453" spans="1:3" x14ac:dyDescent="0.25">
      <c r="A2453">
        <v>38</v>
      </c>
      <c r="B2453" t="str">
        <f>"8:55:28.338678"</f>
        <v>8:55:28.338678</v>
      </c>
      <c r="C2453">
        <v>-41</v>
      </c>
    </row>
    <row r="2454" spans="1:3" x14ac:dyDescent="0.25">
      <c r="A2454">
        <v>39</v>
      </c>
      <c r="B2454" t="str">
        <f>"8:55:28.339704"</f>
        <v>8:55:28.339704</v>
      </c>
      <c r="C2454">
        <v>-45</v>
      </c>
    </row>
    <row r="2455" spans="1:3" x14ac:dyDescent="0.25">
      <c r="A2455">
        <v>39</v>
      </c>
      <c r="B2455" t="str">
        <f>"8:55:28.340222"</f>
        <v>8:55:28.340222</v>
      </c>
      <c r="C2455">
        <v>-31</v>
      </c>
    </row>
    <row r="2456" spans="1:3" x14ac:dyDescent="0.25">
      <c r="A2456">
        <v>39</v>
      </c>
      <c r="B2456" t="str">
        <f>"8:55:28.340548"</f>
        <v>8:55:28.340548</v>
      </c>
      <c r="C2456">
        <v>-45</v>
      </c>
    </row>
    <row r="2457" spans="1:3" x14ac:dyDescent="0.25">
      <c r="A2457">
        <v>37</v>
      </c>
      <c r="B2457" t="str">
        <f>"8:55:28.689730"</f>
        <v>8:55:28.689730</v>
      </c>
      <c r="C2457">
        <v>-44</v>
      </c>
    </row>
    <row r="2458" spans="1:3" x14ac:dyDescent="0.25">
      <c r="A2458">
        <v>38</v>
      </c>
      <c r="B2458" t="str">
        <f>"8:55:28.690758"</f>
        <v>8:55:28.690758</v>
      </c>
      <c r="C2458">
        <v>-41</v>
      </c>
    </row>
    <row r="2459" spans="1:3" x14ac:dyDescent="0.25">
      <c r="A2459">
        <v>39</v>
      </c>
      <c r="B2459" t="str">
        <f>"8:55:28.691784"</f>
        <v>8:55:28.691784</v>
      </c>
      <c r="C2459">
        <v>-45</v>
      </c>
    </row>
    <row r="2460" spans="1:3" x14ac:dyDescent="0.25">
      <c r="A2460">
        <v>39</v>
      </c>
      <c r="B2460" t="str">
        <f>"8:55:28.692302"</f>
        <v>8:55:28.692302</v>
      </c>
      <c r="C2460">
        <v>-31</v>
      </c>
    </row>
    <row r="2461" spans="1:3" x14ac:dyDescent="0.25">
      <c r="A2461">
        <v>39</v>
      </c>
      <c r="B2461" t="str">
        <f>"8:55:28.692628"</f>
        <v>8:55:28.692628</v>
      </c>
      <c r="C2461">
        <v>-45</v>
      </c>
    </row>
    <row r="2462" spans="1:3" x14ac:dyDescent="0.25">
      <c r="A2462">
        <v>37</v>
      </c>
      <c r="B2462" t="str">
        <f>"8:55:29.045570"</f>
        <v>8:55:29.045570</v>
      </c>
      <c r="C2462">
        <v>-44</v>
      </c>
    </row>
    <row r="2463" spans="1:3" x14ac:dyDescent="0.25">
      <c r="A2463">
        <v>38</v>
      </c>
      <c r="B2463" t="str">
        <f>"8:55:29.046597"</f>
        <v>8:55:29.046597</v>
      </c>
      <c r="C2463">
        <v>-41</v>
      </c>
    </row>
    <row r="2464" spans="1:3" x14ac:dyDescent="0.25">
      <c r="A2464">
        <v>39</v>
      </c>
      <c r="B2464" t="str">
        <f>"8:55:29.047623"</f>
        <v>8:55:29.047623</v>
      </c>
      <c r="C2464">
        <v>-45</v>
      </c>
    </row>
    <row r="2465" spans="1:3" x14ac:dyDescent="0.25">
      <c r="A2465">
        <v>39</v>
      </c>
      <c r="B2465" t="str">
        <f>"8:55:29.048141"</f>
        <v>8:55:29.048141</v>
      </c>
      <c r="C2465">
        <v>-31</v>
      </c>
    </row>
    <row r="2466" spans="1:3" x14ac:dyDescent="0.25">
      <c r="A2466">
        <v>39</v>
      </c>
      <c r="B2466" t="str">
        <f>"8:55:29.048467"</f>
        <v>8:55:29.048467</v>
      </c>
      <c r="C2466">
        <v>-45</v>
      </c>
    </row>
    <row r="2467" spans="1:3" x14ac:dyDescent="0.25">
      <c r="A2467">
        <v>37</v>
      </c>
      <c r="B2467" t="str">
        <f>"8:55:29.400626"</f>
        <v>8:55:29.400626</v>
      </c>
      <c r="C2467">
        <v>-44</v>
      </c>
    </row>
    <row r="2468" spans="1:3" x14ac:dyDescent="0.25">
      <c r="A2468">
        <v>38</v>
      </c>
      <c r="B2468" t="str">
        <f>"8:55:29.401916"</f>
        <v>8:55:29.401916</v>
      </c>
      <c r="C2468">
        <v>-41</v>
      </c>
    </row>
    <row r="2469" spans="1:3" x14ac:dyDescent="0.25">
      <c r="A2469">
        <v>39</v>
      </c>
      <c r="B2469" t="str">
        <f>"8:55:29.402942"</f>
        <v>8:55:29.402942</v>
      </c>
      <c r="C2469">
        <v>-45</v>
      </c>
    </row>
    <row r="2470" spans="1:3" x14ac:dyDescent="0.25">
      <c r="A2470">
        <v>37</v>
      </c>
      <c r="B2470" t="str">
        <f>"8:55:29.751936"</f>
        <v>8:55:29.751936</v>
      </c>
      <c r="C2470">
        <v>-44</v>
      </c>
    </row>
    <row r="2471" spans="1:3" x14ac:dyDescent="0.25">
      <c r="A2471">
        <v>37</v>
      </c>
      <c r="B2471" t="str">
        <f>"8:55:29.752454"</f>
        <v>8:55:29.752454</v>
      </c>
      <c r="C2471">
        <v>-40</v>
      </c>
    </row>
    <row r="2472" spans="1:3" x14ac:dyDescent="0.25">
      <c r="A2472">
        <v>37</v>
      </c>
      <c r="B2472" t="str">
        <f>"8:55:29.752780"</f>
        <v>8:55:29.752780</v>
      </c>
      <c r="C2472">
        <v>-44</v>
      </c>
    </row>
    <row r="2473" spans="1:3" x14ac:dyDescent="0.25">
      <c r="A2473">
        <v>38</v>
      </c>
      <c r="B2473" t="str">
        <f>"8:55:29.753556"</f>
        <v>8:55:29.753556</v>
      </c>
      <c r="C2473">
        <v>-41</v>
      </c>
    </row>
    <row r="2474" spans="1:3" x14ac:dyDescent="0.25">
      <c r="A2474">
        <v>39</v>
      </c>
      <c r="B2474" t="str">
        <f>"8:55:29.754582"</f>
        <v>8:55:29.754582</v>
      </c>
      <c r="C2474">
        <v>-45</v>
      </c>
    </row>
    <row r="2475" spans="1:3" x14ac:dyDescent="0.25">
      <c r="A2475">
        <v>37</v>
      </c>
      <c r="B2475" t="str">
        <f>"8:55:30.107346"</f>
        <v>8:55:30.107346</v>
      </c>
      <c r="C2475">
        <v>-44</v>
      </c>
    </row>
    <row r="2476" spans="1:3" x14ac:dyDescent="0.25">
      <c r="A2476">
        <v>37</v>
      </c>
      <c r="B2476" t="str">
        <f>"8:55:30.107864"</f>
        <v>8:55:30.107864</v>
      </c>
      <c r="C2476">
        <v>-40</v>
      </c>
    </row>
    <row r="2477" spans="1:3" x14ac:dyDescent="0.25">
      <c r="A2477">
        <v>37</v>
      </c>
      <c r="B2477" t="str">
        <f>"8:55:30.108190"</f>
        <v>8:55:30.108190</v>
      </c>
      <c r="C2477">
        <v>-44</v>
      </c>
    </row>
    <row r="2478" spans="1:3" x14ac:dyDescent="0.25">
      <c r="A2478">
        <v>38</v>
      </c>
      <c r="B2478" t="str">
        <f>"8:55:30.108966"</f>
        <v>8:55:30.108966</v>
      </c>
      <c r="C2478">
        <v>-41</v>
      </c>
    </row>
    <row r="2479" spans="1:3" x14ac:dyDescent="0.25">
      <c r="A2479">
        <v>39</v>
      </c>
      <c r="B2479" t="str">
        <f>"8:55:30.109992"</f>
        <v>8:55:30.109992</v>
      </c>
      <c r="C2479">
        <v>-45</v>
      </c>
    </row>
    <row r="2480" spans="1:3" x14ac:dyDescent="0.25">
      <c r="A2480">
        <v>37</v>
      </c>
      <c r="B2480" t="str">
        <f>"8:55:30.459671"</f>
        <v>8:55:30.459671</v>
      </c>
      <c r="C2480">
        <v>-44</v>
      </c>
    </row>
    <row r="2481" spans="1:3" x14ac:dyDescent="0.25">
      <c r="A2481">
        <v>38</v>
      </c>
      <c r="B2481" t="str">
        <f>"8:55:30.460699"</f>
        <v>8:55:30.460699</v>
      </c>
      <c r="C2481">
        <v>-41</v>
      </c>
    </row>
    <row r="2482" spans="1:3" x14ac:dyDescent="0.25">
      <c r="A2482">
        <v>39</v>
      </c>
      <c r="B2482" t="str">
        <f>"8:55:30.461725"</f>
        <v>8:55:30.461725</v>
      </c>
      <c r="C2482">
        <v>-45</v>
      </c>
    </row>
    <row r="2483" spans="1:3" x14ac:dyDescent="0.25">
      <c r="A2483">
        <v>37</v>
      </c>
      <c r="B2483" t="str">
        <f>"8:55:30.813449"</f>
        <v>8:55:30.813449</v>
      </c>
      <c r="C2483">
        <v>-44</v>
      </c>
    </row>
    <row r="2484" spans="1:3" x14ac:dyDescent="0.25">
      <c r="A2484">
        <v>37</v>
      </c>
      <c r="B2484" t="str">
        <f>"8:55:30.813968"</f>
        <v>8:55:30.813968</v>
      </c>
      <c r="C2484">
        <v>-37</v>
      </c>
    </row>
    <row r="2485" spans="1:3" x14ac:dyDescent="0.25">
      <c r="A2485">
        <v>37</v>
      </c>
      <c r="B2485" t="str">
        <f>"8:55:30.814294"</f>
        <v>8:55:30.814294</v>
      </c>
      <c r="C2485">
        <v>-44</v>
      </c>
    </row>
    <row r="2486" spans="1:3" x14ac:dyDescent="0.25">
      <c r="A2486">
        <v>38</v>
      </c>
      <c r="B2486" t="str">
        <f>"8:55:30.815070"</f>
        <v>8:55:30.815070</v>
      </c>
      <c r="C2486">
        <v>-41</v>
      </c>
    </row>
    <row r="2487" spans="1:3" x14ac:dyDescent="0.25">
      <c r="A2487">
        <v>39</v>
      </c>
      <c r="B2487" t="str">
        <f>"8:55:30.816096"</f>
        <v>8:55:30.816096</v>
      </c>
      <c r="C2487">
        <v>-46</v>
      </c>
    </row>
    <row r="2488" spans="1:3" x14ac:dyDescent="0.25">
      <c r="A2488">
        <v>37</v>
      </c>
      <c r="B2488" t="str">
        <f>"8:55:31.169825"</f>
        <v>8:55:31.169825</v>
      </c>
      <c r="C2488">
        <v>-44</v>
      </c>
    </row>
    <row r="2489" spans="1:3" x14ac:dyDescent="0.25">
      <c r="A2489">
        <v>37</v>
      </c>
      <c r="B2489" t="str">
        <f>"8:55:31.170343"</f>
        <v>8:55:31.170343</v>
      </c>
      <c r="C2489">
        <v>-37</v>
      </c>
    </row>
    <row r="2490" spans="1:3" x14ac:dyDescent="0.25">
      <c r="A2490">
        <v>37</v>
      </c>
      <c r="B2490" t="str">
        <f>"8:55:31.170669"</f>
        <v>8:55:31.170669</v>
      </c>
      <c r="C2490">
        <v>-44</v>
      </c>
    </row>
    <row r="2491" spans="1:3" x14ac:dyDescent="0.25">
      <c r="A2491">
        <v>38</v>
      </c>
      <c r="B2491" t="str">
        <f>"8:55:31.171445"</f>
        <v>8:55:31.171445</v>
      </c>
      <c r="C2491">
        <v>-41</v>
      </c>
    </row>
    <row r="2492" spans="1:3" x14ac:dyDescent="0.25">
      <c r="A2492">
        <v>39</v>
      </c>
      <c r="B2492" t="str">
        <f>"8:55:31.172471"</f>
        <v>8:55:31.172471</v>
      </c>
      <c r="C2492">
        <v>-45</v>
      </c>
    </row>
    <row r="2493" spans="1:3" x14ac:dyDescent="0.25">
      <c r="A2493">
        <v>37</v>
      </c>
      <c r="B2493" t="str">
        <f>"8:55:31.524475"</f>
        <v>8:55:31.524475</v>
      </c>
      <c r="C2493">
        <v>-44</v>
      </c>
    </row>
    <row r="2494" spans="1:3" x14ac:dyDescent="0.25">
      <c r="A2494">
        <v>38</v>
      </c>
      <c r="B2494" t="str">
        <f>"8:55:31.525503"</f>
        <v>8:55:31.525503</v>
      </c>
      <c r="C2494">
        <v>-41</v>
      </c>
    </row>
    <row r="2495" spans="1:3" x14ac:dyDescent="0.25">
      <c r="A2495">
        <v>39</v>
      </c>
      <c r="B2495" t="str">
        <f>"8:55:31.526529"</f>
        <v>8:55:31.526529</v>
      </c>
      <c r="C2495">
        <v>-46</v>
      </c>
    </row>
    <row r="2496" spans="1:3" x14ac:dyDescent="0.25">
      <c r="A2496">
        <v>37</v>
      </c>
      <c r="B2496" t="str">
        <f>"8:55:31.879057"</f>
        <v>8:55:31.879057</v>
      </c>
      <c r="C2496">
        <v>-44</v>
      </c>
    </row>
    <row r="2497" spans="1:3" x14ac:dyDescent="0.25">
      <c r="A2497">
        <v>37</v>
      </c>
      <c r="B2497" t="str">
        <f>"8:55:31.879575"</f>
        <v>8:55:31.879575</v>
      </c>
      <c r="C2497">
        <v>-37</v>
      </c>
    </row>
    <row r="2498" spans="1:3" x14ac:dyDescent="0.25">
      <c r="A2498">
        <v>37</v>
      </c>
      <c r="B2498" t="str">
        <f>"8:55:31.879902"</f>
        <v>8:55:31.879902</v>
      </c>
      <c r="C2498">
        <v>-44</v>
      </c>
    </row>
    <row r="2499" spans="1:3" x14ac:dyDescent="0.25">
      <c r="A2499">
        <v>38</v>
      </c>
      <c r="B2499" t="str">
        <f>"8:55:31.880678"</f>
        <v>8:55:31.880678</v>
      </c>
      <c r="C2499">
        <v>-41</v>
      </c>
    </row>
    <row r="2500" spans="1:3" x14ac:dyDescent="0.25">
      <c r="A2500">
        <v>39</v>
      </c>
      <c r="B2500" t="str">
        <f>"8:55:31.881704"</f>
        <v>8:55:31.881704</v>
      </c>
      <c r="C2500">
        <v>-46</v>
      </c>
    </row>
    <row r="2501" spans="1:3" x14ac:dyDescent="0.25">
      <c r="A2501">
        <v>37</v>
      </c>
      <c r="B2501" t="str">
        <f>"8:55:32.237970"</f>
        <v>8:55:32.237970</v>
      </c>
      <c r="C2501">
        <v>-44</v>
      </c>
    </row>
    <row r="2502" spans="1:3" x14ac:dyDescent="0.25">
      <c r="A2502">
        <v>37</v>
      </c>
      <c r="B2502" t="str">
        <f>"8:55:32.238489"</f>
        <v>8:55:32.238489</v>
      </c>
      <c r="C2502">
        <v>-37</v>
      </c>
    </row>
    <row r="2503" spans="1:3" x14ac:dyDescent="0.25">
      <c r="A2503">
        <v>37</v>
      </c>
      <c r="B2503" t="str">
        <f>"8:55:32.238814"</f>
        <v>8:55:32.238814</v>
      </c>
      <c r="C2503">
        <v>-45</v>
      </c>
    </row>
    <row r="2504" spans="1:3" x14ac:dyDescent="0.25">
      <c r="A2504">
        <v>38</v>
      </c>
      <c r="B2504" t="str">
        <f>"8:55:32.239590"</f>
        <v>8:55:32.239590</v>
      </c>
      <c r="C2504">
        <v>-41</v>
      </c>
    </row>
    <row r="2505" spans="1:3" x14ac:dyDescent="0.25">
      <c r="A2505">
        <v>39</v>
      </c>
      <c r="B2505" t="str">
        <f>"8:55:32.240617"</f>
        <v>8:55:32.240617</v>
      </c>
      <c r="C2505">
        <v>-46</v>
      </c>
    </row>
    <row r="2506" spans="1:3" x14ac:dyDescent="0.25">
      <c r="A2506">
        <v>37</v>
      </c>
      <c r="B2506" t="str">
        <f>"8:55:32.593381"</f>
        <v>8:55:32.593381</v>
      </c>
      <c r="C2506">
        <v>-44</v>
      </c>
    </row>
    <row r="2507" spans="1:3" x14ac:dyDescent="0.25">
      <c r="A2507">
        <v>37</v>
      </c>
      <c r="B2507" t="str">
        <f>"8:55:32.593900"</f>
        <v>8:55:32.593900</v>
      </c>
      <c r="C2507">
        <v>-37</v>
      </c>
    </row>
    <row r="2508" spans="1:3" x14ac:dyDescent="0.25">
      <c r="A2508">
        <v>37</v>
      </c>
      <c r="B2508" t="str">
        <f>"8:55:32.594225"</f>
        <v>8:55:32.594225</v>
      </c>
      <c r="C2508">
        <v>-44</v>
      </c>
    </row>
    <row r="2509" spans="1:3" x14ac:dyDescent="0.25">
      <c r="A2509">
        <v>38</v>
      </c>
      <c r="B2509" t="str">
        <f>"8:55:32.595001"</f>
        <v>8:55:32.595001</v>
      </c>
      <c r="C2509">
        <v>-41</v>
      </c>
    </row>
    <row r="2510" spans="1:3" x14ac:dyDescent="0.25">
      <c r="A2510">
        <v>39</v>
      </c>
      <c r="B2510" t="str">
        <f>"8:55:32.596027"</f>
        <v>8:55:32.596027</v>
      </c>
      <c r="C2510">
        <v>-45</v>
      </c>
    </row>
    <row r="2511" spans="1:3" x14ac:dyDescent="0.25">
      <c r="A2511">
        <v>37</v>
      </c>
      <c r="B2511" t="str">
        <f>"8:55:32.949560"</f>
        <v>8:55:32.949560</v>
      </c>
      <c r="C2511">
        <v>-44</v>
      </c>
    </row>
    <row r="2512" spans="1:3" x14ac:dyDescent="0.25">
      <c r="A2512">
        <v>37</v>
      </c>
      <c r="B2512" t="str">
        <f>"8:55:32.950079"</f>
        <v>8:55:32.950079</v>
      </c>
      <c r="C2512">
        <v>-37</v>
      </c>
    </row>
    <row r="2513" spans="1:3" x14ac:dyDescent="0.25">
      <c r="A2513">
        <v>37</v>
      </c>
      <c r="B2513" t="str">
        <f>"8:55:32.950404"</f>
        <v>8:55:32.950404</v>
      </c>
      <c r="C2513">
        <v>-44</v>
      </c>
    </row>
    <row r="2514" spans="1:3" x14ac:dyDescent="0.25">
      <c r="A2514">
        <v>38</v>
      </c>
      <c r="B2514" t="str">
        <f>"8:55:32.951181"</f>
        <v>8:55:32.951181</v>
      </c>
      <c r="C2514">
        <v>-41</v>
      </c>
    </row>
    <row r="2515" spans="1:3" x14ac:dyDescent="0.25">
      <c r="A2515">
        <v>39</v>
      </c>
      <c r="B2515" t="str">
        <f>"8:55:32.952207"</f>
        <v>8:55:32.952207</v>
      </c>
      <c r="C2515">
        <v>-45</v>
      </c>
    </row>
    <row r="2516" spans="1:3" x14ac:dyDescent="0.25">
      <c r="A2516">
        <v>37</v>
      </c>
      <c r="B2516" t="str">
        <f>"8:55:33.303339"</f>
        <v>8:55:33.303339</v>
      </c>
      <c r="C2516">
        <v>-44</v>
      </c>
    </row>
    <row r="2517" spans="1:3" x14ac:dyDescent="0.25">
      <c r="A2517">
        <v>37</v>
      </c>
      <c r="B2517" t="str">
        <f>"8:55:33.303857"</f>
        <v>8:55:33.303857</v>
      </c>
      <c r="C2517">
        <v>-40</v>
      </c>
    </row>
    <row r="2518" spans="1:3" x14ac:dyDescent="0.25">
      <c r="A2518">
        <v>37</v>
      </c>
      <c r="B2518" t="str">
        <f>"8:55:33.304183"</f>
        <v>8:55:33.304183</v>
      </c>
      <c r="C2518">
        <v>-44</v>
      </c>
    </row>
    <row r="2519" spans="1:3" x14ac:dyDescent="0.25">
      <c r="A2519">
        <v>38</v>
      </c>
      <c r="B2519" t="str">
        <f>"8:55:33.304959"</f>
        <v>8:55:33.304959</v>
      </c>
      <c r="C2519">
        <v>-41</v>
      </c>
    </row>
    <row r="2520" spans="1:3" x14ac:dyDescent="0.25">
      <c r="A2520">
        <v>39</v>
      </c>
      <c r="B2520" t="str">
        <f>"8:55:33.305985"</f>
        <v>8:55:33.305985</v>
      </c>
      <c r="C2520">
        <v>-45</v>
      </c>
    </row>
    <row r="2521" spans="1:3" x14ac:dyDescent="0.25">
      <c r="A2521">
        <v>37</v>
      </c>
      <c r="B2521" t="str">
        <f>"8:55:33.659997"</f>
        <v>8:55:33.659997</v>
      </c>
      <c r="C2521">
        <v>-44</v>
      </c>
    </row>
    <row r="2522" spans="1:3" x14ac:dyDescent="0.25">
      <c r="A2522">
        <v>37</v>
      </c>
      <c r="B2522" t="str">
        <f>"8:55:33.660516"</f>
        <v>8:55:33.660516</v>
      </c>
      <c r="C2522">
        <v>-40</v>
      </c>
    </row>
    <row r="2523" spans="1:3" x14ac:dyDescent="0.25">
      <c r="A2523">
        <v>37</v>
      </c>
      <c r="B2523" t="str">
        <f>"8:55:33.660842"</f>
        <v>8:55:33.660842</v>
      </c>
      <c r="C2523">
        <v>-44</v>
      </c>
    </row>
    <row r="2524" spans="1:3" x14ac:dyDescent="0.25">
      <c r="A2524">
        <v>38</v>
      </c>
      <c r="B2524" t="str">
        <f>"8:55:33.661618"</f>
        <v>8:55:33.661618</v>
      </c>
      <c r="C2524">
        <v>-41</v>
      </c>
    </row>
    <row r="2525" spans="1:3" x14ac:dyDescent="0.25">
      <c r="A2525">
        <v>39</v>
      </c>
      <c r="B2525" t="str">
        <f>"8:55:33.662644"</f>
        <v>8:55:33.662644</v>
      </c>
      <c r="C2525">
        <v>-45</v>
      </c>
    </row>
    <row r="2526" spans="1:3" x14ac:dyDescent="0.25">
      <c r="A2526">
        <v>37</v>
      </c>
      <c r="B2526" t="str">
        <f>"8:55:34.014881"</f>
        <v>8:55:34.014881</v>
      </c>
      <c r="C2526">
        <v>-44</v>
      </c>
    </row>
    <row r="2527" spans="1:3" x14ac:dyDescent="0.25">
      <c r="A2527">
        <v>37</v>
      </c>
      <c r="B2527" t="str">
        <f>"8:55:34.015400"</f>
        <v>8:55:34.015400</v>
      </c>
      <c r="C2527">
        <v>-40</v>
      </c>
    </row>
    <row r="2528" spans="1:3" x14ac:dyDescent="0.25">
      <c r="A2528">
        <v>37</v>
      </c>
      <c r="B2528" t="str">
        <f>"8:55:34.015726"</f>
        <v>8:55:34.015726</v>
      </c>
      <c r="C2528">
        <v>-44</v>
      </c>
    </row>
    <row r="2529" spans="1:3" x14ac:dyDescent="0.25">
      <c r="A2529">
        <v>38</v>
      </c>
      <c r="B2529" t="str">
        <f>"8:55:34.016502"</f>
        <v>8:55:34.016502</v>
      </c>
      <c r="C2529">
        <v>-41</v>
      </c>
    </row>
    <row r="2530" spans="1:3" x14ac:dyDescent="0.25">
      <c r="A2530">
        <v>39</v>
      </c>
      <c r="B2530" t="str">
        <f>"8:55:34.017528"</f>
        <v>8:55:34.017528</v>
      </c>
      <c r="C2530">
        <v>-45</v>
      </c>
    </row>
    <row r="2531" spans="1:3" x14ac:dyDescent="0.25">
      <c r="A2531">
        <v>37</v>
      </c>
      <c r="B2531" t="str">
        <f>"8:55:34.367219"</f>
        <v>8:55:34.367219</v>
      </c>
      <c r="C2531">
        <v>-44</v>
      </c>
    </row>
    <row r="2532" spans="1:3" x14ac:dyDescent="0.25">
      <c r="A2532">
        <v>37</v>
      </c>
      <c r="B2532" t="str">
        <f>"8:55:34.367737"</f>
        <v>8:55:34.367737</v>
      </c>
      <c r="C2532">
        <v>-40</v>
      </c>
    </row>
    <row r="2533" spans="1:3" x14ac:dyDescent="0.25">
      <c r="A2533">
        <v>37</v>
      </c>
      <c r="B2533" t="str">
        <f>"8:55:34.368063"</f>
        <v>8:55:34.368063</v>
      </c>
      <c r="C2533">
        <v>-44</v>
      </c>
    </row>
    <row r="2534" spans="1:3" x14ac:dyDescent="0.25">
      <c r="A2534">
        <v>38</v>
      </c>
      <c r="B2534" t="str">
        <f>"8:55:34.368839"</f>
        <v>8:55:34.368839</v>
      </c>
      <c r="C2534">
        <v>-41</v>
      </c>
    </row>
    <row r="2535" spans="1:3" x14ac:dyDescent="0.25">
      <c r="A2535">
        <v>39</v>
      </c>
      <c r="B2535" t="str">
        <f>"8:55:34.369865"</f>
        <v>8:55:34.369865</v>
      </c>
      <c r="C2535">
        <v>-45</v>
      </c>
    </row>
    <row r="2536" spans="1:3" x14ac:dyDescent="0.25">
      <c r="A2536">
        <v>37</v>
      </c>
      <c r="B2536" t="str">
        <f>"8:55:34.720771"</f>
        <v>8:55:34.720771</v>
      </c>
      <c r="C2536">
        <v>-44</v>
      </c>
    </row>
    <row r="2537" spans="1:3" x14ac:dyDescent="0.25">
      <c r="A2537">
        <v>37</v>
      </c>
      <c r="B2537" t="str">
        <f>"8:55:34.721290"</f>
        <v>8:55:34.721290</v>
      </c>
      <c r="C2537">
        <v>-85</v>
      </c>
    </row>
    <row r="2538" spans="1:3" x14ac:dyDescent="0.25">
      <c r="A2538">
        <v>37</v>
      </c>
      <c r="B2538" t="str">
        <f>"8:55:34.721616"</f>
        <v>8:55:34.721616</v>
      </c>
      <c r="C2538">
        <v>-44</v>
      </c>
    </row>
    <row r="2539" spans="1:3" x14ac:dyDescent="0.25">
      <c r="A2539">
        <v>38</v>
      </c>
      <c r="B2539" t="str">
        <f>"8:55:34.722393"</f>
        <v>8:55:34.722393</v>
      </c>
      <c r="C2539">
        <v>-41</v>
      </c>
    </row>
    <row r="2540" spans="1:3" x14ac:dyDescent="0.25">
      <c r="A2540">
        <v>38</v>
      </c>
      <c r="B2540" t="str">
        <f>"8:55:34.722911"</f>
        <v>8:55:34.722911</v>
      </c>
      <c r="C2540">
        <v>-31</v>
      </c>
    </row>
    <row r="2541" spans="1:3" x14ac:dyDescent="0.25">
      <c r="A2541">
        <v>38</v>
      </c>
      <c r="B2541" t="str">
        <f>"8:55:34.723237"</f>
        <v>8:55:34.723237</v>
      </c>
      <c r="C2541">
        <v>-41</v>
      </c>
    </row>
    <row r="2542" spans="1:3" x14ac:dyDescent="0.25">
      <c r="A2542">
        <v>39</v>
      </c>
      <c r="B2542" t="str">
        <f>"8:55:34.724013"</f>
        <v>8:55:34.724013</v>
      </c>
      <c r="C2542">
        <v>-45</v>
      </c>
    </row>
    <row r="2543" spans="1:3" x14ac:dyDescent="0.25">
      <c r="A2543">
        <v>37</v>
      </c>
      <c r="B2543" t="str">
        <f>"8:55:35.078673"</f>
        <v>8:55:35.078673</v>
      </c>
      <c r="C2543">
        <v>-44</v>
      </c>
    </row>
    <row r="2544" spans="1:3" x14ac:dyDescent="0.25">
      <c r="A2544">
        <v>38</v>
      </c>
      <c r="B2544" t="str">
        <f>"8:55:35.079700"</f>
        <v>8:55:35.079700</v>
      </c>
      <c r="C2544">
        <v>-41</v>
      </c>
    </row>
    <row r="2545" spans="1:3" x14ac:dyDescent="0.25">
      <c r="A2545">
        <v>38</v>
      </c>
      <c r="B2545" t="str">
        <f>"8:55:35.080219"</f>
        <v>8:55:35.080219</v>
      </c>
      <c r="C2545">
        <v>-31</v>
      </c>
    </row>
    <row r="2546" spans="1:3" x14ac:dyDescent="0.25">
      <c r="A2546">
        <v>38</v>
      </c>
      <c r="B2546" t="str">
        <f>"8:55:35.080544"</f>
        <v>8:55:35.080544</v>
      </c>
      <c r="C2546">
        <v>-41</v>
      </c>
    </row>
    <row r="2547" spans="1:3" x14ac:dyDescent="0.25">
      <c r="A2547">
        <v>39</v>
      </c>
      <c r="B2547" t="str">
        <f>"8:55:35.081320"</f>
        <v>8:55:35.081320</v>
      </c>
      <c r="C2547">
        <v>-45</v>
      </c>
    </row>
    <row r="2548" spans="1:3" x14ac:dyDescent="0.25">
      <c r="A2548">
        <v>37</v>
      </c>
      <c r="B2548" t="str">
        <f>"8:55:35.437331"</f>
        <v>8:55:35.437331</v>
      </c>
      <c r="C2548">
        <v>-44</v>
      </c>
    </row>
    <row r="2549" spans="1:3" x14ac:dyDescent="0.25">
      <c r="A2549">
        <v>38</v>
      </c>
      <c r="B2549" t="str">
        <f>"8:55:35.438358"</f>
        <v>8:55:35.438358</v>
      </c>
      <c r="C2549">
        <v>-41</v>
      </c>
    </row>
    <row r="2550" spans="1:3" x14ac:dyDescent="0.25">
      <c r="A2550">
        <v>38</v>
      </c>
      <c r="B2550" t="str">
        <f>"8:55:35.438877"</f>
        <v>8:55:35.438877</v>
      </c>
      <c r="C2550">
        <v>-32</v>
      </c>
    </row>
    <row r="2551" spans="1:3" x14ac:dyDescent="0.25">
      <c r="A2551">
        <v>38</v>
      </c>
      <c r="B2551" t="str">
        <f>"8:55:35.439203"</f>
        <v>8:55:35.439203</v>
      </c>
      <c r="C2551">
        <v>-41</v>
      </c>
    </row>
    <row r="2552" spans="1:3" x14ac:dyDescent="0.25">
      <c r="A2552">
        <v>39</v>
      </c>
      <c r="B2552" t="str">
        <f>"8:55:35.439979"</f>
        <v>8:55:35.439979</v>
      </c>
      <c r="C2552">
        <v>-45</v>
      </c>
    </row>
    <row r="2553" spans="1:3" x14ac:dyDescent="0.25">
      <c r="A2553">
        <v>37</v>
      </c>
      <c r="B2553" t="str">
        <f>"8:55:35.792917"</f>
        <v>8:55:35.792917</v>
      </c>
      <c r="C2553">
        <v>-44</v>
      </c>
    </row>
    <row r="2554" spans="1:3" x14ac:dyDescent="0.25">
      <c r="A2554">
        <v>38</v>
      </c>
      <c r="B2554" t="str">
        <f>"8:55:35.793945"</f>
        <v>8:55:35.793945</v>
      </c>
      <c r="C2554">
        <v>-41</v>
      </c>
    </row>
    <row r="2555" spans="1:3" x14ac:dyDescent="0.25">
      <c r="A2555">
        <v>38</v>
      </c>
      <c r="B2555" t="str">
        <f>"8:55:35.794463"</f>
        <v>8:55:35.794463</v>
      </c>
      <c r="C2555">
        <v>-31</v>
      </c>
    </row>
    <row r="2556" spans="1:3" x14ac:dyDescent="0.25">
      <c r="A2556">
        <v>38</v>
      </c>
      <c r="B2556" t="str">
        <f>"8:55:35.794789"</f>
        <v>8:55:35.794789</v>
      </c>
      <c r="C2556">
        <v>-41</v>
      </c>
    </row>
    <row r="2557" spans="1:3" x14ac:dyDescent="0.25">
      <c r="A2557">
        <v>39</v>
      </c>
      <c r="B2557" t="str">
        <f>"8:55:35.795565"</f>
        <v>8:55:35.795565</v>
      </c>
      <c r="C2557">
        <v>-45</v>
      </c>
    </row>
    <row r="2558" spans="1:3" x14ac:dyDescent="0.25">
      <c r="A2558">
        <v>37</v>
      </c>
      <c r="B2558" t="str">
        <f>"8:55:36.151083"</f>
        <v>8:55:36.151083</v>
      </c>
      <c r="C2558">
        <v>-44</v>
      </c>
    </row>
    <row r="2559" spans="1:3" x14ac:dyDescent="0.25">
      <c r="A2559">
        <v>38</v>
      </c>
      <c r="B2559" t="str">
        <f>"8:55:36.152110"</f>
        <v>8:55:36.152110</v>
      </c>
      <c r="C2559">
        <v>-41</v>
      </c>
    </row>
    <row r="2560" spans="1:3" x14ac:dyDescent="0.25">
      <c r="A2560">
        <v>38</v>
      </c>
      <c r="B2560" t="str">
        <f>"8:55:36.152629"</f>
        <v>8:55:36.152629</v>
      </c>
      <c r="C2560">
        <v>-32</v>
      </c>
    </row>
    <row r="2561" spans="1:3" x14ac:dyDescent="0.25">
      <c r="A2561">
        <v>38</v>
      </c>
      <c r="B2561" t="str">
        <f>"8:55:36.152955"</f>
        <v>8:55:36.152955</v>
      </c>
      <c r="C2561">
        <v>-41</v>
      </c>
    </row>
    <row r="2562" spans="1:3" x14ac:dyDescent="0.25">
      <c r="A2562">
        <v>39</v>
      </c>
      <c r="B2562" t="str">
        <f>"8:55:36.153731"</f>
        <v>8:55:36.153731</v>
      </c>
      <c r="C2562">
        <v>-45</v>
      </c>
    </row>
    <row r="2563" spans="1:3" x14ac:dyDescent="0.25">
      <c r="A2563">
        <v>37</v>
      </c>
      <c r="B2563" t="str">
        <f>"8:55:36.503840"</f>
        <v>8:55:36.503840</v>
      </c>
      <c r="C2563">
        <v>-44</v>
      </c>
    </row>
    <row r="2564" spans="1:3" x14ac:dyDescent="0.25">
      <c r="A2564">
        <v>38</v>
      </c>
      <c r="B2564" t="str">
        <f>"8:55:36.504867"</f>
        <v>8:55:36.504867</v>
      </c>
      <c r="C2564">
        <v>-41</v>
      </c>
    </row>
    <row r="2565" spans="1:3" x14ac:dyDescent="0.25">
      <c r="A2565">
        <v>38</v>
      </c>
      <c r="B2565" t="str">
        <f>"8:55:36.505385"</f>
        <v>8:55:36.505385</v>
      </c>
      <c r="C2565">
        <v>-32</v>
      </c>
    </row>
    <row r="2566" spans="1:3" x14ac:dyDescent="0.25">
      <c r="A2566">
        <v>38</v>
      </c>
      <c r="B2566" t="str">
        <f>"8:55:36.505711"</f>
        <v>8:55:36.505711</v>
      </c>
      <c r="C2566">
        <v>-41</v>
      </c>
    </row>
    <row r="2567" spans="1:3" x14ac:dyDescent="0.25">
      <c r="A2567">
        <v>39</v>
      </c>
      <c r="B2567" t="str">
        <f>"8:55:36.506487"</f>
        <v>8:55:36.506487</v>
      </c>
      <c r="C2567">
        <v>-45</v>
      </c>
    </row>
    <row r="2568" spans="1:3" x14ac:dyDescent="0.25">
      <c r="A2568">
        <v>37</v>
      </c>
      <c r="B2568" t="str">
        <f>"8:55:36.854321"</f>
        <v>8:55:36.854321</v>
      </c>
      <c r="C2568">
        <v>-44</v>
      </c>
    </row>
    <row r="2569" spans="1:3" x14ac:dyDescent="0.25">
      <c r="A2569">
        <v>38</v>
      </c>
      <c r="B2569" t="str">
        <f>"8:55:36.855348"</f>
        <v>8:55:36.855348</v>
      </c>
      <c r="C2569">
        <v>-41</v>
      </c>
    </row>
    <row r="2570" spans="1:3" x14ac:dyDescent="0.25">
      <c r="A2570">
        <v>39</v>
      </c>
      <c r="B2570" t="str">
        <f>"8:55:36.856374"</f>
        <v>8:55:36.856374</v>
      </c>
      <c r="C2570">
        <v>-45</v>
      </c>
    </row>
    <row r="2571" spans="1:3" x14ac:dyDescent="0.25">
      <c r="A2571">
        <v>37</v>
      </c>
      <c r="B2571" t="str">
        <f>"8:55:37.211217"</f>
        <v>8:55:37.211217</v>
      </c>
      <c r="C2571">
        <v>-44</v>
      </c>
    </row>
    <row r="2572" spans="1:3" x14ac:dyDescent="0.25">
      <c r="A2572">
        <v>38</v>
      </c>
      <c r="B2572" t="str">
        <f>"8:55:37.212245"</f>
        <v>8:55:37.212245</v>
      </c>
      <c r="C2572">
        <v>-41</v>
      </c>
    </row>
    <row r="2573" spans="1:3" x14ac:dyDescent="0.25">
      <c r="A2573">
        <v>38</v>
      </c>
      <c r="B2573" t="str">
        <f>"8:55:37.212763"</f>
        <v>8:55:37.212763</v>
      </c>
      <c r="C2573">
        <v>-32</v>
      </c>
    </row>
    <row r="2574" spans="1:3" x14ac:dyDescent="0.25">
      <c r="A2574">
        <v>38</v>
      </c>
      <c r="B2574" t="str">
        <f>"8:55:37.213090"</f>
        <v>8:55:37.213090</v>
      </c>
      <c r="C2574">
        <v>-41</v>
      </c>
    </row>
    <row r="2575" spans="1:3" x14ac:dyDescent="0.25">
      <c r="A2575">
        <v>39</v>
      </c>
      <c r="B2575" t="str">
        <f>"8:55:37.213866"</f>
        <v>8:55:37.213866</v>
      </c>
      <c r="C2575">
        <v>-45</v>
      </c>
    </row>
    <row r="2576" spans="1:3" x14ac:dyDescent="0.25">
      <c r="A2576">
        <v>37</v>
      </c>
      <c r="B2576" t="str">
        <f>"8:55:37.565806"</f>
        <v>8:55:37.565806</v>
      </c>
      <c r="C2576">
        <v>-44</v>
      </c>
    </row>
    <row r="2577" spans="1:3" x14ac:dyDescent="0.25">
      <c r="A2577">
        <v>38</v>
      </c>
      <c r="B2577" t="str">
        <f>"8:55:37.566833"</f>
        <v>8:55:37.566833</v>
      </c>
      <c r="C2577">
        <v>-41</v>
      </c>
    </row>
    <row r="2578" spans="1:3" x14ac:dyDescent="0.25">
      <c r="A2578">
        <v>38</v>
      </c>
      <c r="B2578" t="str">
        <f>"8:55:37.567351"</f>
        <v>8:55:37.567351</v>
      </c>
      <c r="C2578">
        <v>-32</v>
      </c>
    </row>
    <row r="2579" spans="1:3" x14ac:dyDescent="0.25">
      <c r="A2579">
        <v>38</v>
      </c>
      <c r="B2579" t="str">
        <f>"8:55:37.567677"</f>
        <v>8:55:37.567677</v>
      </c>
      <c r="C2579">
        <v>-41</v>
      </c>
    </row>
    <row r="2580" spans="1:3" x14ac:dyDescent="0.25">
      <c r="A2580">
        <v>39</v>
      </c>
      <c r="B2580" t="str">
        <f>"8:55:37.568453"</f>
        <v>8:55:37.568453</v>
      </c>
      <c r="C2580">
        <v>-46</v>
      </c>
    </row>
    <row r="2581" spans="1:3" x14ac:dyDescent="0.25">
      <c r="A2581">
        <v>37</v>
      </c>
      <c r="B2581" t="str">
        <f>"8:55:37.919595"</f>
        <v>8:55:37.919595</v>
      </c>
      <c r="C2581">
        <v>-44</v>
      </c>
    </row>
    <row r="2582" spans="1:3" x14ac:dyDescent="0.25">
      <c r="A2582">
        <v>38</v>
      </c>
      <c r="B2582" t="str">
        <f>"8:55:37.920622"</f>
        <v>8:55:37.920622</v>
      </c>
      <c r="C2582">
        <v>-41</v>
      </c>
    </row>
    <row r="2583" spans="1:3" x14ac:dyDescent="0.25">
      <c r="A2583">
        <v>38</v>
      </c>
      <c r="B2583" t="str">
        <f>"8:55:37.921140"</f>
        <v>8:55:37.921140</v>
      </c>
      <c r="C2583">
        <v>-32</v>
      </c>
    </row>
    <row r="2584" spans="1:3" x14ac:dyDescent="0.25">
      <c r="A2584">
        <v>38</v>
      </c>
      <c r="B2584" t="str">
        <f>"8:55:37.921466"</f>
        <v>8:55:37.921466</v>
      </c>
      <c r="C2584">
        <v>-41</v>
      </c>
    </row>
    <row r="2585" spans="1:3" x14ac:dyDescent="0.25">
      <c r="A2585">
        <v>39</v>
      </c>
      <c r="B2585" t="str">
        <f>"8:55:37.922242"</f>
        <v>8:55:37.922242</v>
      </c>
      <c r="C2585">
        <v>-46</v>
      </c>
    </row>
    <row r="2586" spans="1:3" x14ac:dyDescent="0.25">
      <c r="A2586">
        <v>37</v>
      </c>
      <c r="B2586" t="str">
        <f>"8:55:38.270079"</f>
        <v>8:55:38.270079</v>
      </c>
      <c r="C2586">
        <v>-44</v>
      </c>
    </row>
    <row r="2587" spans="1:3" x14ac:dyDescent="0.25">
      <c r="A2587">
        <v>37</v>
      </c>
      <c r="B2587" t="str">
        <f>"8:55:38.270924"</f>
        <v>8:55:38.270924</v>
      </c>
      <c r="C2587">
        <v>-44</v>
      </c>
    </row>
    <row r="2588" spans="1:3" x14ac:dyDescent="0.25">
      <c r="A2588">
        <v>38</v>
      </c>
      <c r="B2588" t="str">
        <f>"8:55:38.271700"</f>
        <v>8:55:38.271700</v>
      </c>
      <c r="C2588">
        <v>-41</v>
      </c>
    </row>
    <row r="2589" spans="1:3" x14ac:dyDescent="0.25">
      <c r="A2589">
        <v>38</v>
      </c>
      <c r="B2589" t="str">
        <f>"8:55:38.272218"</f>
        <v>8:55:38.272218</v>
      </c>
      <c r="C2589">
        <v>-32</v>
      </c>
    </row>
    <row r="2590" spans="1:3" x14ac:dyDescent="0.25">
      <c r="A2590">
        <v>38</v>
      </c>
      <c r="B2590" t="str">
        <f>"8:55:38.272544"</f>
        <v>8:55:38.272544</v>
      </c>
      <c r="C2590">
        <v>-41</v>
      </c>
    </row>
    <row r="2591" spans="1:3" x14ac:dyDescent="0.25">
      <c r="A2591">
        <v>39</v>
      </c>
      <c r="B2591" t="str">
        <f>"8:55:38.273320"</f>
        <v>8:55:38.273320</v>
      </c>
      <c r="C2591">
        <v>-45</v>
      </c>
    </row>
    <row r="2592" spans="1:3" x14ac:dyDescent="0.25">
      <c r="A2592">
        <v>37</v>
      </c>
      <c r="B2592" t="str">
        <f>"8:55:38.625216"</f>
        <v>8:55:38.625216</v>
      </c>
      <c r="C2592">
        <v>-44</v>
      </c>
    </row>
    <row r="2593" spans="1:3" x14ac:dyDescent="0.25">
      <c r="A2593">
        <v>38</v>
      </c>
      <c r="B2593" t="str">
        <f>"8:55:38.626243"</f>
        <v>8:55:38.626243</v>
      </c>
      <c r="C2593">
        <v>-41</v>
      </c>
    </row>
    <row r="2594" spans="1:3" x14ac:dyDescent="0.25">
      <c r="A2594">
        <v>38</v>
      </c>
      <c r="B2594" t="str">
        <f>"8:55:38.626761"</f>
        <v>8:55:38.626761</v>
      </c>
      <c r="C2594">
        <v>-32</v>
      </c>
    </row>
    <row r="2595" spans="1:3" x14ac:dyDescent="0.25">
      <c r="A2595">
        <v>38</v>
      </c>
      <c r="B2595" t="str">
        <f>"8:55:38.627087"</f>
        <v>8:55:38.627087</v>
      </c>
      <c r="C2595">
        <v>-41</v>
      </c>
    </row>
    <row r="2596" spans="1:3" x14ac:dyDescent="0.25">
      <c r="A2596">
        <v>39</v>
      </c>
      <c r="B2596" t="str">
        <f>"8:55:38.627863"</f>
        <v>8:55:38.627863</v>
      </c>
      <c r="C2596">
        <v>-46</v>
      </c>
    </row>
    <row r="2597" spans="1:3" x14ac:dyDescent="0.25">
      <c r="A2597">
        <v>37</v>
      </c>
      <c r="B2597" t="str">
        <f>"8:55:38.983876"</f>
        <v>8:55:38.983876</v>
      </c>
      <c r="C2597">
        <v>-44</v>
      </c>
    </row>
    <row r="2598" spans="1:3" x14ac:dyDescent="0.25">
      <c r="A2598">
        <v>38</v>
      </c>
      <c r="B2598" t="str">
        <f>"8:55:38.984903"</f>
        <v>8:55:38.984903</v>
      </c>
      <c r="C2598">
        <v>-41</v>
      </c>
    </row>
    <row r="2599" spans="1:3" x14ac:dyDescent="0.25">
      <c r="A2599">
        <v>38</v>
      </c>
      <c r="B2599" t="str">
        <f>"8:55:38.985422"</f>
        <v>8:55:38.985422</v>
      </c>
      <c r="C2599">
        <v>-32</v>
      </c>
    </row>
    <row r="2600" spans="1:3" x14ac:dyDescent="0.25">
      <c r="A2600">
        <v>38</v>
      </c>
      <c r="B2600" t="str">
        <f>"8:55:38.985747"</f>
        <v>8:55:38.985747</v>
      </c>
      <c r="C2600">
        <v>-41</v>
      </c>
    </row>
    <row r="2601" spans="1:3" x14ac:dyDescent="0.25">
      <c r="A2601">
        <v>39</v>
      </c>
      <c r="B2601" t="str">
        <f>"8:55:38.986523"</f>
        <v>8:55:38.986523</v>
      </c>
      <c r="C2601">
        <v>-46</v>
      </c>
    </row>
    <row r="2602" spans="1:3" x14ac:dyDescent="0.25">
      <c r="A2602">
        <v>37</v>
      </c>
      <c r="B2602" t="str">
        <f>"8:55:39.335961"</f>
        <v>8:55:39.335961</v>
      </c>
      <c r="C2602">
        <v>-44</v>
      </c>
    </row>
    <row r="2603" spans="1:3" x14ac:dyDescent="0.25">
      <c r="A2603">
        <v>38</v>
      </c>
      <c r="B2603" t="str">
        <f>"8:55:39.336989"</f>
        <v>8:55:39.336989</v>
      </c>
      <c r="C2603">
        <v>-41</v>
      </c>
    </row>
    <row r="2604" spans="1:3" x14ac:dyDescent="0.25">
      <c r="A2604">
        <v>38</v>
      </c>
      <c r="B2604" t="str">
        <f>"8:55:39.337508"</f>
        <v>8:55:39.337508</v>
      </c>
      <c r="C2604">
        <v>-32</v>
      </c>
    </row>
    <row r="2605" spans="1:3" x14ac:dyDescent="0.25">
      <c r="A2605">
        <v>38</v>
      </c>
      <c r="B2605" t="str">
        <f>"8:55:39.337834"</f>
        <v>8:55:39.337834</v>
      </c>
      <c r="C2605">
        <v>-41</v>
      </c>
    </row>
    <row r="2606" spans="1:3" x14ac:dyDescent="0.25">
      <c r="A2606">
        <v>39</v>
      </c>
      <c r="B2606" t="str">
        <f>"8:55:39.338610"</f>
        <v>8:55:39.338610</v>
      </c>
      <c r="C2606">
        <v>-45</v>
      </c>
    </row>
    <row r="2607" spans="1:3" x14ac:dyDescent="0.25">
      <c r="A2607">
        <v>37</v>
      </c>
      <c r="B2607" t="str">
        <f>"8:55:39.694175"</f>
        <v>8:55:39.694175</v>
      </c>
      <c r="C2607">
        <v>-44</v>
      </c>
    </row>
    <row r="2608" spans="1:3" x14ac:dyDescent="0.25">
      <c r="A2608">
        <v>38</v>
      </c>
      <c r="B2608" t="str">
        <f>"8:55:39.695203"</f>
        <v>8:55:39.695203</v>
      </c>
      <c r="C2608">
        <v>-41</v>
      </c>
    </row>
    <row r="2609" spans="1:3" x14ac:dyDescent="0.25">
      <c r="A2609">
        <v>39</v>
      </c>
      <c r="B2609" t="str">
        <f>"8:55:39.696229"</f>
        <v>8:55:39.696229</v>
      </c>
      <c r="C2609">
        <v>-45</v>
      </c>
    </row>
    <row r="2610" spans="1:3" x14ac:dyDescent="0.25">
      <c r="A2610">
        <v>37</v>
      </c>
      <c r="B2610" t="str">
        <f>"8:55:40.052866"</f>
        <v>8:55:40.052866</v>
      </c>
      <c r="C2610">
        <v>-44</v>
      </c>
    </row>
    <row r="2611" spans="1:3" x14ac:dyDescent="0.25">
      <c r="A2611">
        <v>38</v>
      </c>
      <c r="B2611" t="str">
        <f>"8:55:40.053894"</f>
        <v>8:55:40.053894</v>
      </c>
      <c r="C2611">
        <v>-41</v>
      </c>
    </row>
    <row r="2612" spans="1:3" x14ac:dyDescent="0.25">
      <c r="A2612">
        <v>39</v>
      </c>
      <c r="B2612" t="str">
        <f>"8:55:40.054920"</f>
        <v>8:55:40.054920</v>
      </c>
      <c r="C2612">
        <v>-45</v>
      </c>
    </row>
    <row r="2613" spans="1:3" x14ac:dyDescent="0.25">
      <c r="A2613">
        <v>39</v>
      </c>
      <c r="B2613" t="str">
        <f>"8:55:40.055438"</f>
        <v>8:55:40.055438</v>
      </c>
      <c r="C2613">
        <v>-31</v>
      </c>
    </row>
    <row r="2614" spans="1:3" x14ac:dyDescent="0.25">
      <c r="A2614">
        <v>39</v>
      </c>
      <c r="B2614" t="str">
        <f>"8:55:40.055764"</f>
        <v>8:55:40.055764</v>
      </c>
      <c r="C2614">
        <v>-45</v>
      </c>
    </row>
    <row r="2615" spans="1:3" x14ac:dyDescent="0.25">
      <c r="A2615">
        <v>37</v>
      </c>
      <c r="B2615" t="str">
        <f>"8:55:40.412315"</f>
        <v>8:55:40.412315</v>
      </c>
      <c r="C2615">
        <v>-44</v>
      </c>
    </row>
    <row r="2616" spans="1:3" x14ac:dyDescent="0.25">
      <c r="A2616">
        <v>38</v>
      </c>
      <c r="B2616" t="str">
        <f>"8:55:40.413342"</f>
        <v>8:55:40.413342</v>
      </c>
      <c r="C2616">
        <v>-41</v>
      </c>
    </row>
    <row r="2617" spans="1:3" x14ac:dyDescent="0.25">
      <c r="A2617">
        <v>39</v>
      </c>
      <c r="B2617" t="str">
        <f>"8:55:40.414368"</f>
        <v>8:55:40.414368</v>
      </c>
      <c r="C2617">
        <v>-45</v>
      </c>
    </row>
    <row r="2618" spans="1:3" x14ac:dyDescent="0.25">
      <c r="A2618">
        <v>39</v>
      </c>
      <c r="B2618" t="str">
        <f>"8:55:40.414887"</f>
        <v>8:55:40.414887</v>
      </c>
      <c r="C2618">
        <v>-31</v>
      </c>
    </row>
    <row r="2619" spans="1:3" x14ac:dyDescent="0.25">
      <c r="A2619">
        <v>39</v>
      </c>
      <c r="B2619" t="str">
        <f>"8:55:40.415213"</f>
        <v>8:55:40.415213</v>
      </c>
      <c r="C2619">
        <v>-45</v>
      </c>
    </row>
    <row r="2620" spans="1:3" x14ac:dyDescent="0.25">
      <c r="A2620">
        <v>37</v>
      </c>
      <c r="B2620" t="str">
        <f>"8:55:40.767962"</f>
        <v>8:55:40.767962</v>
      </c>
      <c r="C2620">
        <v>-44</v>
      </c>
    </row>
    <row r="2621" spans="1:3" x14ac:dyDescent="0.25">
      <c r="A2621">
        <v>38</v>
      </c>
      <c r="B2621" t="str">
        <f>"8:55:40.768989"</f>
        <v>8:55:40.768989</v>
      </c>
      <c r="C2621">
        <v>-41</v>
      </c>
    </row>
    <row r="2622" spans="1:3" x14ac:dyDescent="0.25">
      <c r="A2622">
        <v>39</v>
      </c>
      <c r="B2622" t="str">
        <f>"8:55:40.770015"</f>
        <v>8:55:40.770015</v>
      </c>
      <c r="C2622">
        <v>-45</v>
      </c>
    </row>
    <row r="2623" spans="1:3" x14ac:dyDescent="0.25">
      <c r="A2623">
        <v>39</v>
      </c>
      <c r="B2623" t="str">
        <f>"8:55:40.770534"</f>
        <v>8:55:40.770534</v>
      </c>
      <c r="C2623">
        <v>-31</v>
      </c>
    </row>
    <row r="2624" spans="1:3" x14ac:dyDescent="0.25">
      <c r="A2624">
        <v>39</v>
      </c>
      <c r="B2624" t="str">
        <f>"8:55:40.770860"</f>
        <v>8:55:40.770860</v>
      </c>
      <c r="C2624">
        <v>-45</v>
      </c>
    </row>
    <row r="2625" spans="1:3" x14ac:dyDescent="0.25">
      <c r="A2625">
        <v>37</v>
      </c>
      <c r="B2625" t="str">
        <f>"8:55:41.126407"</f>
        <v>8:55:41.126407</v>
      </c>
      <c r="C2625">
        <v>-44</v>
      </c>
    </row>
    <row r="2626" spans="1:3" x14ac:dyDescent="0.25">
      <c r="A2626">
        <v>38</v>
      </c>
      <c r="B2626" t="str">
        <f>"8:55:41.127435"</f>
        <v>8:55:41.127435</v>
      </c>
      <c r="C2626">
        <v>-41</v>
      </c>
    </row>
    <row r="2627" spans="1:3" x14ac:dyDescent="0.25">
      <c r="A2627">
        <v>39</v>
      </c>
      <c r="B2627" t="str">
        <f>"8:55:41.128461"</f>
        <v>8:55:41.128461</v>
      </c>
      <c r="C2627">
        <v>-46</v>
      </c>
    </row>
    <row r="2628" spans="1:3" x14ac:dyDescent="0.25">
      <c r="A2628">
        <v>37</v>
      </c>
      <c r="B2628" t="str">
        <f>"8:55:41.477387"</f>
        <v>8:55:41.477387</v>
      </c>
      <c r="C2628">
        <v>-44</v>
      </c>
    </row>
    <row r="2629" spans="1:3" x14ac:dyDescent="0.25">
      <c r="A2629">
        <v>38</v>
      </c>
      <c r="B2629" t="str">
        <f>"8:55:41.478414"</f>
        <v>8:55:41.478414</v>
      </c>
      <c r="C2629">
        <v>-41</v>
      </c>
    </row>
    <row r="2630" spans="1:3" x14ac:dyDescent="0.25">
      <c r="A2630">
        <v>39</v>
      </c>
      <c r="B2630" t="str">
        <f>"8:55:41.479440"</f>
        <v>8:55:41.479440</v>
      </c>
      <c r="C2630">
        <v>-46</v>
      </c>
    </row>
    <row r="2631" spans="1:3" x14ac:dyDescent="0.25">
      <c r="A2631">
        <v>39</v>
      </c>
      <c r="B2631" t="str">
        <f>"8:55:41.479958"</f>
        <v>8:55:41.479958</v>
      </c>
      <c r="C2631">
        <v>-31</v>
      </c>
    </row>
    <row r="2632" spans="1:3" x14ac:dyDescent="0.25">
      <c r="A2632">
        <v>39</v>
      </c>
      <c r="B2632" t="str">
        <f>"8:55:41.480285"</f>
        <v>8:55:41.480285</v>
      </c>
      <c r="C2632">
        <v>-45</v>
      </c>
    </row>
    <row r="2633" spans="1:3" x14ac:dyDescent="0.25">
      <c r="A2633">
        <v>37</v>
      </c>
      <c r="B2633" t="str">
        <f>"8:55:41.827887"</f>
        <v>8:55:41.827887</v>
      </c>
      <c r="C2633">
        <v>-44</v>
      </c>
    </row>
    <row r="2634" spans="1:3" x14ac:dyDescent="0.25">
      <c r="A2634">
        <v>38</v>
      </c>
      <c r="B2634" t="str">
        <f>"8:55:41.828914"</f>
        <v>8:55:41.828914</v>
      </c>
      <c r="C2634">
        <v>-41</v>
      </c>
    </row>
    <row r="2635" spans="1:3" x14ac:dyDescent="0.25">
      <c r="A2635">
        <v>39</v>
      </c>
      <c r="B2635" t="str">
        <f>"8:55:41.829940"</f>
        <v>8:55:41.829940</v>
      </c>
      <c r="C2635">
        <v>-45</v>
      </c>
    </row>
    <row r="2636" spans="1:3" x14ac:dyDescent="0.25">
      <c r="A2636">
        <v>37</v>
      </c>
      <c r="B2636" t="str">
        <f>"8:55:42.179954"</f>
        <v>8:55:42.179954</v>
      </c>
      <c r="C2636">
        <v>-44</v>
      </c>
    </row>
    <row r="2637" spans="1:3" x14ac:dyDescent="0.25">
      <c r="A2637">
        <v>38</v>
      </c>
      <c r="B2637" t="str">
        <f>"8:55:42.180981"</f>
        <v>8:55:42.180981</v>
      </c>
      <c r="C2637">
        <v>-41</v>
      </c>
    </row>
    <row r="2638" spans="1:3" x14ac:dyDescent="0.25">
      <c r="A2638">
        <v>39</v>
      </c>
      <c r="B2638" t="str">
        <f>"8:55:42.182007"</f>
        <v>8:55:42.182007</v>
      </c>
      <c r="C2638">
        <v>-45</v>
      </c>
    </row>
    <row r="2639" spans="1:3" x14ac:dyDescent="0.25">
      <c r="A2639">
        <v>39</v>
      </c>
      <c r="B2639" t="str">
        <f>"8:55:42.182525"</f>
        <v>8:55:42.182525</v>
      </c>
      <c r="C2639">
        <v>-31</v>
      </c>
    </row>
    <row r="2640" spans="1:3" x14ac:dyDescent="0.25">
      <c r="A2640">
        <v>39</v>
      </c>
      <c r="B2640" t="str">
        <f>"8:55:42.182851"</f>
        <v>8:55:42.182851</v>
      </c>
      <c r="C2640">
        <v>-45</v>
      </c>
    </row>
    <row r="2641" spans="1:3" x14ac:dyDescent="0.25">
      <c r="A2641">
        <v>37</v>
      </c>
      <c r="B2641" t="str">
        <f>"8:55:42.537632"</f>
        <v>8:55:42.537632</v>
      </c>
      <c r="C2641">
        <v>-44</v>
      </c>
    </row>
    <row r="2642" spans="1:3" x14ac:dyDescent="0.25">
      <c r="A2642">
        <v>38</v>
      </c>
      <c r="B2642" t="str">
        <f>"8:55:42.538659"</f>
        <v>8:55:42.538659</v>
      </c>
      <c r="C2642">
        <v>-41</v>
      </c>
    </row>
    <row r="2643" spans="1:3" x14ac:dyDescent="0.25">
      <c r="A2643">
        <v>39</v>
      </c>
      <c r="B2643" t="str">
        <f>"8:55:42.539685"</f>
        <v>8:55:42.539685</v>
      </c>
      <c r="C2643">
        <v>-46</v>
      </c>
    </row>
    <row r="2644" spans="1:3" x14ac:dyDescent="0.25">
      <c r="A2644">
        <v>39</v>
      </c>
      <c r="B2644" t="str">
        <f>"8:55:42.540203"</f>
        <v>8:55:42.540203</v>
      </c>
      <c r="C2644">
        <v>-31</v>
      </c>
    </row>
    <row r="2645" spans="1:3" x14ac:dyDescent="0.25">
      <c r="A2645">
        <v>39</v>
      </c>
      <c r="B2645" t="str">
        <f>"8:55:42.540529"</f>
        <v>8:55:42.540529</v>
      </c>
      <c r="C2645">
        <v>-45</v>
      </c>
    </row>
    <row r="2646" spans="1:3" x14ac:dyDescent="0.25">
      <c r="A2646">
        <v>37</v>
      </c>
      <c r="B2646" t="str">
        <f>"8:55:42.896054"</f>
        <v>8:55:42.896054</v>
      </c>
      <c r="C2646">
        <v>-44</v>
      </c>
    </row>
    <row r="2647" spans="1:3" x14ac:dyDescent="0.25">
      <c r="A2647">
        <v>38</v>
      </c>
      <c r="B2647" t="str">
        <f>"8:55:42.897082"</f>
        <v>8:55:42.897082</v>
      </c>
      <c r="C2647">
        <v>-41</v>
      </c>
    </row>
    <row r="2648" spans="1:3" x14ac:dyDescent="0.25">
      <c r="A2648">
        <v>39</v>
      </c>
      <c r="B2648" t="str">
        <f>"8:55:42.898108"</f>
        <v>8:55:42.898108</v>
      </c>
      <c r="C2648">
        <v>-45</v>
      </c>
    </row>
    <row r="2649" spans="1:3" x14ac:dyDescent="0.25">
      <c r="A2649">
        <v>39</v>
      </c>
      <c r="B2649" t="str">
        <f>"8:55:42.898625"</f>
        <v>8:55:42.898625</v>
      </c>
      <c r="C2649">
        <v>-31</v>
      </c>
    </row>
    <row r="2650" spans="1:3" x14ac:dyDescent="0.25">
      <c r="A2650">
        <v>39</v>
      </c>
      <c r="B2650" t="str">
        <f>"8:55:42.898952"</f>
        <v>8:55:42.898952</v>
      </c>
      <c r="C2650">
        <v>-45</v>
      </c>
    </row>
    <row r="2651" spans="1:3" x14ac:dyDescent="0.25">
      <c r="A2651">
        <v>37</v>
      </c>
      <c r="B2651" t="str">
        <f>"8:55:43.252970"</f>
        <v>8:55:43.252970</v>
      </c>
      <c r="C2651">
        <v>-44</v>
      </c>
    </row>
    <row r="2652" spans="1:3" x14ac:dyDescent="0.25">
      <c r="A2652">
        <v>38</v>
      </c>
      <c r="B2652" t="str">
        <f>"8:55:43.253997"</f>
        <v>8:55:43.253997</v>
      </c>
      <c r="C2652">
        <v>-41</v>
      </c>
    </row>
    <row r="2653" spans="1:3" x14ac:dyDescent="0.25">
      <c r="A2653">
        <v>39</v>
      </c>
      <c r="B2653" t="str">
        <f>"8:55:43.255023"</f>
        <v>8:55:43.255023</v>
      </c>
      <c r="C2653">
        <v>-46</v>
      </c>
    </row>
    <row r="2654" spans="1:3" x14ac:dyDescent="0.25">
      <c r="A2654">
        <v>37</v>
      </c>
      <c r="B2654" t="str">
        <f>"8:55:43.610142"</f>
        <v>8:55:43.610142</v>
      </c>
      <c r="C2654">
        <v>-44</v>
      </c>
    </row>
    <row r="2655" spans="1:3" x14ac:dyDescent="0.25">
      <c r="A2655">
        <v>38</v>
      </c>
      <c r="B2655" t="str">
        <f>"8:55:43.611170"</f>
        <v>8:55:43.611170</v>
      </c>
      <c r="C2655">
        <v>-41</v>
      </c>
    </row>
    <row r="2656" spans="1:3" x14ac:dyDescent="0.25">
      <c r="A2656">
        <v>39</v>
      </c>
      <c r="B2656" t="str">
        <f>"8:55:43.612196"</f>
        <v>8:55:43.612196</v>
      </c>
      <c r="C2656">
        <v>-46</v>
      </c>
    </row>
    <row r="2657" spans="1:3" x14ac:dyDescent="0.25">
      <c r="A2657">
        <v>37</v>
      </c>
      <c r="B2657" t="str">
        <f>"8:55:43.961907"</f>
        <v>8:55:43.961907</v>
      </c>
      <c r="C2657">
        <v>-44</v>
      </c>
    </row>
    <row r="2658" spans="1:3" x14ac:dyDescent="0.25">
      <c r="A2658">
        <v>38</v>
      </c>
      <c r="B2658" t="str">
        <f>"8:55:43.962934"</f>
        <v>8:55:43.962934</v>
      </c>
      <c r="C2658">
        <v>-41</v>
      </c>
    </row>
    <row r="2659" spans="1:3" x14ac:dyDescent="0.25">
      <c r="A2659">
        <v>39</v>
      </c>
      <c r="B2659" t="str">
        <f>"8:55:43.963960"</f>
        <v>8:55:43.963960</v>
      </c>
      <c r="C2659">
        <v>-45</v>
      </c>
    </row>
    <row r="2660" spans="1:3" x14ac:dyDescent="0.25">
      <c r="A2660">
        <v>39</v>
      </c>
      <c r="B2660" t="str">
        <f>"8:55:43.964478"</f>
        <v>8:55:43.964478</v>
      </c>
      <c r="C2660">
        <v>-31</v>
      </c>
    </row>
    <row r="2661" spans="1:3" x14ac:dyDescent="0.25">
      <c r="A2661">
        <v>39</v>
      </c>
      <c r="B2661" t="str">
        <f>"8:55:43.964804"</f>
        <v>8:55:43.964804</v>
      </c>
      <c r="C2661">
        <v>-45</v>
      </c>
    </row>
    <row r="2662" spans="1:3" x14ac:dyDescent="0.25">
      <c r="A2662">
        <v>37</v>
      </c>
      <c r="B2662" t="str">
        <f>"8:55:44.317799"</f>
        <v>8:55:44.317799</v>
      </c>
      <c r="C2662">
        <v>-44</v>
      </c>
    </row>
    <row r="2663" spans="1:3" x14ac:dyDescent="0.25">
      <c r="A2663">
        <v>38</v>
      </c>
      <c r="B2663" t="str">
        <f>"8:55:44.318826"</f>
        <v>8:55:44.318826</v>
      </c>
      <c r="C2663">
        <v>-41</v>
      </c>
    </row>
    <row r="2664" spans="1:3" x14ac:dyDescent="0.25">
      <c r="A2664">
        <v>39</v>
      </c>
      <c r="B2664" t="str">
        <f>"8:55:44.319852"</f>
        <v>8:55:44.319852</v>
      </c>
      <c r="C2664">
        <v>-45</v>
      </c>
    </row>
    <row r="2665" spans="1:3" x14ac:dyDescent="0.25">
      <c r="A2665">
        <v>37</v>
      </c>
      <c r="B2665" t="str">
        <f>"8:55:44.669309"</f>
        <v>8:55:44.669309</v>
      </c>
      <c r="C2665">
        <v>-44</v>
      </c>
    </row>
    <row r="2666" spans="1:3" x14ac:dyDescent="0.25">
      <c r="A2666">
        <v>37</v>
      </c>
      <c r="B2666" t="str">
        <f>"8:55:44.669828"</f>
        <v>8:55:44.669828</v>
      </c>
      <c r="C2666">
        <v>-38</v>
      </c>
    </row>
    <row r="2667" spans="1:3" x14ac:dyDescent="0.25">
      <c r="A2667">
        <v>37</v>
      </c>
      <c r="B2667" t="str">
        <f>"8:55:44.670154"</f>
        <v>8:55:44.670154</v>
      </c>
      <c r="C2667">
        <v>-44</v>
      </c>
    </row>
    <row r="2668" spans="1:3" x14ac:dyDescent="0.25">
      <c r="A2668">
        <v>38</v>
      </c>
      <c r="B2668" t="str">
        <f>"8:55:44.670930"</f>
        <v>8:55:44.670930</v>
      </c>
      <c r="C2668">
        <v>-41</v>
      </c>
    </row>
    <row r="2669" spans="1:3" x14ac:dyDescent="0.25">
      <c r="A2669">
        <v>39</v>
      </c>
      <c r="B2669" t="str">
        <f>"8:55:44.671957"</f>
        <v>8:55:44.671957</v>
      </c>
      <c r="C2669">
        <v>-45</v>
      </c>
    </row>
    <row r="2670" spans="1:3" x14ac:dyDescent="0.25">
      <c r="A2670">
        <v>37</v>
      </c>
      <c r="B2670" t="str">
        <f>"8:55:45.025187"</f>
        <v>8:55:45.025187</v>
      </c>
      <c r="C2670">
        <v>-44</v>
      </c>
    </row>
    <row r="2671" spans="1:3" x14ac:dyDescent="0.25">
      <c r="A2671">
        <v>38</v>
      </c>
      <c r="B2671" t="str">
        <f>"8:55:45.026215"</f>
        <v>8:55:45.026215</v>
      </c>
      <c r="C2671">
        <v>-41</v>
      </c>
    </row>
    <row r="2672" spans="1:3" x14ac:dyDescent="0.25">
      <c r="A2672">
        <v>39</v>
      </c>
      <c r="B2672" t="str">
        <f>"8:55:45.027241"</f>
        <v>8:55:45.027241</v>
      </c>
      <c r="C2672">
        <v>-45</v>
      </c>
    </row>
    <row r="2673" spans="1:3" x14ac:dyDescent="0.25">
      <c r="A2673">
        <v>37</v>
      </c>
      <c r="B2673" t="str">
        <f>"8:55:45.382624"</f>
        <v>8:55:45.382624</v>
      </c>
      <c r="C2673">
        <v>-44</v>
      </c>
    </row>
    <row r="2674" spans="1:3" x14ac:dyDescent="0.25">
      <c r="A2674">
        <v>37</v>
      </c>
      <c r="B2674" t="str">
        <f>"8:55:45.383143"</f>
        <v>8:55:45.383143</v>
      </c>
      <c r="C2674">
        <v>-39</v>
      </c>
    </row>
    <row r="2675" spans="1:3" x14ac:dyDescent="0.25">
      <c r="A2675">
        <v>37</v>
      </c>
      <c r="B2675" t="str">
        <f>"8:55:45.383469"</f>
        <v>8:55:45.383469</v>
      </c>
      <c r="C2675">
        <v>-44</v>
      </c>
    </row>
    <row r="2676" spans="1:3" x14ac:dyDescent="0.25">
      <c r="A2676">
        <v>38</v>
      </c>
      <c r="B2676" t="str">
        <f>"8:55:45.384245"</f>
        <v>8:55:45.384245</v>
      </c>
      <c r="C2676">
        <v>-41</v>
      </c>
    </row>
    <row r="2677" spans="1:3" x14ac:dyDescent="0.25">
      <c r="A2677">
        <v>39</v>
      </c>
      <c r="B2677" t="str">
        <f>"8:55:45.385271"</f>
        <v>8:55:45.385271</v>
      </c>
      <c r="C2677">
        <v>-45</v>
      </c>
    </row>
    <row r="2678" spans="1:3" x14ac:dyDescent="0.25">
      <c r="A2678">
        <v>37</v>
      </c>
      <c r="B2678" t="str">
        <f>"8:55:45.733667"</f>
        <v>8:55:45.733667</v>
      </c>
      <c r="C2678">
        <v>-44</v>
      </c>
    </row>
    <row r="2679" spans="1:3" x14ac:dyDescent="0.25">
      <c r="A2679">
        <v>38</v>
      </c>
      <c r="B2679" t="str">
        <f>"8:55:45.734692"</f>
        <v>8:55:45.734692</v>
      </c>
      <c r="C2679">
        <v>-41</v>
      </c>
    </row>
    <row r="2680" spans="1:3" x14ac:dyDescent="0.25">
      <c r="A2680">
        <v>39</v>
      </c>
      <c r="B2680" t="str">
        <f>"8:55:45.735717"</f>
        <v>8:55:45.735717</v>
      </c>
      <c r="C2680">
        <v>-45</v>
      </c>
    </row>
    <row r="2681" spans="1:3" x14ac:dyDescent="0.25">
      <c r="A2681">
        <v>37</v>
      </c>
      <c r="B2681" t="str">
        <f>"8:55:46.092928"</f>
        <v>8:55:46.092928</v>
      </c>
      <c r="C2681">
        <v>-44</v>
      </c>
    </row>
    <row r="2682" spans="1:3" x14ac:dyDescent="0.25">
      <c r="A2682">
        <v>37</v>
      </c>
      <c r="B2682" t="str">
        <f>"8:55:46.093446"</f>
        <v>8:55:46.093446</v>
      </c>
      <c r="C2682">
        <v>-39</v>
      </c>
    </row>
    <row r="2683" spans="1:3" x14ac:dyDescent="0.25">
      <c r="A2683">
        <v>37</v>
      </c>
      <c r="B2683" t="str">
        <f>"8:55:46.093773"</f>
        <v>8:55:46.093773</v>
      </c>
      <c r="C2683">
        <v>-44</v>
      </c>
    </row>
    <row r="2684" spans="1:3" x14ac:dyDescent="0.25">
      <c r="A2684">
        <v>38</v>
      </c>
      <c r="B2684" t="str">
        <f>"8:55:46.094549"</f>
        <v>8:55:46.094549</v>
      </c>
      <c r="C2684">
        <v>-41</v>
      </c>
    </row>
    <row r="2685" spans="1:3" x14ac:dyDescent="0.25">
      <c r="A2685">
        <v>39</v>
      </c>
      <c r="B2685" t="str">
        <f>"8:55:46.095575"</f>
        <v>8:55:46.095575</v>
      </c>
      <c r="C2685">
        <v>-45</v>
      </c>
    </row>
    <row r="2686" spans="1:3" x14ac:dyDescent="0.25">
      <c r="A2686">
        <v>37</v>
      </c>
      <c r="B2686" t="str">
        <f>"8:55:46.447282"</f>
        <v>8:55:46.447282</v>
      </c>
      <c r="C2686">
        <v>-44</v>
      </c>
    </row>
    <row r="2687" spans="1:3" x14ac:dyDescent="0.25">
      <c r="A2687">
        <v>37</v>
      </c>
      <c r="B2687" t="str">
        <f>"8:55:46.447801"</f>
        <v>8:55:46.447801</v>
      </c>
      <c r="C2687">
        <v>-40</v>
      </c>
    </row>
    <row r="2688" spans="1:3" x14ac:dyDescent="0.25">
      <c r="A2688">
        <v>37</v>
      </c>
      <c r="B2688" t="str">
        <f>"8:55:46.448127"</f>
        <v>8:55:46.448127</v>
      </c>
      <c r="C2688">
        <v>-44</v>
      </c>
    </row>
    <row r="2689" spans="1:3" x14ac:dyDescent="0.25">
      <c r="A2689">
        <v>38</v>
      </c>
      <c r="B2689" t="str">
        <f>"8:55:46.448903"</f>
        <v>8:55:46.448903</v>
      </c>
      <c r="C2689">
        <v>-41</v>
      </c>
    </row>
    <row r="2690" spans="1:3" x14ac:dyDescent="0.25">
      <c r="A2690">
        <v>39</v>
      </c>
      <c r="B2690" t="str">
        <f>"8:55:46.449929"</f>
        <v>8:55:46.449929</v>
      </c>
      <c r="C2690">
        <v>-45</v>
      </c>
    </row>
    <row r="2691" spans="1:3" x14ac:dyDescent="0.25">
      <c r="A2691">
        <v>37</v>
      </c>
      <c r="B2691" t="str">
        <f>"8:55:46.799800"</f>
        <v>8:55:46.799800</v>
      </c>
      <c r="C2691">
        <v>-44</v>
      </c>
    </row>
    <row r="2692" spans="1:3" x14ac:dyDescent="0.25">
      <c r="A2692">
        <v>38</v>
      </c>
      <c r="B2692" t="str">
        <f>"8:55:46.800827"</f>
        <v>8:55:46.800827</v>
      </c>
      <c r="C2692">
        <v>-41</v>
      </c>
    </row>
    <row r="2693" spans="1:3" x14ac:dyDescent="0.25">
      <c r="A2693">
        <v>39</v>
      </c>
      <c r="B2693" t="str">
        <f>"8:55:46.801853"</f>
        <v>8:55:46.801853</v>
      </c>
      <c r="C2693">
        <v>-45</v>
      </c>
    </row>
    <row r="2694" spans="1:3" x14ac:dyDescent="0.25">
      <c r="A2694">
        <v>37</v>
      </c>
      <c r="B2694" t="str">
        <f>"8:55:47.159823"</f>
        <v>8:55:47.159823</v>
      </c>
      <c r="C2694">
        <v>-44</v>
      </c>
    </row>
    <row r="2695" spans="1:3" x14ac:dyDescent="0.25">
      <c r="A2695">
        <v>37</v>
      </c>
      <c r="B2695" t="str">
        <f>"8:55:47.160341"</f>
        <v>8:55:47.160341</v>
      </c>
      <c r="C2695">
        <v>-40</v>
      </c>
    </row>
    <row r="2696" spans="1:3" x14ac:dyDescent="0.25">
      <c r="A2696">
        <v>37</v>
      </c>
      <c r="B2696" t="str">
        <f>"8:55:47.160667"</f>
        <v>8:55:47.160667</v>
      </c>
      <c r="C2696">
        <v>-44</v>
      </c>
    </row>
    <row r="2697" spans="1:3" x14ac:dyDescent="0.25">
      <c r="A2697">
        <v>38</v>
      </c>
      <c r="B2697" t="str">
        <f>"8:55:47.161443"</f>
        <v>8:55:47.161443</v>
      </c>
      <c r="C2697">
        <v>-41</v>
      </c>
    </row>
    <row r="2698" spans="1:3" x14ac:dyDescent="0.25">
      <c r="A2698">
        <v>38</v>
      </c>
      <c r="B2698" t="str">
        <f>"8:55:47.162287"</f>
        <v>8:55:47.162287</v>
      </c>
      <c r="C2698">
        <v>-41</v>
      </c>
    </row>
    <row r="2699" spans="1:3" x14ac:dyDescent="0.25">
      <c r="A2699">
        <v>39</v>
      </c>
      <c r="B2699" t="str">
        <f>"8:55:47.163063"</f>
        <v>8:55:47.163063</v>
      </c>
      <c r="C2699">
        <v>-45</v>
      </c>
    </row>
    <row r="2700" spans="1:3" x14ac:dyDescent="0.25">
      <c r="A2700">
        <v>37</v>
      </c>
      <c r="B2700" t="str">
        <f>"8:55:47.511120"</f>
        <v>8:55:47.511120</v>
      </c>
      <c r="C2700">
        <v>-44</v>
      </c>
    </row>
    <row r="2701" spans="1:3" x14ac:dyDescent="0.25">
      <c r="A2701">
        <v>37</v>
      </c>
      <c r="B2701" t="str">
        <f>"8:55:47.511639"</f>
        <v>8:55:47.511639</v>
      </c>
      <c r="C2701">
        <v>-40</v>
      </c>
    </row>
    <row r="2702" spans="1:3" x14ac:dyDescent="0.25">
      <c r="A2702">
        <v>37</v>
      </c>
      <c r="B2702" t="str">
        <f>"8:55:47.511965"</f>
        <v>8:55:47.511965</v>
      </c>
      <c r="C2702">
        <v>-44</v>
      </c>
    </row>
    <row r="2703" spans="1:3" x14ac:dyDescent="0.25">
      <c r="A2703">
        <v>38</v>
      </c>
      <c r="B2703" t="str">
        <f>"8:55:47.512741"</f>
        <v>8:55:47.512741</v>
      </c>
      <c r="C2703">
        <v>-41</v>
      </c>
    </row>
    <row r="2704" spans="1:3" x14ac:dyDescent="0.25">
      <c r="A2704">
        <v>39</v>
      </c>
      <c r="B2704" t="str">
        <f>"8:55:47.513767"</f>
        <v>8:55:47.513767</v>
      </c>
      <c r="C2704">
        <v>-45</v>
      </c>
    </row>
    <row r="2705" spans="1:3" x14ac:dyDescent="0.25">
      <c r="A2705">
        <v>37</v>
      </c>
      <c r="B2705" t="str">
        <f>"8:55:47.865986"</f>
        <v>8:55:47.865986</v>
      </c>
      <c r="C2705">
        <v>-44</v>
      </c>
    </row>
    <row r="2706" spans="1:3" x14ac:dyDescent="0.25">
      <c r="A2706">
        <v>37</v>
      </c>
      <c r="B2706" t="str">
        <f>"8:55:47.866505"</f>
        <v>8:55:47.866505</v>
      </c>
      <c r="C2706">
        <v>-40</v>
      </c>
    </row>
    <row r="2707" spans="1:3" x14ac:dyDescent="0.25">
      <c r="A2707">
        <v>37</v>
      </c>
      <c r="B2707" t="str">
        <f>"8:55:47.866831"</f>
        <v>8:55:47.866831</v>
      </c>
      <c r="C2707">
        <v>-44</v>
      </c>
    </row>
    <row r="2708" spans="1:3" x14ac:dyDescent="0.25">
      <c r="A2708">
        <v>38</v>
      </c>
      <c r="B2708" t="str">
        <f>"8:55:47.867607"</f>
        <v>8:55:47.867607</v>
      </c>
      <c r="C2708">
        <v>-41</v>
      </c>
    </row>
    <row r="2709" spans="1:3" x14ac:dyDescent="0.25">
      <c r="A2709">
        <v>39</v>
      </c>
      <c r="B2709" t="str">
        <f>"8:55:47.868633"</f>
        <v>8:55:47.868633</v>
      </c>
      <c r="C2709">
        <v>-45</v>
      </c>
    </row>
    <row r="2710" spans="1:3" x14ac:dyDescent="0.25">
      <c r="A2710">
        <v>37</v>
      </c>
      <c r="B2710" t="str">
        <f>"8:55:48.218301"</f>
        <v>8:55:48.218301</v>
      </c>
      <c r="C2710">
        <v>-44</v>
      </c>
    </row>
    <row r="2711" spans="1:3" x14ac:dyDescent="0.25">
      <c r="A2711">
        <v>37</v>
      </c>
      <c r="B2711" t="str">
        <f>"8:55:48.218819"</f>
        <v>8:55:48.218819</v>
      </c>
      <c r="C2711">
        <v>-38</v>
      </c>
    </row>
    <row r="2712" spans="1:3" x14ac:dyDescent="0.25">
      <c r="A2712">
        <v>37</v>
      </c>
      <c r="B2712" t="str">
        <f>"8:55:48.219145"</f>
        <v>8:55:48.219145</v>
      </c>
      <c r="C2712">
        <v>-44</v>
      </c>
    </row>
    <row r="2713" spans="1:3" x14ac:dyDescent="0.25">
      <c r="A2713">
        <v>38</v>
      </c>
      <c r="B2713" t="str">
        <f>"8:55:48.219921"</f>
        <v>8:55:48.219921</v>
      </c>
      <c r="C2713">
        <v>-41</v>
      </c>
    </row>
    <row r="2714" spans="1:3" x14ac:dyDescent="0.25">
      <c r="A2714">
        <v>39</v>
      </c>
      <c r="B2714" t="str">
        <f>"8:55:48.220947"</f>
        <v>8:55:48.220947</v>
      </c>
      <c r="C2714">
        <v>-45</v>
      </c>
    </row>
    <row r="2715" spans="1:3" x14ac:dyDescent="0.25">
      <c r="A2715">
        <v>37</v>
      </c>
      <c r="B2715" t="str">
        <f>"8:55:48.574738"</f>
        <v>8:55:48.574738</v>
      </c>
      <c r="C2715">
        <v>-44</v>
      </c>
    </row>
    <row r="2716" spans="1:3" x14ac:dyDescent="0.25">
      <c r="A2716">
        <v>38</v>
      </c>
      <c r="B2716" t="str">
        <f>"8:55:48.575765"</f>
        <v>8:55:48.575765</v>
      </c>
      <c r="C2716">
        <v>-41</v>
      </c>
    </row>
    <row r="2717" spans="1:3" x14ac:dyDescent="0.25">
      <c r="A2717">
        <v>39</v>
      </c>
      <c r="B2717" t="str">
        <f>"8:55:48.576791"</f>
        <v>8:55:48.576791</v>
      </c>
      <c r="C2717">
        <v>-45</v>
      </c>
    </row>
    <row r="2718" spans="1:3" x14ac:dyDescent="0.25">
      <c r="A2718">
        <v>37</v>
      </c>
      <c r="B2718" t="str">
        <f>"8:55:48.926213"</f>
        <v>8:55:48.926213</v>
      </c>
      <c r="C2718">
        <v>-44</v>
      </c>
    </row>
    <row r="2719" spans="1:3" x14ac:dyDescent="0.25">
      <c r="A2719">
        <v>37</v>
      </c>
      <c r="B2719" t="str">
        <f>"8:55:48.926732"</f>
        <v>8:55:48.926732</v>
      </c>
      <c r="C2719">
        <v>-38</v>
      </c>
    </row>
    <row r="2720" spans="1:3" x14ac:dyDescent="0.25">
      <c r="A2720">
        <v>37</v>
      </c>
      <c r="B2720" t="str">
        <f>"8:55:48.927058"</f>
        <v>8:55:48.927058</v>
      </c>
      <c r="C2720">
        <v>-44</v>
      </c>
    </row>
    <row r="2721" spans="1:3" x14ac:dyDescent="0.25">
      <c r="A2721">
        <v>38</v>
      </c>
      <c r="B2721" t="str">
        <f>"8:55:48.927834"</f>
        <v>8:55:48.927834</v>
      </c>
      <c r="C2721">
        <v>-41</v>
      </c>
    </row>
    <row r="2722" spans="1:3" x14ac:dyDescent="0.25">
      <c r="A2722">
        <v>39</v>
      </c>
      <c r="B2722" t="str">
        <f>"8:55:48.928860"</f>
        <v>8:55:48.928860</v>
      </c>
      <c r="C2722">
        <v>-45</v>
      </c>
    </row>
    <row r="2723" spans="1:3" x14ac:dyDescent="0.25">
      <c r="A2723">
        <v>37</v>
      </c>
      <c r="B2723" t="str">
        <f>"8:55:49.281804"</f>
        <v>8:55:49.281804</v>
      </c>
      <c r="C2723">
        <v>-44</v>
      </c>
    </row>
    <row r="2724" spans="1:3" x14ac:dyDescent="0.25">
      <c r="A2724">
        <v>37</v>
      </c>
      <c r="B2724" t="str">
        <f>"8:55:49.282323"</f>
        <v>8:55:49.282323</v>
      </c>
      <c r="C2724">
        <v>-38</v>
      </c>
    </row>
    <row r="2725" spans="1:3" x14ac:dyDescent="0.25">
      <c r="A2725">
        <v>37</v>
      </c>
      <c r="B2725" t="str">
        <f>"8:55:49.282648"</f>
        <v>8:55:49.282648</v>
      </c>
      <c r="C2725">
        <v>-44</v>
      </c>
    </row>
    <row r="2726" spans="1:3" x14ac:dyDescent="0.25">
      <c r="A2726">
        <v>38</v>
      </c>
      <c r="B2726" t="str">
        <f>"8:55:49.283425"</f>
        <v>8:55:49.283425</v>
      </c>
      <c r="C2726">
        <v>-41</v>
      </c>
    </row>
    <row r="2727" spans="1:3" x14ac:dyDescent="0.25">
      <c r="A2727">
        <v>39</v>
      </c>
      <c r="B2727" t="str">
        <f>"8:55:49.284451"</f>
        <v>8:55:49.284451</v>
      </c>
      <c r="C2727">
        <v>-46</v>
      </c>
    </row>
    <row r="2728" spans="1:3" x14ac:dyDescent="0.25">
      <c r="A2728">
        <v>37</v>
      </c>
      <c r="B2728" t="str">
        <f>"8:55:49.634304"</f>
        <v>8:55:49.634304</v>
      </c>
      <c r="C2728">
        <v>-44</v>
      </c>
    </row>
    <row r="2729" spans="1:3" x14ac:dyDescent="0.25">
      <c r="A2729">
        <v>38</v>
      </c>
      <c r="B2729" t="str">
        <f>"8:55:49.635332"</f>
        <v>8:55:49.635332</v>
      </c>
      <c r="C2729">
        <v>-41</v>
      </c>
    </row>
    <row r="2730" spans="1:3" x14ac:dyDescent="0.25">
      <c r="A2730">
        <v>38</v>
      </c>
      <c r="B2730" t="str">
        <f>"8:55:49.635850"</f>
        <v>8:55:49.635850</v>
      </c>
      <c r="C2730">
        <v>-32</v>
      </c>
    </row>
    <row r="2731" spans="1:3" x14ac:dyDescent="0.25">
      <c r="A2731">
        <v>38</v>
      </c>
      <c r="B2731" t="str">
        <f>"8:55:49.636176"</f>
        <v>8:55:49.636176</v>
      </c>
      <c r="C2731">
        <v>-41</v>
      </c>
    </row>
    <row r="2732" spans="1:3" x14ac:dyDescent="0.25">
      <c r="A2732">
        <v>39</v>
      </c>
      <c r="B2732" t="str">
        <f>"8:55:49.636952"</f>
        <v>8:55:49.636952</v>
      </c>
      <c r="C2732">
        <v>-45</v>
      </c>
    </row>
    <row r="2733" spans="1:3" x14ac:dyDescent="0.25">
      <c r="A2733">
        <v>37</v>
      </c>
      <c r="B2733" t="str">
        <f>"8:55:49.988688"</f>
        <v>8:55:49.988688</v>
      </c>
      <c r="C2733">
        <v>-44</v>
      </c>
    </row>
    <row r="2734" spans="1:3" x14ac:dyDescent="0.25">
      <c r="A2734">
        <v>38</v>
      </c>
      <c r="B2734" t="str">
        <f>"8:55:49.989715"</f>
        <v>8:55:49.989715</v>
      </c>
      <c r="C2734">
        <v>-41</v>
      </c>
    </row>
    <row r="2735" spans="1:3" x14ac:dyDescent="0.25">
      <c r="A2735">
        <v>38</v>
      </c>
      <c r="B2735" t="str">
        <f>"8:55:49.990234"</f>
        <v>8:55:49.990234</v>
      </c>
      <c r="C2735">
        <v>-32</v>
      </c>
    </row>
    <row r="2736" spans="1:3" x14ac:dyDescent="0.25">
      <c r="A2736">
        <v>38</v>
      </c>
      <c r="B2736" t="str">
        <f>"8:55:49.990560"</f>
        <v>8:55:49.990560</v>
      </c>
      <c r="C2736">
        <v>-41</v>
      </c>
    </row>
    <row r="2737" spans="1:3" x14ac:dyDescent="0.25">
      <c r="A2737">
        <v>39</v>
      </c>
      <c r="B2737" t="str">
        <f>"8:55:49.991336"</f>
        <v>8:55:49.991336</v>
      </c>
      <c r="C2737">
        <v>-45</v>
      </c>
    </row>
    <row r="2738" spans="1:3" x14ac:dyDescent="0.25">
      <c r="A2738">
        <v>37</v>
      </c>
      <c r="B2738" t="str">
        <f>"8:55:50.340763"</f>
        <v>8:55:50.340763</v>
      </c>
      <c r="C2738">
        <v>-44</v>
      </c>
    </row>
    <row r="2739" spans="1:3" x14ac:dyDescent="0.25">
      <c r="A2739">
        <v>38</v>
      </c>
      <c r="B2739" t="str">
        <f>"8:55:50.341790"</f>
        <v>8:55:50.341790</v>
      </c>
      <c r="C2739">
        <v>-41</v>
      </c>
    </row>
    <row r="2740" spans="1:3" x14ac:dyDescent="0.25">
      <c r="A2740">
        <v>39</v>
      </c>
      <c r="B2740" t="str">
        <f>"8:55:50.342816"</f>
        <v>8:55:50.342816</v>
      </c>
      <c r="C2740">
        <v>-46</v>
      </c>
    </row>
    <row r="2741" spans="1:3" x14ac:dyDescent="0.25">
      <c r="A2741">
        <v>39</v>
      </c>
      <c r="B2741" t="str">
        <f>"8:55:50.343661"</f>
        <v>8:55:50.343661</v>
      </c>
      <c r="C2741">
        <v>-45</v>
      </c>
    </row>
    <row r="2742" spans="1:3" x14ac:dyDescent="0.25">
      <c r="A2742">
        <v>37</v>
      </c>
      <c r="B2742" t="str">
        <f>"8:55:50.692244"</f>
        <v>8:55:50.692244</v>
      </c>
      <c r="C2742">
        <v>-44</v>
      </c>
    </row>
    <row r="2743" spans="1:3" x14ac:dyDescent="0.25">
      <c r="A2743">
        <v>38</v>
      </c>
      <c r="B2743" t="str">
        <f>"8:55:50.693271"</f>
        <v>8:55:50.693271</v>
      </c>
      <c r="C2743">
        <v>-41</v>
      </c>
    </row>
    <row r="2744" spans="1:3" x14ac:dyDescent="0.25">
      <c r="A2744">
        <v>39</v>
      </c>
      <c r="B2744" t="str">
        <f>"8:55:50.694297"</f>
        <v>8:55:50.694297</v>
      </c>
      <c r="C2744">
        <v>-46</v>
      </c>
    </row>
    <row r="2745" spans="1:3" x14ac:dyDescent="0.25">
      <c r="A2745">
        <v>37</v>
      </c>
      <c r="B2745" t="str">
        <f>"8:55:51.043773"</f>
        <v>8:55:51.043773</v>
      </c>
      <c r="C2745">
        <v>-44</v>
      </c>
    </row>
    <row r="2746" spans="1:3" x14ac:dyDescent="0.25">
      <c r="A2746">
        <v>38</v>
      </c>
      <c r="B2746" t="str">
        <f>"8:55:51.044801"</f>
        <v>8:55:51.044801</v>
      </c>
      <c r="C2746">
        <v>-41</v>
      </c>
    </row>
    <row r="2747" spans="1:3" x14ac:dyDescent="0.25">
      <c r="A2747">
        <v>38</v>
      </c>
      <c r="B2747" t="str">
        <f>"8:55:51.045319"</f>
        <v>8:55:51.045319</v>
      </c>
      <c r="C2747">
        <v>-32</v>
      </c>
    </row>
    <row r="2748" spans="1:3" x14ac:dyDescent="0.25">
      <c r="A2748">
        <v>38</v>
      </c>
      <c r="B2748" t="str">
        <f>"8:55:51.045645"</f>
        <v>8:55:51.045645</v>
      </c>
      <c r="C2748">
        <v>-41</v>
      </c>
    </row>
    <row r="2749" spans="1:3" x14ac:dyDescent="0.25">
      <c r="A2749">
        <v>39</v>
      </c>
      <c r="B2749" t="str">
        <f>"8:55:51.046421"</f>
        <v>8:55:51.046421</v>
      </c>
      <c r="C2749">
        <v>-46</v>
      </c>
    </row>
    <row r="2750" spans="1:3" x14ac:dyDescent="0.25">
      <c r="A2750">
        <v>37</v>
      </c>
      <c r="B2750" t="str">
        <f>"8:55:51.396037"</f>
        <v>8:55:51.396037</v>
      </c>
      <c r="C2750">
        <v>-44</v>
      </c>
    </row>
    <row r="2751" spans="1:3" x14ac:dyDescent="0.25">
      <c r="A2751">
        <v>38</v>
      </c>
      <c r="B2751" t="str">
        <f>"8:55:51.397065"</f>
        <v>8:55:51.397065</v>
      </c>
      <c r="C2751">
        <v>-41</v>
      </c>
    </row>
    <row r="2752" spans="1:3" x14ac:dyDescent="0.25">
      <c r="A2752">
        <v>39</v>
      </c>
      <c r="B2752" t="str">
        <f>"8:55:51.398091"</f>
        <v>8:55:51.398091</v>
      </c>
      <c r="C2752">
        <v>-45</v>
      </c>
    </row>
    <row r="2753" spans="1:3" x14ac:dyDescent="0.25">
      <c r="A2753">
        <v>37</v>
      </c>
      <c r="B2753" t="str">
        <f>"8:55:51.751116"</f>
        <v>8:55:51.751116</v>
      </c>
      <c r="C2753">
        <v>-44</v>
      </c>
    </row>
    <row r="2754" spans="1:3" x14ac:dyDescent="0.25">
      <c r="A2754">
        <v>38</v>
      </c>
      <c r="B2754" t="str">
        <f>"8:55:51.752143"</f>
        <v>8:55:51.752143</v>
      </c>
      <c r="C2754">
        <v>-41</v>
      </c>
    </row>
    <row r="2755" spans="1:3" x14ac:dyDescent="0.25">
      <c r="A2755">
        <v>38</v>
      </c>
      <c r="B2755" t="str">
        <f>"8:55:51.752661"</f>
        <v>8:55:51.752661</v>
      </c>
      <c r="C2755">
        <v>-32</v>
      </c>
    </row>
    <row r="2756" spans="1:3" x14ac:dyDescent="0.25">
      <c r="A2756">
        <v>38</v>
      </c>
      <c r="B2756" t="str">
        <f>"8:55:51.752987"</f>
        <v>8:55:51.752987</v>
      </c>
      <c r="C2756">
        <v>-41</v>
      </c>
    </row>
    <row r="2757" spans="1:3" x14ac:dyDescent="0.25">
      <c r="A2757">
        <v>39</v>
      </c>
      <c r="B2757" t="str">
        <f>"8:55:51.753763"</f>
        <v>8:55:51.753763</v>
      </c>
      <c r="C2757">
        <v>-45</v>
      </c>
    </row>
    <row r="2758" spans="1:3" x14ac:dyDescent="0.25">
      <c r="A2758">
        <v>37</v>
      </c>
      <c r="B2758" t="str">
        <f>"8:55:52.102404"</f>
        <v>8:55:52.102404</v>
      </c>
      <c r="C2758">
        <v>-44</v>
      </c>
    </row>
    <row r="2759" spans="1:3" x14ac:dyDescent="0.25">
      <c r="A2759">
        <v>38</v>
      </c>
      <c r="B2759" t="str">
        <f>"8:55:52.103431"</f>
        <v>8:55:52.103431</v>
      </c>
      <c r="C2759">
        <v>-41</v>
      </c>
    </row>
    <row r="2760" spans="1:3" x14ac:dyDescent="0.25">
      <c r="A2760">
        <v>38</v>
      </c>
      <c r="B2760" t="str">
        <f>"8:55:52.103950"</f>
        <v>8:55:52.103950</v>
      </c>
      <c r="C2760">
        <v>-31</v>
      </c>
    </row>
    <row r="2761" spans="1:3" x14ac:dyDescent="0.25">
      <c r="A2761">
        <v>38</v>
      </c>
      <c r="B2761" t="str">
        <f>"8:55:52.104276"</f>
        <v>8:55:52.104276</v>
      </c>
      <c r="C2761">
        <v>-41</v>
      </c>
    </row>
    <row r="2762" spans="1:3" x14ac:dyDescent="0.25">
      <c r="A2762">
        <v>39</v>
      </c>
      <c r="B2762" t="str">
        <f>"8:55:52.105052"</f>
        <v>8:55:52.105052</v>
      </c>
      <c r="C2762">
        <v>-45</v>
      </c>
    </row>
    <row r="2763" spans="1:3" x14ac:dyDescent="0.25">
      <c r="A2763">
        <v>37</v>
      </c>
      <c r="B2763" t="str">
        <f>"8:55:52.458596"</f>
        <v>8:55:52.458596</v>
      </c>
      <c r="C2763">
        <v>-44</v>
      </c>
    </row>
    <row r="2764" spans="1:3" x14ac:dyDescent="0.25">
      <c r="A2764">
        <v>37</v>
      </c>
      <c r="B2764" t="str">
        <f>"8:55:52.459442"</f>
        <v>8:55:52.459442</v>
      </c>
      <c r="C2764">
        <v>-45</v>
      </c>
    </row>
    <row r="2765" spans="1:3" x14ac:dyDescent="0.25">
      <c r="A2765">
        <v>38</v>
      </c>
      <c r="B2765" t="str">
        <f>"8:55:52.460218"</f>
        <v>8:55:52.460218</v>
      </c>
      <c r="C2765">
        <v>-41</v>
      </c>
    </row>
    <row r="2766" spans="1:3" x14ac:dyDescent="0.25">
      <c r="A2766">
        <v>38</v>
      </c>
      <c r="B2766" t="str">
        <f>"8:55:52.460736"</f>
        <v>8:55:52.460736</v>
      </c>
      <c r="C2766">
        <v>-32</v>
      </c>
    </row>
    <row r="2767" spans="1:3" x14ac:dyDescent="0.25">
      <c r="A2767">
        <v>38</v>
      </c>
      <c r="B2767" t="str">
        <f>"8:55:52.461062"</f>
        <v>8:55:52.461062</v>
      </c>
      <c r="C2767">
        <v>-41</v>
      </c>
    </row>
    <row r="2768" spans="1:3" x14ac:dyDescent="0.25">
      <c r="A2768">
        <v>39</v>
      </c>
      <c r="B2768" t="str">
        <f>"8:55:52.461838"</f>
        <v>8:55:52.461838</v>
      </c>
      <c r="C2768">
        <v>-45</v>
      </c>
    </row>
    <row r="2769" spans="1:3" x14ac:dyDescent="0.25">
      <c r="A2769">
        <v>37</v>
      </c>
      <c r="B2769" t="str">
        <f>"8:55:52.816032"</f>
        <v>8:55:52.816032</v>
      </c>
      <c r="C2769">
        <v>-44</v>
      </c>
    </row>
    <row r="2770" spans="1:3" x14ac:dyDescent="0.25">
      <c r="A2770">
        <v>38</v>
      </c>
      <c r="B2770" t="str">
        <f>"8:55:52.817059"</f>
        <v>8:55:52.817059</v>
      </c>
      <c r="C2770">
        <v>-41</v>
      </c>
    </row>
    <row r="2771" spans="1:3" x14ac:dyDescent="0.25">
      <c r="A2771">
        <v>38</v>
      </c>
      <c r="B2771" t="str">
        <f>"8:55:52.817578"</f>
        <v>8:55:52.817578</v>
      </c>
      <c r="C2771">
        <v>-31</v>
      </c>
    </row>
    <row r="2772" spans="1:3" x14ac:dyDescent="0.25">
      <c r="A2772">
        <v>38</v>
      </c>
      <c r="B2772" t="str">
        <f>"8:55:52.817903"</f>
        <v>8:55:52.817903</v>
      </c>
      <c r="C2772">
        <v>-42</v>
      </c>
    </row>
    <row r="2773" spans="1:3" x14ac:dyDescent="0.25">
      <c r="A2773">
        <v>39</v>
      </c>
      <c r="B2773" t="str">
        <f>"8:55:52.818679"</f>
        <v>8:55:52.818679</v>
      </c>
      <c r="C2773">
        <v>-45</v>
      </c>
    </row>
    <row r="2774" spans="1:3" x14ac:dyDescent="0.25">
      <c r="A2774">
        <v>37</v>
      </c>
      <c r="B2774" t="str">
        <f>"8:55:53.171109"</f>
        <v>8:55:53.171109</v>
      </c>
      <c r="C2774">
        <v>-44</v>
      </c>
    </row>
    <row r="2775" spans="1:3" x14ac:dyDescent="0.25">
      <c r="A2775">
        <v>38</v>
      </c>
      <c r="B2775" t="str">
        <f>"8:55:53.172137"</f>
        <v>8:55:53.172137</v>
      </c>
      <c r="C2775">
        <v>-41</v>
      </c>
    </row>
    <row r="2776" spans="1:3" x14ac:dyDescent="0.25">
      <c r="A2776">
        <v>38</v>
      </c>
      <c r="B2776" t="str">
        <f>"8:55:53.172656"</f>
        <v>8:55:53.172656</v>
      </c>
      <c r="C2776">
        <v>-31</v>
      </c>
    </row>
    <row r="2777" spans="1:3" x14ac:dyDescent="0.25">
      <c r="A2777">
        <v>38</v>
      </c>
      <c r="B2777" t="str">
        <f>"8:55:53.172982"</f>
        <v>8:55:53.172982</v>
      </c>
      <c r="C2777">
        <v>-42</v>
      </c>
    </row>
    <row r="2778" spans="1:3" x14ac:dyDescent="0.25">
      <c r="A2778">
        <v>39</v>
      </c>
      <c r="B2778" t="str">
        <f>"8:55:53.173758"</f>
        <v>8:55:53.173758</v>
      </c>
      <c r="C2778">
        <v>-45</v>
      </c>
    </row>
    <row r="2779" spans="1:3" x14ac:dyDescent="0.25">
      <c r="A2779">
        <v>37</v>
      </c>
      <c r="B2779" t="str">
        <f>"8:55:53.525967"</f>
        <v>8:55:53.525967</v>
      </c>
      <c r="C2779">
        <v>-44</v>
      </c>
    </row>
    <row r="2780" spans="1:3" x14ac:dyDescent="0.25">
      <c r="A2780">
        <v>37</v>
      </c>
      <c r="B2780" t="str">
        <f>"8:55:53.526486"</f>
        <v>8:55:53.526486</v>
      </c>
      <c r="C2780">
        <v>-85</v>
      </c>
    </row>
    <row r="2781" spans="1:3" x14ac:dyDescent="0.25">
      <c r="A2781">
        <v>37</v>
      </c>
      <c r="B2781" t="str">
        <f>"8:55:53.526811"</f>
        <v>8:55:53.526811</v>
      </c>
      <c r="C2781">
        <v>-44</v>
      </c>
    </row>
    <row r="2782" spans="1:3" x14ac:dyDescent="0.25">
      <c r="A2782">
        <v>38</v>
      </c>
      <c r="B2782" t="str">
        <f>"8:55:53.527588"</f>
        <v>8:55:53.527588</v>
      </c>
      <c r="C2782">
        <v>-41</v>
      </c>
    </row>
    <row r="2783" spans="1:3" x14ac:dyDescent="0.25">
      <c r="A2783">
        <v>38</v>
      </c>
      <c r="B2783" t="str">
        <f>"8:55:53.528106"</f>
        <v>8:55:53.528106</v>
      </c>
      <c r="C2783">
        <v>-31</v>
      </c>
    </row>
    <row r="2784" spans="1:3" x14ac:dyDescent="0.25">
      <c r="A2784">
        <v>38</v>
      </c>
      <c r="B2784" t="str">
        <f>"8:55:53.528432"</f>
        <v>8:55:53.528432</v>
      </c>
      <c r="C2784">
        <v>-41</v>
      </c>
    </row>
    <row r="2785" spans="1:3" x14ac:dyDescent="0.25">
      <c r="A2785">
        <v>39</v>
      </c>
      <c r="B2785" t="str">
        <f>"8:55:53.529208"</f>
        <v>8:55:53.529208</v>
      </c>
      <c r="C2785">
        <v>-45</v>
      </c>
    </row>
    <row r="2786" spans="1:3" x14ac:dyDescent="0.25">
      <c r="A2786">
        <v>37</v>
      </c>
      <c r="B2786" t="str">
        <f>"8:55:53.878559"</f>
        <v>8:55:53.878559</v>
      </c>
      <c r="C2786">
        <v>-44</v>
      </c>
    </row>
    <row r="2787" spans="1:3" x14ac:dyDescent="0.25">
      <c r="A2787">
        <v>38</v>
      </c>
      <c r="B2787" t="str">
        <f>"8:55:53.879586"</f>
        <v>8:55:53.879586</v>
      </c>
      <c r="C2787">
        <v>-41</v>
      </c>
    </row>
    <row r="2788" spans="1:3" x14ac:dyDescent="0.25">
      <c r="A2788">
        <v>38</v>
      </c>
      <c r="B2788" t="str">
        <f>"8:55:53.880105"</f>
        <v>8:55:53.880105</v>
      </c>
      <c r="C2788">
        <v>-32</v>
      </c>
    </row>
    <row r="2789" spans="1:3" x14ac:dyDescent="0.25">
      <c r="A2789">
        <v>38</v>
      </c>
      <c r="B2789" t="str">
        <f>"8:55:53.880430"</f>
        <v>8:55:53.880430</v>
      </c>
      <c r="C2789">
        <v>-41</v>
      </c>
    </row>
    <row r="2790" spans="1:3" x14ac:dyDescent="0.25">
      <c r="A2790">
        <v>39</v>
      </c>
      <c r="B2790" t="str">
        <f>"8:55:53.881206"</f>
        <v>8:55:53.881206</v>
      </c>
      <c r="C2790">
        <v>-45</v>
      </c>
    </row>
    <row r="2791" spans="1:3" x14ac:dyDescent="0.25">
      <c r="A2791">
        <v>39</v>
      </c>
      <c r="B2791" t="str">
        <f>"8:55:53.881726"</f>
        <v>8:55:53.881726</v>
      </c>
      <c r="C2791">
        <v>-72</v>
      </c>
    </row>
    <row r="2792" spans="1:3" x14ac:dyDescent="0.25">
      <c r="A2792">
        <v>37</v>
      </c>
      <c r="B2792" t="str">
        <f>"8:55:54.230108"</f>
        <v>8:55:54.230108</v>
      </c>
      <c r="C2792">
        <v>-44</v>
      </c>
    </row>
    <row r="2793" spans="1:3" x14ac:dyDescent="0.25">
      <c r="A2793">
        <v>38</v>
      </c>
      <c r="B2793" t="str">
        <f>"8:55:54.231135"</f>
        <v>8:55:54.231135</v>
      </c>
      <c r="C2793">
        <v>-41</v>
      </c>
    </row>
    <row r="2794" spans="1:3" x14ac:dyDescent="0.25">
      <c r="A2794">
        <v>39</v>
      </c>
      <c r="B2794" t="str">
        <f>"8:55:54.232161"</f>
        <v>8:55:54.232161</v>
      </c>
      <c r="C2794">
        <v>-46</v>
      </c>
    </row>
    <row r="2795" spans="1:3" x14ac:dyDescent="0.25">
      <c r="A2795">
        <v>37</v>
      </c>
      <c r="B2795" t="str">
        <f>"8:55:54.584150"</f>
        <v>8:55:54.584150</v>
      </c>
      <c r="C2795">
        <v>-44</v>
      </c>
    </row>
    <row r="2796" spans="1:3" x14ac:dyDescent="0.25">
      <c r="A2796">
        <v>38</v>
      </c>
      <c r="B2796" t="str">
        <f>"8:55:54.585177"</f>
        <v>8:55:54.585177</v>
      </c>
      <c r="C2796">
        <v>-41</v>
      </c>
    </row>
    <row r="2797" spans="1:3" x14ac:dyDescent="0.25">
      <c r="A2797">
        <v>39</v>
      </c>
      <c r="B2797" t="str">
        <f>"8:55:54.586372"</f>
        <v>8:55:54.586372</v>
      </c>
      <c r="C2797">
        <v>-45</v>
      </c>
    </row>
    <row r="2798" spans="1:3" x14ac:dyDescent="0.25">
      <c r="A2798">
        <v>39</v>
      </c>
      <c r="B2798" t="str">
        <f>"8:55:54.586890"</f>
        <v>8:55:54.586890</v>
      </c>
      <c r="C2798">
        <v>-31</v>
      </c>
    </row>
    <row r="2799" spans="1:3" x14ac:dyDescent="0.25">
      <c r="A2799">
        <v>39</v>
      </c>
      <c r="B2799" t="str">
        <f>"8:55:54.587216"</f>
        <v>8:55:54.587216</v>
      </c>
      <c r="C2799">
        <v>-45</v>
      </c>
    </row>
    <row r="2800" spans="1:3" x14ac:dyDescent="0.25">
      <c r="A2800">
        <v>37</v>
      </c>
      <c r="B2800" t="str">
        <f>"8:55:54.934831"</f>
        <v>8:55:54.934831</v>
      </c>
      <c r="C2800">
        <v>-44</v>
      </c>
    </row>
    <row r="2801" spans="1:3" x14ac:dyDescent="0.25">
      <c r="A2801">
        <v>37</v>
      </c>
      <c r="B2801" t="str">
        <f>"8:55:54.935350"</f>
        <v>8:55:54.935350</v>
      </c>
      <c r="C2801">
        <v>-79</v>
      </c>
    </row>
    <row r="2802" spans="1:3" x14ac:dyDescent="0.25">
      <c r="A2802">
        <v>37</v>
      </c>
      <c r="B2802" t="str">
        <f>"8:55:54.935676"</f>
        <v>8:55:54.935676</v>
      </c>
      <c r="C2802">
        <v>-45</v>
      </c>
    </row>
    <row r="2803" spans="1:3" x14ac:dyDescent="0.25">
      <c r="A2803">
        <v>38</v>
      </c>
      <c r="B2803" t="str">
        <f>"8:55:54.936452"</f>
        <v>8:55:54.936452</v>
      </c>
      <c r="C2803">
        <v>-41</v>
      </c>
    </row>
    <row r="2804" spans="1:3" x14ac:dyDescent="0.25">
      <c r="A2804">
        <v>39</v>
      </c>
      <c r="B2804" t="str">
        <f>"8:55:54.937478"</f>
        <v>8:55:54.937478</v>
      </c>
      <c r="C2804">
        <v>-45</v>
      </c>
    </row>
    <row r="2805" spans="1:3" x14ac:dyDescent="0.25">
      <c r="A2805">
        <v>39</v>
      </c>
      <c r="B2805" t="str">
        <f>"8:55:54.937997"</f>
        <v>8:55:54.937997</v>
      </c>
      <c r="C2805">
        <v>-31</v>
      </c>
    </row>
    <row r="2806" spans="1:3" x14ac:dyDescent="0.25">
      <c r="A2806">
        <v>39</v>
      </c>
      <c r="B2806" t="str">
        <f>"8:55:54.938322"</f>
        <v>8:55:54.938322</v>
      </c>
      <c r="C2806">
        <v>-45</v>
      </c>
    </row>
    <row r="2807" spans="1:3" x14ac:dyDescent="0.25">
      <c r="A2807">
        <v>37</v>
      </c>
      <c r="B2807" t="str">
        <f>"8:55:55.285840"</f>
        <v>8:55:55.285840</v>
      </c>
      <c r="C2807">
        <v>-45</v>
      </c>
    </row>
    <row r="2808" spans="1:3" x14ac:dyDescent="0.25">
      <c r="A2808">
        <v>38</v>
      </c>
      <c r="B2808" t="str">
        <f>"8:55:55.286868"</f>
        <v>8:55:55.286868</v>
      </c>
      <c r="C2808">
        <v>-41</v>
      </c>
    </row>
    <row r="2809" spans="1:3" x14ac:dyDescent="0.25">
      <c r="A2809">
        <v>39</v>
      </c>
      <c r="B2809" t="str">
        <f>"8:55:55.287894"</f>
        <v>8:55:55.287894</v>
      </c>
      <c r="C2809">
        <v>-45</v>
      </c>
    </row>
    <row r="2810" spans="1:3" x14ac:dyDescent="0.25">
      <c r="A2810">
        <v>39</v>
      </c>
      <c r="B2810" t="str">
        <f>"8:55:55.288412"</f>
        <v>8:55:55.288412</v>
      </c>
      <c r="C2810">
        <v>-31</v>
      </c>
    </row>
    <row r="2811" spans="1:3" x14ac:dyDescent="0.25">
      <c r="A2811">
        <v>39</v>
      </c>
      <c r="B2811" t="str">
        <f>"8:55:55.288738"</f>
        <v>8:55:55.288738</v>
      </c>
      <c r="C2811">
        <v>-45</v>
      </c>
    </row>
    <row r="2812" spans="1:3" x14ac:dyDescent="0.25">
      <c r="A2812">
        <v>37</v>
      </c>
      <c r="B2812" t="str">
        <f>"8:55:55.639412"</f>
        <v>8:55:55.639412</v>
      </c>
      <c r="C2812">
        <v>-44</v>
      </c>
    </row>
    <row r="2813" spans="1:3" x14ac:dyDescent="0.25">
      <c r="A2813">
        <v>38</v>
      </c>
      <c r="B2813" t="str">
        <f>"8:55:55.640439"</f>
        <v>8:55:55.640439</v>
      </c>
      <c r="C2813">
        <v>-41</v>
      </c>
    </row>
    <row r="2814" spans="1:3" x14ac:dyDescent="0.25">
      <c r="A2814">
        <v>39</v>
      </c>
      <c r="B2814" t="str">
        <f>"8:55:55.641465"</f>
        <v>8:55:55.641465</v>
      </c>
      <c r="C2814">
        <v>-45</v>
      </c>
    </row>
    <row r="2815" spans="1:3" x14ac:dyDescent="0.25">
      <c r="A2815">
        <v>39</v>
      </c>
      <c r="B2815" t="str">
        <f>"8:55:55.641984"</f>
        <v>8:55:55.641984</v>
      </c>
      <c r="C2815">
        <v>-31</v>
      </c>
    </row>
    <row r="2816" spans="1:3" x14ac:dyDescent="0.25">
      <c r="A2816">
        <v>39</v>
      </c>
      <c r="B2816" t="str">
        <f>"8:55:55.642310"</f>
        <v>8:55:55.642310</v>
      </c>
      <c r="C2816">
        <v>-45</v>
      </c>
    </row>
    <row r="2817" spans="1:3" x14ac:dyDescent="0.25">
      <c r="A2817">
        <v>37</v>
      </c>
      <c r="B2817" t="str">
        <f>"8:55:55.995045"</f>
        <v>8:55:55.995045</v>
      </c>
      <c r="C2817">
        <v>-44</v>
      </c>
    </row>
    <row r="2818" spans="1:3" x14ac:dyDescent="0.25">
      <c r="A2818">
        <v>38</v>
      </c>
      <c r="B2818" t="str">
        <f>"8:55:55.996072"</f>
        <v>8:55:55.996072</v>
      </c>
      <c r="C2818">
        <v>-41</v>
      </c>
    </row>
    <row r="2819" spans="1:3" x14ac:dyDescent="0.25">
      <c r="A2819">
        <v>39</v>
      </c>
      <c r="B2819" t="str">
        <f>"8:55:55.997098"</f>
        <v>8:55:55.997098</v>
      </c>
      <c r="C2819">
        <v>-45</v>
      </c>
    </row>
    <row r="2820" spans="1:3" x14ac:dyDescent="0.25">
      <c r="A2820">
        <v>39</v>
      </c>
      <c r="B2820" t="str">
        <f>"8:55:55.997616"</f>
        <v>8:55:55.997616</v>
      </c>
      <c r="C2820">
        <v>-31</v>
      </c>
    </row>
    <row r="2821" spans="1:3" x14ac:dyDescent="0.25">
      <c r="A2821">
        <v>39</v>
      </c>
      <c r="B2821" t="str">
        <f>"8:55:55.997942"</f>
        <v>8:55:55.997942</v>
      </c>
      <c r="C2821">
        <v>-45</v>
      </c>
    </row>
    <row r="2822" spans="1:3" x14ac:dyDescent="0.25">
      <c r="A2822">
        <v>37</v>
      </c>
      <c r="B2822" t="str">
        <f>"8:55:56.348114"</f>
        <v>8:55:56.348114</v>
      </c>
      <c r="C2822">
        <v>-44</v>
      </c>
    </row>
    <row r="2823" spans="1:3" x14ac:dyDescent="0.25">
      <c r="A2823">
        <v>38</v>
      </c>
      <c r="B2823" t="str">
        <f>"8:55:56.349142"</f>
        <v>8:55:56.349142</v>
      </c>
      <c r="C2823">
        <v>-41</v>
      </c>
    </row>
    <row r="2824" spans="1:3" x14ac:dyDescent="0.25">
      <c r="A2824">
        <v>39</v>
      </c>
      <c r="B2824" t="str">
        <f>"8:55:56.350168"</f>
        <v>8:55:56.350168</v>
      </c>
      <c r="C2824">
        <v>-45</v>
      </c>
    </row>
    <row r="2825" spans="1:3" x14ac:dyDescent="0.25">
      <c r="A2825">
        <v>39</v>
      </c>
      <c r="B2825" t="str">
        <f>"8:55:56.350686"</f>
        <v>8:55:56.350686</v>
      </c>
      <c r="C2825">
        <v>-31</v>
      </c>
    </row>
    <row r="2826" spans="1:3" x14ac:dyDescent="0.25">
      <c r="A2826">
        <v>39</v>
      </c>
      <c r="B2826" t="str">
        <f>"8:55:56.351013"</f>
        <v>8:55:56.351013</v>
      </c>
      <c r="C2826">
        <v>-45</v>
      </c>
    </row>
    <row r="2827" spans="1:3" x14ac:dyDescent="0.25">
      <c r="A2827">
        <v>37</v>
      </c>
      <c r="B2827" t="str">
        <f>"8:55:56.706546"</f>
        <v>8:55:56.706546</v>
      </c>
      <c r="C2827">
        <v>-44</v>
      </c>
    </row>
    <row r="2828" spans="1:3" x14ac:dyDescent="0.25">
      <c r="A2828">
        <v>38</v>
      </c>
      <c r="B2828" t="str">
        <f>"8:55:56.707573"</f>
        <v>8:55:56.707573</v>
      </c>
      <c r="C2828">
        <v>-41</v>
      </c>
    </row>
    <row r="2829" spans="1:3" x14ac:dyDescent="0.25">
      <c r="A2829">
        <v>39</v>
      </c>
      <c r="B2829" t="str">
        <f>"8:55:56.708599"</f>
        <v>8:55:56.708599</v>
      </c>
      <c r="C2829">
        <v>-45</v>
      </c>
    </row>
    <row r="2830" spans="1:3" x14ac:dyDescent="0.25">
      <c r="A2830">
        <v>37</v>
      </c>
      <c r="B2830" t="str">
        <f>"8:55:57.064720"</f>
        <v>8:55:57.064720</v>
      </c>
      <c r="C2830">
        <v>-44</v>
      </c>
    </row>
    <row r="2831" spans="1:3" x14ac:dyDescent="0.25">
      <c r="A2831">
        <v>37</v>
      </c>
      <c r="B2831" t="str">
        <f>"8:55:57.065566"</f>
        <v>8:55:57.065566</v>
      </c>
      <c r="C2831">
        <v>-44</v>
      </c>
    </row>
    <row r="2832" spans="1:3" x14ac:dyDescent="0.25">
      <c r="A2832">
        <v>38</v>
      </c>
      <c r="B2832" t="str">
        <f>"8:55:57.066343"</f>
        <v>8:55:57.066343</v>
      </c>
      <c r="C2832">
        <v>-41</v>
      </c>
    </row>
    <row r="2833" spans="1:3" x14ac:dyDescent="0.25">
      <c r="A2833">
        <v>39</v>
      </c>
      <c r="B2833" t="str">
        <f>"8:55:57.067369"</f>
        <v>8:55:57.067369</v>
      </c>
      <c r="C2833">
        <v>-45</v>
      </c>
    </row>
    <row r="2834" spans="1:3" x14ac:dyDescent="0.25">
      <c r="A2834">
        <v>39</v>
      </c>
      <c r="B2834" t="str">
        <f>"8:55:57.067886"</f>
        <v>8:55:57.067886</v>
      </c>
      <c r="C2834">
        <v>-31</v>
      </c>
    </row>
    <row r="2835" spans="1:3" x14ac:dyDescent="0.25">
      <c r="A2835">
        <v>39</v>
      </c>
      <c r="B2835" t="str">
        <f>"8:55:57.068213"</f>
        <v>8:55:57.068213</v>
      </c>
      <c r="C2835">
        <v>-45</v>
      </c>
    </row>
    <row r="2836" spans="1:3" x14ac:dyDescent="0.25">
      <c r="A2836">
        <v>37</v>
      </c>
      <c r="B2836" t="str">
        <f>"8:55:57.424437"</f>
        <v>8:55:57.424437</v>
      </c>
      <c r="C2836">
        <v>-44</v>
      </c>
    </row>
    <row r="2837" spans="1:3" x14ac:dyDescent="0.25">
      <c r="A2837">
        <v>38</v>
      </c>
      <c r="B2837" t="str">
        <f>"8:55:57.425464"</f>
        <v>8:55:57.425464</v>
      </c>
      <c r="C2837">
        <v>-41</v>
      </c>
    </row>
    <row r="2838" spans="1:3" x14ac:dyDescent="0.25">
      <c r="A2838">
        <v>39</v>
      </c>
      <c r="B2838" t="str">
        <f>"8:55:57.426490"</f>
        <v>8:55:57.426490</v>
      </c>
      <c r="C2838">
        <v>-45</v>
      </c>
    </row>
    <row r="2839" spans="1:3" x14ac:dyDescent="0.25">
      <c r="A2839">
        <v>39</v>
      </c>
      <c r="B2839" t="str">
        <f>"8:55:57.427009"</f>
        <v>8:55:57.427009</v>
      </c>
      <c r="C2839">
        <v>-31</v>
      </c>
    </row>
    <row r="2840" spans="1:3" x14ac:dyDescent="0.25">
      <c r="A2840">
        <v>39</v>
      </c>
      <c r="B2840" t="str">
        <f>"8:55:57.427334"</f>
        <v>8:55:57.427334</v>
      </c>
      <c r="C2840">
        <v>-45</v>
      </c>
    </row>
    <row r="2841" spans="1:3" x14ac:dyDescent="0.25">
      <c r="A2841">
        <v>37</v>
      </c>
      <c r="B2841" t="str">
        <f>"8:55:57.780316"</f>
        <v>8:55:57.780316</v>
      </c>
      <c r="C2841">
        <v>-44</v>
      </c>
    </row>
    <row r="2842" spans="1:3" x14ac:dyDescent="0.25">
      <c r="A2842">
        <v>38</v>
      </c>
      <c r="B2842" t="str">
        <f>"8:55:57.781343"</f>
        <v>8:55:57.781343</v>
      </c>
      <c r="C2842">
        <v>-41</v>
      </c>
    </row>
    <row r="2843" spans="1:3" x14ac:dyDescent="0.25">
      <c r="A2843">
        <v>39</v>
      </c>
      <c r="B2843" t="str">
        <f>"8:55:57.782369"</f>
        <v>8:55:57.782369</v>
      </c>
      <c r="C2843">
        <v>-45</v>
      </c>
    </row>
    <row r="2844" spans="1:3" x14ac:dyDescent="0.25">
      <c r="A2844">
        <v>37</v>
      </c>
      <c r="B2844" t="str">
        <f>"8:55:58.136951"</f>
        <v>8:55:58.136951</v>
      </c>
      <c r="C2844">
        <v>-44</v>
      </c>
    </row>
    <row r="2845" spans="1:3" x14ac:dyDescent="0.25">
      <c r="A2845">
        <v>38</v>
      </c>
      <c r="B2845" t="str">
        <f>"8:55:58.137978"</f>
        <v>8:55:58.137978</v>
      </c>
      <c r="C2845">
        <v>-41</v>
      </c>
    </row>
    <row r="2846" spans="1:3" x14ac:dyDescent="0.25">
      <c r="A2846">
        <v>39</v>
      </c>
      <c r="B2846" t="str">
        <f>"8:55:58.139004"</f>
        <v>8:55:58.139004</v>
      </c>
      <c r="C2846">
        <v>-45</v>
      </c>
    </row>
    <row r="2847" spans="1:3" x14ac:dyDescent="0.25">
      <c r="A2847">
        <v>39</v>
      </c>
      <c r="B2847" t="str">
        <f>"8:55:58.139523"</f>
        <v>8:55:58.139523</v>
      </c>
      <c r="C2847">
        <v>-31</v>
      </c>
    </row>
    <row r="2848" spans="1:3" x14ac:dyDescent="0.25">
      <c r="A2848">
        <v>39</v>
      </c>
      <c r="B2848" t="str">
        <f>"8:55:58.139849"</f>
        <v>8:55:58.139849</v>
      </c>
      <c r="C2848">
        <v>-45</v>
      </c>
    </row>
    <row r="2849" spans="1:3" x14ac:dyDescent="0.25">
      <c r="A2849">
        <v>37</v>
      </c>
      <c r="B2849" t="str">
        <f>"8:55:58.494354"</f>
        <v>8:55:58.494354</v>
      </c>
      <c r="C2849">
        <v>-44</v>
      </c>
    </row>
    <row r="2850" spans="1:3" x14ac:dyDescent="0.25">
      <c r="A2850">
        <v>38</v>
      </c>
      <c r="B2850" t="str">
        <f>"8:55:58.495381"</f>
        <v>8:55:58.495381</v>
      </c>
      <c r="C2850">
        <v>-41</v>
      </c>
    </row>
    <row r="2851" spans="1:3" x14ac:dyDescent="0.25">
      <c r="A2851">
        <v>39</v>
      </c>
      <c r="B2851" t="str">
        <f>"8:55:58.496407"</f>
        <v>8:55:58.496407</v>
      </c>
      <c r="C2851">
        <v>-45</v>
      </c>
    </row>
    <row r="2852" spans="1:3" x14ac:dyDescent="0.25">
      <c r="A2852">
        <v>39</v>
      </c>
      <c r="B2852" t="str">
        <f>"8:55:58.496926"</f>
        <v>8:55:58.496926</v>
      </c>
      <c r="C2852">
        <v>-31</v>
      </c>
    </row>
    <row r="2853" spans="1:3" x14ac:dyDescent="0.25">
      <c r="A2853">
        <v>39</v>
      </c>
      <c r="B2853" t="str">
        <f>"8:55:58.497251"</f>
        <v>8:55:58.497251</v>
      </c>
      <c r="C2853">
        <v>-45</v>
      </c>
    </row>
    <row r="2854" spans="1:3" x14ac:dyDescent="0.25">
      <c r="A2854">
        <v>37</v>
      </c>
      <c r="B2854" t="str">
        <f>"8:55:58.845662"</f>
        <v>8:55:58.845662</v>
      </c>
      <c r="C2854">
        <v>-44</v>
      </c>
    </row>
    <row r="2855" spans="1:3" x14ac:dyDescent="0.25">
      <c r="A2855">
        <v>38</v>
      </c>
      <c r="B2855" t="str">
        <f>"8:55:58.846690"</f>
        <v>8:55:58.846690</v>
      </c>
      <c r="C2855">
        <v>-41</v>
      </c>
    </row>
    <row r="2856" spans="1:3" x14ac:dyDescent="0.25">
      <c r="A2856">
        <v>39</v>
      </c>
      <c r="B2856" t="str">
        <f>"8:55:58.847716"</f>
        <v>8:55:58.847716</v>
      </c>
      <c r="C2856">
        <v>-45</v>
      </c>
    </row>
    <row r="2857" spans="1:3" x14ac:dyDescent="0.25">
      <c r="A2857">
        <v>39</v>
      </c>
      <c r="B2857" t="str">
        <f>"8:55:58.848234"</f>
        <v>8:55:58.848234</v>
      </c>
      <c r="C2857">
        <v>-32</v>
      </c>
    </row>
    <row r="2858" spans="1:3" x14ac:dyDescent="0.25">
      <c r="A2858">
        <v>39</v>
      </c>
      <c r="B2858" t="str">
        <f>"8:55:58.848560"</f>
        <v>8:55:58.848560</v>
      </c>
      <c r="C2858">
        <v>-45</v>
      </c>
    </row>
    <row r="2859" spans="1:3" x14ac:dyDescent="0.25">
      <c r="A2859">
        <v>37</v>
      </c>
      <c r="B2859" t="str">
        <f>"8:55:59.198742"</f>
        <v>8:55:59.198742</v>
      </c>
      <c r="C2859">
        <v>-44</v>
      </c>
    </row>
    <row r="2860" spans="1:3" x14ac:dyDescent="0.25">
      <c r="A2860">
        <v>38</v>
      </c>
      <c r="B2860" t="str">
        <f>"8:55:59.199769"</f>
        <v>8:55:59.199769</v>
      </c>
      <c r="C2860">
        <v>-41</v>
      </c>
    </row>
    <row r="2861" spans="1:3" x14ac:dyDescent="0.25">
      <c r="A2861">
        <v>39</v>
      </c>
      <c r="B2861" t="str">
        <f>"8:55:59.200795"</f>
        <v>8:55:59.200795</v>
      </c>
      <c r="C2861">
        <v>-46</v>
      </c>
    </row>
    <row r="2862" spans="1:3" x14ac:dyDescent="0.25">
      <c r="A2862">
        <v>39</v>
      </c>
      <c r="B2862" t="str">
        <f>"8:55:59.201313"</f>
        <v>8:55:59.201313</v>
      </c>
      <c r="C2862">
        <v>-31</v>
      </c>
    </row>
    <row r="2863" spans="1:3" x14ac:dyDescent="0.25">
      <c r="A2863">
        <v>39</v>
      </c>
      <c r="B2863" t="str">
        <f>"8:55:59.201639"</f>
        <v>8:55:59.201639</v>
      </c>
      <c r="C2863">
        <v>-45</v>
      </c>
    </row>
    <row r="2864" spans="1:3" x14ac:dyDescent="0.25">
      <c r="A2864">
        <v>37</v>
      </c>
      <c r="B2864" t="str">
        <f>"8:55:59.550473"</f>
        <v>8:55:59.550473</v>
      </c>
      <c r="C2864">
        <v>-44</v>
      </c>
    </row>
    <row r="2865" spans="1:3" x14ac:dyDescent="0.25">
      <c r="A2865">
        <v>38</v>
      </c>
      <c r="B2865" t="str">
        <f>"8:55:59.551501"</f>
        <v>8:55:59.551501</v>
      </c>
      <c r="C2865">
        <v>-41</v>
      </c>
    </row>
    <row r="2866" spans="1:3" x14ac:dyDescent="0.25">
      <c r="A2866">
        <v>39</v>
      </c>
      <c r="B2866" t="str">
        <f>"8:55:59.552527"</f>
        <v>8:55:59.552527</v>
      </c>
      <c r="C2866">
        <v>-45</v>
      </c>
    </row>
    <row r="2867" spans="1:3" x14ac:dyDescent="0.25">
      <c r="A2867">
        <v>37</v>
      </c>
      <c r="B2867" t="str">
        <f>"8:55:59.903536"</f>
        <v>8:55:59.903536</v>
      </c>
      <c r="C2867">
        <v>-44</v>
      </c>
    </row>
    <row r="2868" spans="1:3" x14ac:dyDescent="0.25">
      <c r="A2868">
        <v>38</v>
      </c>
      <c r="B2868" t="str">
        <f>"8:55:59.904564"</f>
        <v>8:55:59.904564</v>
      </c>
      <c r="C2868">
        <v>-41</v>
      </c>
    </row>
    <row r="2869" spans="1:3" x14ac:dyDescent="0.25">
      <c r="A2869">
        <v>39</v>
      </c>
      <c r="B2869" t="str">
        <f>"8:55:59.905590"</f>
        <v>8:55:59.905590</v>
      </c>
      <c r="C2869">
        <v>-45</v>
      </c>
    </row>
    <row r="2870" spans="1:3" x14ac:dyDescent="0.25">
      <c r="A2870">
        <v>37</v>
      </c>
      <c r="B2870" t="str">
        <f>"8:56:00.258676"</f>
        <v>8:56:00.258676</v>
      </c>
      <c r="C2870">
        <v>-44</v>
      </c>
    </row>
    <row r="2871" spans="1:3" x14ac:dyDescent="0.25">
      <c r="A2871">
        <v>38</v>
      </c>
      <c r="B2871" t="str">
        <f>"8:56:00.259703"</f>
        <v>8:56:00.259703</v>
      </c>
      <c r="C2871">
        <v>-41</v>
      </c>
    </row>
    <row r="2872" spans="1:3" x14ac:dyDescent="0.25">
      <c r="A2872">
        <v>39</v>
      </c>
      <c r="B2872" t="str">
        <f>"8:56:00.260729"</f>
        <v>8:56:00.260729</v>
      </c>
      <c r="C2872">
        <v>-45</v>
      </c>
    </row>
    <row r="2873" spans="1:3" x14ac:dyDescent="0.25">
      <c r="A2873">
        <v>37</v>
      </c>
      <c r="B2873" t="str">
        <f>"8:56:00.614805"</f>
        <v>8:56:00.614805</v>
      </c>
      <c r="C2873">
        <v>-45</v>
      </c>
    </row>
    <row r="2874" spans="1:3" x14ac:dyDescent="0.25">
      <c r="A2874">
        <v>38</v>
      </c>
      <c r="B2874" t="str">
        <f>"8:56:00.615833"</f>
        <v>8:56:00.615833</v>
      </c>
      <c r="C2874">
        <v>-41</v>
      </c>
    </row>
    <row r="2875" spans="1:3" x14ac:dyDescent="0.25">
      <c r="A2875">
        <v>39</v>
      </c>
      <c r="B2875" t="str">
        <f>"8:56:00.616859"</f>
        <v>8:56:00.616859</v>
      </c>
      <c r="C2875">
        <v>-45</v>
      </c>
    </row>
    <row r="2876" spans="1:3" x14ac:dyDescent="0.25">
      <c r="A2876">
        <v>37</v>
      </c>
      <c r="B2876" t="str">
        <f>"8:56:00.972241"</f>
        <v>8:56:00.972241</v>
      </c>
      <c r="C2876">
        <v>-45</v>
      </c>
    </row>
    <row r="2877" spans="1:3" x14ac:dyDescent="0.25">
      <c r="A2877">
        <v>38</v>
      </c>
      <c r="B2877" t="str">
        <f>"8:56:00.973268"</f>
        <v>8:56:00.973268</v>
      </c>
      <c r="C2877">
        <v>-41</v>
      </c>
    </row>
    <row r="2878" spans="1:3" x14ac:dyDescent="0.25">
      <c r="A2878">
        <v>39</v>
      </c>
      <c r="B2878" t="str">
        <f>"8:56:00.974294"</f>
        <v>8:56:00.974294</v>
      </c>
      <c r="C2878">
        <v>-45</v>
      </c>
    </row>
    <row r="2879" spans="1:3" x14ac:dyDescent="0.25">
      <c r="A2879">
        <v>37</v>
      </c>
      <c r="B2879" t="str">
        <f>"8:56:01.325749"</f>
        <v>8:56:01.325749</v>
      </c>
      <c r="C2879">
        <v>-44</v>
      </c>
    </row>
    <row r="2880" spans="1:3" x14ac:dyDescent="0.25">
      <c r="A2880">
        <v>38</v>
      </c>
      <c r="B2880" t="str">
        <f>"8:56:01.326777"</f>
        <v>8:56:01.326777</v>
      </c>
      <c r="C2880">
        <v>-41</v>
      </c>
    </row>
    <row r="2881" spans="1:3" x14ac:dyDescent="0.25">
      <c r="A2881">
        <v>39</v>
      </c>
      <c r="B2881" t="str">
        <f>"8:56:01.327803"</f>
        <v>8:56:01.327803</v>
      </c>
      <c r="C2881">
        <v>-45</v>
      </c>
    </row>
    <row r="2882" spans="1:3" x14ac:dyDescent="0.25">
      <c r="A2882">
        <v>37</v>
      </c>
      <c r="B2882" t="str">
        <f>"8:56:01.685223"</f>
        <v>8:56:01.685223</v>
      </c>
      <c r="C2882">
        <v>-44</v>
      </c>
    </row>
    <row r="2883" spans="1:3" x14ac:dyDescent="0.25">
      <c r="A2883">
        <v>38</v>
      </c>
      <c r="B2883" t="str">
        <f>"8:56:01.686384"</f>
        <v>8:56:01.686384</v>
      </c>
      <c r="C2883">
        <v>-41</v>
      </c>
    </row>
    <row r="2884" spans="1:3" x14ac:dyDescent="0.25">
      <c r="A2884">
        <v>39</v>
      </c>
      <c r="B2884" t="str">
        <f>"8:56:01.687410"</f>
        <v>8:56:01.687410</v>
      </c>
      <c r="C2884">
        <v>-45</v>
      </c>
    </row>
    <row r="2885" spans="1:3" x14ac:dyDescent="0.25">
      <c r="A2885">
        <v>37</v>
      </c>
      <c r="B2885" t="str">
        <f>"8:56:02.041133"</f>
        <v>8:56:02.041133</v>
      </c>
      <c r="C2885">
        <v>-44</v>
      </c>
    </row>
    <row r="2886" spans="1:3" x14ac:dyDescent="0.25">
      <c r="A2886">
        <v>38</v>
      </c>
      <c r="B2886" t="str">
        <f>"8:56:02.042160"</f>
        <v>8:56:02.042160</v>
      </c>
      <c r="C2886">
        <v>-41</v>
      </c>
    </row>
    <row r="2887" spans="1:3" x14ac:dyDescent="0.25">
      <c r="A2887">
        <v>39</v>
      </c>
      <c r="B2887" t="str">
        <f>"8:56:02.043186"</f>
        <v>8:56:02.043186</v>
      </c>
      <c r="C2887">
        <v>-45</v>
      </c>
    </row>
    <row r="2888" spans="1:3" x14ac:dyDescent="0.25">
      <c r="A2888">
        <v>37</v>
      </c>
      <c r="B2888" t="str">
        <f>"8:56:02.394160"</f>
        <v>8:56:02.394160</v>
      </c>
      <c r="C2888">
        <v>-44</v>
      </c>
    </row>
    <row r="2889" spans="1:3" x14ac:dyDescent="0.25">
      <c r="A2889">
        <v>37</v>
      </c>
      <c r="B2889" t="str">
        <f>"8:56:02.394679"</f>
        <v>8:56:02.394679</v>
      </c>
      <c r="C2889">
        <v>-38</v>
      </c>
    </row>
    <row r="2890" spans="1:3" x14ac:dyDescent="0.25">
      <c r="A2890">
        <v>37</v>
      </c>
      <c r="B2890" t="str">
        <f>"8:56:02.395005"</f>
        <v>8:56:02.395005</v>
      </c>
      <c r="C2890">
        <v>-44</v>
      </c>
    </row>
    <row r="2891" spans="1:3" x14ac:dyDescent="0.25">
      <c r="A2891">
        <v>38</v>
      </c>
      <c r="B2891" t="str">
        <f>"8:56:02.395781"</f>
        <v>8:56:02.395781</v>
      </c>
      <c r="C2891">
        <v>-41</v>
      </c>
    </row>
    <row r="2892" spans="1:3" x14ac:dyDescent="0.25">
      <c r="A2892">
        <v>39</v>
      </c>
      <c r="B2892" t="str">
        <f>"8:56:02.396807"</f>
        <v>8:56:02.396807</v>
      </c>
      <c r="C2892">
        <v>-45</v>
      </c>
    </row>
    <row r="2893" spans="1:3" x14ac:dyDescent="0.25">
      <c r="A2893">
        <v>37</v>
      </c>
      <c r="B2893" t="str">
        <f>"8:56:02.753100"</f>
        <v>8:56:02.753100</v>
      </c>
      <c r="C2893">
        <v>-44</v>
      </c>
    </row>
    <row r="2894" spans="1:3" x14ac:dyDescent="0.25">
      <c r="A2894">
        <v>37</v>
      </c>
      <c r="B2894" t="str">
        <f>"8:56:02.753618"</f>
        <v>8:56:02.753618</v>
      </c>
      <c r="C2894">
        <v>-38</v>
      </c>
    </row>
    <row r="2895" spans="1:3" x14ac:dyDescent="0.25">
      <c r="A2895">
        <v>37</v>
      </c>
      <c r="B2895" t="str">
        <f>"8:56:02.753944"</f>
        <v>8:56:02.753944</v>
      </c>
      <c r="C2895">
        <v>-44</v>
      </c>
    </row>
    <row r="2896" spans="1:3" x14ac:dyDescent="0.25">
      <c r="A2896">
        <v>38</v>
      </c>
      <c r="B2896" t="str">
        <f>"8:56:02.754720"</f>
        <v>8:56:02.754720</v>
      </c>
      <c r="C2896">
        <v>-41</v>
      </c>
    </row>
    <row r="2897" spans="1:3" x14ac:dyDescent="0.25">
      <c r="A2897">
        <v>39</v>
      </c>
      <c r="B2897" t="str">
        <f>"8:56:02.755746"</f>
        <v>8:56:02.755746</v>
      </c>
      <c r="C2897">
        <v>-45</v>
      </c>
    </row>
    <row r="2898" spans="1:3" x14ac:dyDescent="0.25">
      <c r="A2898">
        <v>37</v>
      </c>
      <c r="B2898" t="str">
        <f>"8:56:03.107212"</f>
        <v>8:56:03.107212</v>
      </c>
      <c r="C2898">
        <v>-44</v>
      </c>
    </row>
    <row r="2899" spans="1:3" x14ac:dyDescent="0.25">
      <c r="A2899">
        <v>37</v>
      </c>
      <c r="B2899" t="str">
        <f>"8:56:03.107730"</f>
        <v>8:56:03.107730</v>
      </c>
      <c r="C2899">
        <v>-38</v>
      </c>
    </row>
    <row r="2900" spans="1:3" x14ac:dyDescent="0.25">
      <c r="A2900">
        <v>37</v>
      </c>
      <c r="B2900" t="str">
        <f>"8:56:03.108056"</f>
        <v>8:56:03.108056</v>
      </c>
      <c r="C2900">
        <v>-44</v>
      </c>
    </row>
    <row r="2901" spans="1:3" x14ac:dyDescent="0.25">
      <c r="A2901">
        <v>38</v>
      </c>
      <c r="B2901" t="str">
        <f>"8:56:03.108832"</f>
        <v>8:56:03.108832</v>
      </c>
      <c r="C2901">
        <v>-41</v>
      </c>
    </row>
    <row r="2902" spans="1:3" x14ac:dyDescent="0.25">
      <c r="A2902">
        <v>39</v>
      </c>
      <c r="B2902" t="str">
        <f>"8:56:03.109858"</f>
        <v>8:56:03.109858</v>
      </c>
      <c r="C2902">
        <v>-45</v>
      </c>
    </row>
    <row r="2903" spans="1:3" x14ac:dyDescent="0.25">
      <c r="A2903">
        <v>37</v>
      </c>
      <c r="B2903" t="str">
        <f>"8:56:03.464367"</f>
        <v>8:56:03.464367</v>
      </c>
      <c r="C2903">
        <v>-44</v>
      </c>
    </row>
    <row r="2904" spans="1:3" x14ac:dyDescent="0.25">
      <c r="A2904">
        <v>38</v>
      </c>
      <c r="B2904" t="str">
        <f>"8:56:03.465394"</f>
        <v>8:56:03.465394</v>
      </c>
      <c r="C2904">
        <v>-41</v>
      </c>
    </row>
    <row r="2905" spans="1:3" x14ac:dyDescent="0.25">
      <c r="A2905">
        <v>39</v>
      </c>
      <c r="B2905" t="str">
        <f>"8:56:03.466420"</f>
        <v>8:56:03.466420</v>
      </c>
      <c r="C2905">
        <v>-45</v>
      </c>
    </row>
    <row r="2906" spans="1:3" x14ac:dyDescent="0.25">
      <c r="A2906">
        <v>37</v>
      </c>
      <c r="B2906" t="str">
        <f>"8:56:03.822583"</f>
        <v>8:56:03.822583</v>
      </c>
      <c r="C2906">
        <v>-44</v>
      </c>
    </row>
    <row r="2907" spans="1:3" x14ac:dyDescent="0.25">
      <c r="A2907">
        <v>37</v>
      </c>
      <c r="B2907" t="str">
        <f>"8:56:03.823101"</f>
        <v>8:56:03.823101</v>
      </c>
      <c r="C2907">
        <v>-38</v>
      </c>
    </row>
    <row r="2908" spans="1:3" x14ac:dyDescent="0.25">
      <c r="A2908">
        <v>37</v>
      </c>
      <c r="B2908" t="str">
        <f>"8:56:03.823427"</f>
        <v>8:56:03.823427</v>
      </c>
      <c r="C2908">
        <v>-44</v>
      </c>
    </row>
    <row r="2909" spans="1:3" x14ac:dyDescent="0.25">
      <c r="A2909">
        <v>38</v>
      </c>
      <c r="B2909" t="str">
        <f>"8:56:03.824203"</f>
        <v>8:56:03.824203</v>
      </c>
      <c r="C2909">
        <v>-41</v>
      </c>
    </row>
    <row r="2910" spans="1:3" x14ac:dyDescent="0.25">
      <c r="A2910">
        <v>39</v>
      </c>
      <c r="B2910" t="str">
        <f>"8:56:03.825229"</f>
        <v>8:56:03.825229</v>
      </c>
      <c r="C2910">
        <v>-45</v>
      </c>
    </row>
    <row r="2911" spans="1:3" x14ac:dyDescent="0.25">
      <c r="A2911">
        <v>37</v>
      </c>
      <c r="B2911" t="str">
        <f>"8:56:04.180523"</f>
        <v>8:56:04.180523</v>
      </c>
      <c r="C2911">
        <v>-44</v>
      </c>
    </row>
    <row r="2912" spans="1:3" x14ac:dyDescent="0.25">
      <c r="A2912">
        <v>37</v>
      </c>
      <c r="B2912" t="str">
        <f>"8:56:04.181042"</f>
        <v>8:56:04.181042</v>
      </c>
      <c r="C2912">
        <v>-38</v>
      </c>
    </row>
    <row r="2913" spans="1:3" x14ac:dyDescent="0.25">
      <c r="A2913">
        <v>37</v>
      </c>
      <c r="B2913" t="str">
        <f>"8:56:04.181368"</f>
        <v>8:56:04.181368</v>
      </c>
      <c r="C2913">
        <v>-44</v>
      </c>
    </row>
    <row r="2914" spans="1:3" x14ac:dyDescent="0.25">
      <c r="A2914">
        <v>38</v>
      </c>
      <c r="B2914" t="str">
        <f>"8:56:04.182144"</f>
        <v>8:56:04.182144</v>
      </c>
      <c r="C2914">
        <v>-41</v>
      </c>
    </row>
    <row r="2915" spans="1:3" x14ac:dyDescent="0.25">
      <c r="A2915">
        <v>39</v>
      </c>
      <c r="B2915" t="str">
        <f>"8:56:04.183170"</f>
        <v>8:56:04.183170</v>
      </c>
      <c r="C2915">
        <v>-45</v>
      </c>
    </row>
    <row r="2916" spans="1:3" x14ac:dyDescent="0.25">
      <c r="A2916">
        <v>37</v>
      </c>
      <c r="B2916" t="str">
        <f>"8:56:04.538505"</f>
        <v>8:56:04.538505</v>
      </c>
      <c r="C2916">
        <v>-44</v>
      </c>
    </row>
    <row r="2917" spans="1:3" x14ac:dyDescent="0.25">
      <c r="A2917">
        <v>38</v>
      </c>
      <c r="B2917" t="str">
        <f>"8:56:04.539532"</f>
        <v>8:56:04.539532</v>
      </c>
      <c r="C2917">
        <v>-41</v>
      </c>
    </row>
    <row r="2918" spans="1:3" x14ac:dyDescent="0.25">
      <c r="A2918">
        <v>38</v>
      </c>
      <c r="B2918" t="str">
        <f>"8:56:04.540051"</f>
        <v>8:56:04.540051</v>
      </c>
      <c r="C2918">
        <v>-32</v>
      </c>
    </row>
    <row r="2919" spans="1:3" x14ac:dyDescent="0.25">
      <c r="A2919">
        <v>38</v>
      </c>
      <c r="B2919" t="str">
        <f>"8:56:04.540376"</f>
        <v>8:56:04.540376</v>
      </c>
      <c r="C2919">
        <v>-41</v>
      </c>
    </row>
    <row r="2920" spans="1:3" x14ac:dyDescent="0.25">
      <c r="A2920">
        <v>39</v>
      </c>
      <c r="B2920" t="str">
        <f>"8:56:04.541152"</f>
        <v>8:56:04.541152</v>
      </c>
      <c r="C2920">
        <v>-45</v>
      </c>
    </row>
    <row r="2921" spans="1:3" x14ac:dyDescent="0.25">
      <c r="A2921">
        <v>37</v>
      </c>
      <c r="B2921" t="str">
        <f>"8:56:04.892349"</f>
        <v>8:56:04.892349</v>
      </c>
      <c r="C2921">
        <v>-44</v>
      </c>
    </row>
    <row r="2922" spans="1:3" x14ac:dyDescent="0.25">
      <c r="A2922">
        <v>38</v>
      </c>
      <c r="B2922" t="str">
        <f>"8:56:04.893377"</f>
        <v>8:56:04.893377</v>
      </c>
      <c r="C2922">
        <v>-41</v>
      </c>
    </row>
    <row r="2923" spans="1:3" x14ac:dyDescent="0.25">
      <c r="A2923">
        <v>38</v>
      </c>
      <c r="B2923" t="str">
        <f>"8:56:04.893896"</f>
        <v>8:56:04.893896</v>
      </c>
      <c r="C2923">
        <v>-31</v>
      </c>
    </row>
    <row r="2924" spans="1:3" x14ac:dyDescent="0.25">
      <c r="A2924">
        <v>38</v>
      </c>
      <c r="B2924" t="str">
        <f>"8:56:04.894222"</f>
        <v>8:56:04.894222</v>
      </c>
      <c r="C2924">
        <v>-41</v>
      </c>
    </row>
    <row r="2925" spans="1:3" x14ac:dyDescent="0.25">
      <c r="A2925">
        <v>39</v>
      </c>
      <c r="B2925" t="str">
        <f>"8:56:04.894998"</f>
        <v>8:56:04.894998</v>
      </c>
      <c r="C2925">
        <v>-45</v>
      </c>
    </row>
    <row r="2926" spans="1:3" x14ac:dyDescent="0.25">
      <c r="A2926">
        <v>37</v>
      </c>
      <c r="B2926" t="str">
        <f>"8:56:05.244361"</f>
        <v>8:56:05.244361</v>
      </c>
      <c r="C2926">
        <v>-44</v>
      </c>
    </row>
    <row r="2927" spans="1:3" x14ac:dyDescent="0.25">
      <c r="A2927">
        <v>38</v>
      </c>
      <c r="B2927" t="str">
        <f>"8:56:05.245388"</f>
        <v>8:56:05.245388</v>
      </c>
      <c r="C2927">
        <v>-41</v>
      </c>
    </row>
    <row r="2928" spans="1:3" x14ac:dyDescent="0.25">
      <c r="A2928">
        <v>39</v>
      </c>
      <c r="B2928" t="str">
        <f>"8:56:05.246414"</f>
        <v>8:56:05.246414</v>
      </c>
      <c r="C2928">
        <v>-45</v>
      </c>
    </row>
    <row r="2929" spans="1:3" x14ac:dyDescent="0.25">
      <c r="A2929">
        <v>37</v>
      </c>
      <c r="B2929" t="str">
        <f>"8:56:05.602084"</f>
        <v>8:56:05.602084</v>
      </c>
      <c r="C2929">
        <v>-44</v>
      </c>
    </row>
    <row r="2930" spans="1:3" x14ac:dyDescent="0.25">
      <c r="A2930">
        <v>38</v>
      </c>
      <c r="B2930" t="str">
        <f>"8:56:05.603111"</f>
        <v>8:56:05.603111</v>
      </c>
      <c r="C2930">
        <v>-41</v>
      </c>
    </row>
    <row r="2931" spans="1:3" x14ac:dyDescent="0.25">
      <c r="A2931">
        <v>38</v>
      </c>
      <c r="B2931" t="str">
        <f>"8:56:05.603630"</f>
        <v>8:56:05.603630</v>
      </c>
      <c r="C2931">
        <v>-32</v>
      </c>
    </row>
    <row r="2932" spans="1:3" x14ac:dyDescent="0.25">
      <c r="A2932">
        <v>38</v>
      </c>
      <c r="B2932" t="str">
        <f>"8:56:05.603956"</f>
        <v>8:56:05.603956</v>
      </c>
      <c r="C2932">
        <v>-41</v>
      </c>
    </row>
    <row r="2933" spans="1:3" x14ac:dyDescent="0.25">
      <c r="A2933">
        <v>39</v>
      </c>
      <c r="B2933" t="str">
        <f>"8:56:05.604732"</f>
        <v>8:56:05.604732</v>
      </c>
      <c r="C2933">
        <v>-45</v>
      </c>
    </row>
    <row r="2934" spans="1:3" x14ac:dyDescent="0.25">
      <c r="A2934">
        <v>37</v>
      </c>
      <c r="B2934" t="str">
        <f>"8:56:05.959728"</f>
        <v>8:56:05.959728</v>
      </c>
      <c r="C2934">
        <v>-44</v>
      </c>
    </row>
    <row r="2935" spans="1:3" x14ac:dyDescent="0.25">
      <c r="A2935">
        <v>38</v>
      </c>
      <c r="B2935" t="str">
        <f>"8:56:05.960755"</f>
        <v>8:56:05.960755</v>
      </c>
      <c r="C2935">
        <v>-41</v>
      </c>
    </row>
    <row r="2936" spans="1:3" x14ac:dyDescent="0.25">
      <c r="A2936">
        <v>38</v>
      </c>
      <c r="B2936" t="str">
        <f>"8:56:05.961273"</f>
        <v>8:56:05.961273</v>
      </c>
      <c r="C2936">
        <v>-32</v>
      </c>
    </row>
    <row r="2937" spans="1:3" x14ac:dyDescent="0.25">
      <c r="A2937">
        <v>38</v>
      </c>
      <c r="B2937" t="str">
        <f>"8:56:05.961599"</f>
        <v>8:56:05.961599</v>
      </c>
      <c r="C2937">
        <v>-41</v>
      </c>
    </row>
    <row r="2938" spans="1:3" x14ac:dyDescent="0.25">
      <c r="A2938">
        <v>39</v>
      </c>
      <c r="B2938" t="str">
        <f>"8:56:05.962375"</f>
        <v>8:56:05.962375</v>
      </c>
      <c r="C2938">
        <v>-45</v>
      </c>
    </row>
    <row r="2939" spans="1:3" x14ac:dyDescent="0.25">
      <c r="A2939">
        <v>37</v>
      </c>
      <c r="B2939" t="str">
        <f>"8:56:06.315326"</f>
        <v>8:56:06.315326</v>
      </c>
      <c r="C2939">
        <v>-44</v>
      </c>
    </row>
    <row r="2940" spans="1:3" x14ac:dyDescent="0.25">
      <c r="A2940">
        <v>37</v>
      </c>
      <c r="B2940" t="str">
        <f>"8:56:06.315845"</f>
        <v>8:56:06.315845</v>
      </c>
      <c r="C2940">
        <v>-83</v>
      </c>
    </row>
    <row r="2941" spans="1:3" x14ac:dyDescent="0.25">
      <c r="A2941">
        <v>37</v>
      </c>
      <c r="B2941" t="str">
        <f>"8:56:06.316172"</f>
        <v>8:56:06.316172</v>
      </c>
      <c r="C2941">
        <v>-44</v>
      </c>
    </row>
    <row r="2942" spans="1:3" x14ac:dyDescent="0.25">
      <c r="A2942">
        <v>38</v>
      </c>
      <c r="B2942" t="str">
        <f>"8:56:06.316948"</f>
        <v>8:56:06.316948</v>
      </c>
      <c r="C2942">
        <v>-41</v>
      </c>
    </row>
    <row r="2943" spans="1:3" x14ac:dyDescent="0.25">
      <c r="A2943">
        <v>38</v>
      </c>
      <c r="B2943" t="str">
        <f>"8:56:06.317467"</f>
        <v>8:56:06.317467</v>
      </c>
      <c r="C2943">
        <v>-32</v>
      </c>
    </row>
    <row r="2944" spans="1:3" x14ac:dyDescent="0.25">
      <c r="A2944">
        <v>38</v>
      </c>
      <c r="B2944" t="str">
        <f>"8:56:06.317793"</f>
        <v>8:56:06.317793</v>
      </c>
      <c r="C2944">
        <v>-41</v>
      </c>
    </row>
    <row r="2945" spans="1:3" x14ac:dyDescent="0.25">
      <c r="A2945">
        <v>39</v>
      </c>
      <c r="B2945" t="str">
        <f>"8:56:06.318569"</f>
        <v>8:56:06.318569</v>
      </c>
      <c r="C2945">
        <v>-45</v>
      </c>
    </row>
    <row r="2946" spans="1:3" x14ac:dyDescent="0.25">
      <c r="A2946">
        <v>37</v>
      </c>
      <c r="B2946" t="str">
        <f>"8:56:06.667678"</f>
        <v>8:56:06.667678</v>
      </c>
      <c r="C2946">
        <v>-44</v>
      </c>
    </row>
    <row r="2947" spans="1:3" x14ac:dyDescent="0.25">
      <c r="A2947">
        <v>38</v>
      </c>
      <c r="B2947" t="str">
        <f>"8:56:06.668705"</f>
        <v>8:56:06.668705</v>
      </c>
      <c r="C2947">
        <v>-41</v>
      </c>
    </row>
    <row r="2948" spans="1:3" x14ac:dyDescent="0.25">
      <c r="A2948">
        <v>38</v>
      </c>
      <c r="B2948" t="str">
        <f>"8:56:06.669223"</f>
        <v>8:56:06.669223</v>
      </c>
      <c r="C2948">
        <v>-32</v>
      </c>
    </row>
    <row r="2949" spans="1:3" x14ac:dyDescent="0.25">
      <c r="A2949">
        <v>38</v>
      </c>
      <c r="B2949" t="str">
        <f>"8:56:06.669549"</f>
        <v>8:56:06.669549</v>
      </c>
      <c r="C2949">
        <v>-42</v>
      </c>
    </row>
    <row r="2950" spans="1:3" x14ac:dyDescent="0.25">
      <c r="A2950">
        <v>39</v>
      </c>
      <c r="B2950" t="str">
        <f>"8:56:06.670325"</f>
        <v>8:56:06.670325</v>
      </c>
      <c r="C2950">
        <v>-45</v>
      </c>
    </row>
    <row r="2951" spans="1:3" x14ac:dyDescent="0.25">
      <c r="A2951">
        <v>37</v>
      </c>
      <c r="B2951" t="str">
        <f>"8:56:07.019987"</f>
        <v>8:56:07.019987</v>
      </c>
      <c r="C2951">
        <v>-44</v>
      </c>
    </row>
    <row r="2952" spans="1:3" x14ac:dyDescent="0.25">
      <c r="A2952">
        <v>38</v>
      </c>
      <c r="B2952" t="str">
        <f>"8:56:07.021014"</f>
        <v>8:56:07.021014</v>
      </c>
      <c r="C2952">
        <v>-41</v>
      </c>
    </row>
    <row r="2953" spans="1:3" x14ac:dyDescent="0.25">
      <c r="A2953">
        <v>38</v>
      </c>
      <c r="B2953" t="str">
        <f>"8:56:07.021532"</f>
        <v>8:56:07.021532</v>
      </c>
      <c r="C2953">
        <v>-32</v>
      </c>
    </row>
    <row r="2954" spans="1:3" x14ac:dyDescent="0.25">
      <c r="A2954">
        <v>38</v>
      </c>
      <c r="B2954" t="str">
        <f>"8:56:07.021858"</f>
        <v>8:56:07.021858</v>
      </c>
      <c r="C2954">
        <v>-41</v>
      </c>
    </row>
    <row r="2955" spans="1:3" x14ac:dyDescent="0.25">
      <c r="A2955">
        <v>39</v>
      </c>
      <c r="B2955" t="str">
        <f>"8:56:07.022634"</f>
        <v>8:56:07.022634</v>
      </c>
      <c r="C2955">
        <v>-46</v>
      </c>
    </row>
    <row r="2956" spans="1:3" x14ac:dyDescent="0.25">
      <c r="A2956">
        <v>37</v>
      </c>
      <c r="B2956" t="str">
        <f>"8:56:07.372804"</f>
        <v>8:56:07.372804</v>
      </c>
      <c r="C2956">
        <v>-44</v>
      </c>
    </row>
    <row r="2957" spans="1:3" x14ac:dyDescent="0.25">
      <c r="A2957">
        <v>38</v>
      </c>
      <c r="B2957" t="str">
        <f>"8:56:07.373831"</f>
        <v>8:56:07.373831</v>
      </c>
      <c r="C2957">
        <v>-41</v>
      </c>
    </row>
    <row r="2958" spans="1:3" x14ac:dyDescent="0.25">
      <c r="A2958">
        <v>38</v>
      </c>
      <c r="B2958" t="str">
        <f>"8:56:07.374349"</f>
        <v>8:56:07.374349</v>
      </c>
      <c r="C2958">
        <v>-31</v>
      </c>
    </row>
    <row r="2959" spans="1:3" x14ac:dyDescent="0.25">
      <c r="A2959">
        <v>38</v>
      </c>
      <c r="B2959" t="str">
        <f>"8:56:07.374675"</f>
        <v>8:56:07.374675</v>
      </c>
      <c r="C2959">
        <v>-41</v>
      </c>
    </row>
    <row r="2960" spans="1:3" x14ac:dyDescent="0.25">
      <c r="A2960">
        <v>39</v>
      </c>
      <c r="B2960" t="str">
        <f>"8:56:07.375451"</f>
        <v>8:56:07.375451</v>
      </c>
      <c r="C2960">
        <v>-46</v>
      </c>
    </row>
    <row r="2961" spans="1:3" x14ac:dyDescent="0.25">
      <c r="A2961">
        <v>37</v>
      </c>
      <c r="B2961" t="str">
        <f>"8:56:07.726845"</f>
        <v>8:56:07.726845</v>
      </c>
      <c r="C2961">
        <v>-44</v>
      </c>
    </row>
    <row r="2962" spans="1:3" x14ac:dyDescent="0.25">
      <c r="A2962">
        <v>38</v>
      </c>
      <c r="B2962" t="str">
        <f>"8:56:07.727872"</f>
        <v>8:56:07.727872</v>
      </c>
      <c r="C2962">
        <v>-41</v>
      </c>
    </row>
    <row r="2963" spans="1:3" x14ac:dyDescent="0.25">
      <c r="A2963">
        <v>38</v>
      </c>
      <c r="B2963" t="str">
        <f>"8:56:07.728390"</f>
        <v>8:56:07.728390</v>
      </c>
      <c r="C2963">
        <v>-31</v>
      </c>
    </row>
    <row r="2964" spans="1:3" x14ac:dyDescent="0.25">
      <c r="A2964">
        <v>38</v>
      </c>
      <c r="B2964" t="str">
        <f>"8:56:07.728716"</f>
        <v>8:56:07.728716</v>
      </c>
      <c r="C2964">
        <v>-41</v>
      </c>
    </row>
    <row r="2965" spans="1:3" x14ac:dyDescent="0.25">
      <c r="A2965">
        <v>39</v>
      </c>
      <c r="B2965" t="str">
        <f>"8:56:07.729492"</f>
        <v>8:56:07.729492</v>
      </c>
      <c r="C2965">
        <v>-45</v>
      </c>
    </row>
    <row r="2966" spans="1:3" x14ac:dyDescent="0.25">
      <c r="A2966">
        <v>37</v>
      </c>
      <c r="B2966" t="str">
        <f>"8:56:08.077890"</f>
        <v>8:56:08.077890</v>
      </c>
      <c r="C2966">
        <v>-44</v>
      </c>
    </row>
    <row r="2967" spans="1:3" x14ac:dyDescent="0.25">
      <c r="A2967">
        <v>38</v>
      </c>
      <c r="B2967" t="str">
        <f>"8:56:08.078918"</f>
        <v>8:56:08.078918</v>
      </c>
      <c r="C2967">
        <v>-41</v>
      </c>
    </row>
    <row r="2968" spans="1:3" x14ac:dyDescent="0.25">
      <c r="A2968">
        <v>38</v>
      </c>
      <c r="B2968" t="str">
        <f>"8:56:08.079436"</f>
        <v>8:56:08.079436</v>
      </c>
      <c r="C2968">
        <v>-31</v>
      </c>
    </row>
    <row r="2969" spans="1:3" x14ac:dyDescent="0.25">
      <c r="A2969">
        <v>38</v>
      </c>
      <c r="B2969" t="str">
        <f>"8:56:08.079763"</f>
        <v>8:56:08.079763</v>
      </c>
      <c r="C2969">
        <v>-41</v>
      </c>
    </row>
    <row r="2970" spans="1:3" x14ac:dyDescent="0.25">
      <c r="A2970">
        <v>39</v>
      </c>
      <c r="B2970" t="str">
        <f>"8:56:08.080539"</f>
        <v>8:56:08.080539</v>
      </c>
      <c r="C2970">
        <v>-46</v>
      </c>
    </row>
    <row r="2971" spans="1:3" x14ac:dyDescent="0.25">
      <c r="A2971">
        <v>37</v>
      </c>
      <c r="B2971" t="str">
        <f>"8:56:08.437847"</f>
        <v>8:56:08.437847</v>
      </c>
      <c r="C2971">
        <v>-44</v>
      </c>
    </row>
    <row r="2972" spans="1:3" x14ac:dyDescent="0.25">
      <c r="A2972">
        <v>38</v>
      </c>
      <c r="B2972" t="str">
        <f>"8:56:08.438875"</f>
        <v>8:56:08.438875</v>
      </c>
      <c r="C2972">
        <v>-41</v>
      </c>
    </row>
    <row r="2973" spans="1:3" x14ac:dyDescent="0.25">
      <c r="A2973">
        <v>39</v>
      </c>
      <c r="B2973" t="str">
        <f>"8:56:08.439901"</f>
        <v>8:56:08.439901</v>
      </c>
      <c r="C2973">
        <v>-46</v>
      </c>
    </row>
    <row r="2974" spans="1:3" x14ac:dyDescent="0.25">
      <c r="A2974">
        <v>37</v>
      </c>
      <c r="B2974" t="str">
        <f>"8:56:08.793218"</f>
        <v>8:56:08.793218</v>
      </c>
      <c r="C2974">
        <v>-44</v>
      </c>
    </row>
    <row r="2975" spans="1:3" x14ac:dyDescent="0.25">
      <c r="A2975">
        <v>38</v>
      </c>
      <c r="B2975" t="str">
        <f>"8:56:08.794245"</f>
        <v>8:56:08.794245</v>
      </c>
      <c r="C2975">
        <v>-41</v>
      </c>
    </row>
    <row r="2976" spans="1:3" x14ac:dyDescent="0.25">
      <c r="A2976">
        <v>38</v>
      </c>
      <c r="B2976" t="str">
        <f>"8:56:08.794764"</f>
        <v>8:56:08.794764</v>
      </c>
      <c r="C2976">
        <v>-31</v>
      </c>
    </row>
    <row r="2977" spans="1:3" x14ac:dyDescent="0.25">
      <c r="A2977">
        <v>38</v>
      </c>
      <c r="B2977" t="str">
        <f>"8:56:08.795090"</f>
        <v>8:56:08.795090</v>
      </c>
      <c r="C2977">
        <v>-41</v>
      </c>
    </row>
    <row r="2978" spans="1:3" x14ac:dyDescent="0.25">
      <c r="A2978">
        <v>39</v>
      </c>
      <c r="B2978" t="str">
        <f>"8:56:08.795866"</f>
        <v>8:56:08.795866</v>
      </c>
      <c r="C2978">
        <v>-45</v>
      </c>
    </row>
    <row r="2979" spans="1:3" x14ac:dyDescent="0.25">
      <c r="A2979">
        <v>37</v>
      </c>
      <c r="B2979" t="str">
        <f>"8:56:09.146512"</f>
        <v>8:56:09.146512</v>
      </c>
      <c r="C2979">
        <v>-44</v>
      </c>
    </row>
    <row r="2980" spans="1:3" x14ac:dyDescent="0.25">
      <c r="A2980">
        <v>38</v>
      </c>
      <c r="B2980" t="str">
        <f>"8:56:09.147539"</f>
        <v>8:56:09.147539</v>
      </c>
      <c r="C2980">
        <v>-41</v>
      </c>
    </row>
    <row r="2981" spans="1:3" x14ac:dyDescent="0.25">
      <c r="A2981">
        <v>39</v>
      </c>
      <c r="B2981" t="str">
        <f>"8:56:09.148565"</f>
        <v>8:56:09.148565</v>
      </c>
      <c r="C2981">
        <v>-45</v>
      </c>
    </row>
    <row r="2982" spans="1:3" x14ac:dyDescent="0.25">
      <c r="A2982">
        <v>37</v>
      </c>
      <c r="B2982" t="str">
        <f>"8:56:09.501358"</f>
        <v>8:56:09.501358</v>
      </c>
      <c r="C2982">
        <v>-44</v>
      </c>
    </row>
    <row r="2983" spans="1:3" x14ac:dyDescent="0.25">
      <c r="A2983">
        <v>38</v>
      </c>
      <c r="B2983" t="str">
        <f>"8:56:09.502385"</f>
        <v>8:56:09.502385</v>
      </c>
      <c r="C2983">
        <v>-41</v>
      </c>
    </row>
    <row r="2984" spans="1:3" x14ac:dyDescent="0.25">
      <c r="A2984">
        <v>39</v>
      </c>
      <c r="B2984" t="str">
        <f>"8:56:09.503411"</f>
        <v>8:56:09.503411</v>
      </c>
      <c r="C2984">
        <v>-46</v>
      </c>
    </row>
    <row r="2985" spans="1:3" x14ac:dyDescent="0.25">
      <c r="A2985">
        <v>39</v>
      </c>
      <c r="B2985" t="str">
        <f>"8:56:09.503930"</f>
        <v>8:56:09.503930</v>
      </c>
      <c r="C2985">
        <v>-31</v>
      </c>
    </row>
    <row r="2986" spans="1:3" x14ac:dyDescent="0.25">
      <c r="A2986">
        <v>39</v>
      </c>
      <c r="B2986" t="str">
        <f>"8:56:09.504255"</f>
        <v>8:56:09.504255</v>
      </c>
      <c r="C2986">
        <v>-45</v>
      </c>
    </row>
    <row r="2987" spans="1:3" x14ac:dyDescent="0.25">
      <c r="A2987">
        <v>37</v>
      </c>
      <c r="B2987" t="str">
        <f>"8:56:09.853869"</f>
        <v>8:56:09.853869</v>
      </c>
      <c r="C2987">
        <v>-44</v>
      </c>
    </row>
    <row r="2988" spans="1:3" x14ac:dyDescent="0.25">
      <c r="A2988">
        <v>38</v>
      </c>
      <c r="B2988" t="str">
        <f>"8:56:09.854896"</f>
        <v>8:56:09.854896</v>
      </c>
      <c r="C2988">
        <v>-41</v>
      </c>
    </row>
    <row r="2989" spans="1:3" x14ac:dyDescent="0.25">
      <c r="A2989">
        <v>39</v>
      </c>
      <c r="B2989" t="str">
        <f>"8:56:09.855922"</f>
        <v>8:56:09.855922</v>
      </c>
      <c r="C2989">
        <v>-46</v>
      </c>
    </row>
    <row r="2990" spans="1:3" x14ac:dyDescent="0.25">
      <c r="A2990">
        <v>39</v>
      </c>
      <c r="B2990" t="str">
        <f>"8:56:09.856441"</f>
        <v>8:56:09.856441</v>
      </c>
      <c r="C2990">
        <v>-31</v>
      </c>
    </row>
    <row r="2991" spans="1:3" x14ac:dyDescent="0.25">
      <c r="A2991">
        <v>39</v>
      </c>
      <c r="B2991" t="str">
        <f>"8:56:09.856766"</f>
        <v>8:56:09.856766</v>
      </c>
      <c r="C2991">
        <v>-45</v>
      </c>
    </row>
    <row r="2992" spans="1:3" x14ac:dyDescent="0.25">
      <c r="A2992">
        <v>37</v>
      </c>
      <c r="B2992" t="str">
        <f>"8:56:10.208235"</f>
        <v>8:56:10.208235</v>
      </c>
      <c r="C2992">
        <v>-44</v>
      </c>
    </row>
    <row r="2993" spans="1:3" x14ac:dyDescent="0.25">
      <c r="A2993">
        <v>38</v>
      </c>
      <c r="B2993" t="str">
        <f>"8:56:10.209262"</f>
        <v>8:56:10.209262</v>
      </c>
      <c r="C2993">
        <v>-41</v>
      </c>
    </row>
    <row r="2994" spans="1:3" x14ac:dyDescent="0.25">
      <c r="A2994">
        <v>39</v>
      </c>
      <c r="B2994" t="str">
        <f>"8:56:10.210288"</f>
        <v>8:56:10.210288</v>
      </c>
      <c r="C2994">
        <v>-46</v>
      </c>
    </row>
    <row r="2995" spans="1:3" x14ac:dyDescent="0.25">
      <c r="A2995">
        <v>39</v>
      </c>
      <c r="B2995" t="str">
        <f>"8:56:10.210807"</f>
        <v>8:56:10.210807</v>
      </c>
      <c r="C2995">
        <v>-31</v>
      </c>
    </row>
    <row r="2996" spans="1:3" x14ac:dyDescent="0.25">
      <c r="A2996">
        <v>39</v>
      </c>
      <c r="B2996" t="str">
        <f>"8:56:10.211133"</f>
        <v>8:56:10.211133</v>
      </c>
      <c r="C2996">
        <v>-45</v>
      </c>
    </row>
    <row r="2997" spans="1:3" x14ac:dyDescent="0.25">
      <c r="A2997">
        <v>37</v>
      </c>
      <c r="B2997" t="str">
        <f>"8:56:10.560711"</f>
        <v>8:56:10.560711</v>
      </c>
      <c r="C2997">
        <v>-44</v>
      </c>
    </row>
    <row r="2998" spans="1:3" x14ac:dyDescent="0.25">
      <c r="A2998">
        <v>38</v>
      </c>
      <c r="B2998" t="str">
        <f>"8:56:10.561738"</f>
        <v>8:56:10.561738</v>
      </c>
      <c r="C2998">
        <v>-41</v>
      </c>
    </row>
    <row r="2999" spans="1:3" x14ac:dyDescent="0.25">
      <c r="A2999">
        <v>39</v>
      </c>
      <c r="B2999" t="str">
        <f>"8:56:10.562764"</f>
        <v>8:56:10.562764</v>
      </c>
      <c r="C2999">
        <v>-45</v>
      </c>
    </row>
    <row r="3000" spans="1:3" x14ac:dyDescent="0.25">
      <c r="A3000">
        <v>39</v>
      </c>
      <c r="B3000" t="str">
        <f>"8:56:10.563283"</f>
        <v>8:56:10.563283</v>
      </c>
      <c r="C3000">
        <v>-31</v>
      </c>
    </row>
    <row r="3001" spans="1:3" x14ac:dyDescent="0.25">
      <c r="A3001">
        <v>39</v>
      </c>
      <c r="B3001" t="str">
        <f>"8:56:10.563609"</f>
        <v>8:56:10.563609</v>
      </c>
      <c r="C3001">
        <v>-45</v>
      </c>
    </row>
    <row r="3002" spans="1:3" x14ac:dyDescent="0.25">
      <c r="A3002">
        <v>37</v>
      </c>
      <c r="B3002" t="str">
        <f>"8:56:10.919091"</f>
        <v>8:56:10.919091</v>
      </c>
      <c r="C3002">
        <v>-44</v>
      </c>
    </row>
    <row r="3003" spans="1:3" x14ac:dyDescent="0.25">
      <c r="A3003">
        <v>38</v>
      </c>
      <c r="B3003" t="str">
        <f>"8:56:10.920118"</f>
        <v>8:56:10.920118</v>
      </c>
      <c r="C3003">
        <v>-41</v>
      </c>
    </row>
    <row r="3004" spans="1:3" x14ac:dyDescent="0.25">
      <c r="A3004">
        <v>39</v>
      </c>
      <c r="B3004" t="str">
        <f>"8:56:10.921144"</f>
        <v>8:56:10.921144</v>
      </c>
      <c r="C3004">
        <v>-45</v>
      </c>
    </row>
    <row r="3005" spans="1:3" x14ac:dyDescent="0.25">
      <c r="A3005">
        <v>39</v>
      </c>
      <c r="B3005" t="str">
        <f>"8:56:10.921662"</f>
        <v>8:56:10.921662</v>
      </c>
      <c r="C3005">
        <v>-31</v>
      </c>
    </row>
    <row r="3006" spans="1:3" x14ac:dyDescent="0.25">
      <c r="A3006">
        <v>39</v>
      </c>
      <c r="B3006" t="str">
        <f>"8:56:10.921988"</f>
        <v>8:56:10.921988</v>
      </c>
      <c r="C3006">
        <v>-45</v>
      </c>
    </row>
    <row r="3007" spans="1:3" x14ac:dyDescent="0.25">
      <c r="A3007">
        <v>37</v>
      </c>
      <c r="B3007" t="str">
        <f>"8:56:11.274438"</f>
        <v>8:56:11.274438</v>
      </c>
      <c r="C3007">
        <v>-44</v>
      </c>
    </row>
    <row r="3008" spans="1:3" x14ac:dyDescent="0.25">
      <c r="A3008">
        <v>38</v>
      </c>
      <c r="B3008" t="str">
        <f>"8:56:11.275465"</f>
        <v>8:56:11.275465</v>
      </c>
      <c r="C3008">
        <v>-41</v>
      </c>
    </row>
    <row r="3009" spans="1:3" x14ac:dyDescent="0.25">
      <c r="A3009">
        <v>39</v>
      </c>
      <c r="B3009" t="str">
        <f>"8:56:11.276491"</f>
        <v>8:56:11.276491</v>
      </c>
      <c r="C3009">
        <v>-45</v>
      </c>
    </row>
    <row r="3010" spans="1:3" x14ac:dyDescent="0.25">
      <c r="A3010">
        <v>39</v>
      </c>
      <c r="B3010" t="str">
        <f>"8:56:11.277009"</f>
        <v>8:56:11.277009</v>
      </c>
      <c r="C3010">
        <v>-31</v>
      </c>
    </row>
    <row r="3011" spans="1:3" x14ac:dyDescent="0.25">
      <c r="A3011">
        <v>39</v>
      </c>
      <c r="B3011" t="str">
        <f>"8:56:11.277335"</f>
        <v>8:56:11.277335</v>
      </c>
      <c r="C3011">
        <v>-45</v>
      </c>
    </row>
    <row r="3012" spans="1:3" x14ac:dyDescent="0.25">
      <c r="A3012">
        <v>37</v>
      </c>
      <c r="B3012" t="str">
        <f>"8:56:11.632059"</f>
        <v>8:56:11.632059</v>
      </c>
      <c r="C3012">
        <v>-44</v>
      </c>
    </row>
    <row r="3013" spans="1:3" x14ac:dyDescent="0.25">
      <c r="A3013">
        <v>38</v>
      </c>
      <c r="B3013" t="str">
        <f>"8:56:11.633087"</f>
        <v>8:56:11.633087</v>
      </c>
      <c r="C3013">
        <v>-41</v>
      </c>
    </row>
    <row r="3014" spans="1:3" x14ac:dyDescent="0.25">
      <c r="A3014">
        <v>39</v>
      </c>
      <c r="B3014" t="str">
        <f>"8:56:11.634113"</f>
        <v>8:56:11.634113</v>
      </c>
      <c r="C3014">
        <v>-46</v>
      </c>
    </row>
    <row r="3015" spans="1:3" x14ac:dyDescent="0.25">
      <c r="A3015">
        <v>37</v>
      </c>
      <c r="B3015" t="str">
        <f>"8:56:11.989237"</f>
        <v>8:56:11.989237</v>
      </c>
      <c r="C3015">
        <v>-44</v>
      </c>
    </row>
    <row r="3016" spans="1:3" x14ac:dyDescent="0.25">
      <c r="A3016">
        <v>38</v>
      </c>
      <c r="B3016" t="str">
        <f>"8:56:11.990265"</f>
        <v>8:56:11.990265</v>
      </c>
      <c r="C3016">
        <v>-41</v>
      </c>
    </row>
    <row r="3017" spans="1:3" x14ac:dyDescent="0.25">
      <c r="A3017">
        <v>39</v>
      </c>
      <c r="B3017" t="str">
        <f>"8:56:11.991291"</f>
        <v>8:56:11.991291</v>
      </c>
      <c r="C3017">
        <v>-45</v>
      </c>
    </row>
    <row r="3018" spans="1:3" x14ac:dyDescent="0.25">
      <c r="A3018">
        <v>39</v>
      </c>
      <c r="B3018" t="str">
        <f>"8:56:11.991809"</f>
        <v>8:56:11.991809</v>
      </c>
      <c r="C3018">
        <v>-31</v>
      </c>
    </row>
    <row r="3019" spans="1:3" x14ac:dyDescent="0.25">
      <c r="A3019">
        <v>39</v>
      </c>
      <c r="B3019" t="str">
        <f>"8:56:11.992135"</f>
        <v>8:56:11.992135</v>
      </c>
      <c r="C3019">
        <v>-45</v>
      </c>
    </row>
    <row r="3020" spans="1:3" x14ac:dyDescent="0.25">
      <c r="A3020">
        <v>37</v>
      </c>
      <c r="B3020" t="str">
        <f>"8:56:12.347125"</f>
        <v>8:56:12.347125</v>
      </c>
      <c r="C3020">
        <v>-44</v>
      </c>
    </row>
    <row r="3021" spans="1:3" x14ac:dyDescent="0.25">
      <c r="A3021">
        <v>38</v>
      </c>
      <c r="B3021" t="str">
        <f>"8:56:12.348153"</f>
        <v>8:56:12.348153</v>
      </c>
      <c r="C3021">
        <v>-41</v>
      </c>
    </row>
    <row r="3022" spans="1:3" x14ac:dyDescent="0.25">
      <c r="A3022">
        <v>39</v>
      </c>
      <c r="B3022" t="str">
        <f>"8:56:12.349179"</f>
        <v>8:56:12.349179</v>
      </c>
      <c r="C3022">
        <v>-45</v>
      </c>
    </row>
    <row r="3023" spans="1:3" x14ac:dyDescent="0.25">
      <c r="A3023">
        <v>39</v>
      </c>
      <c r="B3023" t="str">
        <f>"8:56:12.349697"</f>
        <v>8:56:12.349697</v>
      </c>
      <c r="C3023">
        <v>-31</v>
      </c>
    </row>
    <row r="3024" spans="1:3" x14ac:dyDescent="0.25">
      <c r="A3024">
        <v>39</v>
      </c>
      <c r="B3024" t="str">
        <f>"8:56:12.350023"</f>
        <v>8:56:12.350023</v>
      </c>
      <c r="C3024">
        <v>-45</v>
      </c>
    </row>
    <row r="3025" spans="1:3" x14ac:dyDescent="0.25">
      <c r="A3025">
        <v>37</v>
      </c>
      <c r="B3025" t="str">
        <f>"8:56:12.698674"</f>
        <v>8:56:12.698674</v>
      </c>
      <c r="C3025">
        <v>-44</v>
      </c>
    </row>
    <row r="3026" spans="1:3" x14ac:dyDescent="0.25">
      <c r="A3026">
        <v>38</v>
      </c>
      <c r="B3026" t="str">
        <f>"8:56:12.699702"</f>
        <v>8:56:12.699702</v>
      </c>
      <c r="C3026">
        <v>-41</v>
      </c>
    </row>
    <row r="3027" spans="1:3" x14ac:dyDescent="0.25">
      <c r="A3027">
        <v>39</v>
      </c>
      <c r="B3027" t="str">
        <f>"8:56:12.700728"</f>
        <v>8:56:12.700728</v>
      </c>
      <c r="C3027">
        <v>-46</v>
      </c>
    </row>
    <row r="3028" spans="1:3" x14ac:dyDescent="0.25">
      <c r="A3028">
        <v>39</v>
      </c>
      <c r="B3028" t="str">
        <f>"8:56:12.701248"</f>
        <v>8:56:12.701248</v>
      </c>
      <c r="C3028">
        <v>-79</v>
      </c>
    </row>
    <row r="3029" spans="1:3" x14ac:dyDescent="0.25">
      <c r="A3029">
        <v>39</v>
      </c>
      <c r="B3029" t="str">
        <f>"8:56:12.701574"</f>
        <v>8:56:12.701574</v>
      </c>
      <c r="C3029">
        <v>-45</v>
      </c>
    </row>
    <row r="3030" spans="1:3" x14ac:dyDescent="0.25">
      <c r="A3030">
        <v>37</v>
      </c>
      <c r="B3030" t="str">
        <f>"8:56:13.051763"</f>
        <v>8:56:13.051763</v>
      </c>
      <c r="C3030">
        <v>-44</v>
      </c>
    </row>
    <row r="3031" spans="1:3" x14ac:dyDescent="0.25">
      <c r="A3031">
        <v>38</v>
      </c>
      <c r="B3031" t="str">
        <f>"8:56:13.052790"</f>
        <v>8:56:13.052790</v>
      </c>
      <c r="C3031">
        <v>-41</v>
      </c>
    </row>
    <row r="3032" spans="1:3" x14ac:dyDescent="0.25">
      <c r="A3032">
        <v>39</v>
      </c>
      <c r="B3032" t="str">
        <f>"8:56:13.053816"</f>
        <v>8:56:13.053816</v>
      </c>
      <c r="C3032">
        <v>-45</v>
      </c>
    </row>
    <row r="3033" spans="1:3" x14ac:dyDescent="0.25">
      <c r="A3033">
        <v>39</v>
      </c>
      <c r="B3033" t="str">
        <f>"8:56:13.054334"</f>
        <v>8:56:13.054334</v>
      </c>
      <c r="C3033">
        <v>-31</v>
      </c>
    </row>
    <row r="3034" spans="1:3" x14ac:dyDescent="0.25">
      <c r="A3034">
        <v>39</v>
      </c>
      <c r="B3034" t="str">
        <f>"8:56:13.054660"</f>
        <v>8:56:13.054660</v>
      </c>
      <c r="C3034">
        <v>-45</v>
      </c>
    </row>
    <row r="3035" spans="1:3" x14ac:dyDescent="0.25">
      <c r="A3035">
        <v>37</v>
      </c>
      <c r="B3035" t="str">
        <f>"8:56:13.410697"</f>
        <v>8:56:13.410697</v>
      </c>
      <c r="C3035">
        <v>-44</v>
      </c>
    </row>
    <row r="3036" spans="1:3" x14ac:dyDescent="0.25">
      <c r="A3036">
        <v>38</v>
      </c>
      <c r="B3036" t="str">
        <f>"8:56:13.411725"</f>
        <v>8:56:13.411725</v>
      </c>
      <c r="C3036">
        <v>-41</v>
      </c>
    </row>
    <row r="3037" spans="1:3" x14ac:dyDescent="0.25">
      <c r="A3037">
        <v>39</v>
      </c>
      <c r="B3037" t="str">
        <f>"8:56:13.412751"</f>
        <v>8:56:13.412751</v>
      </c>
      <c r="C3037">
        <v>-45</v>
      </c>
    </row>
    <row r="3038" spans="1:3" x14ac:dyDescent="0.25">
      <c r="A3038">
        <v>39</v>
      </c>
      <c r="B3038" t="str">
        <f>"8:56:13.413269"</f>
        <v>8:56:13.413269</v>
      </c>
      <c r="C3038">
        <v>-31</v>
      </c>
    </row>
    <row r="3039" spans="1:3" x14ac:dyDescent="0.25">
      <c r="A3039">
        <v>39</v>
      </c>
      <c r="B3039" t="str">
        <f>"8:56:13.413595"</f>
        <v>8:56:13.413595</v>
      </c>
      <c r="C3039">
        <v>-45</v>
      </c>
    </row>
    <row r="3040" spans="1:3" x14ac:dyDescent="0.25">
      <c r="A3040">
        <v>37</v>
      </c>
      <c r="B3040" t="str">
        <f>"8:56:13.769161"</f>
        <v>8:56:13.769161</v>
      </c>
      <c r="C3040">
        <v>-44</v>
      </c>
    </row>
    <row r="3041" spans="1:3" x14ac:dyDescent="0.25">
      <c r="A3041">
        <v>37</v>
      </c>
      <c r="B3041" t="str">
        <f>"8:56:13.769679"</f>
        <v>8:56:13.769679</v>
      </c>
      <c r="C3041">
        <v>-83</v>
      </c>
    </row>
    <row r="3042" spans="1:3" x14ac:dyDescent="0.25">
      <c r="A3042">
        <v>37</v>
      </c>
      <c r="B3042" t="str">
        <f>"8:56:13.770006"</f>
        <v>8:56:13.770006</v>
      </c>
      <c r="C3042">
        <v>-44</v>
      </c>
    </row>
    <row r="3043" spans="1:3" x14ac:dyDescent="0.25">
      <c r="A3043">
        <v>38</v>
      </c>
      <c r="B3043" t="str">
        <f>"8:56:13.770782"</f>
        <v>8:56:13.770782</v>
      </c>
      <c r="C3043">
        <v>-41</v>
      </c>
    </row>
    <row r="3044" spans="1:3" x14ac:dyDescent="0.25">
      <c r="A3044">
        <v>39</v>
      </c>
      <c r="B3044" t="str">
        <f>"8:56:13.771808"</f>
        <v>8:56:13.771808</v>
      </c>
      <c r="C3044">
        <v>-45</v>
      </c>
    </row>
    <row r="3045" spans="1:3" x14ac:dyDescent="0.25">
      <c r="A3045">
        <v>39</v>
      </c>
      <c r="B3045" t="str">
        <f>"8:56:13.772326"</f>
        <v>8:56:13.772326</v>
      </c>
      <c r="C3045">
        <v>-31</v>
      </c>
    </row>
    <row r="3046" spans="1:3" x14ac:dyDescent="0.25">
      <c r="A3046">
        <v>39</v>
      </c>
      <c r="B3046" t="str">
        <f>"8:56:13.772652"</f>
        <v>8:56:13.772652</v>
      </c>
      <c r="C3046">
        <v>-45</v>
      </c>
    </row>
    <row r="3047" spans="1:3" x14ac:dyDescent="0.25">
      <c r="A3047">
        <v>37</v>
      </c>
      <c r="B3047" t="str">
        <f>"8:56:14.126033"</f>
        <v>8:56:14.126033</v>
      </c>
      <c r="C3047">
        <v>-44</v>
      </c>
    </row>
    <row r="3048" spans="1:3" x14ac:dyDescent="0.25">
      <c r="A3048">
        <v>38</v>
      </c>
      <c r="B3048" t="str">
        <f>"8:56:14.127060"</f>
        <v>8:56:14.127060</v>
      </c>
      <c r="C3048">
        <v>-41</v>
      </c>
    </row>
    <row r="3049" spans="1:3" x14ac:dyDescent="0.25">
      <c r="A3049">
        <v>39</v>
      </c>
      <c r="B3049" t="str">
        <f>"8:56:14.128086"</f>
        <v>8:56:14.128086</v>
      </c>
      <c r="C3049">
        <v>-45</v>
      </c>
    </row>
    <row r="3050" spans="1:3" x14ac:dyDescent="0.25">
      <c r="A3050">
        <v>39</v>
      </c>
      <c r="B3050" t="str">
        <f>"8:56:14.128604"</f>
        <v>8:56:14.128604</v>
      </c>
      <c r="C3050">
        <v>-31</v>
      </c>
    </row>
    <row r="3051" spans="1:3" x14ac:dyDescent="0.25">
      <c r="A3051">
        <v>39</v>
      </c>
      <c r="B3051" t="str">
        <f>"8:56:14.128931"</f>
        <v>8:56:14.128931</v>
      </c>
      <c r="C3051">
        <v>-45</v>
      </c>
    </row>
    <row r="3052" spans="1:3" x14ac:dyDescent="0.25">
      <c r="A3052">
        <v>37</v>
      </c>
      <c r="B3052" t="str">
        <f>"8:56:14.481893"</f>
        <v>8:56:14.481893</v>
      </c>
      <c r="C3052">
        <v>-44</v>
      </c>
    </row>
    <row r="3053" spans="1:3" x14ac:dyDescent="0.25">
      <c r="A3053">
        <v>37</v>
      </c>
      <c r="B3053" t="str">
        <f>"8:56:14.482412"</f>
        <v>8:56:14.482412</v>
      </c>
      <c r="C3053">
        <v>-40</v>
      </c>
    </row>
    <row r="3054" spans="1:3" x14ac:dyDescent="0.25">
      <c r="A3054">
        <v>37</v>
      </c>
      <c r="B3054" t="str">
        <f>"8:56:14.482737"</f>
        <v>8:56:14.482737</v>
      </c>
      <c r="C3054">
        <v>-44</v>
      </c>
    </row>
    <row r="3055" spans="1:3" x14ac:dyDescent="0.25">
      <c r="A3055">
        <v>38</v>
      </c>
      <c r="B3055" t="str">
        <f>"8:56:14.483513"</f>
        <v>8:56:14.483513</v>
      </c>
      <c r="C3055">
        <v>-41</v>
      </c>
    </row>
    <row r="3056" spans="1:3" x14ac:dyDescent="0.25">
      <c r="A3056">
        <v>39</v>
      </c>
      <c r="B3056" t="str">
        <f>"8:56:14.484539"</f>
        <v>8:56:14.484539</v>
      </c>
      <c r="C3056">
        <v>-45</v>
      </c>
    </row>
    <row r="3057" spans="1:3" x14ac:dyDescent="0.25">
      <c r="A3057">
        <v>37</v>
      </c>
      <c r="B3057" t="str">
        <f>"8:56:14.832663"</f>
        <v>8:56:14.832663</v>
      </c>
      <c r="C3057">
        <v>-44</v>
      </c>
    </row>
    <row r="3058" spans="1:3" x14ac:dyDescent="0.25">
      <c r="A3058">
        <v>37</v>
      </c>
      <c r="B3058" t="str">
        <f>"8:56:14.833182"</f>
        <v>8:56:14.833182</v>
      </c>
      <c r="C3058">
        <v>-39</v>
      </c>
    </row>
    <row r="3059" spans="1:3" x14ac:dyDescent="0.25">
      <c r="A3059">
        <v>37</v>
      </c>
      <c r="B3059" t="str">
        <f>"8:56:14.833507"</f>
        <v>8:56:14.833507</v>
      </c>
      <c r="C3059">
        <v>-44</v>
      </c>
    </row>
    <row r="3060" spans="1:3" x14ac:dyDescent="0.25">
      <c r="A3060">
        <v>38</v>
      </c>
      <c r="B3060" t="str">
        <f>"8:56:14.834284"</f>
        <v>8:56:14.834284</v>
      </c>
      <c r="C3060">
        <v>-41</v>
      </c>
    </row>
    <row r="3061" spans="1:3" x14ac:dyDescent="0.25">
      <c r="A3061">
        <v>39</v>
      </c>
      <c r="B3061" t="str">
        <f>"8:56:14.835310"</f>
        <v>8:56:14.835310</v>
      </c>
      <c r="C3061">
        <v>-45</v>
      </c>
    </row>
    <row r="3062" spans="1:3" x14ac:dyDescent="0.25">
      <c r="A3062">
        <v>37</v>
      </c>
      <c r="B3062" t="str">
        <f>"8:56:15.182936"</f>
        <v>8:56:15.182936</v>
      </c>
      <c r="C3062">
        <v>-44</v>
      </c>
    </row>
    <row r="3063" spans="1:3" x14ac:dyDescent="0.25">
      <c r="A3063">
        <v>37</v>
      </c>
      <c r="B3063" t="str">
        <f>"8:56:15.183455"</f>
        <v>8:56:15.183455</v>
      </c>
      <c r="C3063">
        <v>-39</v>
      </c>
    </row>
    <row r="3064" spans="1:3" x14ac:dyDescent="0.25">
      <c r="A3064">
        <v>37</v>
      </c>
      <c r="B3064" t="str">
        <f>"8:56:15.183781"</f>
        <v>8:56:15.183781</v>
      </c>
      <c r="C3064">
        <v>-44</v>
      </c>
    </row>
    <row r="3065" spans="1:3" x14ac:dyDescent="0.25">
      <c r="A3065">
        <v>38</v>
      </c>
      <c r="B3065" t="str">
        <f>"8:56:15.184557"</f>
        <v>8:56:15.184557</v>
      </c>
      <c r="C3065">
        <v>-41</v>
      </c>
    </row>
    <row r="3066" spans="1:3" x14ac:dyDescent="0.25">
      <c r="A3066">
        <v>39</v>
      </c>
      <c r="B3066" t="str">
        <f>"8:56:15.185583"</f>
        <v>8:56:15.185583</v>
      </c>
      <c r="C3066">
        <v>-45</v>
      </c>
    </row>
    <row r="3067" spans="1:3" x14ac:dyDescent="0.25">
      <c r="A3067">
        <v>37</v>
      </c>
      <c r="B3067" t="str">
        <f>"8:56:15.539550"</f>
        <v>8:56:15.539550</v>
      </c>
      <c r="C3067">
        <v>-44</v>
      </c>
    </row>
    <row r="3068" spans="1:3" x14ac:dyDescent="0.25">
      <c r="A3068">
        <v>37</v>
      </c>
      <c r="B3068" t="str">
        <f>"8:56:15.540069"</f>
        <v>8:56:15.540069</v>
      </c>
      <c r="C3068">
        <v>-39</v>
      </c>
    </row>
    <row r="3069" spans="1:3" x14ac:dyDescent="0.25">
      <c r="A3069">
        <v>37</v>
      </c>
      <c r="B3069" t="str">
        <f>"8:56:15.540395"</f>
        <v>8:56:15.540395</v>
      </c>
      <c r="C3069">
        <v>-44</v>
      </c>
    </row>
    <row r="3070" spans="1:3" x14ac:dyDescent="0.25">
      <c r="A3070">
        <v>38</v>
      </c>
      <c r="B3070" t="str">
        <f>"8:56:15.541171"</f>
        <v>8:56:15.541171</v>
      </c>
      <c r="C3070">
        <v>-41</v>
      </c>
    </row>
    <row r="3071" spans="1:3" x14ac:dyDescent="0.25">
      <c r="A3071">
        <v>39</v>
      </c>
      <c r="B3071" t="str">
        <f>"8:56:15.542197"</f>
        <v>8:56:15.542197</v>
      </c>
      <c r="C3071">
        <v>-45</v>
      </c>
    </row>
    <row r="3072" spans="1:3" x14ac:dyDescent="0.25">
      <c r="A3072">
        <v>37</v>
      </c>
      <c r="B3072" t="str">
        <f>"8:56:15.899264"</f>
        <v>8:56:15.899264</v>
      </c>
      <c r="C3072">
        <v>-44</v>
      </c>
    </row>
    <row r="3073" spans="1:3" x14ac:dyDescent="0.25">
      <c r="A3073">
        <v>37</v>
      </c>
      <c r="B3073" t="str">
        <f>"8:56:15.899783"</f>
        <v>8:56:15.899783</v>
      </c>
      <c r="C3073">
        <v>-38</v>
      </c>
    </row>
    <row r="3074" spans="1:3" x14ac:dyDescent="0.25">
      <c r="A3074">
        <v>37</v>
      </c>
      <c r="B3074" t="str">
        <f>"8:56:15.900109"</f>
        <v>8:56:15.900109</v>
      </c>
      <c r="C3074">
        <v>-45</v>
      </c>
    </row>
    <row r="3075" spans="1:3" x14ac:dyDescent="0.25">
      <c r="A3075">
        <v>38</v>
      </c>
      <c r="B3075" t="str">
        <f>"8:56:15.900885"</f>
        <v>8:56:15.900885</v>
      </c>
      <c r="C3075">
        <v>-41</v>
      </c>
    </row>
    <row r="3076" spans="1:3" x14ac:dyDescent="0.25">
      <c r="A3076">
        <v>39</v>
      </c>
      <c r="B3076" t="str">
        <f>"8:56:15.901912"</f>
        <v>8:56:15.901912</v>
      </c>
      <c r="C3076">
        <v>-45</v>
      </c>
    </row>
    <row r="3077" spans="1:3" x14ac:dyDescent="0.25">
      <c r="A3077">
        <v>37</v>
      </c>
      <c r="B3077" t="str">
        <f>"8:56:16.250018"</f>
        <v>8:56:16.250018</v>
      </c>
      <c r="C3077">
        <v>-45</v>
      </c>
    </row>
    <row r="3078" spans="1:3" x14ac:dyDescent="0.25">
      <c r="A3078">
        <v>37</v>
      </c>
      <c r="B3078" t="str">
        <f>"8:56:16.250537"</f>
        <v>8:56:16.250537</v>
      </c>
      <c r="C3078">
        <v>-38</v>
      </c>
    </row>
    <row r="3079" spans="1:3" x14ac:dyDescent="0.25">
      <c r="A3079">
        <v>37</v>
      </c>
      <c r="B3079" t="str">
        <f>"8:56:16.250863"</f>
        <v>8:56:16.250863</v>
      </c>
      <c r="C3079">
        <v>-45</v>
      </c>
    </row>
    <row r="3080" spans="1:3" x14ac:dyDescent="0.25">
      <c r="A3080">
        <v>38</v>
      </c>
      <c r="B3080" t="str">
        <f>"8:56:16.251639"</f>
        <v>8:56:16.251639</v>
      </c>
      <c r="C3080">
        <v>-41</v>
      </c>
    </row>
    <row r="3081" spans="1:3" x14ac:dyDescent="0.25">
      <c r="A3081">
        <v>39</v>
      </c>
      <c r="B3081" t="str">
        <f>"8:56:16.252666"</f>
        <v>8:56:16.252666</v>
      </c>
      <c r="C3081">
        <v>-45</v>
      </c>
    </row>
    <row r="3082" spans="1:3" x14ac:dyDescent="0.25">
      <c r="A3082">
        <v>37</v>
      </c>
      <c r="B3082" t="str">
        <f>"8:56:16.601553"</f>
        <v>8:56:16.601553</v>
      </c>
      <c r="C3082">
        <v>-44</v>
      </c>
    </row>
    <row r="3083" spans="1:3" x14ac:dyDescent="0.25">
      <c r="A3083">
        <v>37</v>
      </c>
      <c r="B3083" t="str">
        <f>"8:56:16.602072"</f>
        <v>8:56:16.602072</v>
      </c>
      <c r="C3083">
        <v>-38</v>
      </c>
    </row>
    <row r="3084" spans="1:3" x14ac:dyDescent="0.25">
      <c r="A3084">
        <v>37</v>
      </c>
      <c r="B3084" t="str">
        <f>"8:56:16.602398"</f>
        <v>8:56:16.602398</v>
      </c>
      <c r="C3084">
        <v>-45</v>
      </c>
    </row>
    <row r="3085" spans="1:3" x14ac:dyDescent="0.25">
      <c r="A3085">
        <v>38</v>
      </c>
      <c r="B3085" t="str">
        <f>"8:56:16.603175"</f>
        <v>8:56:16.603175</v>
      </c>
      <c r="C3085">
        <v>-42</v>
      </c>
    </row>
    <row r="3086" spans="1:3" x14ac:dyDescent="0.25">
      <c r="A3086">
        <v>39</v>
      </c>
      <c r="B3086" t="str">
        <f>"8:56:16.604201"</f>
        <v>8:56:16.604201</v>
      </c>
      <c r="C3086">
        <v>-45</v>
      </c>
    </row>
    <row r="3087" spans="1:3" x14ac:dyDescent="0.25">
      <c r="A3087">
        <v>37</v>
      </c>
      <c r="B3087" t="str">
        <f>"8:56:16.959689"</f>
        <v>8:56:16.959689</v>
      </c>
      <c r="C3087">
        <v>-45</v>
      </c>
    </row>
    <row r="3088" spans="1:3" x14ac:dyDescent="0.25">
      <c r="A3088">
        <v>37</v>
      </c>
      <c r="B3088" t="str">
        <f>"8:56:16.960207"</f>
        <v>8:56:16.960207</v>
      </c>
      <c r="C3088">
        <v>-38</v>
      </c>
    </row>
    <row r="3089" spans="1:3" x14ac:dyDescent="0.25">
      <c r="A3089">
        <v>37</v>
      </c>
      <c r="B3089" t="str">
        <f>"8:56:16.960533"</f>
        <v>8:56:16.960533</v>
      </c>
      <c r="C3089">
        <v>-45</v>
      </c>
    </row>
    <row r="3090" spans="1:3" x14ac:dyDescent="0.25">
      <c r="A3090">
        <v>38</v>
      </c>
      <c r="B3090" t="str">
        <f>"8:56:16.961309"</f>
        <v>8:56:16.961309</v>
      </c>
      <c r="C3090">
        <v>-41</v>
      </c>
    </row>
    <row r="3091" spans="1:3" x14ac:dyDescent="0.25">
      <c r="A3091">
        <v>39</v>
      </c>
      <c r="B3091" t="str">
        <f>"8:56:16.962335"</f>
        <v>8:56:16.962335</v>
      </c>
      <c r="C3091">
        <v>-45</v>
      </c>
    </row>
    <row r="3092" spans="1:3" x14ac:dyDescent="0.25">
      <c r="A3092">
        <v>37</v>
      </c>
      <c r="B3092" t="str">
        <f>"8:56:17.318079"</f>
        <v>8:56:17.318079</v>
      </c>
      <c r="C3092">
        <v>-44</v>
      </c>
    </row>
    <row r="3093" spans="1:3" x14ac:dyDescent="0.25">
      <c r="A3093">
        <v>37</v>
      </c>
      <c r="B3093" t="str">
        <f>"8:56:17.318598"</f>
        <v>8:56:17.318598</v>
      </c>
      <c r="C3093">
        <v>-40</v>
      </c>
    </row>
    <row r="3094" spans="1:3" x14ac:dyDescent="0.25">
      <c r="A3094">
        <v>37</v>
      </c>
      <c r="B3094" t="str">
        <f>"8:56:17.318924"</f>
        <v>8:56:17.318924</v>
      </c>
      <c r="C3094">
        <v>-44</v>
      </c>
    </row>
    <row r="3095" spans="1:3" x14ac:dyDescent="0.25">
      <c r="A3095">
        <v>38</v>
      </c>
      <c r="B3095" t="str">
        <f>"8:56:17.319701"</f>
        <v>8:56:17.319701</v>
      </c>
      <c r="C3095">
        <v>-41</v>
      </c>
    </row>
    <row r="3096" spans="1:3" x14ac:dyDescent="0.25">
      <c r="A3096">
        <v>39</v>
      </c>
      <c r="B3096" t="str">
        <f>"8:56:17.320727"</f>
        <v>8:56:17.320727</v>
      </c>
      <c r="C3096">
        <v>-45</v>
      </c>
    </row>
    <row r="3097" spans="1:3" x14ac:dyDescent="0.25">
      <c r="A3097">
        <v>37</v>
      </c>
      <c r="B3097" t="str">
        <f>"8:56:17.668262"</f>
        <v>8:56:17.668262</v>
      </c>
      <c r="C3097">
        <v>-44</v>
      </c>
    </row>
    <row r="3098" spans="1:3" x14ac:dyDescent="0.25">
      <c r="A3098">
        <v>37</v>
      </c>
      <c r="B3098" t="str">
        <f>"8:56:17.668781"</f>
        <v>8:56:17.668781</v>
      </c>
      <c r="C3098">
        <v>-40</v>
      </c>
    </row>
    <row r="3099" spans="1:3" x14ac:dyDescent="0.25">
      <c r="A3099">
        <v>37</v>
      </c>
      <c r="B3099" t="str">
        <f>"8:56:17.669107"</f>
        <v>8:56:17.669107</v>
      </c>
      <c r="C3099">
        <v>-44</v>
      </c>
    </row>
    <row r="3100" spans="1:3" x14ac:dyDescent="0.25">
      <c r="A3100">
        <v>38</v>
      </c>
      <c r="B3100" t="str">
        <f>"8:56:17.669884"</f>
        <v>8:56:17.669884</v>
      </c>
      <c r="C3100">
        <v>-41</v>
      </c>
    </row>
    <row r="3101" spans="1:3" x14ac:dyDescent="0.25">
      <c r="A3101">
        <v>39</v>
      </c>
      <c r="B3101" t="str">
        <f>"8:56:17.670910"</f>
        <v>8:56:17.670910</v>
      </c>
      <c r="C3101">
        <v>-45</v>
      </c>
    </row>
    <row r="3102" spans="1:3" x14ac:dyDescent="0.25">
      <c r="A3102">
        <v>37</v>
      </c>
      <c r="B3102" t="str">
        <f>"8:56:18.027510"</f>
        <v>8:56:18.027510</v>
      </c>
      <c r="C3102">
        <v>-44</v>
      </c>
    </row>
    <row r="3103" spans="1:3" x14ac:dyDescent="0.25">
      <c r="A3103">
        <v>37</v>
      </c>
      <c r="B3103" t="str">
        <f>"8:56:18.028028"</f>
        <v>8:56:18.028028</v>
      </c>
      <c r="C3103">
        <v>-40</v>
      </c>
    </row>
    <row r="3104" spans="1:3" x14ac:dyDescent="0.25">
      <c r="A3104">
        <v>37</v>
      </c>
      <c r="B3104" t="str">
        <f>"8:56:18.028354"</f>
        <v>8:56:18.028354</v>
      </c>
      <c r="C3104">
        <v>-44</v>
      </c>
    </row>
    <row r="3105" spans="1:3" x14ac:dyDescent="0.25">
      <c r="A3105">
        <v>38</v>
      </c>
      <c r="B3105" t="str">
        <f>"8:56:18.029130"</f>
        <v>8:56:18.029130</v>
      </c>
      <c r="C3105">
        <v>-41</v>
      </c>
    </row>
    <row r="3106" spans="1:3" x14ac:dyDescent="0.25">
      <c r="A3106">
        <v>39</v>
      </c>
      <c r="B3106" t="str">
        <f>"8:56:18.030156"</f>
        <v>8:56:18.030156</v>
      </c>
      <c r="C3106">
        <v>-45</v>
      </c>
    </row>
    <row r="3107" spans="1:3" x14ac:dyDescent="0.25">
      <c r="A3107">
        <v>37</v>
      </c>
      <c r="B3107" t="str">
        <f>"8:56:18.382903"</f>
        <v>8:56:18.382903</v>
      </c>
      <c r="C3107">
        <v>-44</v>
      </c>
    </row>
    <row r="3108" spans="1:3" x14ac:dyDescent="0.25">
      <c r="A3108">
        <v>37</v>
      </c>
      <c r="B3108" t="str">
        <f>"8:56:18.383421"</f>
        <v>8:56:18.383421</v>
      </c>
      <c r="C3108">
        <v>-40</v>
      </c>
    </row>
    <row r="3109" spans="1:3" x14ac:dyDescent="0.25">
      <c r="A3109">
        <v>37</v>
      </c>
      <c r="B3109" t="str">
        <f>"8:56:18.383747"</f>
        <v>8:56:18.383747</v>
      </c>
      <c r="C3109">
        <v>-44</v>
      </c>
    </row>
    <row r="3110" spans="1:3" x14ac:dyDescent="0.25">
      <c r="A3110">
        <v>38</v>
      </c>
      <c r="B3110" t="str">
        <f>"8:56:18.384523"</f>
        <v>8:56:18.384523</v>
      </c>
      <c r="C3110">
        <v>-41</v>
      </c>
    </row>
    <row r="3111" spans="1:3" x14ac:dyDescent="0.25">
      <c r="A3111">
        <v>39</v>
      </c>
      <c r="B3111" t="str">
        <f>"8:56:18.385549"</f>
        <v>8:56:18.385549</v>
      </c>
      <c r="C3111">
        <v>-45</v>
      </c>
    </row>
    <row r="3112" spans="1:3" x14ac:dyDescent="0.25">
      <c r="A3112">
        <v>39</v>
      </c>
      <c r="B3112" t="str">
        <f>"8:56:18.386067"</f>
        <v>8:56:18.386067</v>
      </c>
      <c r="C3112">
        <v>-88</v>
      </c>
    </row>
    <row r="3113" spans="1:3" x14ac:dyDescent="0.25">
      <c r="A3113">
        <v>39</v>
      </c>
      <c r="B3113" t="str">
        <f>"8:56:18.386393"</f>
        <v>8:56:18.386393</v>
      </c>
      <c r="C3113">
        <v>-45</v>
      </c>
    </row>
    <row r="3114" spans="1:3" x14ac:dyDescent="0.25">
      <c r="A3114">
        <v>37</v>
      </c>
      <c r="B3114" t="str">
        <f>"8:56:18.735428"</f>
        <v>8:56:18.735428</v>
      </c>
      <c r="C3114">
        <v>-44</v>
      </c>
    </row>
    <row r="3115" spans="1:3" x14ac:dyDescent="0.25">
      <c r="A3115">
        <v>37</v>
      </c>
      <c r="B3115" t="str">
        <f>"8:56:18.735946"</f>
        <v>8:56:18.735946</v>
      </c>
      <c r="C3115">
        <v>-40</v>
      </c>
    </row>
    <row r="3116" spans="1:3" x14ac:dyDescent="0.25">
      <c r="A3116">
        <v>37</v>
      </c>
      <c r="B3116" t="str">
        <f>"8:56:18.736273"</f>
        <v>8:56:18.736273</v>
      </c>
      <c r="C3116">
        <v>-44</v>
      </c>
    </row>
    <row r="3117" spans="1:3" x14ac:dyDescent="0.25">
      <c r="A3117">
        <v>38</v>
      </c>
      <c r="B3117" t="str">
        <f>"8:56:18.737049"</f>
        <v>8:56:18.737049</v>
      </c>
      <c r="C3117">
        <v>-41</v>
      </c>
    </row>
    <row r="3118" spans="1:3" x14ac:dyDescent="0.25">
      <c r="A3118">
        <v>39</v>
      </c>
      <c r="B3118" t="str">
        <f>"8:56:18.738075"</f>
        <v>8:56:18.738075</v>
      </c>
      <c r="C3118">
        <v>-45</v>
      </c>
    </row>
    <row r="3119" spans="1:3" x14ac:dyDescent="0.25">
      <c r="A3119">
        <v>37</v>
      </c>
      <c r="B3119" t="str">
        <f>"8:56:19.089221"</f>
        <v>8:56:19.089221</v>
      </c>
      <c r="C3119">
        <v>-44</v>
      </c>
    </row>
    <row r="3120" spans="1:3" x14ac:dyDescent="0.25">
      <c r="A3120">
        <v>37</v>
      </c>
      <c r="B3120" t="str">
        <f>"8:56:19.089739"</f>
        <v>8:56:19.089739</v>
      </c>
      <c r="C3120">
        <v>-40</v>
      </c>
    </row>
    <row r="3121" spans="1:3" x14ac:dyDescent="0.25">
      <c r="A3121">
        <v>37</v>
      </c>
      <c r="B3121" t="str">
        <f>"8:56:19.090065"</f>
        <v>8:56:19.090065</v>
      </c>
      <c r="C3121">
        <v>-44</v>
      </c>
    </row>
    <row r="3122" spans="1:3" x14ac:dyDescent="0.25">
      <c r="A3122">
        <v>38</v>
      </c>
      <c r="B3122" t="str">
        <f>"8:56:19.090841"</f>
        <v>8:56:19.090841</v>
      </c>
      <c r="C3122">
        <v>-41</v>
      </c>
    </row>
    <row r="3123" spans="1:3" x14ac:dyDescent="0.25">
      <c r="A3123">
        <v>39</v>
      </c>
      <c r="B3123" t="str">
        <f>"8:56:19.091868"</f>
        <v>8:56:19.091868</v>
      </c>
      <c r="C3123">
        <v>-45</v>
      </c>
    </row>
    <row r="3124" spans="1:3" x14ac:dyDescent="0.25">
      <c r="A3124">
        <v>37</v>
      </c>
      <c r="B3124" t="str">
        <f>"8:56:19.443851"</f>
        <v>8:56:19.443851</v>
      </c>
      <c r="C3124">
        <v>-44</v>
      </c>
    </row>
    <row r="3125" spans="1:3" x14ac:dyDescent="0.25">
      <c r="A3125">
        <v>38</v>
      </c>
      <c r="B3125" t="str">
        <f>"8:56:19.444878"</f>
        <v>8:56:19.444878</v>
      </c>
      <c r="C3125">
        <v>-41</v>
      </c>
    </row>
    <row r="3126" spans="1:3" x14ac:dyDescent="0.25">
      <c r="A3126">
        <v>38</v>
      </c>
      <c r="B3126" t="str">
        <f>"8:56:19.445396"</f>
        <v>8:56:19.445396</v>
      </c>
      <c r="C3126">
        <v>-31</v>
      </c>
    </row>
    <row r="3127" spans="1:3" x14ac:dyDescent="0.25">
      <c r="A3127">
        <v>38</v>
      </c>
      <c r="B3127" t="str">
        <f>"8:56:19.445722"</f>
        <v>8:56:19.445722</v>
      </c>
      <c r="C3127">
        <v>-41</v>
      </c>
    </row>
    <row r="3128" spans="1:3" x14ac:dyDescent="0.25">
      <c r="A3128">
        <v>39</v>
      </c>
      <c r="B3128" t="str">
        <f>"8:56:19.446498"</f>
        <v>8:56:19.446498</v>
      </c>
      <c r="C3128">
        <v>-45</v>
      </c>
    </row>
    <row r="3129" spans="1:3" x14ac:dyDescent="0.25">
      <c r="A3129">
        <v>37</v>
      </c>
      <c r="B3129" t="str">
        <f>"8:56:19.795637"</f>
        <v>8:56:19.795637</v>
      </c>
      <c r="C3129">
        <v>-44</v>
      </c>
    </row>
    <row r="3130" spans="1:3" x14ac:dyDescent="0.25">
      <c r="A3130">
        <v>38</v>
      </c>
      <c r="B3130" t="str">
        <f>"8:56:19.796665"</f>
        <v>8:56:19.796665</v>
      </c>
      <c r="C3130">
        <v>-41</v>
      </c>
    </row>
    <row r="3131" spans="1:3" x14ac:dyDescent="0.25">
      <c r="A3131">
        <v>39</v>
      </c>
      <c r="B3131" t="str">
        <f>"8:56:19.797691"</f>
        <v>8:56:19.797691</v>
      </c>
      <c r="C3131">
        <v>-46</v>
      </c>
    </row>
    <row r="3132" spans="1:3" x14ac:dyDescent="0.25">
      <c r="A3132">
        <v>37</v>
      </c>
      <c r="B3132" t="str">
        <f>"8:56:20.153805"</f>
        <v>8:56:20.153805</v>
      </c>
      <c r="C3132">
        <v>-44</v>
      </c>
    </row>
    <row r="3133" spans="1:3" x14ac:dyDescent="0.25">
      <c r="A3133">
        <v>38</v>
      </c>
      <c r="B3133" t="str">
        <f>"8:56:20.154832"</f>
        <v>8:56:20.154832</v>
      </c>
      <c r="C3133">
        <v>-41</v>
      </c>
    </row>
    <row r="3134" spans="1:3" x14ac:dyDescent="0.25">
      <c r="A3134">
        <v>38</v>
      </c>
      <c r="B3134" t="str">
        <f>"8:56:20.155351"</f>
        <v>8:56:20.155351</v>
      </c>
      <c r="C3134">
        <v>-32</v>
      </c>
    </row>
    <row r="3135" spans="1:3" x14ac:dyDescent="0.25">
      <c r="A3135">
        <v>38</v>
      </c>
      <c r="B3135" t="str">
        <f>"8:56:20.155676"</f>
        <v>8:56:20.155676</v>
      </c>
      <c r="C3135">
        <v>-41</v>
      </c>
    </row>
    <row r="3136" spans="1:3" x14ac:dyDescent="0.25">
      <c r="A3136">
        <v>39</v>
      </c>
      <c r="B3136" t="str">
        <f>"8:56:20.156452"</f>
        <v>8:56:20.156452</v>
      </c>
      <c r="C3136">
        <v>-45</v>
      </c>
    </row>
    <row r="3137" spans="1:3" x14ac:dyDescent="0.25">
      <c r="A3137">
        <v>37</v>
      </c>
      <c r="B3137" t="str">
        <f>"8:56:20.513271"</f>
        <v>8:56:20.513271</v>
      </c>
      <c r="C3137">
        <v>-44</v>
      </c>
    </row>
    <row r="3138" spans="1:3" x14ac:dyDescent="0.25">
      <c r="A3138">
        <v>37</v>
      </c>
      <c r="B3138" t="str">
        <f>"8:56:20.513791"</f>
        <v>8:56:20.513791</v>
      </c>
      <c r="C3138">
        <v>-78</v>
      </c>
    </row>
    <row r="3139" spans="1:3" x14ac:dyDescent="0.25">
      <c r="A3139">
        <v>38</v>
      </c>
      <c r="B3139" t="str">
        <f>"8:56:20.514299"</f>
        <v>8:56:20.514299</v>
      </c>
      <c r="C3139">
        <v>-41</v>
      </c>
    </row>
    <row r="3140" spans="1:3" x14ac:dyDescent="0.25">
      <c r="A3140">
        <v>39</v>
      </c>
      <c r="B3140" t="str">
        <f>"8:56:20.515325"</f>
        <v>8:56:20.515325</v>
      </c>
      <c r="C3140">
        <v>-45</v>
      </c>
    </row>
    <row r="3141" spans="1:3" x14ac:dyDescent="0.25">
      <c r="A3141">
        <v>37</v>
      </c>
      <c r="B3141" t="str">
        <f>"8:56:20.868652"</f>
        <v>8:56:20.868652</v>
      </c>
      <c r="C3141">
        <v>-44</v>
      </c>
    </row>
    <row r="3142" spans="1:3" x14ac:dyDescent="0.25">
      <c r="A3142">
        <v>38</v>
      </c>
      <c r="B3142" t="str">
        <f>"8:56:20.869680"</f>
        <v>8:56:20.869680</v>
      </c>
      <c r="C3142">
        <v>-41</v>
      </c>
    </row>
    <row r="3143" spans="1:3" x14ac:dyDescent="0.25">
      <c r="A3143">
        <v>38</v>
      </c>
      <c r="B3143" t="str">
        <f>"8:56:20.870198"</f>
        <v>8:56:20.870198</v>
      </c>
      <c r="C3143">
        <v>-32</v>
      </c>
    </row>
    <row r="3144" spans="1:3" x14ac:dyDescent="0.25">
      <c r="A3144">
        <v>38</v>
      </c>
      <c r="B3144" t="str">
        <f>"8:56:20.870524"</f>
        <v>8:56:20.870524</v>
      </c>
      <c r="C3144">
        <v>-41</v>
      </c>
    </row>
    <row r="3145" spans="1:3" x14ac:dyDescent="0.25">
      <c r="A3145">
        <v>39</v>
      </c>
      <c r="B3145" t="str">
        <f>"8:56:20.871300"</f>
        <v>8:56:20.871300</v>
      </c>
      <c r="C3145">
        <v>-45</v>
      </c>
    </row>
    <row r="3146" spans="1:3" x14ac:dyDescent="0.25">
      <c r="A3146">
        <v>37</v>
      </c>
      <c r="B3146" t="str">
        <f>"8:56:21.221183"</f>
        <v>8:56:21.221183</v>
      </c>
      <c r="C3146">
        <v>-44</v>
      </c>
    </row>
    <row r="3147" spans="1:3" x14ac:dyDescent="0.25">
      <c r="A3147">
        <v>38</v>
      </c>
      <c r="B3147" t="str">
        <f>"8:56:21.222211"</f>
        <v>8:56:21.222211</v>
      </c>
      <c r="C3147">
        <v>-41</v>
      </c>
    </row>
    <row r="3148" spans="1:3" x14ac:dyDescent="0.25">
      <c r="A3148">
        <v>38</v>
      </c>
      <c r="B3148" t="str">
        <f>"8:56:21.222729"</f>
        <v>8:56:21.222729</v>
      </c>
      <c r="C3148">
        <v>-32</v>
      </c>
    </row>
    <row r="3149" spans="1:3" x14ac:dyDescent="0.25">
      <c r="A3149">
        <v>38</v>
      </c>
      <c r="B3149" t="str">
        <f>"8:56:21.223056"</f>
        <v>8:56:21.223056</v>
      </c>
      <c r="C3149">
        <v>-41</v>
      </c>
    </row>
    <row r="3150" spans="1:3" x14ac:dyDescent="0.25">
      <c r="A3150">
        <v>39</v>
      </c>
      <c r="B3150" t="str">
        <f>"8:56:21.223832"</f>
        <v>8:56:21.223832</v>
      </c>
      <c r="C3150">
        <v>-45</v>
      </c>
    </row>
    <row r="3151" spans="1:3" x14ac:dyDescent="0.25">
      <c r="A3151">
        <v>37</v>
      </c>
      <c r="B3151" t="str">
        <f>"8:56:21.580173"</f>
        <v>8:56:21.580173</v>
      </c>
      <c r="C3151">
        <v>-44</v>
      </c>
    </row>
    <row r="3152" spans="1:3" x14ac:dyDescent="0.25">
      <c r="A3152">
        <v>37</v>
      </c>
      <c r="B3152" t="str">
        <f>"8:56:21.581017"</f>
        <v>8:56:21.581017</v>
      </c>
      <c r="C3152">
        <v>-45</v>
      </c>
    </row>
    <row r="3153" spans="1:3" x14ac:dyDescent="0.25">
      <c r="A3153">
        <v>38</v>
      </c>
      <c r="B3153" t="str">
        <f>"8:56:21.581793"</f>
        <v>8:56:21.581793</v>
      </c>
      <c r="C3153">
        <v>-41</v>
      </c>
    </row>
    <row r="3154" spans="1:3" x14ac:dyDescent="0.25">
      <c r="A3154">
        <v>38</v>
      </c>
      <c r="B3154" t="str">
        <f>"8:56:21.582312"</f>
        <v>8:56:21.582312</v>
      </c>
      <c r="C3154">
        <v>-32</v>
      </c>
    </row>
    <row r="3155" spans="1:3" x14ac:dyDescent="0.25">
      <c r="A3155">
        <v>38</v>
      </c>
      <c r="B3155" t="str">
        <f>"8:56:21.582637"</f>
        <v>8:56:21.582637</v>
      </c>
      <c r="C3155">
        <v>-41</v>
      </c>
    </row>
    <row r="3156" spans="1:3" x14ac:dyDescent="0.25">
      <c r="A3156">
        <v>39</v>
      </c>
      <c r="B3156" t="str">
        <f>"8:56:21.583413"</f>
        <v>8:56:21.583413</v>
      </c>
      <c r="C3156">
        <v>-46</v>
      </c>
    </row>
    <row r="3157" spans="1:3" x14ac:dyDescent="0.25">
      <c r="A3157">
        <v>37</v>
      </c>
      <c r="B3157" t="str">
        <f>"8:56:21.934468"</f>
        <v>8:56:21.934468</v>
      </c>
      <c r="C3157">
        <v>-45</v>
      </c>
    </row>
    <row r="3158" spans="1:3" x14ac:dyDescent="0.25">
      <c r="A3158">
        <v>38</v>
      </c>
      <c r="B3158" t="str">
        <f>"8:56:21.935496"</f>
        <v>8:56:21.935496</v>
      </c>
      <c r="C3158">
        <v>-41</v>
      </c>
    </row>
    <row r="3159" spans="1:3" x14ac:dyDescent="0.25">
      <c r="A3159">
        <v>38</v>
      </c>
      <c r="B3159" t="str">
        <f>"8:56:21.936015"</f>
        <v>8:56:21.936015</v>
      </c>
      <c r="C3159">
        <v>-32</v>
      </c>
    </row>
    <row r="3160" spans="1:3" x14ac:dyDescent="0.25">
      <c r="A3160">
        <v>38</v>
      </c>
      <c r="B3160" t="str">
        <f>"8:56:21.936341"</f>
        <v>8:56:21.936341</v>
      </c>
      <c r="C3160">
        <v>-41</v>
      </c>
    </row>
    <row r="3161" spans="1:3" x14ac:dyDescent="0.25">
      <c r="A3161">
        <v>39</v>
      </c>
      <c r="B3161" t="str">
        <f>"8:56:21.937117"</f>
        <v>8:56:21.937117</v>
      </c>
      <c r="C3161">
        <v>-46</v>
      </c>
    </row>
    <row r="3162" spans="1:3" x14ac:dyDescent="0.25">
      <c r="A3162">
        <v>39</v>
      </c>
      <c r="B3162" t="str">
        <f>"8:56:21.937963"</f>
        <v>8:56:21.937963</v>
      </c>
      <c r="C3162">
        <v>-45</v>
      </c>
    </row>
    <row r="3163" spans="1:3" x14ac:dyDescent="0.25">
      <c r="A3163">
        <v>37</v>
      </c>
      <c r="B3163" t="str">
        <f>"8:56:22.285216"</f>
        <v>8:56:22.285216</v>
      </c>
      <c r="C3163">
        <v>-45</v>
      </c>
    </row>
    <row r="3164" spans="1:3" x14ac:dyDescent="0.25">
      <c r="A3164">
        <v>38</v>
      </c>
      <c r="B3164" t="str">
        <f>"8:56:22.286243"</f>
        <v>8:56:22.286243</v>
      </c>
      <c r="C3164">
        <v>-41</v>
      </c>
    </row>
    <row r="3165" spans="1:3" x14ac:dyDescent="0.25">
      <c r="A3165">
        <v>38</v>
      </c>
      <c r="B3165" t="str">
        <f>"8:56:22.286762"</f>
        <v>8:56:22.286762</v>
      </c>
      <c r="C3165">
        <v>-32</v>
      </c>
    </row>
    <row r="3166" spans="1:3" x14ac:dyDescent="0.25">
      <c r="A3166">
        <v>38</v>
      </c>
      <c r="B3166" t="str">
        <f>"8:56:22.287088"</f>
        <v>8:56:22.287088</v>
      </c>
      <c r="C3166">
        <v>-41</v>
      </c>
    </row>
    <row r="3167" spans="1:3" x14ac:dyDescent="0.25">
      <c r="A3167">
        <v>39</v>
      </c>
      <c r="B3167" t="str">
        <f>"8:56:22.287864"</f>
        <v>8:56:22.287864</v>
      </c>
      <c r="C3167">
        <v>-46</v>
      </c>
    </row>
    <row r="3168" spans="1:3" x14ac:dyDescent="0.25">
      <c r="A3168">
        <v>37</v>
      </c>
      <c r="B3168" t="str">
        <f>"8:56:22.640340"</f>
        <v>8:56:22.640340</v>
      </c>
      <c r="C3168">
        <v>-44</v>
      </c>
    </row>
    <row r="3169" spans="1:3" x14ac:dyDescent="0.25">
      <c r="A3169">
        <v>38</v>
      </c>
      <c r="B3169" t="str">
        <f>"8:56:22.641367"</f>
        <v>8:56:22.641367</v>
      </c>
      <c r="C3169">
        <v>-41</v>
      </c>
    </row>
    <row r="3170" spans="1:3" x14ac:dyDescent="0.25">
      <c r="A3170">
        <v>38</v>
      </c>
      <c r="B3170" t="str">
        <f>"8:56:22.641886"</f>
        <v>8:56:22.641886</v>
      </c>
      <c r="C3170">
        <v>-32</v>
      </c>
    </row>
    <row r="3171" spans="1:3" x14ac:dyDescent="0.25">
      <c r="A3171">
        <v>38</v>
      </c>
      <c r="B3171" t="str">
        <f>"8:56:22.642211"</f>
        <v>8:56:22.642211</v>
      </c>
      <c r="C3171">
        <v>-41</v>
      </c>
    </row>
    <row r="3172" spans="1:3" x14ac:dyDescent="0.25">
      <c r="A3172">
        <v>39</v>
      </c>
      <c r="B3172" t="str">
        <f>"8:56:22.642987"</f>
        <v>8:56:22.642987</v>
      </c>
      <c r="C3172">
        <v>-46</v>
      </c>
    </row>
    <row r="3173" spans="1:3" x14ac:dyDescent="0.25">
      <c r="A3173">
        <v>37</v>
      </c>
      <c r="B3173" t="str">
        <f>"8:56:22.991642"</f>
        <v>8:56:22.991642</v>
      </c>
      <c r="C3173">
        <v>-44</v>
      </c>
    </row>
    <row r="3174" spans="1:3" x14ac:dyDescent="0.25">
      <c r="A3174">
        <v>37</v>
      </c>
      <c r="B3174" t="str">
        <f>"8:56:22.992161"</f>
        <v>8:56:22.992161</v>
      </c>
      <c r="C3174">
        <v>-81</v>
      </c>
    </row>
    <row r="3175" spans="1:3" x14ac:dyDescent="0.25">
      <c r="A3175">
        <v>37</v>
      </c>
      <c r="B3175" t="str">
        <f>"8:56:22.992487"</f>
        <v>8:56:22.992487</v>
      </c>
      <c r="C3175">
        <v>-44</v>
      </c>
    </row>
    <row r="3176" spans="1:3" x14ac:dyDescent="0.25">
      <c r="A3176">
        <v>38</v>
      </c>
      <c r="B3176" t="str">
        <f>"8:56:22.993264"</f>
        <v>8:56:22.993264</v>
      </c>
      <c r="C3176">
        <v>-41</v>
      </c>
    </row>
    <row r="3177" spans="1:3" x14ac:dyDescent="0.25">
      <c r="A3177">
        <v>38</v>
      </c>
      <c r="B3177" t="str">
        <f>"8:56:22.993782"</f>
        <v>8:56:22.993782</v>
      </c>
      <c r="C3177">
        <v>-32</v>
      </c>
    </row>
    <row r="3178" spans="1:3" x14ac:dyDescent="0.25">
      <c r="A3178">
        <v>38</v>
      </c>
      <c r="B3178" t="str">
        <f>"8:56:22.994108"</f>
        <v>8:56:22.994108</v>
      </c>
      <c r="C3178">
        <v>-41</v>
      </c>
    </row>
    <row r="3179" spans="1:3" x14ac:dyDescent="0.25">
      <c r="A3179">
        <v>39</v>
      </c>
      <c r="B3179" t="str">
        <f>"8:56:22.994884"</f>
        <v>8:56:22.994884</v>
      </c>
      <c r="C3179">
        <v>-45</v>
      </c>
    </row>
    <row r="3180" spans="1:3" x14ac:dyDescent="0.25">
      <c r="A3180">
        <v>37</v>
      </c>
      <c r="B3180" t="str">
        <f>"8:56:23.345011"</f>
        <v>8:56:23.345011</v>
      </c>
      <c r="C3180">
        <v>-44</v>
      </c>
    </row>
    <row r="3181" spans="1:3" x14ac:dyDescent="0.25">
      <c r="A3181">
        <v>38</v>
      </c>
      <c r="B3181" t="str">
        <f>"8:56:23.346038"</f>
        <v>8:56:23.346038</v>
      </c>
      <c r="C3181">
        <v>-41</v>
      </c>
    </row>
    <row r="3182" spans="1:3" x14ac:dyDescent="0.25">
      <c r="A3182">
        <v>38</v>
      </c>
      <c r="B3182" t="str">
        <f>"8:56:23.346557"</f>
        <v>8:56:23.346557</v>
      </c>
      <c r="C3182">
        <v>-32</v>
      </c>
    </row>
    <row r="3183" spans="1:3" x14ac:dyDescent="0.25">
      <c r="A3183">
        <v>38</v>
      </c>
      <c r="B3183" t="str">
        <f>"8:56:23.346882"</f>
        <v>8:56:23.346882</v>
      </c>
      <c r="C3183">
        <v>-41</v>
      </c>
    </row>
    <row r="3184" spans="1:3" x14ac:dyDescent="0.25">
      <c r="A3184">
        <v>39</v>
      </c>
      <c r="B3184" t="str">
        <f>"8:56:23.347658"</f>
        <v>8:56:23.347658</v>
      </c>
      <c r="C3184">
        <v>-45</v>
      </c>
    </row>
    <row r="3185" spans="1:3" x14ac:dyDescent="0.25">
      <c r="A3185">
        <v>37</v>
      </c>
      <c r="B3185" t="str">
        <f>"8:56:23.698861"</f>
        <v>8:56:23.698861</v>
      </c>
      <c r="C3185">
        <v>-44</v>
      </c>
    </row>
    <row r="3186" spans="1:3" x14ac:dyDescent="0.25">
      <c r="A3186">
        <v>38</v>
      </c>
      <c r="B3186" t="str">
        <f>"8:56:23.699889"</f>
        <v>8:56:23.699889</v>
      </c>
      <c r="C3186">
        <v>-41</v>
      </c>
    </row>
    <row r="3187" spans="1:3" x14ac:dyDescent="0.25">
      <c r="A3187">
        <v>39</v>
      </c>
      <c r="B3187" t="str">
        <f>"8:56:23.700915"</f>
        <v>8:56:23.700915</v>
      </c>
      <c r="C3187">
        <v>-45</v>
      </c>
    </row>
    <row r="3188" spans="1:3" x14ac:dyDescent="0.25">
      <c r="A3188">
        <v>37</v>
      </c>
      <c r="B3188" t="str">
        <f>"8:56:24.049635"</f>
        <v>8:56:24.049635</v>
      </c>
      <c r="C3188">
        <v>-44</v>
      </c>
    </row>
    <row r="3189" spans="1:3" x14ac:dyDescent="0.25">
      <c r="A3189">
        <v>38</v>
      </c>
      <c r="B3189" t="str">
        <f>"8:56:24.050663"</f>
        <v>8:56:24.050663</v>
      </c>
      <c r="C3189">
        <v>-41</v>
      </c>
    </row>
    <row r="3190" spans="1:3" x14ac:dyDescent="0.25">
      <c r="A3190">
        <v>39</v>
      </c>
      <c r="B3190" t="str">
        <f>"8:56:24.051689"</f>
        <v>8:56:24.051689</v>
      </c>
      <c r="C3190">
        <v>-45</v>
      </c>
    </row>
    <row r="3191" spans="1:3" x14ac:dyDescent="0.25">
      <c r="A3191">
        <v>37</v>
      </c>
      <c r="B3191" t="str">
        <f>"8:56:24.404788"</f>
        <v>8:56:24.404788</v>
      </c>
      <c r="C3191">
        <v>-44</v>
      </c>
    </row>
    <row r="3192" spans="1:3" x14ac:dyDescent="0.25">
      <c r="A3192">
        <v>38</v>
      </c>
      <c r="B3192" t="str">
        <f>"8:56:24.405815"</f>
        <v>8:56:24.405815</v>
      </c>
      <c r="C3192">
        <v>-41</v>
      </c>
    </row>
    <row r="3193" spans="1:3" x14ac:dyDescent="0.25">
      <c r="A3193">
        <v>39</v>
      </c>
      <c r="B3193" t="str">
        <f>"8:56:24.406841"</f>
        <v>8:56:24.406841</v>
      </c>
      <c r="C3193">
        <v>-45</v>
      </c>
    </row>
    <row r="3194" spans="1:3" x14ac:dyDescent="0.25">
      <c r="A3194">
        <v>37</v>
      </c>
      <c r="B3194" t="str">
        <f>"8:56:24.756793"</f>
        <v>8:56:24.756793</v>
      </c>
      <c r="C3194">
        <v>-44</v>
      </c>
    </row>
    <row r="3195" spans="1:3" x14ac:dyDescent="0.25">
      <c r="A3195">
        <v>38</v>
      </c>
      <c r="B3195" t="str">
        <f>"8:56:24.757821"</f>
        <v>8:56:24.757821</v>
      </c>
      <c r="C3195">
        <v>-41</v>
      </c>
    </row>
    <row r="3196" spans="1:3" x14ac:dyDescent="0.25">
      <c r="A3196">
        <v>38</v>
      </c>
      <c r="B3196" t="str">
        <f>"8:56:24.758339"</f>
        <v>8:56:24.758339</v>
      </c>
      <c r="C3196">
        <v>-88</v>
      </c>
    </row>
    <row r="3197" spans="1:3" x14ac:dyDescent="0.25">
      <c r="A3197">
        <v>38</v>
      </c>
      <c r="B3197" t="str">
        <f>"8:56:24.758665"</f>
        <v>8:56:24.758665</v>
      </c>
      <c r="C3197">
        <v>-41</v>
      </c>
    </row>
    <row r="3198" spans="1:3" x14ac:dyDescent="0.25">
      <c r="A3198">
        <v>39</v>
      </c>
      <c r="B3198" t="str">
        <f>"8:56:24.759441"</f>
        <v>8:56:24.759441</v>
      </c>
      <c r="C3198">
        <v>-45</v>
      </c>
    </row>
    <row r="3199" spans="1:3" x14ac:dyDescent="0.25">
      <c r="A3199">
        <v>37</v>
      </c>
      <c r="B3199" t="str">
        <f>"8:56:25.114989"</f>
        <v>8:56:25.114989</v>
      </c>
      <c r="C3199">
        <v>-44</v>
      </c>
    </row>
    <row r="3200" spans="1:3" x14ac:dyDescent="0.25">
      <c r="A3200">
        <v>38</v>
      </c>
      <c r="B3200" t="str">
        <f>"8:56:25.116017"</f>
        <v>8:56:25.116017</v>
      </c>
      <c r="C3200">
        <v>-41</v>
      </c>
    </row>
    <row r="3201" spans="1:3" x14ac:dyDescent="0.25">
      <c r="A3201">
        <v>39</v>
      </c>
      <c r="B3201" t="str">
        <f>"8:56:25.117043"</f>
        <v>8:56:25.117043</v>
      </c>
      <c r="C3201">
        <v>-45</v>
      </c>
    </row>
    <row r="3202" spans="1:3" x14ac:dyDescent="0.25">
      <c r="A3202">
        <v>37</v>
      </c>
      <c r="B3202" t="str">
        <f>"8:56:25.473150"</f>
        <v>8:56:25.473150</v>
      </c>
      <c r="C3202">
        <v>-44</v>
      </c>
    </row>
    <row r="3203" spans="1:3" x14ac:dyDescent="0.25">
      <c r="A3203">
        <v>38</v>
      </c>
      <c r="B3203" t="str">
        <f>"8:56:25.474178"</f>
        <v>8:56:25.474178</v>
      </c>
      <c r="C3203">
        <v>-41</v>
      </c>
    </row>
    <row r="3204" spans="1:3" x14ac:dyDescent="0.25">
      <c r="A3204">
        <v>39</v>
      </c>
      <c r="B3204" t="str">
        <f>"8:56:25.475204"</f>
        <v>8:56:25.475204</v>
      </c>
      <c r="C3204">
        <v>-45</v>
      </c>
    </row>
    <row r="3205" spans="1:3" x14ac:dyDescent="0.25">
      <c r="A3205">
        <v>39</v>
      </c>
      <c r="B3205" t="str">
        <f>"8:56:25.475722"</f>
        <v>8:56:25.475722</v>
      </c>
      <c r="C3205">
        <v>-31</v>
      </c>
    </row>
    <row r="3206" spans="1:3" x14ac:dyDescent="0.25">
      <c r="A3206">
        <v>39</v>
      </c>
      <c r="B3206" t="str">
        <f>"8:56:25.476048"</f>
        <v>8:56:25.476048</v>
      </c>
      <c r="C3206">
        <v>-45</v>
      </c>
    </row>
    <row r="3207" spans="1:3" x14ac:dyDescent="0.25">
      <c r="A3207">
        <v>37</v>
      </c>
      <c r="B3207" t="str">
        <f>"8:56:25.829580"</f>
        <v>8:56:25.829580</v>
      </c>
      <c r="C3207">
        <v>-44</v>
      </c>
    </row>
    <row r="3208" spans="1:3" x14ac:dyDescent="0.25">
      <c r="A3208">
        <v>38</v>
      </c>
      <c r="B3208" t="str">
        <f>"8:56:25.830608"</f>
        <v>8:56:25.830608</v>
      </c>
      <c r="C3208">
        <v>-41</v>
      </c>
    </row>
    <row r="3209" spans="1:3" x14ac:dyDescent="0.25">
      <c r="A3209">
        <v>39</v>
      </c>
      <c r="B3209" t="str">
        <f>"8:56:25.831634"</f>
        <v>8:56:25.831634</v>
      </c>
      <c r="C3209">
        <v>-45</v>
      </c>
    </row>
    <row r="3210" spans="1:3" x14ac:dyDescent="0.25">
      <c r="A3210">
        <v>39</v>
      </c>
      <c r="B3210" t="str">
        <f>"8:56:25.832152"</f>
        <v>8:56:25.832152</v>
      </c>
      <c r="C3210">
        <v>-31</v>
      </c>
    </row>
    <row r="3211" spans="1:3" x14ac:dyDescent="0.25">
      <c r="A3211">
        <v>39</v>
      </c>
      <c r="B3211" t="str">
        <f>"8:56:25.832478"</f>
        <v>8:56:25.832478</v>
      </c>
      <c r="C3211">
        <v>-45</v>
      </c>
    </row>
    <row r="3212" spans="1:3" x14ac:dyDescent="0.25">
      <c r="A3212">
        <v>37</v>
      </c>
      <c r="B3212" t="str">
        <f>"8:56:26.183370"</f>
        <v>8:56:26.183370</v>
      </c>
      <c r="C3212">
        <v>-44</v>
      </c>
    </row>
    <row r="3213" spans="1:3" x14ac:dyDescent="0.25">
      <c r="A3213">
        <v>38</v>
      </c>
      <c r="B3213" t="str">
        <f>"8:56:26.184397"</f>
        <v>8:56:26.184397</v>
      </c>
      <c r="C3213">
        <v>-41</v>
      </c>
    </row>
    <row r="3214" spans="1:3" x14ac:dyDescent="0.25">
      <c r="A3214">
        <v>39</v>
      </c>
      <c r="B3214" t="str">
        <f>"8:56:26.185423"</f>
        <v>8:56:26.185423</v>
      </c>
      <c r="C3214">
        <v>-45</v>
      </c>
    </row>
    <row r="3215" spans="1:3" x14ac:dyDescent="0.25">
      <c r="A3215">
        <v>39</v>
      </c>
      <c r="B3215" t="str">
        <f>"8:56:26.185941"</f>
        <v>8:56:26.185941</v>
      </c>
      <c r="C3215">
        <v>-31</v>
      </c>
    </row>
    <row r="3216" spans="1:3" x14ac:dyDescent="0.25">
      <c r="A3216">
        <v>39</v>
      </c>
      <c r="B3216" t="str">
        <f>"8:56:26.186267"</f>
        <v>8:56:26.186267</v>
      </c>
      <c r="C3216">
        <v>-45</v>
      </c>
    </row>
    <row r="3217" spans="1:3" x14ac:dyDescent="0.25">
      <c r="A3217">
        <v>37</v>
      </c>
      <c r="B3217" t="str">
        <f>"8:56:26.543073"</f>
        <v>8:56:26.543073</v>
      </c>
      <c r="C3217">
        <v>-44</v>
      </c>
    </row>
    <row r="3218" spans="1:3" x14ac:dyDescent="0.25">
      <c r="A3218">
        <v>38</v>
      </c>
      <c r="B3218" t="str">
        <f>"8:56:26.544101"</f>
        <v>8:56:26.544101</v>
      </c>
      <c r="C3218">
        <v>-41</v>
      </c>
    </row>
    <row r="3219" spans="1:3" x14ac:dyDescent="0.25">
      <c r="A3219">
        <v>39</v>
      </c>
      <c r="B3219" t="str">
        <f>"8:56:26.545127"</f>
        <v>8:56:26.545127</v>
      </c>
      <c r="C3219">
        <v>-45</v>
      </c>
    </row>
    <row r="3220" spans="1:3" x14ac:dyDescent="0.25">
      <c r="A3220">
        <v>39</v>
      </c>
      <c r="B3220" t="str">
        <f>"8:56:26.545645"</f>
        <v>8:56:26.545645</v>
      </c>
      <c r="C3220">
        <v>-31</v>
      </c>
    </row>
    <row r="3221" spans="1:3" x14ac:dyDescent="0.25">
      <c r="A3221">
        <v>39</v>
      </c>
      <c r="B3221" t="str">
        <f>"8:56:26.545972"</f>
        <v>8:56:26.545972</v>
      </c>
      <c r="C3221">
        <v>-44</v>
      </c>
    </row>
    <row r="3222" spans="1:3" x14ac:dyDescent="0.25">
      <c r="A3222">
        <v>37</v>
      </c>
      <c r="B3222" t="str">
        <f>"8:56:26.898227"</f>
        <v>8:56:26.898227</v>
      </c>
      <c r="C3222">
        <v>-44</v>
      </c>
    </row>
    <row r="3223" spans="1:3" x14ac:dyDescent="0.25">
      <c r="A3223">
        <v>38</v>
      </c>
      <c r="B3223" t="str">
        <f>"8:56:26.899254"</f>
        <v>8:56:26.899254</v>
      </c>
      <c r="C3223">
        <v>-41</v>
      </c>
    </row>
    <row r="3224" spans="1:3" x14ac:dyDescent="0.25">
      <c r="A3224">
        <v>39</v>
      </c>
      <c r="B3224" t="str">
        <f>"8:56:26.900280"</f>
        <v>8:56:26.900280</v>
      </c>
      <c r="C3224">
        <v>-45</v>
      </c>
    </row>
    <row r="3225" spans="1:3" x14ac:dyDescent="0.25">
      <c r="A3225">
        <v>39</v>
      </c>
      <c r="B3225" t="str">
        <f>"8:56:26.900798"</f>
        <v>8:56:26.900798</v>
      </c>
      <c r="C3225">
        <v>-31</v>
      </c>
    </row>
    <row r="3226" spans="1:3" x14ac:dyDescent="0.25">
      <c r="A3226">
        <v>39</v>
      </c>
      <c r="B3226" t="str">
        <f>"8:56:26.901124"</f>
        <v>8:56:26.901124</v>
      </c>
      <c r="C3226">
        <v>-45</v>
      </c>
    </row>
    <row r="3227" spans="1:3" x14ac:dyDescent="0.25">
      <c r="A3227">
        <v>37</v>
      </c>
      <c r="B3227" t="str">
        <f>"8:56:27.252259"</f>
        <v>8:56:27.252259</v>
      </c>
      <c r="C3227">
        <v>-44</v>
      </c>
    </row>
    <row r="3228" spans="1:3" x14ac:dyDescent="0.25">
      <c r="A3228">
        <v>38</v>
      </c>
      <c r="B3228" t="str">
        <f>"8:56:27.253286"</f>
        <v>8:56:27.253286</v>
      </c>
      <c r="C3228">
        <v>-41</v>
      </c>
    </row>
    <row r="3229" spans="1:3" x14ac:dyDescent="0.25">
      <c r="A3229">
        <v>39</v>
      </c>
      <c r="B3229" t="str">
        <f>"8:56:27.254312"</f>
        <v>8:56:27.254312</v>
      </c>
      <c r="C3229">
        <v>-45</v>
      </c>
    </row>
    <row r="3230" spans="1:3" x14ac:dyDescent="0.25">
      <c r="A3230">
        <v>39</v>
      </c>
      <c r="B3230" t="str">
        <f>"8:56:27.254830"</f>
        <v>8:56:27.254830</v>
      </c>
      <c r="C3230">
        <v>-31</v>
      </c>
    </row>
    <row r="3231" spans="1:3" x14ac:dyDescent="0.25">
      <c r="A3231">
        <v>39</v>
      </c>
      <c r="B3231" t="str">
        <f>"8:56:27.255156"</f>
        <v>8:56:27.255156</v>
      </c>
      <c r="C3231">
        <v>-45</v>
      </c>
    </row>
    <row r="3232" spans="1:3" x14ac:dyDescent="0.25">
      <c r="A3232">
        <v>37</v>
      </c>
      <c r="B3232" t="str">
        <f>"8:56:27.604849"</f>
        <v>8:56:27.604849</v>
      </c>
      <c r="C3232">
        <v>-44</v>
      </c>
    </row>
    <row r="3233" spans="1:3" x14ac:dyDescent="0.25">
      <c r="A3233">
        <v>38</v>
      </c>
      <c r="B3233" t="str">
        <f>"8:56:27.605876"</f>
        <v>8:56:27.605876</v>
      </c>
      <c r="C3233">
        <v>-41</v>
      </c>
    </row>
    <row r="3234" spans="1:3" x14ac:dyDescent="0.25">
      <c r="A3234">
        <v>39</v>
      </c>
      <c r="B3234" t="str">
        <f>"8:56:27.606902"</f>
        <v>8:56:27.606902</v>
      </c>
      <c r="C3234">
        <v>-46</v>
      </c>
    </row>
    <row r="3235" spans="1:3" x14ac:dyDescent="0.25">
      <c r="A3235">
        <v>39</v>
      </c>
      <c r="B3235" t="str">
        <f>"8:56:27.607420"</f>
        <v>8:56:27.607420</v>
      </c>
      <c r="C3235">
        <v>-31</v>
      </c>
    </row>
    <row r="3236" spans="1:3" x14ac:dyDescent="0.25">
      <c r="A3236">
        <v>39</v>
      </c>
      <c r="B3236" t="str">
        <f>"8:56:27.607746"</f>
        <v>8:56:27.607746</v>
      </c>
      <c r="C3236">
        <v>-45</v>
      </c>
    </row>
    <row r="3237" spans="1:3" x14ac:dyDescent="0.25">
      <c r="A3237">
        <v>37</v>
      </c>
      <c r="B3237" t="str">
        <f>"8:56:27.955138"</f>
        <v>8:56:27.955138</v>
      </c>
      <c r="C3237">
        <v>-44</v>
      </c>
    </row>
    <row r="3238" spans="1:3" x14ac:dyDescent="0.25">
      <c r="A3238">
        <v>38</v>
      </c>
      <c r="B3238" t="str">
        <f>"8:56:27.956165"</f>
        <v>8:56:27.956165</v>
      </c>
      <c r="C3238">
        <v>-41</v>
      </c>
    </row>
    <row r="3239" spans="1:3" x14ac:dyDescent="0.25">
      <c r="A3239">
        <v>39</v>
      </c>
      <c r="B3239" t="str">
        <f>"8:56:27.957191"</f>
        <v>8:56:27.957191</v>
      </c>
      <c r="C3239">
        <v>-45</v>
      </c>
    </row>
    <row r="3240" spans="1:3" x14ac:dyDescent="0.25">
      <c r="A3240">
        <v>39</v>
      </c>
      <c r="B3240" t="str">
        <f>"8:56:27.957709"</f>
        <v>8:56:27.957709</v>
      </c>
      <c r="C3240">
        <v>-31</v>
      </c>
    </row>
    <row r="3241" spans="1:3" x14ac:dyDescent="0.25">
      <c r="A3241">
        <v>39</v>
      </c>
      <c r="B3241" t="str">
        <f>"8:56:27.958035"</f>
        <v>8:56:27.958035</v>
      </c>
      <c r="C3241">
        <v>-45</v>
      </c>
    </row>
    <row r="3242" spans="1:3" x14ac:dyDescent="0.25">
      <c r="A3242">
        <v>37</v>
      </c>
      <c r="B3242" t="str">
        <f>"8:56:28.305842"</f>
        <v>8:56:28.305842</v>
      </c>
      <c r="C3242">
        <v>-44</v>
      </c>
    </row>
    <row r="3243" spans="1:3" x14ac:dyDescent="0.25">
      <c r="A3243">
        <v>38</v>
      </c>
      <c r="B3243" t="str">
        <f>"8:56:28.306870"</f>
        <v>8:56:28.306870</v>
      </c>
      <c r="C3243">
        <v>-41</v>
      </c>
    </row>
    <row r="3244" spans="1:3" x14ac:dyDescent="0.25">
      <c r="A3244">
        <v>39</v>
      </c>
      <c r="B3244" t="str">
        <f>"8:56:28.307896"</f>
        <v>8:56:28.307896</v>
      </c>
      <c r="C3244">
        <v>-45</v>
      </c>
    </row>
    <row r="3245" spans="1:3" x14ac:dyDescent="0.25">
      <c r="A3245">
        <v>39</v>
      </c>
      <c r="B3245" t="str">
        <f>"8:56:28.308413"</f>
        <v>8:56:28.308413</v>
      </c>
      <c r="C3245">
        <v>-31</v>
      </c>
    </row>
    <row r="3246" spans="1:3" x14ac:dyDescent="0.25">
      <c r="A3246">
        <v>39</v>
      </c>
      <c r="B3246" t="str">
        <f>"8:56:28.308740"</f>
        <v>8:56:28.308740</v>
      </c>
      <c r="C3246">
        <v>-45</v>
      </c>
    </row>
    <row r="3247" spans="1:3" x14ac:dyDescent="0.25">
      <c r="A3247">
        <v>37</v>
      </c>
      <c r="B3247" t="str">
        <f>"8:56:28.658689"</f>
        <v>8:56:28.658689</v>
      </c>
      <c r="C3247">
        <v>-44</v>
      </c>
    </row>
    <row r="3248" spans="1:3" x14ac:dyDescent="0.25">
      <c r="A3248">
        <v>38</v>
      </c>
      <c r="B3248" t="str">
        <f>"8:56:28.659716"</f>
        <v>8:56:28.659716</v>
      </c>
      <c r="C3248">
        <v>-41</v>
      </c>
    </row>
    <row r="3249" spans="1:3" x14ac:dyDescent="0.25">
      <c r="A3249">
        <v>39</v>
      </c>
      <c r="B3249" t="str">
        <f>"8:56:28.660742"</f>
        <v>8:56:28.660742</v>
      </c>
      <c r="C3249">
        <v>-45</v>
      </c>
    </row>
    <row r="3250" spans="1:3" x14ac:dyDescent="0.25">
      <c r="A3250">
        <v>39</v>
      </c>
      <c r="B3250" t="str">
        <f>"8:56:28.661260"</f>
        <v>8:56:28.661260</v>
      </c>
      <c r="C3250">
        <v>-31</v>
      </c>
    </row>
    <row r="3251" spans="1:3" x14ac:dyDescent="0.25">
      <c r="A3251">
        <v>39</v>
      </c>
      <c r="B3251" t="str">
        <f>"8:56:28.661586"</f>
        <v>8:56:28.661586</v>
      </c>
      <c r="C3251">
        <v>-45</v>
      </c>
    </row>
    <row r="3252" spans="1:3" x14ac:dyDescent="0.25">
      <c r="A3252">
        <v>37</v>
      </c>
      <c r="B3252" t="str">
        <f>"8:56:29.012741"</f>
        <v>8:56:29.012741</v>
      </c>
      <c r="C3252">
        <v>-44</v>
      </c>
    </row>
    <row r="3253" spans="1:3" x14ac:dyDescent="0.25">
      <c r="A3253">
        <v>38</v>
      </c>
      <c r="B3253" t="str">
        <f>"8:56:29.013768"</f>
        <v>8:56:29.013768</v>
      </c>
      <c r="C3253">
        <v>-41</v>
      </c>
    </row>
    <row r="3254" spans="1:3" x14ac:dyDescent="0.25">
      <c r="A3254">
        <v>39</v>
      </c>
      <c r="B3254" t="str">
        <f>"8:56:29.014794"</f>
        <v>8:56:29.014794</v>
      </c>
      <c r="C3254">
        <v>-46</v>
      </c>
    </row>
    <row r="3255" spans="1:3" x14ac:dyDescent="0.25">
      <c r="A3255">
        <v>37</v>
      </c>
      <c r="B3255" t="str">
        <f>"8:56:29.370408"</f>
        <v>8:56:29.370408</v>
      </c>
      <c r="C3255">
        <v>-44</v>
      </c>
    </row>
    <row r="3256" spans="1:3" x14ac:dyDescent="0.25">
      <c r="A3256">
        <v>38</v>
      </c>
      <c r="B3256" t="str">
        <f>"8:56:29.371436"</f>
        <v>8:56:29.371436</v>
      </c>
      <c r="C3256">
        <v>-41</v>
      </c>
    </row>
    <row r="3257" spans="1:3" x14ac:dyDescent="0.25">
      <c r="A3257">
        <v>39</v>
      </c>
      <c r="B3257" t="str">
        <f>"8:56:29.372462"</f>
        <v>8:56:29.372462</v>
      </c>
      <c r="C3257">
        <v>-45</v>
      </c>
    </row>
    <row r="3258" spans="1:3" x14ac:dyDescent="0.25">
      <c r="A3258">
        <v>39</v>
      </c>
      <c r="B3258" t="str">
        <f>"8:56:29.372981"</f>
        <v>8:56:29.372981</v>
      </c>
      <c r="C3258">
        <v>-31</v>
      </c>
    </row>
    <row r="3259" spans="1:3" x14ac:dyDescent="0.25">
      <c r="A3259">
        <v>39</v>
      </c>
      <c r="B3259" t="str">
        <f>"8:56:29.373307"</f>
        <v>8:56:29.373307</v>
      </c>
      <c r="C3259">
        <v>-45</v>
      </c>
    </row>
    <row r="3260" spans="1:3" x14ac:dyDescent="0.25">
      <c r="A3260">
        <v>37</v>
      </c>
      <c r="B3260" t="str">
        <f>"8:56:29.722965"</f>
        <v>8:56:29.722965</v>
      </c>
      <c r="C3260">
        <v>-44</v>
      </c>
    </row>
    <row r="3261" spans="1:3" x14ac:dyDescent="0.25">
      <c r="A3261">
        <v>37</v>
      </c>
      <c r="B3261" t="str">
        <f>"8:56:29.723484"</f>
        <v>8:56:29.723484</v>
      </c>
      <c r="C3261">
        <v>-39</v>
      </c>
    </row>
    <row r="3262" spans="1:3" x14ac:dyDescent="0.25">
      <c r="A3262">
        <v>37</v>
      </c>
      <c r="B3262" t="str">
        <f>"8:56:29.723810"</f>
        <v>8:56:29.723810</v>
      </c>
      <c r="C3262">
        <v>-44</v>
      </c>
    </row>
    <row r="3263" spans="1:3" x14ac:dyDescent="0.25">
      <c r="A3263">
        <v>38</v>
      </c>
      <c r="B3263" t="str">
        <f>"8:56:29.724586"</f>
        <v>8:56:29.724586</v>
      </c>
      <c r="C3263">
        <v>-42</v>
      </c>
    </row>
    <row r="3264" spans="1:3" x14ac:dyDescent="0.25">
      <c r="A3264">
        <v>39</v>
      </c>
      <c r="B3264" t="str">
        <f>"8:56:29.725612"</f>
        <v>8:56:29.725612</v>
      </c>
      <c r="C3264">
        <v>-46</v>
      </c>
    </row>
    <row r="3265" spans="1:3" x14ac:dyDescent="0.25">
      <c r="A3265">
        <v>37</v>
      </c>
      <c r="B3265" t="str">
        <f>"8:56:30.075300"</f>
        <v>8:56:30.075300</v>
      </c>
      <c r="C3265">
        <v>-44</v>
      </c>
    </row>
    <row r="3266" spans="1:3" x14ac:dyDescent="0.25">
      <c r="A3266">
        <v>37</v>
      </c>
      <c r="B3266" t="str">
        <f>"8:56:30.075819"</f>
        <v>8:56:30.075819</v>
      </c>
      <c r="C3266">
        <v>-39</v>
      </c>
    </row>
    <row r="3267" spans="1:3" x14ac:dyDescent="0.25">
      <c r="A3267">
        <v>37</v>
      </c>
      <c r="B3267" t="str">
        <f>"8:56:30.076144"</f>
        <v>8:56:30.076144</v>
      </c>
      <c r="C3267">
        <v>-44</v>
      </c>
    </row>
    <row r="3268" spans="1:3" x14ac:dyDescent="0.25">
      <c r="A3268">
        <v>38</v>
      </c>
      <c r="B3268" t="str">
        <f>"8:56:30.076921"</f>
        <v>8:56:30.076921</v>
      </c>
      <c r="C3268">
        <v>-41</v>
      </c>
    </row>
    <row r="3269" spans="1:3" x14ac:dyDescent="0.25">
      <c r="A3269">
        <v>39</v>
      </c>
      <c r="B3269" t="str">
        <f>"8:56:30.077947"</f>
        <v>8:56:30.077947</v>
      </c>
      <c r="C3269">
        <v>-45</v>
      </c>
    </row>
    <row r="3270" spans="1:3" x14ac:dyDescent="0.25">
      <c r="A3270">
        <v>37</v>
      </c>
      <c r="B3270" t="str">
        <f>"8:56:30.429075"</f>
        <v>8:56:30.429075</v>
      </c>
      <c r="C3270">
        <v>-44</v>
      </c>
    </row>
    <row r="3271" spans="1:3" x14ac:dyDescent="0.25">
      <c r="A3271">
        <v>38</v>
      </c>
      <c r="B3271" t="str">
        <f>"8:56:30.430102"</f>
        <v>8:56:30.430102</v>
      </c>
      <c r="C3271">
        <v>-42</v>
      </c>
    </row>
    <row r="3272" spans="1:3" x14ac:dyDescent="0.25">
      <c r="A3272">
        <v>39</v>
      </c>
      <c r="B3272" t="str">
        <f>"8:56:30.431128"</f>
        <v>8:56:30.431128</v>
      </c>
      <c r="C3272">
        <v>-46</v>
      </c>
    </row>
    <row r="3273" spans="1:3" x14ac:dyDescent="0.25">
      <c r="A3273">
        <v>37</v>
      </c>
      <c r="B3273" t="str">
        <f>"8:56:30.782085"</f>
        <v>8:56:30.782085</v>
      </c>
      <c r="C3273">
        <v>-44</v>
      </c>
    </row>
    <row r="3274" spans="1:3" x14ac:dyDescent="0.25">
      <c r="A3274">
        <v>37</v>
      </c>
      <c r="B3274" t="str">
        <f>"8:56:30.782604"</f>
        <v>8:56:30.782604</v>
      </c>
      <c r="C3274">
        <v>-39</v>
      </c>
    </row>
    <row r="3275" spans="1:3" x14ac:dyDescent="0.25">
      <c r="A3275">
        <v>37</v>
      </c>
      <c r="B3275" t="str">
        <f>"8:56:30.782930"</f>
        <v>8:56:30.782930</v>
      </c>
      <c r="C3275">
        <v>-44</v>
      </c>
    </row>
    <row r="3276" spans="1:3" x14ac:dyDescent="0.25">
      <c r="A3276">
        <v>38</v>
      </c>
      <c r="B3276" t="str">
        <f>"8:56:30.783706"</f>
        <v>8:56:30.783706</v>
      </c>
      <c r="C3276">
        <v>-41</v>
      </c>
    </row>
    <row r="3277" spans="1:3" x14ac:dyDescent="0.25">
      <c r="A3277">
        <v>39</v>
      </c>
      <c r="B3277" t="str">
        <f>"8:56:30.784732"</f>
        <v>8:56:30.784732</v>
      </c>
      <c r="C3277">
        <v>-45</v>
      </c>
    </row>
    <row r="3278" spans="1:3" x14ac:dyDescent="0.25">
      <c r="A3278">
        <v>37</v>
      </c>
      <c r="B3278" t="str">
        <f>"8:56:31.140258"</f>
        <v>8:56:31.140258</v>
      </c>
      <c r="C3278">
        <v>-44</v>
      </c>
    </row>
    <row r="3279" spans="1:3" x14ac:dyDescent="0.25">
      <c r="A3279">
        <v>37</v>
      </c>
      <c r="B3279" t="str">
        <f>"8:56:31.140777"</f>
        <v>8:56:31.140777</v>
      </c>
      <c r="C3279">
        <v>-38</v>
      </c>
    </row>
    <row r="3280" spans="1:3" x14ac:dyDescent="0.25">
      <c r="A3280">
        <v>37</v>
      </c>
      <c r="B3280" t="str">
        <f>"8:56:31.141103"</f>
        <v>8:56:31.141103</v>
      </c>
      <c r="C3280">
        <v>-44</v>
      </c>
    </row>
    <row r="3281" spans="1:3" x14ac:dyDescent="0.25">
      <c r="A3281">
        <v>38</v>
      </c>
      <c r="B3281" t="str">
        <f>"8:56:31.141879"</f>
        <v>8:56:31.141879</v>
      </c>
      <c r="C3281">
        <v>-41</v>
      </c>
    </row>
    <row r="3282" spans="1:3" x14ac:dyDescent="0.25">
      <c r="A3282">
        <v>39</v>
      </c>
      <c r="B3282" t="str">
        <f>"8:56:31.142905"</f>
        <v>8:56:31.142905</v>
      </c>
      <c r="C3282">
        <v>-45</v>
      </c>
    </row>
    <row r="3283" spans="1:3" x14ac:dyDescent="0.25">
      <c r="A3283">
        <v>37</v>
      </c>
      <c r="B3283" t="str">
        <f>"8:56:31.496124"</f>
        <v>8:56:31.496124</v>
      </c>
      <c r="C3283">
        <v>-44</v>
      </c>
    </row>
    <row r="3284" spans="1:3" x14ac:dyDescent="0.25">
      <c r="A3284">
        <v>38</v>
      </c>
      <c r="B3284" t="str">
        <f>"8:56:31.497152"</f>
        <v>8:56:31.497152</v>
      </c>
      <c r="C3284">
        <v>-41</v>
      </c>
    </row>
    <row r="3285" spans="1:3" x14ac:dyDescent="0.25">
      <c r="A3285">
        <v>39</v>
      </c>
      <c r="B3285" t="str">
        <f>"8:56:31.498178"</f>
        <v>8:56:31.498178</v>
      </c>
      <c r="C3285">
        <v>-46</v>
      </c>
    </row>
    <row r="3286" spans="1:3" x14ac:dyDescent="0.25">
      <c r="A3286">
        <v>37</v>
      </c>
      <c r="B3286" t="str">
        <f>"8:56:31.846568"</f>
        <v>8:56:31.846568</v>
      </c>
      <c r="C3286">
        <v>-44</v>
      </c>
    </row>
    <row r="3287" spans="1:3" x14ac:dyDescent="0.25">
      <c r="A3287">
        <v>37</v>
      </c>
      <c r="B3287" t="str">
        <f>"8:56:31.847086"</f>
        <v>8:56:31.847086</v>
      </c>
      <c r="C3287">
        <v>-38</v>
      </c>
    </row>
    <row r="3288" spans="1:3" x14ac:dyDescent="0.25">
      <c r="A3288">
        <v>37</v>
      </c>
      <c r="B3288" t="str">
        <f>"8:56:31.847412"</f>
        <v>8:56:31.847412</v>
      </c>
      <c r="C3288">
        <v>-44</v>
      </c>
    </row>
    <row r="3289" spans="1:3" x14ac:dyDescent="0.25">
      <c r="A3289">
        <v>38</v>
      </c>
      <c r="B3289" t="str">
        <f>"8:56:31.848188"</f>
        <v>8:56:31.848188</v>
      </c>
      <c r="C3289">
        <v>-41</v>
      </c>
    </row>
    <row r="3290" spans="1:3" x14ac:dyDescent="0.25">
      <c r="A3290">
        <v>39</v>
      </c>
      <c r="B3290" t="str">
        <f>"8:56:31.849214"</f>
        <v>8:56:31.849214</v>
      </c>
      <c r="C3290">
        <v>-46</v>
      </c>
    </row>
    <row r="3291" spans="1:3" x14ac:dyDescent="0.25">
      <c r="A3291">
        <v>37</v>
      </c>
      <c r="B3291" t="str">
        <f>"8:56:32.200679"</f>
        <v>8:56:32.200679</v>
      </c>
      <c r="C3291">
        <v>-44</v>
      </c>
    </row>
    <row r="3292" spans="1:3" x14ac:dyDescent="0.25">
      <c r="A3292">
        <v>37</v>
      </c>
      <c r="B3292" t="str">
        <f>"8:56:32.201198"</f>
        <v>8:56:32.201198</v>
      </c>
      <c r="C3292">
        <v>-37</v>
      </c>
    </row>
    <row r="3293" spans="1:3" x14ac:dyDescent="0.25">
      <c r="A3293">
        <v>37</v>
      </c>
      <c r="B3293" t="str">
        <f>"8:56:32.201523"</f>
        <v>8:56:32.201523</v>
      </c>
      <c r="C3293">
        <v>-45</v>
      </c>
    </row>
    <row r="3294" spans="1:3" x14ac:dyDescent="0.25">
      <c r="A3294">
        <v>38</v>
      </c>
      <c r="B3294" t="str">
        <f>"8:56:32.202300"</f>
        <v>8:56:32.202300</v>
      </c>
      <c r="C3294">
        <v>-41</v>
      </c>
    </row>
    <row r="3295" spans="1:3" x14ac:dyDescent="0.25">
      <c r="A3295">
        <v>39</v>
      </c>
      <c r="B3295" t="str">
        <f>"8:56:32.203326"</f>
        <v>8:56:32.203326</v>
      </c>
      <c r="C3295">
        <v>-46</v>
      </c>
    </row>
    <row r="3296" spans="1:3" x14ac:dyDescent="0.25">
      <c r="A3296">
        <v>37</v>
      </c>
      <c r="B3296" t="str">
        <f>"8:56:32.557547"</f>
        <v>8:56:32.557547</v>
      </c>
      <c r="C3296">
        <v>-45</v>
      </c>
    </row>
    <row r="3297" spans="1:3" x14ac:dyDescent="0.25">
      <c r="A3297">
        <v>37</v>
      </c>
      <c r="B3297" t="str">
        <f>"8:56:32.558066"</f>
        <v>8:56:32.558066</v>
      </c>
      <c r="C3297">
        <v>-37</v>
      </c>
    </row>
    <row r="3298" spans="1:3" x14ac:dyDescent="0.25">
      <c r="A3298">
        <v>37</v>
      </c>
      <c r="B3298" t="str">
        <f>"8:56:32.558391"</f>
        <v>8:56:32.558391</v>
      </c>
      <c r="C3298">
        <v>-45</v>
      </c>
    </row>
    <row r="3299" spans="1:3" x14ac:dyDescent="0.25">
      <c r="A3299">
        <v>38</v>
      </c>
      <c r="B3299" t="str">
        <f>"8:56:32.559168"</f>
        <v>8:56:32.559168</v>
      </c>
      <c r="C3299">
        <v>-41</v>
      </c>
    </row>
    <row r="3300" spans="1:3" x14ac:dyDescent="0.25">
      <c r="A3300">
        <v>39</v>
      </c>
      <c r="B3300" t="str">
        <f>"8:56:32.560194"</f>
        <v>8:56:32.560194</v>
      </c>
      <c r="C3300">
        <v>-46</v>
      </c>
    </row>
    <row r="3301" spans="1:3" x14ac:dyDescent="0.25">
      <c r="A3301">
        <v>37</v>
      </c>
      <c r="B3301" t="str">
        <f>"8:56:32.908508"</f>
        <v>8:56:32.908508</v>
      </c>
      <c r="C3301">
        <v>-45</v>
      </c>
    </row>
    <row r="3302" spans="1:3" x14ac:dyDescent="0.25">
      <c r="A3302">
        <v>37</v>
      </c>
      <c r="B3302" t="str">
        <f>"8:56:32.909027"</f>
        <v>8:56:32.909027</v>
      </c>
      <c r="C3302">
        <v>-37</v>
      </c>
    </row>
    <row r="3303" spans="1:3" x14ac:dyDescent="0.25">
      <c r="A3303">
        <v>37</v>
      </c>
      <c r="B3303" t="str">
        <f>"8:56:32.909353"</f>
        <v>8:56:32.909353</v>
      </c>
      <c r="C3303">
        <v>-45</v>
      </c>
    </row>
    <row r="3304" spans="1:3" x14ac:dyDescent="0.25">
      <c r="A3304">
        <v>38</v>
      </c>
      <c r="B3304" t="str">
        <f>"8:56:32.910129"</f>
        <v>8:56:32.910129</v>
      </c>
      <c r="C3304">
        <v>-41</v>
      </c>
    </row>
    <row r="3305" spans="1:3" x14ac:dyDescent="0.25">
      <c r="A3305">
        <v>39</v>
      </c>
      <c r="B3305" t="str">
        <f>"8:56:32.911155"</f>
        <v>8:56:32.911155</v>
      </c>
      <c r="C3305">
        <v>-46</v>
      </c>
    </row>
    <row r="3306" spans="1:3" x14ac:dyDescent="0.25">
      <c r="A3306">
        <v>37</v>
      </c>
      <c r="B3306" t="str">
        <f>"8:56:33.265651"</f>
        <v>8:56:33.265651</v>
      </c>
      <c r="C3306">
        <v>-45</v>
      </c>
    </row>
    <row r="3307" spans="1:3" x14ac:dyDescent="0.25">
      <c r="A3307">
        <v>37</v>
      </c>
      <c r="B3307" t="str">
        <f>"8:56:33.266169"</f>
        <v>8:56:33.266169</v>
      </c>
      <c r="C3307">
        <v>-37</v>
      </c>
    </row>
    <row r="3308" spans="1:3" x14ac:dyDescent="0.25">
      <c r="A3308">
        <v>37</v>
      </c>
      <c r="B3308" t="str">
        <f>"8:56:33.266495"</f>
        <v>8:56:33.266495</v>
      </c>
      <c r="C3308">
        <v>-45</v>
      </c>
    </row>
    <row r="3309" spans="1:3" x14ac:dyDescent="0.25">
      <c r="A3309">
        <v>38</v>
      </c>
      <c r="B3309" t="str">
        <f>"8:56:33.267271"</f>
        <v>8:56:33.267271</v>
      </c>
      <c r="C3309">
        <v>-41</v>
      </c>
    </row>
    <row r="3310" spans="1:3" x14ac:dyDescent="0.25">
      <c r="A3310">
        <v>39</v>
      </c>
      <c r="B3310" t="str">
        <f>"8:56:33.268297"</f>
        <v>8:56:33.268297</v>
      </c>
      <c r="C3310">
        <v>-46</v>
      </c>
    </row>
    <row r="3311" spans="1:3" x14ac:dyDescent="0.25">
      <c r="A3311">
        <v>37</v>
      </c>
      <c r="B3311" t="str">
        <f>"8:56:33.617418"</f>
        <v>8:56:33.617418</v>
      </c>
      <c r="C3311">
        <v>-44</v>
      </c>
    </row>
    <row r="3312" spans="1:3" x14ac:dyDescent="0.25">
      <c r="A3312">
        <v>37</v>
      </c>
      <c r="B3312" t="str">
        <f>"8:56:33.617937"</f>
        <v>8:56:33.617937</v>
      </c>
      <c r="C3312">
        <v>-37</v>
      </c>
    </row>
    <row r="3313" spans="1:3" x14ac:dyDescent="0.25">
      <c r="A3313">
        <v>37</v>
      </c>
      <c r="B3313" t="str">
        <f>"8:56:33.618263"</f>
        <v>8:56:33.618263</v>
      </c>
      <c r="C3313">
        <v>-45</v>
      </c>
    </row>
    <row r="3314" spans="1:3" x14ac:dyDescent="0.25">
      <c r="A3314">
        <v>38</v>
      </c>
      <c r="B3314" t="str">
        <f>"8:56:33.619039"</f>
        <v>8:56:33.619039</v>
      </c>
      <c r="C3314">
        <v>-41</v>
      </c>
    </row>
    <row r="3315" spans="1:3" x14ac:dyDescent="0.25">
      <c r="A3315">
        <v>39</v>
      </c>
      <c r="B3315" t="str">
        <f>"8:56:33.620066"</f>
        <v>8:56:33.620066</v>
      </c>
      <c r="C3315">
        <v>-45</v>
      </c>
    </row>
    <row r="3316" spans="1:3" x14ac:dyDescent="0.25">
      <c r="A3316">
        <v>37</v>
      </c>
      <c r="B3316" t="str">
        <f>"8:56:33.969465"</f>
        <v>8:56:33.969465</v>
      </c>
      <c r="C3316">
        <v>-45</v>
      </c>
    </row>
    <row r="3317" spans="1:3" x14ac:dyDescent="0.25">
      <c r="A3317">
        <v>37</v>
      </c>
      <c r="B3317" t="str">
        <f>"8:56:33.969984"</f>
        <v>8:56:33.969984</v>
      </c>
      <c r="C3317">
        <v>-37</v>
      </c>
    </row>
    <row r="3318" spans="1:3" x14ac:dyDescent="0.25">
      <c r="A3318">
        <v>37</v>
      </c>
      <c r="B3318" t="str">
        <f>"8:56:33.970310"</f>
        <v>8:56:33.970310</v>
      </c>
      <c r="C3318">
        <v>-45</v>
      </c>
    </row>
    <row r="3319" spans="1:3" x14ac:dyDescent="0.25">
      <c r="A3319">
        <v>38</v>
      </c>
      <c r="B3319" t="str">
        <f>"8:56:33.971087"</f>
        <v>8:56:33.971087</v>
      </c>
      <c r="C3319">
        <v>-41</v>
      </c>
    </row>
    <row r="3320" spans="1:3" x14ac:dyDescent="0.25">
      <c r="A3320">
        <v>38</v>
      </c>
      <c r="B3320" t="str">
        <f>"8:56:33.971932"</f>
        <v>8:56:33.971932</v>
      </c>
      <c r="C3320">
        <v>-41</v>
      </c>
    </row>
    <row r="3321" spans="1:3" x14ac:dyDescent="0.25">
      <c r="A3321">
        <v>39</v>
      </c>
      <c r="B3321" t="str">
        <f>"8:56:33.972708"</f>
        <v>8:56:33.972708</v>
      </c>
      <c r="C3321">
        <v>-45</v>
      </c>
    </row>
    <row r="3322" spans="1:3" x14ac:dyDescent="0.25">
      <c r="A3322">
        <v>37</v>
      </c>
      <c r="B3322" t="str">
        <f>"8:56:34.325083"</f>
        <v>8:56:34.325083</v>
      </c>
      <c r="C3322">
        <v>-44</v>
      </c>
    </row>
    <row r="3323" spans="1:3" x14ac:dyDescent="0.25">
      <c r="A3323">
        <v>37</v>
      </c>
      <c r="B3323" t="str">
        <f>"8:56:34.325601"</f>
        <v>8:56:34.325601</v>
      </c>
      <c r="C3323">
        <v>-37</v>
      </c>
    </row>
    <row r="3324" spans="1:3" x14ac:dyDescent="0.25">
      <c r="A3324">
        <v>37</v>
      </c>
      <c r="B3324" t="str">
        <f>"8:56:34.325927"</f>
        <v>8:56:34.325927</v>
      </c>
      <c r="C3324">
        <v>-44</v>
      </c>
    </row>
    <row r="3325" spans="1:3" x14ac:dyDescent="0.25">
      <c r="A3325">
        <v>38</v>
      </c>
      <c r="B3325" t="str">
        <f>"8:56:34.326703"</f>
        <v>8:56:34.326703</v>
      </c>
      <c r="C3325">
        <v>-41</v>
      </c>
    </row>
    <row r="3326" spans="1:3" x14ac:dyDescent="0.25">
      <c r="A3326">
        <v>39</v>
      </c>
      <c r="B3326" t="str">
        <f>"8:56:34.327729"</f>
        <v>8:56:34.327729</v>
      </c>
      <c r="C3326">
        <v>-45</v>
      </c>
    </row>
    <row r="3327" spans="1:3" x14ac:dyDescent="0.25">
      <c r="A3327">
        <v>37</v>
      </c>
      <c r="B3327" t="str">
        <f>"8:56:34.677873"</f>
        <v>8:56:34.677873</v>
      </c>
      <c r="C3327">
        <v>-44</v>
      </c>
    </row>
    <row r="3328" spans="1:3" x14ac:dyDescent="0.25">
      <c r="A3328">
        <v>38</v>
      </c>
      <c r="B3328" t="str">
        <f>"8:56:34.678900"</f>
        <v>8:56:34.678900</v>
      </c>
      <c r="C3328">
        <v>-41</v>
      </c>
    </row>
    <row r="3329" spans="1:3" x14ac:dyDescent="0.25">
      <c r="A3329">
        <v>38</v>
      </c>
      <c r="B3329" t="str">
        <f>"8:56:34.679418"</f>
        <v>8:56:34.679418</v>
      </c>
      <c r="C3329">
        <v>-32</v>
      </c>
    </row>
    <row r="3330" spans="1:3" x14ac:dyDescent="0.25">
      <c r="A3330">
        <v>38</v>
      </c>
      <c r="B3330" t="str">
        <f>"8:56:34.679744"</f>
        <v>8:56:34.679744</v>
      </c>
      <c r="C3330">
        <v>-41</v>
      </c>
    </row>
    <row r="3331" spans="1:3" x14ac:dyDescent="0.25">
      <c r="A3331">
        <v>39</v>
      </c>
      <c r="B3331" t="str">
        <f>"8:56:34.680520"</f>
        <v>8:56:34.680520</v>
      </c>
      <c r="C3331">
        <v>-46</v>
      </c>
    </row>
    <row r="3332" spans="1:3" x14ac:dyDescent="0.25">
      <c r="A3332">
        <v>37</v>
      </c>
      <c r="B3332" t="str">
        <f>"8:56:35.031190"</f>
        <v>8:56:35.031190</v>
      </c>
      <c r="C3332">
        <v>-44</v>
      </c>
    </row>
    <row r="3333" spans="1:3" x14ac:dyDescent="0.25">
      <c r="A3333">
        <v>38</v>
      </c>
      <c r="B3333" t="str">
        <f>"8:56:35.032217"</f>
        <v>8:56:35.032217</v>
      </c>
      <c r="C3333">
        <v>-41</v>
      </c>
    </row>
    <row r="3334" spans="1:3" x14ac:dyDescent="0.25">
      <c r="A3334">
        <v>38</v>
      </c>
      <c r="B3334" t="str">
        <f>"8:56:35.032735"</f>
        <v>8:56:35.032735</v>
      </c>
      <c r="C3334">
        <v>-32</v>
      </c>
    </row>
    <row r="3335" spans="1:3" x14ac:dyDescent="0.25">
      <c r="A3335">
        <v>38</v>
      </c>
      <c r="B3335" t="str">
        <f>"8:56:35.033061"</f>
        <v>8:56:35.033061</v>
      </c>
      <c r="C3335">
        <v>-41</v>
      </c>
    </row>
    <row r="3336" spans="1:3" x14ac:dyDescent="0.25">
      <c r="A3336">
        <v>39</v>
      </c>
      <c r="B3336" t="str">
        <f>"8:56:35.033837"</f>
        <v>8:56:35.033837</v>
      </c>
      <c r="C3336">
        <v>-46</v>
      </c>
    </row>
    <row r="3337" spans="1:3" x14ac:dyDescent="0.25">
      <c r="A3337">
        <v>37</v>
      </c>
      <c r="B3337" t="str">
        <f>"8:56:35.384002"</f>
        <v>8:56:35.384002</v>
      </c>
      <c r="C3337">
        <v>-44</v>
      </c>
    </row>
    <row r="3338" spans="1:3" x14ac:dyDescent="0.25">
      <c r="A3338">
        <v>38</v>
      </c>
      <c r="B3338" t="str">
        <f>"8:56:35.385030"</f>
        <v>8:56:35.385030</v>
      </c>
      <c r="C3338">
        <v>-41</v>
      </c>
    </row>
    <row r="3339" spans="1:3" x14ac:dyDescent="0.25">
      <c r="A3339">
        <v>38</v>
      </c>
      <c r="B3339" t="str">
        <f>"8:56:35.385548"</f>
        <v>8:56:35.385548</v>
      </c>
      <c r="C3339">
        <v>-32</v>
      </c>
    </row>
    <row r="3340" spans="1:3" x14ac:dyDescent="0.25">
      <c r="A3340">
        <v>38</v>
      </c>
      <c r="B3340" t="str">
        <f>"8:56:35.385875"</f>
        <v>8:56:35.385875</v>
      </c>
      <c r="C3340">
        <v>-41</v>
      </c>
    </row>
    <row r="3341" spans="1:3" x14ac:dyDescent="0.25">
      <c r="A3341">
        <v>39</v>
      </c>
      <c r="B3341" t="str">
        <f>"8:56:35.386651"</f>
        <v>8:56:35.386651</v>
      </c>
      <c r="C3341">
        <v>-45</v>
      </c>
    </row>
    <row r="3342" spans="1:3" x14ac:dyDescent="0.25">
      <c r="A3342">
        <v>37</v>
      </c>
      <c r="B3342" t="str">
        <f>"8:56:35.738080"</f>
        <v>8:56:35.738080</v>
      </c>
      <c r="C3342">
        <v>-44</v>
      </c>
    </row>
    <row r="3343" spans="1:3" x14ac:dyDescent="0.25">
      <c r="A3343">
        <v>38</v>
      </c>
      <c r="B3343" t="str">
        <f>"8:56:35.739108"</f>
        <v>8:56:35.739108</v>
      </c>
      <c r="C3343">
        <v>-41</v>
      </c>
    </row>
    <row r="3344" spans="1:3" x14ac:dyDescent="0.25">
      <c r="A3344">
        <v>38</v>
      </c>
      <c r="B3344" t="str">
        <f>"8:56:35.739627"</f>
        <v>8:56:35.739627</v>
      </c>
      <c r="C3344">
        <v>-32</v>
      </c>
    </row>
    <row r="3345" spans="1:3" x14ac:dyDescent="0.25">
      <c r="A3345">
        <v>38</v>
      </c>
      <c r="B3345" t="str">
        <f>"8:56:35.739953"</f>
        <v>8:56:35.739953</v>
      </c>
      <c r="C3345">
        <v>-41</v>
      </c>
    </row>
    <row r="3346" spans="1:3" x14ac:dyDescent="0.25">
      <c r="A3346">
        <v>39</v>
      </c>
      <c r="B3346" t="str">
        <f>"8:56:35.740729"</f>
        <v>8:56:35.740729</v>
      </c>
      <c r="C3346">
        <v>-46</v>
      </c>
    </row>
    <row r="3347" spans="1:3" x14ac:dyDescent="0.25">
      <c r="A3347">
        <v>37</v>
      </c>
      <c r="B3347" t="str">
        <f>"8:56:36.089062"</f>
        <v>8:56:36.089062</v>
      </c>
      <c r="C3347">
        <v>-44</v>
      </c>
    </row>
    <row r="3348" spans="1:3" x14ac:dyDescent="0.25">
      <c r="A3348">
        <v>38</v>
      </c>
      <c r="B3348" t="str">
        <f>"8:56:36.090089"</f>
        <v>8:56:36.090089</v>
      </c>
      <c r="C3348">
        <v>-41</v>
      </c>
    </row>
    <row r="3349" spans="1:3" x14ac:dyDescent="0.25">
      <c r="A3349">
        <v>38</v>
      </c>
      <c r="B3349" t="str">
        <f>"8:56:36.090608"</f>
        <v>8:56:36.090608</v>
      </c>
      <c r="C3349">
        <v>-32</v>
      </c>
    </row>
    <row r="3350" spans="1:3" x14ac:dyDescent="0.25">
      <c r="A3350">
        <v>38</v>
      </c>
      <c r="B3350" t="str">
        <f>"8:56:36.090934"</f>
        <v>8:56:36.090934</v>
      </c>
      <c r="C3350">
        <v>-41</v>
      </c>
    </row>
    <row r="3351" spans="1:3" x14ac:dyDescent="0.25">
      <c r="A3351">
        <v>39</v>
      </c>
      <c r="B3351" t="str">
        <f>"8:56:36.091710"</f>
        <v>8:56:36.091710</v>
      </c>
      <c r="C3351">
        <v>-46</v>
      </c>
    </row>
    <row r="3352" spans="1:3" x14ac:dyDescent="0.25">
      <c r="A3352">
        <v>37</v>
      </c>
      <c r="B3352" t="str">
        <f>"8:56:36.442151"</f>
        <v>8:56:36.442151</v>
      </c>
      <c r="C3352">
        <v>-44</v>
      </c>
    </row>
    <row r="3353" spans="1:3" x14ac:dyDescent="0.25">
      <c r="A3353">
        <v>38</v>
      </c>
      <c r="B3353" t="str">
        <f>"8:56:36.443178"</f>
        <v>8:56:36.443178</v>
      </c>
      <c r="C3353">
        <v>-41</v>
      </c>
    </row>
    <row r="3354" spans="1:3" x14ac:dyDescent="0.25">
      <c r="A3354">
        <v>38</v>
      </c>
      <c r="B3354" t="str">
        <f>"8:56:36.443697"</f>
        <v>8:56:36.443697</v>
      </c>
      <c r="C3354">
        <v>-32</v>
      </c>
    </row>
    <row r="3355" spans="1:3" x14ac:dyDescent="0.25">
      <c r="A3355">
        <v>38</v>
      </c>
      <c r="B3355" t="str">
        <f>"8:56:36.444022"</f>
        <v>8:56:36.444022</v>
      </c>
      <c r="C3355">
        <v>-41</v>
      </c>
    </row>
    <row r="3356" spans="1:3" x14ac:dyDescent="0.25">
      <c r="A3356">
        <v>39</v>
      </c>
      <c r="B3356" t="str">
        <f>"8:56:36.444798"</f>
        <v>8:56:36.444798</v>
      </c>
      <c r="C3356">
        <v>-46</v>
      </c>
    </row>
    <row r="3357" spans="1:3" x14ac:dyDescent="0.25">
      <c r="A3357">
        <v>39</v>
      </c>
      <c r="B3357" t="str">
        <f>"8:56:36.445644"</f>
        <v>8:56:36.445644</v>
      </c>
      <c r="C3357">
        <v>-45</v>
      </c>
    </row>
    <row r="3358" spans="1:3" x14ac:dyDescent="0.25">
      <c r="A3358">
        <v>37</v>
      </c>
      <c r="B3358" t="str">
        <f>"8:56:36.796467"</f>
        <v>8:56:36.796467</v>
      </c>
      <c r="C3358">
        <v>-44</v>
      </c>
    </row>
    <row r="3359" spans="1:3" x14ac:dyDescent="0.25">
      <c r="A3359">
        <v>38</v>
      </c>
      <c r="B3359" t="str">
        <f>"8:56:36.797494"</f>
        <v>8:56:36.797494</v>
      </c>
      <c r="C3359">
        <v>-41</v>
      </c>
    </row>
    <row r="3360" spans="1:3" x14ac:dyDescent="0.25">
      <c r="A3360">
        <v>39</v>
      </c>
      <c r="B3360" t="str">
        <f>"8:56:36.798520"</f>
        <v>8:56:36.798520</v>
      </c>
      <c r="C3360">
        <v>-46</v>
      </c>
    </row>
    <row r="3361" spans="1:3" x14ac:dyDescent="0.25">
      <c r="A3361">
        <v>37</v>
      </c>
      <c r="B3361" t="str">
        <f>"8:56:37.147937"</f>
        <v>8:56:37.147937</v>
      </c>
      <c r="C3361">
        <v>-44</v>
      </c>
    </row>
    <row r="3362" spans="1:3" x14ac:dyDescent="0.25">
      <c r="A3362">
        <v>38</v>
      </c>
      <c r="B3362" t="str">
        <f>"8:56:37.148964"</f>
        <v>8:56:37.148964</v>
      </c>
      <c r="C3362">
        <v>-41</v>
      </c>
    </row>
    <row r="3363" spans="1:3" x14ac:dyDescent="0.25">
      <c r="A3363">
        <v>38</v>
      </c>
      <c r="B3363" t="str">
        <f>"8:56:37.149483"</f>
        <v>8:56:37.149483</v>
      </c>
      <c r="C3363">
        <v>-32</v>
      </c>
    </row>
    <row r="3364" spans="1:3" x14ac:dyDescent="0.25">
      <c r="A3364">
        <v>38</v>
      </c>
      <c r="B3364" t="str">
        <f>"8:56:37.149809"</f>
        <v>8:56:37.149809</v>
      </c>
      <c r="C3364">
        <v>-41</v>
      </c>
    </row>
    <row r="3365" spans="1:3" x14ac:dyDescent="0.25">
      <c r="A3365">
        <v>39</v>
      </c>
      <c r="B3365" t="str">
        <f>"8:56:37.150585"</f>
        <v>8:56:37.150585</v>
      </c>
      <c r="C3365">
        <v>-46</v>
      </c>
    </row>
    <row r="3366" spans="1:3" x14ac:dyDescent="0.25">
      <c r="A3366">
        <v>37</v>
      </c>
      <c r="B3366" t="str">
        <f>"8:56:37.501005"</f>
        <v>8:56:37.501005</v>
      </c>
      <c r="C3366">
        <v>-44</v>
      </c>
    </row>
    <row r="3367" spans="1:3" x14ac:dyDescent="0.25">
      <c r="A3367">
        <v>38</v>
      </c>
      <c r="B3367" t="str">
        <f>"8:56:37.502032"</f>
        <v>8:56:37.502032</v>
      </c>
      <c r="C3367">
        <v>-41</v>
      </c>
    </row>
    <row r="3368" spans="1:3" x14ac:dyDescent="0.25">
      <c r="A3368">
        <v>38</v>
      </c>
      <c r="B3368" t="str">
        <f>"8:56:37.502551"</f>
        <v>8:56:37.502551</v>
      </c>
      <c r="C3368">
        <v>-32</v>
      </c>
    </row>
    <row r="3369" spans="1:3" x14ac:dyDescent="0.25">
      <c r="A3369">
        <v>38</v>
      </c>
      <c r="B3369" t="str">
        <f>"8:56:37.502877"</f>
        <v>8:56:37.502877</v>
      </c>
      <c r="C3369">
        <v>-41</v>
      </c>
    </row>
    <row r="3370" spans="1:3" x14ac:dyDescent="0.25">
      <c r="A3370">
        <v>39</v>
      </c>
      <c r="B3370" t="str">
        <f>"8:56:37.503653"</f>
        <v>8:56:37.503653</v>
      </c>
      <c r="C3370">
        <v>-46</v>
      </c>
    </row>
    <row r="3371" spans="1:3" x14ac:dyDescent="0.25">
      <c r="A3371">
        <v>37</v>
      </c>
      <c r="B3371" t="str">
        <f>"8:56:37.855361"</f>
        <v>8:56:37.855361</v>
      </c>
      <c r="C3371">
        <v>-44</v>
      </c>
    </row>
    <row r="3372" spans="1:3" x14ac:dyDescent="0.25">
      <c r="A3372">
        <v>38</v>
      </c>
      <c r="B3372" t="str">
        <f>"8:56:37.856388"</f>
        <v>8:56:37.856388</v>
      </c>
      <c r="C3372">
        <v>-41</v>
      </c>
    </row>
    <row r="3373" spans="1:3" x14ac:dyDescent="0.25">
      <c r="A3373">
        <v>38</v>
      </c>
      <c r="B3373" t="str">
        <f>"8:56:37.856907"</f>
        <v>8:56:37.856907</v>
      </c>
      <c r="C3373">
        <v>-32</v>
      </c>
    </row>
    <row r="3374" spans="1:3" x14ac:dyDescent="0.25">
      <c r="A3374">
        <v>38</v>
      </c>
      <c r="B3374" t="str">
        <f>"8:56:37.857233"</f>
        <v>8:56:37.857233</v>
      </c>
      <c r="C3374">
        <v>-41</v>
      </c>
    </row>
    <row r="3375" spans="1:3" x14ac:dyDescent="0.25">
      <c r="A3375">
        <v>39</v>
      </c>
      <c r="B3375" t="str">
        <f>"8:56:37.858009"</f>
        <v>8:56:37.858009</v>
      </c>
      <c r="C3375">
        <v>-46</v>
      </c>
    </row>
    <row r="3376" spans="1:3" x14ac:dyDescent="0.25">
      <c r="A3376">
        <v>37</v>
      </c>
      <c r="B3376" t="str">
        <f>"8:56:38.213581"</f>
        <v>8:56:38.213581</v>
      </c>
      <c r="C3376">
        <v>-44</v>
      </c>
    </row>
    <row r="3377" spans="1:3" x14ac:dyDescent="0.25">
      <c r="A3377">
        <v>38</v>
      </c>
      <c r="B3377" t="str">
        <f>"8:56:38.214608"</f>
        <v>8:56:38.214608</v>
      </c>
      <c r="C3377">
        <v>-41</v>
      </c>
    </row>
    <row r="3378" spans="1:3" x14ac:dyDescent="0.25">
      <c r="A3378">
        <v>38</v>
      </c>
      <c r="B3378" t="str">
        <f>"8:56:38.215127"</f>
        <v>8:56:38.215127</v>
      </c>
      <c r="C3378">
        <v>-32</v>
      </c>
    </row>
    <row r="3379" spans="1:3" x14ac:dyDescent="0.25">
      <c r="A3379">
        <v>38</v>
      </c>
      <c r="B3379" t="str">
        <f>"8:56:38.215452"</f>
        <v>8:56:38.215452</v>
      </c>
      <c r="C3379">
        <v>-41</v>
      </c>
    </row>
    <row r="3380" spans="1:3" x14ac:dyDescent="0.25">
      <c r="A3380">
        <v>39</v>
      </c>
      <c r="B3380" t="str">
        <f>"8:56:38.216228"</f>
        <v>8:56:38.216228</v>
      </c>
      <c r="C3380">
        <v>-46</v>
      </c>
    </row>
    <row r="3381" spans="1:3" x14ac:dyDescent="0.25">
      <c r="A3381">
        <v>37</v>
      </c>
      <c r="B3381" t="str">
        <f>"8:56:38.566853"</f>
        <v>8:56:38.566853</v>
      </c>
      <c r="C3381">
        <v>-44</v>
      </c>
    </row>
    <row r="3382" spans="1:3" x14ac:dyDescent="0.25">
      <c r="A3382">
        <v>38</v>
      </c>
      <c r="B3382" t="str">
        <f>"8:56:38.567881"</f>
        <v>8:56:38.567881</v>
      </c>
      <c r="C3382">
        <v>-41</v>
      </c>
    </row>
    <row r="3383" spans="1:3" x14ac:dyDescent="0.25">
      <c r="A3383">
        <v>38</v>
      </c>
      <c r="B3383" t="str">
        <f>"8:56:38.568399"</f>
        <v>8:56:38.568399</v>
      </c>
      <c r="C3383">
        <v>-32</v>
      </c>
    </row>
    <row r="3384" spans="1:3" x14ac:dyDescent="0.25">
      <c r="A3384">
        <v>38</v>
      </c>
      <c r="B3384" t="str">
        <f>"8:56:38.568725"</f>
        <v>8:56:38.568725</v>
      </c>
      <c r="C3384">
        <v>-41</v>
      </c>
    </row>
    <row r="3385" spans="1:3" x14ac:dyDescent="0.25">
      <c r="A3385">
        <v>39</v>
      </c>
      <c r="B3385" t="str">
        <f>"8:56:38.569501"</f>
        <v>8:56:38.569501</v>
      </c>
      <c r="C3385">
        <v>-45</v>
      </c>
    </row>
    <row r="3386" spans="1:3" x14ac:dyDescent="0.25">
      <c r="A3386">
        <v>39</v>
      </c>
      <c r="B3386" t="str">
        <f>"8:56:38.570019"</f>
        <v>8:56:38.570019</v>
      </c>
      <c r="C3386">
        <v>-80</v>
      </c>
    </row>
    <row r="3387" spans="1:3" x14ac:dyDescent="0.25">
      <c r="A3387">
        <v>39</v>
      </c>
      <c r="B3387" t="str">
        <f>"8:56:38.570345"</f>
        <v>8:56:38.570345</v>
      </c>
      <c r="C3387">
        <v>-45</v>
      </c>
    </row>
    <row r="3388" spans="1:3" x14ac:dyDescent="0.25">
      <c r="A3388">
        <v>37</v>
      </c>
      <c r="B3388" t="str">
        <f>"8:56:38.923273"</f>
        <v>8:56:38.923273</v>
      </c>
      <c r="C3388">
        <v>-44</v>
      </c>
    </row>
    <row r="3389" spans="1:3" x14ac:dyDescent="0.25">
      <c r="A3389">
        <v>38</v>
      </c>
      <c r="B3389" t="str">
        <f>"8:56:38.924301"</f>
        <v>8:56:38.924301</v>
      </c>
      <c r="C3389">
        <v>-41</v>
      </c>
    </row>
    <row r="3390" spans="1:3" x14ac:dyDescent="0.25">
      <c r="A3390">
        <v>38</v>
      </c>
      <c r="B3390" t="str">
        <f>"8:56:38.924819"</f>
        <v>8:56:38.924819</v>
      </c>
      <c r="C3390">
        <v>-32</v>
      </c>
    </row>
    <row r="3391" spans="1:3" x14ac:dyDescent="0.25">
      <c r="A3391">
        <v>38</v>
      </c>
      <c r="B3391" t="str">
        <f>"8:56:38.925145"</f>
        <v>8:56:38.925145</v>
      </c>
      <c r="C3391">
        <v>-41</v>
      </c>
    </row>
    <row r="3392" spans="1:3" x14ac:dyDescent="0.25">
      <c r="A3392">
        <v>39</v>
      </c>
      <c r="B3392" t="str">
        <f>"8:56:38.925921"</f>
        <v>8:56:38.925921</v>
      </c>
      <c r="C3392">
        <v>-46</v>
      </c>
    </row>
    <row r="3393" spans="1:3" x14ac:dyDescent="0.25">
      <c r="A3393">
        <v>37</v>
      </c>
      <c r="B3393" t="str">
        <f>"8:56:39.279968"</f>
        <v>8:56:39.279968</v>
      </c>
      <c r="C3393">
        <v>-44</v>
      </c>
    </row>
    <row r="3394" spans="1:3" x14ac:dyDescent="0.25">
      <c r="A3394">
        <v>38</v>
      </c>
      <c r="B3394" t="str">
        <f>"8:56:39.280996"</f>
        <v>8:56:39.280996</v>
      </c>
      <c r="C3394">
        <v>-41</v>
      </c>
    </row>
    <row r="3395" spans="1:3" x14ac:dyDescent="0.25">
      <c r="A3395">
        <v>39</v>
      </c>
      <c r="B3395" t="str">
        <f>"8:56:39.282022"</f>
        <v>8:56:39.282022</v>
      </c>
      <c r="C3395">
        <v>-46</v>
      </c>
    </row>
    <row r="3396" spans="1:3" x14ac:dyDescent="0.25">
      <c r="A3396">
        <v>37</v>
      </c>
      <c r="B3396" t="str">
        <f>"8:56:39.635879"</f>
        <v>8:56:39.635879</v>
      </c>
      <c r="C3396">
        <v>-44</v>
      </c>
    </row>
    <row r="3397" spans="1:3" x14ac:dyDescent="0.25">
      <c r="A3397">
        <v>38</v>
      </c>
      <c r="B3397" t="str">
        <f>"8:56:39.636906"</f>
        <v>8:56:39.636906</v>
      </c>
      <c r="C3397">
        <v>-41</v>
      </c>
    </row>
    <row r="3398" spans="1:3" x14ac:dyDescent="0.25">
      <c r="A3398">
        <v>39</v>
      </c>
      <c r="B3398" t="str">
        <f>"8:56:39.637932"</f>
        <v>8:56:39.637932</v>
      </c>
      <c r="C3398">
        <v>-46</v>
      </c>
    </row>
    <row r="3399" spans="1:3" x14ac:dyDescent="0.25">
      <c r="A3399">
        <v>37</v>
      </c>
      <c r="B3399" t="str">
        <f>"8:56:39.990689"</f>
        <v>8:56:39.990689</v>
      </c>
      <c r="C3399">
        <v>-44</v>
      </c>
    </row>
    <row r="3400" spans="1:3" x14ac:dyDescent="0.25">
      <c r="A3400">
        <v>38</v>
      </c>
      <c r="B3400" t="str">
        <f>"8:56:39.991717"</f>
        <v>8:56:39.991717</v>
      </c>
      <c r="C3400">
        <v>-41</v>
      </c>
    </row>
    <row r="3401" spans="1:3" x14ac:dyDescent="0.25">
      <c r="A3401">
        <v>39</v>
      </c>
      <c r="B3401" t="str">
        <f>"8:56:39.992743"</f>
        <v>8:56:39.992743</v>
      </c>
      <c r="C3401">
        <v>-46</v>
      </c>
    </row>
    <row r="3402" spans="1:3" x14ac:dyDescent="0.25">
      <c r="A3402">
        <v>39</v>
      </c>
      <c r="B3402" t="str">
        <f>"8:56:39.993261"</f>
        <v>8:56:39.993261</v>
      </c>
      <c r="C3402">
        <v>-31</v>
      </c>
    </row>
    <row r="3403" spans="1:3" x14ac:dyDescent="0.25">
      <c r="A3403">
        <v>39</v>
      </c>
      <c r="B3403" t="str">
        <f>"8:56:39.993587"</f>
        <v>8:56:39.993587</v>
      </c>
      <c r="C3403">
        <v>-45</v>
      </c>
    </row>
    <row r="3404" spans="1:3" x14ac:dyDescent="0.25">
      <c r="A3404">
        <v>37</v>
      </c>
      <c r="B3404" t="str">
        <f>"8:56:40.345255"</f>
        <v>8:56:40.345255</v>
      </c>
      <c r="C3404">
        <v>-44</v>
      </c>
    </row>
    <row r="3405" spans="1:3" x14ac:dyDescent="0.25">
      <c r="A3405">
        <v>38</v>
      </c>
      <c r="B3405" t="str">
        <f>"8:56:40.346283"</f>
        <v>8:56:40.346283</v>
      </c>
      <c r="C3405">
        <v>-41</v>
      </c>
    </row>
    <row r="3406" spans="1:3" x14ac:dyDescent="0.25">
      <c r="A3406">
        <v>39</v>
      </c>
      <c r="B3406" t="str">
        <f>"8:56:40.347309"</f>
        <v>8:56:40.347309</v>
      </c>
      <c r="C3406">
        <v>-45</v>
      </c>
    </row>
    <row r="3407" spans="1:3" x14ac:dyDescent="0.25">
      <c r="A3407">
        <v>39</v>
      </c>
      <c r="B3407" t="str">
        <f>"8:56:40.347827"</f>
        <v>8:56:40.347827</v>
      </c>
      <c r="C3407">
        <v>-31</v>
      </c>
    </row>
    <row r="3408" spans="1:3" x14ac:dyDescent="0.25">
      <c r="A3408">
        <v>39</v>
      </c>
      <c r="B3408" t="str">
        <f>"8:56:40.348153"</f>
        <v>8:56:40.348153</v>
      </c>
      <c r="C3408">
        <v>-45</v>
      </c>
    </row>
    <row r="3409" spans="1:3" x14ac:dyDescent="0.25">
      <c r="A3409">
        <v>37</v>
      </c>
      <c r="B3409" t="str">
        <f>"8:56:40.703179"</f>
        <v>8:56:40.703179</v>
      </c>
      <c r="C3409">
        <v>-44</v>
      </c>
    </row>
    <row r="3410" spans="1:3" x14ac:dyDescent="0.25">
      <c r="A3410">
        <v>38</v>
      </c>
      <c r="B3410" t="str">
        <f>"8:56:40.704206"</f>
        <v>8:56:40.704206</v>
      </c>
      <c r="C3410">
        <v>-41</v>
      </c>
    </row>
    <row r="3411" spans="1:3" x14ac:dyDescent="0.25">
      <c r="A3411">
        <v>39</v>
      </c>
      <c r="B3411" t="str">
        <f>"8:56:40.705233"</f>
        <v>8:56:40.705233</v>
      </c>
      <c r="C3411">
        <v>-46</v>
      </c>
    </row>
    <row r="3412" spans="1:3" x14ac:dyDescent="0.25">
      <c r="A3412">
        <v>37</v>
      </c>
      <c r="B3412" t="str">
        <f>"8:56:41.061149"</f>
        <v>8:56:41.061149</v>
      </c>
      <c r="C3412">
        <v>-44</v>
      </c>
    </row>
    <row r="3413" spans="1:3" x14ac:dyDescent="0.25">
      <c r="A3413">
        <v>38</v>
      </c>
      <c r="B3413" t="str">
        <f>"8:56:41.062176"</f>
        <v>8:56:41.062176</v>
      </c>
      <c r="C3413">
        <v>-41</v>
      </c>
    </row>
    <row r="3414" spans="1:3" x14ac:dyDescent="0.25">
      <c r="A3414">
        <v>39</v>
      </c>
      <c r="B3414" t="str">
        <f>"8:56:41.063202"</f>
        <v>8:56:41.063202</v>
      </c>
      <c r="C3414">
        <v>-45</v>
      </c>
    </row>
    <row r="3415" spans="1:3" x14ac:dyDescent="0.25">
      <c r="A3415">
        <v>39</v>
      </c>
      <c r="B3415" t="str">
        <f>"8:56:41.063720"</f>
        <v>8:56:41.063720</v>
      </c>
      <c r="C3415">
        <v>-31</v>
      </c>
    </row>
    <row r="3416" spans="1:3" x14ac:dyDescent="0.25">
      <c r="A3416">
        <v>39</v>
      </c>
      <c r="B3416" t="str">
        <f>"8:56:41.064046"</f>
        <v>8:56:41.064046</v>
      </c>
      <c r="C3416">
        <v>-45</v>
      </c>
    </row>
    <row r="3417" spans="1:3" x14ac:dyDescent="0.25">
      <c r="A3417">
        <v>37</v>
      </c>
      <c r="B3417" t="str">
        <f>"8:56:41.412660"</f>
        <v>8:56:41.412660</v>
      </c>
      <c r="C3417">
        <v>-44</v>
      </c>
    </row>
    <row r="3418" spans="1:3" x14ac:dyDescent="0.25">
      <c r="A3418">
        <v>38</v>
      </c>
      <c r="B3418" t="str">
        <f>"8:56:41.413688"</f>
        <v>8:56:41.413688</v>
      </c>
      <c r="C3418">
        <v>-41</v>
      </c>
    </row>
    <row r="3419" spans="1:3" x14ac:dyDescent="0.25">
      <c r="A3419">
        <v>39</v>
      </c>
      <c r="B3419" t="str">
        <f>"8:56:41.414714"</f>
        <v>8:56:41.414714</v>
      </c>
      <c r="C3419">
        <v>-46</v>
      </c>
    </row>
    <row r="3420" spans="1:3" x14ac:dyDescent="0.25">
      <c r="A3420">
        <v>39</v>
      </c>
      <c r="B3420" t="str">
        <f>"8:56:41.415232"</f>
        <v>8:56:41.415232</v>
      </c>
      <c r="C3420">
        <v>-31</v>
      </c>
    </row>
    <row r="3421" spans="1:3" x14ac:dyDescent="0.25">
      <c r="A3421">
        <v>39</v>
      </c>
      <c r="B3421" t="str">
        <f>"8:56:41.415558"</f>
        <v>8:56:41.415558</v>
      </c>
      <c r="C3421">
        <v>-45</v>
      </c>
    </row>
    <row r="3422" spans="1:3" x14ac:dyDescent="0.25">
      <c r="A3422">
        <v>37</v>
      </c>
      <c r="B3422" t="str">
        <f>"8:56:41.764682"</f>
        <v>8:56:41.764682</v>
      </c>
      <c r="C3422">
        <v>-44</v>
      </c>
    </row>
    <row r="3423" spans="1:3" x14ac:dyDescent="0.25">
      <c r="A3423">
        <v>37</v>
      </c>
      <c r="B3423" t="str">
        <f>"8:56:41.765201"</f>
        <v>8:56:41.765201</v>
      </c>
      <c r="C3423">
        <v>-83</v>
      </c>
    </row>
    <row r="3424" spans="1:3" x14ac:dyDescent="0.25">
      <c r="A3424">
        <v>37</v>
      </c>
      <c r="B3424" t="str">
        <f>"8:56:41.765527"</f>
        <v>8:56:41.765527</v>
      </c>
      <c r="C3424">
        <v>-44</v>
      </c>
    </row>
    <row r="3425" spans="1:3" x14ac:dyDescent="0.25">
      <c r="A3425">
        <v>38</v>
      </c>
      <c r="B3425" t="str">
        <f>"8:56:41.766303"</f>
        <v>8:56:41.766303</v>
      </c>
      <c r="C3425">
        <v>-41</v>
      </c>
    </row>
    <row r="3426" spans="1:3" x14ac:dyDescent="0.25">
      <c r="A3426">
        <v>39</v>
      </c>
      <c r="B3426" t="str">
        <f>"8:56:41.767329"</f>
        <v>8:56:41.767329</v>
      </c>
      <c r="C3426">
        <v>-46</v>
      </c>
    </row>
    <row r="3427" spans="1:3" x14ac:dyDescent="0.25">
      <c r="A3427">
        <v>39</v>
      </c>
      <c r="B3427" t="str">
        <f>"8:56:41.767847"</f>
        <v>8:56:41.767847</v>
      </c>
      <c r="C3427">
        <v>-31</v>
      </c>
    </row>
    <row r="3428" spans="1:3" x14ac:dyDescent="0.25">
      <c r="A3428">
        <v>39</v>
      </c>
      <c r="B3428" t="str">
        <f>"8:56:41.768173"</f>
        <v>8:56:41.768173</v>
      </c>
      <c r="C3428">
        <v>-45</v>
      </c>
    </row>
    <row r="3429" spans="1:3" x14ac:dyDescent="0.25">
      <c r="A3429">
        <v>37</v>
      </c>
      <c r="B3429" t="str">
        <f>"8:56:42.114961"</f>
        <v>8:56:42.114961</v>
      </c>
      <c r="C3429">
        <v>-44</v>
      </c>
    </row>
    <row r="3430" spans="1:3" x14ac:dyDescent="0.25">
      <c r="A3430">
        <v>38</v>
      </c>
      <c r="B3430" t="str">
        <f>"8:56:42.115989"</f>
        <v>8:56:42.115989</v>
      </c>
      <c r="C3430">
        <v>-41</v>
      </c>
    </row>
    <row r="3431" spans="1:3" x14ac:dyDescent="0.25">
      <c r="A3431">
        <v>39</v>
      </c>
      <c r="B3431" t="str">
        <f>"8:56:42.117015"</f>
        <v>8:56:42.117015</v>
      </c>
      <c r="C3431">
        <v>-46</v>
      </c>
    </row>
    <row r="3432" spans="1:3" x14ac:dyDescent="0.25">
      <c r="A3432">
        <v>39</v>
      </c>
      <c r="B3432" t="str">
        <f>"8:56:42.117533"</f>
        <v>8:56:42.117533</v>
      </c>
      <c r="C3432">
        <v>-31</v>
      </c>
    </row>
    <row r="3433" spans="1:3" x14ac:dyDescent="0.25">
      <c r="A3433">
        <v>39</v>
      </c>
      <c r="B3433" t="str">
        <f>"8:56:42.117859"</f>
        <v>8:56:42.117859</v>
      </c>
      <c r="C3433">
        <v>-45</v>
      </c>
    </row>
    <row r="3434" spans="1:3" x14ac:dyDescent="0.25">
      <c r="A3434">
        <v>37</v>
      </c>
      <c r="B3434" t="str">
        <f>"8:56:42.474908"</f>
        <v>8:56:42.474908</v>
      </c>
      <c r="C3434">
        <v>-44</v>
      </c>
    </row>
    <row r="3435" spans="1:3" x14ac:dyDescent="0.25">
      <c r="A3435">
        <v>38</v>
      </c>
      <c r="B3435" t="str">
        <f>"8:56:42.475936"</f>
        <v>8:56:42.475936</v>
      </c>
      <c r="C3435">
        <v>-41</v>
      </c>
    </row>
    <row r="3436" spans="1:3" x14ac:dyDescent="0.25">
      <c r="A3436">
        <v>39</v>
      </c>
      <c r="B3436" t="str">
        <f>"8:56:42.476962"</f>
        <v>8:56:42.476962</v>
      </c>
      <c r="C3436">
        <v>-46</v>
      </c>
    </row>
    <row r="3437" spans="1:3" x14ac:dyDescent="0.25">
      <c r="A3437">
        <v>39</v>
      </c>
      <c r="B3437" t="str">
        <f>"8:56:42.477480"</f>
        <v>8:56:42.477480</v>
      </c>
      <c r="C3437">
        <v>-31</v>
      </c>
    </row>
    <row r="3438" spans="1:3" x14ac:dyDescent="0.25">
      <c r="A3438">
        <v>39</v>
      </c>
      <c r="B3438" t="str">
        <f>"8:56:42.477806"</f>
        <v>8:56:42.477806</v>
      </c>
      <c r="C3438">
        <v>-45</v>
      </c>
    </row>
    <row r="3439" spans="1:3" x14ac:dyDescent="0.25">
      <c r="A3439">
        <v>37</v>
      </c>
      <c r="B3439" t="str">
        <f>"8:56:42.832034"</f>
        <v>8:56:42.832034</v>
      </c>
      <c r="C3439">
        <v>-44</v>
      </c>
    </row>
    <row r="3440" spans="1:3" x14ac:dyDescent="0.25">
      <c r="A3440">
        <v>38</v>
      </c>
      <c r="B3440" t="str">
        <f>"8:56:42.833061"</f>
        <v>8:56:42.833061</v>
      </c>
      <c r="C3440">
        <v>-41</v>
      </c>
    </row>
    <row r="3441" spans="1:3" x14ac:dyDescent="0.25">
      <c r="A3441">
        <v>39</v>
      </c>
      <c r="B3441" t="str">
        <f>"8:56:42.834087"</f>
        <v>8:56:42.834087</v>
      </c>
      <c r="C3441">
        <v>-46</v>
      </c>
    </row>
    <row r="3442" spans="1:3" x14ac:dyDescent="0.25">
      <c r="A3442">
        <v>39</v>
      </c>
      <c r="B3442" t="str">
        <f>"8:56:42.834605"</f>
        <v>8:56:42.834605</v>
      </c>
      <c r="C3442">
        <v>-31</v>
      </c>
    </row>
    <row r="3443" spans="1:3" x14ac:dyDescent="0.25">
      <c r="A3443">
        <v>39</v>
      </c>
      <c r="B3443" t="str">
        <f>"8:56:42.834931"</f>
        <v>8:56:42.834931</v>
      </c>
      <c r="C3443">
        <v>-45</v>
      </c>
    </row>
    <row r="3444" spans="1:3" x14ac:dyDescent="0.25">
      <c r="A3444">
        <v>37</v>
      </c>
      <c r="B3444" t="str">
        <f>"8:56:43.188393"</f>
        <v>8:56:43.188393</v>
      </c>
      <c r="C3444">
        <v>-44</v>
      </c>
    </row>
    <row r="3445" spans="1:3" x14ac:dyDescent="0.25">
      <c r="A3445">
        <v>38</v>
      </c>
      <c r="B3445" t="str">
        <f>"8:56:43.189420"</f>
        <v>8:56:43.189420</v>
      </c>
      <c r="C3445">
        <v>-41</v>
      </c>
    </row>
    <row r="3446" spans="1:3" x14ac:dyDescent="0.25">
      <c r="A3446">
        <v>39</v>
      </c>
      <c r="B3446" t="str">
        <f>"8:56:43.190446"</f>
        <v>8:56:43.190446</v>
      </c>
      <c r="C3446">
        <v>-45</v>
      </c>
    </row>
    <row r="3447" spans="1:3" x14ac:dyDescent="0.25">
      <c r="A3447">
        <v>39</v>
      </c>
      <c r="B3447" t="str">
        <f>"8:56:43.190965"</f>
        <v>8:56:43.190965</v>
      </c>
      <c r="C3447">
        <v>-31</v>
      </c>
    </row>
    <row r="3448" spans="1:3" x14ac:dyDescent="0.25">
      <c r="A3448">
        <v>39</v>
      </c>
      <c r="B3448" t="str">
        <f>"8:56:43.191290"</f>
        <v>8:56:43.191290</v>
      </c>
      <c r="C3448">
        <v>-45</v>
      </c>
    </row>
    <row r="3449" spans="1:3" x14ac:dyDescent="0.25">
      <c r="A3449">
        <v>37</v>
      </c>
      <c r="B3449" t="str">
        <f>"8:56:43.545523"</f>
        <v>8:56:43.545523</v>
      </c>
      <c r="C3449">
        <v>-44</v>
      </c>
    </row>
    <row r="3450" spans="1:3" x14ac:dyDescent="0.25">
      <c r="A3450">
        <v>38</v>
      </c>
      <c r="B3450" t="str">
        <f>"8:56:43.546550"</f>
        <v>8:56:43.546550</v>
      </c>
      <c r="C3450">
        <v>-41</v>
      </c>
    </row>
    <row r="3451" spans="1:3" x14ac:dyDescent="0.25">
      <c r="A3451">
        <v>39</v>
      </c>
      <c r="B3451" t="str">
        <f>"8:56:43.547576"</f>
        <v>8:56:43.547576</v>
      </c>
      <c r="C3451">
        <v>-46</v>
      </c>
    </row>
    <row r="3452" spans="1:3" x14ac:dyDescent="0.25">
      <c r="A3452">
        <v>39</v>
      </c>
      <c r="B3452" t="str">
        <f>"8:56:43.548095"</f>
        <v>8:56:43.548095</v>
      </c>
      <c r="C3452">
        <v>-31</v>
      </c>
    </row>
    <row r="3453" spans="1:3" x14ac:dyDescent="0.25">
      <c r="A3453">
        <v>39</v>
      </c>
      <c r="B3453" t="str">
        <f>"8:56:43.548420"</f>
        <v>8:56:43.548420</v>
      </c>
      <c r="C3453">
        <v>-45</v>
      </c>
    </row>
    <row r="3454" spans="1:3" x14ac:dyDescent="0.25">
      <c r="A3454">
        <v>37</v>
      </c>
      <c r="B3454" t="str">
        <f>"8:56:43.905498"</f>
        <v>8:56:43.905498</v>
      </c>
      <c r="C3454">
        <v>-44</v>
      </c>
    </row>
    <row r="3455" spans="1:3" x14ac:dyDescent="0.25">
      <c r="A3455">
        <v>38</v>
      </c>
      <c r="B3455" t="str">
        <f>"8:56:43.906525"</f>
        <v>8:56:43.906525</v>
      </c>
      <c r="C3455">
        <v>-41</v>
      </c>
    </row>
    <row r="3456" spans="1:3" x14ac:dyDescent="0.25">
      <c r="A3456">
        <v>39</v>
      </c>
      <c r="B3456" t="str">
        <f>"8:56:43.907551"</f>
        <v>8:56:43.907551</v>
      </c>
      <c r="C3456">
        <v>-46</v>
      </c>
    </row>
    <row r="3457" spans="1:3" x14ac:dyDescent="0.25">
      <c r="A3457">
        <v>37</v>
      </c>
      <c r="B3457" t="str">
        <f>"8:56:44.256287"</f>
        <v>8:56:44.256287</v>
      </c>
      <c r="C3457">
        <v>-44</v>
      </c>
    </row>
    <row r="3458" spans="1:3" x14ac:dyDescent="0.25">
      <c r="A3458">
        <v>37</v>
      </c>
      <c r="B3458" t="str">
        <f>"8:56:44.256807"</f>
        <v>8:56:44.256807</v>
      </c>
      <c r="C3458">
        <v>-86</v>
      </c>
    </row>
    <row r="3459" spans="1:3" x14ac:dyDescent="0.25">
      <c r="A3459">
        <v>38</v>
      </c>
      <c r="B3459" t="str">
        <f>"8:56:44.257314"</f>
        <v>8:56:44.257314</v>
      </c>
      <c r="C3459">
        <v>-41</v>
      </c>
    </row>
    <row r="3460" spans="1:3" x14ac:dyDescent="0.25">
      <c r="A3460">
        <v>39</v>
      </c>
      <c r="B3460" t="str">
        <f>"8:56:44.258340"</f>
        <v>8:56:44.258340</v>
      </c>
      <c r="C3460">
        <v>-46</v>
      </c>
    </row>
    <row r="3461" spans="1:3" x14ac:dyDescent="0.25">
      <c r="A3461">
        <v>39</v>
      </c>
      <c r="B3461" t="str">
        <f>"8:56:44.258859"</f>
        <v>8:56:44.258859</v>
      </c>
      <c r="C3461">
        <v>-31</v>
      </c>
    </row>
    <row r="3462" spans="1:3" x14ac:dyDescent="0.25">
      <c r="A3462">
        <v>39</v>
      </c>
      <c r="B3462" t="str">
        <f>"8:56:44.259184"</f>
        <v>8:56:44.259184</v>
      </c>
      <c r="C3462">
        <v>-45</v>
      </c>
    </row>
    <row r="3463" spans="1:3" x14ac:dyDescent="0.25">
      <c r="A3463">
        <v>37</v>
      </c>
      <c r="B3463" t="str">
        <f>"8:56:44.616002"</f>
        <v>8:56:44.616002</v>
      </c>
      <c r="C3463">
        <v>-44</v>
      </c>
    </row>
    <row r="3464" spans="1:3" x14ac:dyDescent="0.25">
      <c r="A3464">
        <v>37</v>
      </c>
      <c r="B3464" t="str">
        <f>"8:56:44.616521"</f>
        <v>8:56:44.616521</v>
      </c>
      <c r="C3464">
        <v>-40</v>
      </c>
    </row>
    <row r="3465" spans="1:3" x14ac:dyDescent="0.25">
      <c r="A3465">
        <v>37</v>
      </c>
      <c r="B3465" t="str">
        <f>"8:56:44.616847"</f>
        <v>8:56:44.616847</v>
      </c>
      <c r="C3465">
        <v>-44</v>
      </c>
    </row>
    <row r="3466" spans="1:3" x14ac:dyDescent="0.25">
      <c r="A3466">
        <v>38</v>
      </c>
      <c r="B3466" t="str">
        <f>"8:56:44.617623"</f>
        <v>8:56:44.617623</v>
      </c>
      <c r="C3466">
        <v>-41</v>
      </c>
    </row>
    <row r="3467" spans="1:3" x14ac:dyDescent="0.25">
      <c r="A3467">
        <v>39</v>
      </c>
      <c r="B3467" t="str">
        <f>"8:56:44.618649"</f>
        <v>8:56:44.618649</v>
      </c>
      <c r="C3467">
        <v>-46</v>
      </c>
    </row>
    <row r="3468" spans="1:3" x14ac:dyDescent="0.25">
      <c r="A3468">
        <v>37</v>
      </c>
      <c r="B3468" t="str">
        <f>"8:56:44.969765"</f>
        <v>8:56:44.969765</v>
      </c>
      <c r="C3468">
        <v>-44</v>
      </c>
    </row>
    <row r="3469" spans="1:3" x14ac:dyDescent="0.25">
      <c r="A3469">
        <v>37</v>
      </c>
      <c r="B3469" t="str">
        <f>"8:56:44.970284"</f>
        <v>8:56:44.970284</v>
      </c>
      <c r="C3469">
        <v>-39</v>
      </c>
    </row>
    <row r="3470" spans="1:3" x14ac:dyDescent="0.25">
      <c r="A3470">
        <v>37</v>
      </c>
      <c r="B3470" t="str">
        <f>"8:56:44.970610"</f>
        <v>8:56:44.970610</v>
      </c>
      <c r="C3470">
        <v>-44</v>
      </c>
    </row>
    <row r="3471" spans="1:3" x14ac:dyDescent="0.25">
      <c r="A3471">
        <v>38</v>
      </c>
      <c r="B3471" t="str">
        <f>"8:56:44.971386"</f>
        <v>8:56:44.971386</v>
      </c>
      <c r="C3471">
        <v>-41</v>
      </c>
    </row>
    <row r="3472" spans="1:3" x14ac:dyDescent="0.25">
      <c r="A3472">
        <v>38</v>
      </c>
      <c r="B3472" t="str">
        <f>"8:56:44.971905"</f>
        <v>8:56:44.971905</v>
      </c>
      <c r="C3472">
        <v>-76</v>
      </c>
    </row>
    <row r="3473" spans="1:3" x14ac:dyDescent="0.25">
      <c r="A3473">
        <v>38</v>
      </c>
      <c r="B3473" t="str">
        <f>"8:56:44.972230"</f>
        <v>8:56:44.972230</v>
      </c>
      <c r="C3473">
        <v>-41</v>
      </c>
    </row>
    <row r="3474" spans="1:3" x14ac:dyDescent="0.25">
      <c r="A3474">
        <v>39</v>
      </c>
      <c r="B3474" t="str">
        <f>"8:56:44.973006"</f>
        <v>8:56:44.973006</v>
      </c>
      <c r="C3474">
        <v>-46</v>
      </c>
    </row>
    <row r="3475" spans="1:3" x14ac:dyDescent="0.25">
      <c r="A3475">
        <v>37</v>
      </c>
      <c r="B3475" t="str">
        <f>"8:56:45.328707"</f>
        <v>8:56:45.328707</v>
      </c>
      <c r="C3475">
        <v>-44</v>
      </c>
    </row>
    <row r="3476" spans="1:3" x14ac:dyDescent="0.25">
      <c r="A3476">
        <v>37</v>
      </c>
      <c r="B3476" t="str">
        <f>"8:56:45.329225"</f>
        <v>8:56:45.329225</v>
      </c>
      <c r="C3476">
        <v>-39</v>
      </c>
    </row>
    <row r="3477" spans="1:3" x14ac:dyDescent="0.25">
      <c r="A3477">
        <v>37</v>
      </c>
      <c r="B3477" t="str">
        <f>"8:56:45.329551"</f>
        <v>8:56:45.329551</v>
      </c>
      <c r="C3477">
        <v>-44</v>
      </c>
    </row>
    <row r="3478" spans="1:3" x14ac:dyDescent="0.25">
      <c r="A3478">
        <v>38</v>
      </c>
      <c r="B3478" t="str">
        <f>"8:56:45.330327"</f>
        <v>8:56:45.330327</v>
      </c>
      <c r="C3478">
        <v>-41</v>
      </c>
    </row>
    <row r="3479" spans="1:3" x14ac:dyDescent="0.25">
      <c r="A3479">
        <v>39</v>
      </c>
      <c r="B3479" t="str">
        <f>"8:56:45.331353"</f>
        <v>8:56:45.331353</v>
      </c>
      <c r="C3479">
        <v>-45</v>
      </c>
    </row>
    <row r="3480" spans="1:3" x14ac:dyDescent="0.25">
      <c r="A3480">
        <v>37</v>
      </c>
      <c r="B3480" t="str">
        <f>"8:56:45.687891"</f>
        <v>8:56:45.687891</v>
      </c>
      <c r="C3480">
        <v>-44</v>
      </c>
    </row>
    <row r="3481" spans="1:3" x14ac:dyDescent="0.25">
      <c r="A3481">
        <v>37</v>
      </c>
      <c r="B3481" t="str">
        <f>"8:56:45.688409"</f>
        <v>8:56:45.688409</v>
      </c>
      <c r="C3481">
        <v>-39</v>
      </c>
    </row>
    <row r="3482" spans="1:3" x14ac:dyDescent="0.25">
      <c r="A3482">
        <v>37</v>
      </c>
      <c r="B3482" t="str">
        <f>"8:56:45.688735"</f>
        <v>8:56:45.688735</v>
      </c>
      <c r="C3482">
        <v>-44</v>
      </c>
    </row>
    <row r="3483" spans="1:3" x14ac:dyDescent="0.25">
      <c r="A3483">
        <v>38</v>
      </c>
      <c r="B3483" t="str">
        <f>"8:56:45.689511"</f>
        <v>8:56:45.689511</v>
      </c>
      <c r="C3483">
        <v>-41</v>
      </c>
    </row>
    <row r="3484" spans="1:3" x14ac:dyDescent="0.25">
      <c r="A3484">
        <v>39</v>
      </c>
      <c r="B3484" t="str">
        <f>"8:56:45.690537"</f>
        <v>8:56:45.690537</v>
      </c>
      <c r="C3484">
        <v>-46</v>
      </c>
    </row>
    <row r="3485" spans="1:3" x14ac:dyDescent="0.25">
      <c r="A3485">
        <v>37</v>
      </c>
      <c r="B3485" t="str">
        <f>"8:56:46.040464"</f>
        <v>8:56:46.040464</v>
      </c>
      <c r="C3485">
        <v>-44</v>
      </c>
    </row>
    <row r="3486" spans="1:3" x14ac:dyDescent="0.25">
      <c r="A3486">
        <v>38</v>
      </c>
      <c r="B3486" t="str">
        <f>"8:56:46.041491"</f>
        <v>8:56:46.041491</v>
      </c>
      <c r="C3486">
        <v>-41</v>
      </c>
    </row>
    <row r="3487" spans="1:3" x14ac:dyDescent="0.25">
      <c r="A3487">
        <v>39</v>
      </c>
      <c r="B3487" t="str">
        <f>"8:56:46.042517"</f>
        <v>8:56:46.042517</v>
      </c>
      <c r="C3487">
        <v>-46</v>
      </c>
    </row>
    <row r="3488" spans="1:3" x14ac:dyDescent="0.25">
      <c r="A3488">
        <v>37</v>
      </c>
      <c r="B3488" t="str">
        <f>"8:56:46.391251"</f>
        <v>8:56:46.391251</v>
      </c>
      <c r="C3488">
        <v>-44</v>
      </c>
    </row>
    <row r="3489" spans="1:3" x14ac:dyDescent="0.25">
      <c r="A3489">
        <v>37</v>
      </c>
      <c r="B3489" t="str">
        <f>"8:56:46.391769"</f>
        <v>8:56:46.391769</v>
      </c>
      <c r="C3489">
        <v>-38</v>
      </c>
    </row>
    <row r="3490" spans="1:3" x14ac:dyDescent="0.25">
      <c r="A3490">
        <v>37</v>
      </c>
      <c r="B3490" t="str">
        <f>"8:56:46.392095"</f>
        <v>8:56:46.392095</v>
      </c>
      <c r="C3490">
        <v>-44</v>
      </c>
    </row>
    <row r="3491" spans="1:3" x14ac:dyDescent="0.25">
      <c r="A3491">
        <v>38</v>
      </c>
      <c r="B3491" t="str">
        <f>"8:56:46.392871"</f>
        <v>8:56:46.392871</v>
      </c>
      <c r="C3491">
        <v>-41</v>
      </c>
    </row>
    <row r="3492" spans="1:3" x14ac:dyDescent="0.25">
      <c r="A3492">
        <v>39</v>
      </c>
      <c r="B3492" t="str">
        <f>"8:56:46.393897"</f>
        <v>8:56:46.393897</v>
      </c>
      <c r="C3492">
        <v>-45</v>
      </c>
    </row>
    <row r="3493" spans="1:3" x14ac:dyDescent="0.25">
      <c r="A3493">
        <v>37</v>
      </c>
      <c r="B3493" t="str">
        <f>"8:56:46.748663"</f>
        <v>8:56:46.748663</v>
      </c>
      <c r="C3493">
        <v>-44</v>
      </c>
    </row>
    <row r="3494" spans="1:3" x14ac:dyDescent="0.25">
      <c r="A3494">
        <v>38</v>
      </c>
      <c r="B3494" t="str">
        <f>"8:56:46.749691"</f>
        <v>8:56:46.749691</v>
      </c>
      <c r="C3494">
        <v>-41</v>
      </c>
    </row>
    <row r="3495" spans="1:3" x14ac:dyDescent="0.25">
      <c r="A3495">
        <v>39</v>
      </c>
      <c r="B3495" t="str">
        <f>"8:56:46.750717"</f>
        <v>8:56:46.750717</v>
      </c>
      <c r="C3495">
        <v>-45</v>
      </c>
    </row>
    <row r="3496" spans="1:3" x14ac:dyDescent="0.25">
      <c r="A3496">
        <v>37</v>
      </c>
      <c r="B3496" t="str">
        <f>"8:56:47.105764"</f>
        <v>8:56:47.105764</v>
      </c>
      <c r="C3496">
        <v>-44</v>
      </c>
    </row>
    <row r="3497" spans="1:3" x14ac:dyDescent="0.25">
      <c r="A3497">
        <v>37</v>
      </c>
      <c r="B3497" t="str">
        <f>"8:56:47.106282"</f>
        <v>8:56:47.106282</v>
      </c>
      <c r="C3497">
        <v>-38</v>
      </c>
    </row>
    <row r="3498" spans="1:3" x14ac:dyDescent="0.25">
      <c r="A3498">
        <v>37</v>
      </c>
      <c r="B3498" t="str">
        <f>"8:56:47.106608"</f>
        <v>8:56:47.106608</v>
      </c>
      <c r="C3498">
        <v>-44</v>
      </c>
    </row>
    <row r="3499" spans="1:3" x14ac:dyDescent="0.25">
      <c r="A3499">
        <v>38</v>
      </c>
      <c r="B3499" t="str">
        <f>"8:56:47.107385"</f>
        <v>8:56:47.107385</v>
      </c>
      <c r="C3499">
        <v>-41</v>
      </c>
    </row>
    <row r="3500" spans="1:3" x14ac:dyDescent="0.25">
      <c r="A3500">
        <v>39</v>
      </c>
      <c r="B3500" t="str">
        <f>"8:56:47.108411"</f>
        <v>8:56:47.108411</v>
      </c>
      <c r="C3500">
        <v>-45</v>
      </c>
    </row>
    <row r="3501" spans="1:3" x14ac:dyDescent="0.25">
      <c r="A3501">
        <v>37</v>
      </c>
      <c r="B3501" t="str">
        <f>"8:56:47.463930"</f>
        <v>8:56:47.463930</v>
      </c>
      <c r="C3501">
        <v>-44</v>
      </c>
    </row>
    <row r="3502" spans="1:3" x14ac:dyDescent="0.25">
      <c r="A3502">
        <v>37</v>
      </c>
      <c r="B3502" t="str">
        <f>"8:56:47.464449"</f>
        <v>8:56:47.464449</v>
      </c>
      <c r="C3502">
        <v>-37</v>
      </c>
    </row>
    <row r="3503" spans="1:3" x14ac:dyDescent="0.25">
      <c r="A3503">
        <v>37</v>
      </c>
      <c r="B3503" t="str">
        <f>"8:56:47.464775"</f>
        <v>8:56:47.464775</v>
      </c>
      <c r="C3503">
        <v>-45</v>
      </c>
    </row>
    <row r="3504" spans="1:3" x14ac:dyDescent="0.25">
      <c r="A3504">
        <v>38</v>
      </c>
      <c r="B3504" t="str">
        <f>"8:56:47.465551"</f>
        <v>8:56:47.465551</v>
      </c>
      <c r="C3504">
        <v>-41</v>
      </c>
    </row>
    <row r="3505" spans="1:3" x14ac:dyDescent="0.25">
      <c r="A3505">
        <v>39</v>
      </c>
      <c r="B3505" t="str">
        <f>"8:56:47.466577"</f>
        <v>8:56:47.466577</v>
      </c>
      <c r="C3505">
        <v>-46</v>
      </c>
    </row>
    <row r="3506" spans="1:3" x14ac:dyDescent="0.25">
      <c r="A3506">
        <v>37</v>
      </c>
      <c r="B3506" t="str">
        <f>"8:56:47.815747"</f>
        <v>8:56:47.815747</v>
      </c>
      <c r="C3506">
        <v>-44</v>
      </c>
    </row>
    <row r="3507" spans="1:3" x14ac:dyDescent="0.25">
      <c r="A3507">
        <v>37</v>
      </c>
      <c r="B3507" t="str">
        <f>"8:56:47.816265"</f>
        <v>8:56:47.816265</v>
      </c>
      <c r="C3507">
        <v>-37</v>
      </c>
    </row>
    <row r="3508" spans="1:3" x14ac:dyDescent="0.25">
      <c r="A3508">
        <v>37</v>
      </c>
      <c r="B3508" t="str">
        <f>"8:56:47.816591"</f>
        <v>8:56:47.816591</v>
      </c>
      <c r="C3508">
        <v>-45</v>
      </c>
    </row>
    <row r="3509" spans="1:3" x14ac:dyDescent="0.25">
      <c r="A3509">
        <v>38</v>
      </c>
      <c r="B3509" t="str">
        <f>"8:56:47.817367"</f>
        <v>8:56:47.817367</v>
      </c>
      <c r="C3509">
        <v>-41</v>
      </c>
    </row>
    <row r="3510" spans="1:3" x14ac:dyDescent="0.25">
      <c r="A3510">
        <v>39</v>
      </c>
      <c r="B3510" t="str">
        <f>"8:56:47.818393"</f>
        <v>8:56:47.818393</v>
      </c>
      <c r="C3510">
        <v>-45</v>
      </c>
    </row>
    <row r="3511" spans="1:3" x14ac:dyDescent="0.25">
      <c r="A3511">
        <v>37</v>
      </c>
      <c r="B3511" t="str">
        <f>"8:56:48.171047"</f>
        <v>8:56:48.171047</v>
      </c>
      <c r="C3511">
        <v>-44</v>
      </c>
    </row>
    <row r="3512" spans="1:3" x14ac:dyDescent="0.25">
      <c r="A3512">
        <v>37</v>
      </c>
      <c r="B3512" t="str">
        <f>"8:56:48.171565"</f>
        <v>8:56:48.171565</v>
      </c>
      <c r="C3512">
        <v>-37</v>
      </c>
    </row>
    <row r="3513" spans="1:3" x14ac:dyDescent="0.25">
      <c r="A3513">
        <v>37</v>
      </c>
      <c r="B3513" t="str">
        <f>"8:56:48.171891"</f>
        <v>8:56:48.171891</v>
      </c>
      <c r="C3513">
        <v>-45</v>
      </c>
    </row>
    <row r="3514" spans="1:3" x14ac:dyDescent="0.25">
      <c r="A3514">
        <v>38</v>
      </c>
      <c r="B3514" t="str">
        <f>"8:56:48.172667"</f>
        <v>8:56:48.172667</v>
      </c>
      <c r="C3514">
        <v>-41</v>
      </c>
    </row>
    <row r="3515" spans="1:3" x14ac:dyDescent="0.25">
      <c r="A3515">
        <v>39</v>
      </c>
      <c r="B3515" t="str">
        <f>"8:56:48.173693"</f>
        <v>8:56:48.173693</v>
      </c>
      <c r="C3515">
        <v>-46</v>
      </c>
    </row>
    <row r="3516" spans="1:3" x14ac:dyDescent="0.25">
      <c r="A3516">
        <v>37</v>
      </c>
      <c r="B3516" t="str">
        <f>"8:56:48.527211"</f>
        <v>8:56:48.527211</v>
      </c>
      <c r="C3516">
        <v>-45</v>
      </c>
    </row>
    <row r="3517" spans="1:3" x14ac:dyDescent="0.25">
      <c r="A3517">
        <v>37</v>
      </c>
      <c r="B3517" t="str">
        <f>"8:56:48.527730"</f>
        <v>8:56:48.527730</v>
      </c>
      <c r="C3517">
        <v>-37</v>
      </c>
    </row>
    <row r="3518" spans="1:3" x14ac:dyDescent="0.25">
      <c r="A3518">
        <v>37</v>
      </c>
      <c r="B3518" t="str">
        <f>"8:56:48.528055"</f>
        <v>8:56:48.528055</v>
      </c>
      <c r="C3518">
        <v>-45</v>
      </c>
    </row>
    <row r="3519" spans="1:3" x14ac:dyDescent="0.25">
      <c r="A3519">
        <v>38</v>
      </c>
      <c r="B3519" t="str">
        <f>"8:56:48.528832"</f>
        <v>8:56:48.528832</v>
      </c>
      <c r="C3519">
        <v>-41</v>
      </c>
    </row>
    <row r="3520" spans="1:3" x14ac:dyDescent="0.25">
      <c r="A3520">
        <v>39</v>
      </c>
      <c r="B3520" t="str">
        <f>"8:56:48.529858"</f>
        <v>8:56:48.529858</v>
      </c>
      <c r="C3520">
        <v>-46</v>
      </c>
    </row>
    <row r="3521" spans="1:3" x14ac:dyDescent="0.25">
      <c r="A3521">
        <v>37</v>
      </c>
      <c r="B3521" t="str">
        <f>"8:56:48.877984"</f>
        <v>8:56:48.877984</v>
      </c>
      <c r="C3521">
        <v>-44</v>
      </c>
    </row>
    <row r="3522" spans="1:3" x14ac:dyDescent="0.25">
      <c r="A3522">
        <v>37</v>
      </c>
      <c r="B3522" t="str">
        <f>"8:56:48.878503"</f>
        <v>8:56:48.878503</v>
      </c>
      <c r="C3522">
        <v>-37</v>
      </c>
    </row>
    <row r="3523" spans="1:3" x14ac:dyDescent="0.25">
      <c r="A3523">
        <v>37</v>
      </c>
      <c r="B3523" t="str">
        <f>"8:56:48.878829"</f>
        <v>8:56:48.878829</v>
      </c>
      <c r="C3523">
        <v>-45</v>
      </c>
    </row>
    <row r="3524" spans="1:3" x14ac:dyDescent="0.25">
      <c r="A3524">
        <v>38</v>
      </c>
      <c r="B3524" t="str">
        <f>"8:56:48.879605"</f>
        <v>8:56:48.879605</v>
      </c>
      <c r="C3524">
        <v>-41</v>
      </c>
    </row>
    <row r="3525" spans="1:3" x14ac:dyDescent="0.25">
      <c r="A3525">
        <v>39</v>
      </c>
      <c r="B3525" t="str">
        <f>"8:56:48.880632"</f>
        <v>8:56:48.880632</v>
      </c>
      <c r="C3525">
        <v>-46</v>
      </c>
    </row>
    <row r="3526" spans="1:3" x14ac:dyDescent="0.25">
      <c r="A3526">
        <v>37</v>
      </c>
      <c r="B3526" t="str">
        <f>"8:56:49.235656"</f>
        <v>8:56:49.235656</v>
      </c>
      <c r="C3526">
        <v>-45</v>
      </c>
    </row>
    <row r="3527" spans="1:3" x14ac:dyDescent="0.25">
      <c r="A3527">
        <v>37</v>
      </c>
      <c r="B3527" t="str">
        <f>"8:56:49.236174"</f>
        <v>8:56:49.236174</v>
      </c>
      <c r="C3527">
        <v>-38</v>
      </c>
    </row>
    <row r="3528" spans="1:3" x14ac:dyDescent="0.25">
      <c r="A3528">
        <v>37</v>
      </c>
      <c r="B3528" t="str">
        <f>"8:56:49.236500"</f>
        <v>8:56:49.236500</v>
      </c>
      <c r="C3528">
        <v>-45</v>
      </c>
    </row>
    <row r="3529" spans="1:3" x14ac:dyDescent="0.25">
      <c r="A3529">
        <v>38</v>
      </c>
      <c r="B3529" t="str">
        <f>"8:56:49.237276"</f>
        <v>8:56:49.237276</v>
      </c>
      <c r="C3529">
        <v>-41</v>
      </c>
    </row>
    <row r="3530" spans="1:3" x14ac:dyDescent="0.25">
      <c r="A3530">
        <v>39</v>
      </c>
      <c r="B3530" t="str">
        <f>"8:56:49.238302"</f>
        <v>8:56:49.238302</v>
      </c>
      <c r="C3530">
        <v>-46</v>
      </c>
    </row>
    <row r="3531" spans="1:3" x14ac:dyDescent="0.25">
      <c r="A3531">
        <v>37</v>
      </c>
      <c r="B3531" t="str">
        <f>"8:56:49.590752"</f>
        <v>8:56:49.590752</v>
      </c>
      <c r="C3531">
        <v>-44</v>
      </c>
    </row>
    <row r="3532" spans="1:3" x14ac:dyDescent="0.25">
      <c r="A3532">
        <v>37</v>
      </c>
      <c r="B3532" t="str">
        <f>"8:56:49.591597"</f>
        <v>8:56:49.591597</v>
      </c>
      <c r="C3532">
        <v>-45</v>
      </c>
    </row>
    <row r="3533" spans="1:3" x14ac:dyDescent="0.25">
      <c r="A3533">
        <v>38</v>
      </c>
      <c r="B3533" t="str">
        <f>"8:56:49.592373"</f>
        <v>8:56:49.592373</v>
      </c>
      <c r="C3533">
        <v>-41</v>
      </c>
    </row>
    <row r="3534" spans="1:3" x14ac:dyDescent="0.25">
      <c r="A3534">
        <v>38</v>
      </c>
      <c r="B3534" t="str">
        <f>"8:56:49.592891"</f>
        <v>8:56:49.592891</v>
      </c>
      <c r="C3534">
        <v>-33</v>
      </c>
    </row>
    <row r="3535" spans="1:3" x14ac:dyDescent="0.25">
      <c r="A3535">
        <v>38</v>
      </c>
      <c r="B3535" t="str">
        <f>"8:56:49.593217"</f>
        <v>8:56:49.593217</v>
      </c>
      <c r="C3535">
        <v>-41</v>
      </c>
    </row>
    <row r="3536" spans="1:3" x14ac:dyDescent="0.25">
      <c r="A3536">
        <v>39</v>
      </c>
      <c r="B3536" t="str">
        <f>"8:56:49.593993"</f>
        <v>8:56:49.593993</v>
      </c>
      <c r="C3536">
        <v>-46</v>
      </c>
    </row>
    <row r="3537" spans="1:3" x14ac:dyDescent="0.25">
      <c r="A3537">
        <v>37</v>
      </c>
      <c r="B3537" t="str">
        <f>"8:56:49.947109"</f>
        <v>8:56:49.947109</v>
      </c>
      <c r="C3537">
        <v>-44</v>
      </c>
    </row>
    <row r="3538" spans="1:3" x14ac:dyDescent="0.25">
      <c r="A3538">
        <v>38</v>
      </c>
      <c r="B3538" t="str">
        <f>"8:56:49.948137"</f>
        <v>8:56:49.948137</v>
      </c>
      <c r="C3538">
        <v>-41</v>
      </c>
    </row>
    <row r="3539" spans="1:3" x14ac:dyDescent="0.25">
      <c r="A3539">
        <v>39</v>
      </c>
      <c r="B3539" t="str">
        <f>"8:56:49.949163"</f>
        <v>8:56:49.949163</v>
      </c>
      <c r="C3539">
        <v>-46</v>
      </c>
    </row>
    <row r="3540" spans="1:3" x14ac:dyDescent="0.25">
      <c r="A3540">
        <v>37</v>
      </c>
      <c r="B3540" t="str">
        <f>"8:56:50.297597"</f>
        <v>8:56:50.297597</v>
      </c>
      <c r="C3540">
        <v>-44</v>
      </c>
    </row>
    <row r="3541" spans="1:3" x14ac:dyDescent="0.25">
      <c r="A3541">
        <v>38</v>
      </c>
      <c r="B3541" t="str">
        <f>"8:56:50.298625"</f>
        <v>8:56:50.298625</v>
      </c>
      <c r="C3541">
        <v>-41</v>
      </c>
    </row>
    <row r="3542" spans="1:3" x14ac:dyDescent="0.25">
      <c r="A3542">
        <v>38</v>
      </c>
      <c r="B3542" t="str">
        <f>"8:56:50.299143"</f>
        <v>8:56:50.299143</v>
      </c>
      <c r="C3542">
        <v>-32</v>
      </c>
    </row>
    <row r="3543" spans="1:3" x14ac:dyDescent="0.25">
      <c r="A3543">
        <v>38</v>
      </c>
      <c r="B3543" t="str">
        <f>"8:56:50.299469"</f>
        <v>8:56:50.299469</v>
      </c>
      <c r="C3543">
        <v>-41</v>
      </c>
    </row>
    <row r="3544" spans="1:3" x14ac:dyDescent="0.25">
      <c r="A3544">
        <v>39</v>
      </c>
      <c r="B3544" t="str">
        <f>"8:56:50.300245"</f>
        <v>8:56:50.300245</v>
      </c>
      <c r="C3544">
        <v>-46</v>
      </c>
    </row>
    <row r="3545" spans="1:3" x14ac:dyDescent="0.25">
      <c r="A3545">
        <v>37</v>
      </c>
      <c r="B3545" t="str">
        <f>"8:56:50.651901"</f>
        <v>8:56:50.651901</v>
      </c>
      <c r="C3545">
        <v>-44</v>
      </c>
    </row>
    <row r="3546" spans="1:3" x14ac:dyDescent="0.25">
      <c r="A3546">
        <v>38</v>
      </c>
      <c r="B3546" t="str">
        <f>"8:56:50.652928"</f>
        <v>8:56:50.652928</v>
      </c>
      <c r="C3546">
        <v>-41</v>
      </c>
    </row>
    <row r="3547" spans="1:3" x14ac:dyDescent="0.25">
      <c r="A3547">
        <v>38</v>
      </c>
      <c r="B3547" t="str">
        <f>"8:56:50.653446"</f>
        <v>8:56:50.653446</v>
      </c>
      <c r="C3547">
        <v>-32</v>
      </c>
    </row>
    <row r="3548" spans="1:3" x14ac:dyDescent="0.25">
      <c r="A3548">
        <v>38</v>
      </c>
      <c r="B3548" t="str">
        <f>"8:56:50.653772"</f>
        <v>8:56:50.653772</v>
      </c>
      <c r="C3548">
        <v>-41</v>
      </c>
    </row>
    <row r="3549" spans="1:3" x14ac:dyDescent="0.25">
      <c r="A3549">
        <v>39</v>
      </c>
      <c r="B3549" t="str">
        <f>"8:56:50.654548"</f>
        <v>8:56:50.654548</v>
      </c>
      <c r="C3549">
        <v>-46</v>
      </c>
    </row>
    <row r="3550" spans="1:3" x14ac:dyDescent="0.25">
      <c r="A3550">
        <v>37</v>
      </c>
      <c r="B3550" t="str">
        <f>"8:56:51.009307"</f>
        <v>8:56:51.009307</v>
      </c>
      <c r="C3550">
        <v>-44</v>
      </c>
    </row>
    <row r="3551" spans="1:3" x14ac:dyDescent="0.25">
      <c r="A3551">
        <v>38</v>
      </c>
      <c r="B3551" t="str">
        <f>"8:56:51.010334"</f>
        <v>8:56:51.010334</v>
      </c>
      <c r="C3551">
        <v>-41</v>
      </c>
    </row>
    <row r="3552" spans="1:3" x14ac:dyDescent="0.25">
      <c r="A3552">
        <v>38</v>
      </c>
      <c r="B3552" t="str">
        <f>"8:56:51.010852"</f>
        <v>8:56:51.010852</v>
      </c>
      <c r="C3552">
        <v>-32</v>
      </c>
    </row>
    <row r="3553" spans="1:3" x14ac:dyDescent="0.25">
      <c r="A3553">
        <v>38</v>
      </c>
      <c r="B3553" t="str">
        <f>"8:56:51.011178"</f>
        <v>8:56:51.011178</v>
      </c>
      <c r="C3553">
        <v>-41</v>
      </c>
    </row>
    <row r="3554" spans="1:3" x14ac:dyDescent="0.25">
      <c r="A3554">
        <v>39</v>
      </c>
      <c r="B3554" t="str">
        <f>"8:56:51.011954"</f>
        <v>8:56:51.011954</v>
      </c>
      <c r="C3554">
        <v>-46</v>
      </c>
    </row>
    <row r="3555" spans="1:3" x14ac:dyDescent="0.25">
      <c r="A3555">
        <v>37</v>
      </c>
      <c r="B3555" t="str">
        <f>"8:56:51.361616"</f>
        <v>8:56:51.361616</v>
      </c>
      <c r="C3555">
        <v>-44</v>
      </c>
    </row>
    <row r="3556" spans="1:3" x14ac:dyDescent="0.25">
      <c r="A3556">
        <v>38</v>
      </c>
      <c r="B3556" t="str">
        <f>"8:56:51.362644"</f>
        <v>8:56:51.362644</v>
      </c>
      <c r="C3556">
        <v>-41</v>
      </c>
    </row>
    <row r="3557" spans="1:3" x14ac:dyDescent="0.25">
      <c r="A3557">
        <v>38</v>
      </c>
      <c r="B3557" t="str">
        <f>"8:56:51.363163"</f>
        <v>8:56:51.363163</v>
      </c>
      <c r="C3557">
        <v>-32</v>
      </c>
    </row>
    <row r="3558" spans="1:3" x14ac:dyDescent="0.25">
      <c r="A3558">
        <v>38</v>
      </c>
      <c r="B3558" t="str">
        <f>"8:56:51.363489"</f>
        <v>8:56:51.363489</v>
      </c>
      <c r="C3558">
        <v>-41</v>
      </c>
    </row>
    <row r="3559" spans="1:3" x14ac:dyDescent="0.25">
      <c r="A3559">
        <v>39</v>
      </c>
      <c r="B3559" t="str">
        <f>"8:56:51.364265"</f>
        <v>8:56:51.364265</v>
      </c>
      <c r="C3559">
        <v>-46</v>
      </c>
    </row>
    <row r="3560" spans="1:3" x14ac:dyDescent="0.25">
      <c r="A3560">
        <v>37</v>
      </c>
      <c r="B3560" t="str">
        <f>"8:56:51.712889"</f>
        <v>8:56:51.712889</v>
      </c>
      <c r="C3560">
        <v>-44</v>
      </c>
    </row>
    <row r="3561" spans="1:3" x14ac:dyDescent="0.25">
      <c r="A3561">
        <v>38</v>
      </c>
      <c r="B3561" t="str">
        <f>"8:56:51.713916"</f>
        <v>8:56:51.713916</v>
      </c>
      <c r="C3561">
        <v>-41</v>
      </c>
    </row>
    <row r="3562" spans="1:3" x14ac:dyDescent="0.25">
      <c r="A3562">
        <v>38</v>
      </c>
      <c r="B3562" t="str">
        <f>"8:56:51.714435"</f>
        <v>8:56:51.714435</v>
      </c>
      <c r="C3562">
        <v>-31</v>
      </c>
    </row>
    <row r="3563" spans="1:3" x14ac:dyDescent="0.25">
      <c r="A3563">
        <v>38</v>
      </c>
      <c r="B3563" t="str">
        <f>"8:56:51.714760"</f>
        <v>8:56:51.714760</v>
      </c>
      <c r="C3563">
        <v>-41</v>
      </c>
    </row>
    <row r="3564" spans="1:3" x14ac:dyDescent="0.25">
      <c r="A3564">
        <v>39</v>
      </c>
      <c r="B3564" t="str">
        <f>"8:56:51.715536"</f>
        <v>8:56:51.715536</v>
      </c>
      <c r="C3564">
        <v>-46</v>
      </c>
    </row>
    <row r="3565" spans="1:3" x14ac:dyDescent="0.25">
      <c r="A3565">
        <v>37</v>
      </c>
      <c r="B3565" t="str">
        <f>"8:56:52.064447"</f>
        <v>8:56:52.064447</v>
      </c>
      <c r="C3565">
        <v>-44</v>
      </c>
    </row>
    <row r="3566" spans="1:3" x14ac:dyDescent="0.25">
      <c r="A3566">
        <v>38</v>
      </c>
      <c r="B3566" t="str">
        <f>"8:56:52.065474"</f>
        <v>8:56:52.065474</v>
      </c>
      <c r="C3566">
        <v>-41</v>
      </c>
    </row>
    <row r="3567" spans="1:3" x14ac:dyDescent="0.25">
      <c r="A3567">
        <v>38</v>
      </c>
      <c r="B3567" t="str">
        <f>"8:56:52.065993"</f>
        <v>8:56:52.065993</v>
      </c>
      <c r="C3567">
        <v>-32</v>
      </c>
    </row>
    <row r="3568" spans="1:3" x14ac:dyDescent="0.25">
      <c r="A3568">
        <v>38</v>
      </c>
      <c r="B3568" t="str">
        <f>"8:56:52.066318"</f>
        <v>8:56:52.066318</v>
      </c>
      <c r="C3568">
        <v>-41</v>
      </c>
    </row>
    <row r="3569" spans="1:3" x14ac:dyDescent="0.25">
      <c r="A3569">
        <v>39</v>
      </c>
      <c r="B3569" t="str">
        <f>"8:56:52.067094"</f>
        <v>8:56:52.067094</v>
      </c>
      <c r="C3569">
        <v>-45</v>
      </c>
    </row>
    <row r="3570" spans="1:3" x14ac:dyDescent="0.25">
      <c r="A3570">
        <v>37</v>
      </c>
      <c r="B3570" t="str">
        <f>"8:56:52.421317"</f>
        <v>8:56:52.421317</v>
      </c>
      <c r="C3570">
        <v>-44</v>
      </c>
    </row>
    <row r="3571" spans="1:3" x14ac:dyDescent="0.25">
      <c r="A3571">
        <v>38</v>
      </c>
      <c r="B3571" t="str">
        <f>"8:56:52.422344"</f>
        <v>8:56:52.422344</v>
      </c>
      <c r="C3571">
        <v>-41</v>
      </c>
    </row>
    <row r="3572" spans="1:3" x14ac:dyDescent="0.25">
      <c r="A3572">
        <v>39</v>
      </c>
      <c r="B3572" t="str">
        <f>"8:56:52.423370"</f>
        <v>8:56:52.423370</v>
      </c>
      <c r="C3572">
        <v>-45</v>
      </c>
    </row>
    <row r="3573" spans="1:3" x14ac:dyDescent="0.25">
      <c r="A3573">
        <v>37</v>
      </c>
      <c r="B3573" t="str">
        <f>"8:56:52.774072"</f>
        <v>8:56:52.774072</v>
      </c>
      <c r="C3573">
        <v>-44</v>
      </c>
    </row>
    <row r="3574" spans="1:3" x14ac:dyDescent="0.25">
      <c r="A3574">
        <v>38</v>
      </c>
      <c r="B3574" t="str">
        <f>"8:56:52.775099"</f>
        <v>8:56:52.775099</v>
      </c>
      <c r="C3574">
        <v>-41</v>
      </c>
    </row>
    <row r="3575" spans="1:3" x14ac:dyDescent="0.25">
      <c r="A3575">
        <v>38</v>
      </c>
      <c r="B3575" t="str">
        <f>"8:56:52.775618"</f>
        <v>8:56:52.775618</v>
      </c>
      <c r="C3575">
        <v>-32</v>
      </c>
    </row>
    <row r="3576" spans="1:3" x14ac:dyDescent="0.25">
      <c r="A3576">
        <v>38</v>
      </c>
      <c r="B3576" t="str">
        <f>"8:56:52.775943"</f>
        <v>8:56:52.775943</v>
      </c>
      <c r="C3576">
        <v>-41</v>
      </c>
    </row>
    <row r="3577" spans="1:3" x14ac:dyDescent="0.25">
      <c r="A3577">
        <v>39</v>
      </c>
      <c r="B3577" t="str">
        <f>"8:56:52.776719"</f>
        <v>8:56:52.776719</v>
      </c>
      <c r="C3577">
        <v>-46</v>
      </c>
    </row>
    <row r="3578" spans="1:3" x14ac:dyDescent="0.25">
      <c r="A3578">
        <v>37</v>
      </c>
      <c r="B3578" t="str">
        <f>"8:56:53.132734"</f>
        <v>8:56:53.132734</v>
      </c>
      <c r="C3578">
        <v>-44</v>
      </c>
    </row>
    <row r="3579" spans="1:3" x14ac:dyDescent="0.25">
      <c r="A3579">
        <v>37</v>
      </c>
      <c r="B3579" t="str">
        <f>"8:56:53.133254"</f>
        <v>8:56:53.133254</v>
      </c>
      <c r="C3579">
        <v>-80</v>
      </c>
    </row>
    <row r="3580" spans="1:3" x14ac:dyDescent="0.25">
      <c r="A3580">
        <v>37</v>
      </c>
      <c r="B3580" t="str">
        <f>"8:56:53.133580"</f>
        <v>8:56:53.133580</v>
      </c>
      <c r="C3580">
        <v>-44</v>
      </c>
    </row>
    <row r="3581" spans="1:3" x14ac:dyDescent="0.25">
      <c r="A3581">
        <v>38</v>
      </c>
      <c r="B3581" t="str">
        <f>"8:56:53.134356"</f>
        <v>8:56:53.134356</v>
      </c>
      <c r="C3581">
        <v>-41</v>
      </c>
    </row>
    <row r="3582" spans="1:3" x14ac:dyDescent="0.25">
      <c r="A3582">
        <v>38</v>
      </c>
      <c r="B3582" t="str">
        <f>"8:56:53.134875"</f>
        <v>8:56:53.134875</v>
      </c>
      <c r="C3582">
        <v>-32</v>
      </c>
    </row>
    <row r="3583" spans="1:3" x14ac:dyDescent="0.25">
      <c r="A3583">
        <v>38</v>
      </c>
      <c r="B3583" t="str">
        <f>"8:56:53.135201"</f>
        <v>8:56:53.135201</v>
      </c>
      <c r="C3583">
        <v>-41</v>
      </c>
    </row>
    <row r="3584" spans="1:3" x14ac:dyDescent="0.25">
      <c r="A3584">
        <v>39</v>
      </c>
      <c r="B3584" t="str">
        <f>"8:56:53.135977"</f>
        <v>8:56:53.135977</v>
      </c>
      <c r="C3584">
        <v>-46</v>
      </c>
    </row>
    <row r="3585" spans="1:3" x14ac:dyDescent="0.25">
      <c r="A3585">
        <v>37</v>
      </c>
      <c r="B3585" t="str">
        <f>"8:56:53.490110"</f>
        <v>8:56:53.490110</v>
      </c>
      <c r="C3585">
        <v>-44</v>
      </c>
    </row>
    <row r="3586" spans="1:3" x14ac:dyDescent="0.25">
      <c r="A3586">
        <v>38</v>
      </c>
      <c r="B3586" t="str">
        <f>"8:56:53.491137"</f>
        <v>8:56:53.491137</v>
      </c>
      <c r="C3586">
        <v>-41</v>
      </c>
    </row>
    <row r="3587" spans="1:3" x14ac:dyDescent="0.25">
      <c r="A3587">
        <v>38</v>
      </c>
      <c r="B3587" t="str">
        <f>"8:56:53.491656"</f>
        <v>8:56:53.491656</v>
      </c>
      <c r="C3587">
        <v>-32</v>
      </c>
    </row>
    <row r="3588" spans="1:3" x14ac:dyDescent="0.25">
      <c r="A3588">
        <v>38</v>
      </c>
      <c r="B3588" t="str">
        <f>"8:56:53.491981"</f>
        <v>8:56:53.491981</v>
      </c>
      <c r="C3588">
        <v>-41</v>
      </c>
    </row>
    <row r="3589" spans="1:3" x14ac:dyDescent="0.25">
      <c r="A3589">
        <v>39</v>
      </c>
      <c r="B3589" t="str">
        <f>"8:56:53.492757"</f>
        <v>8:56:53.492757</v>
      </c>
      <c r="C3589">
        <v>-45</v>
      </c>
    </row>
    <row r="3590" spans="1:3" x14ac:dyDescent="0.25">
      <c r="A3590">
        <v>37</v>
      </c>
      <c r="B3590" t="str">
        <f>"8:56:53.848071"</f>
        <v>8:56:53.848071</v>
      </c>
      <c r="C3590">
        <v>-44</v>
      </c>
    </row>
    <row r="3591" spans="1:3" x14ac:dyDescent="0.25">
      <c r="A3591">
        <v>38</v>
      </c>
      <c r="B3591" t="str">
        <f>"8:56:53.849098"</f>
        <v>8:56:53.849098</v>
      </c>
      <c r="C3591">
        <v>-41</v>
      </c>
    </row>
    <row r="3592" spans="1:3" x14ac:dyDescent="0.25">
      <c r="A3592">
        <v>39</v>
      </c>
      <c r="B3592" t="str">
        <f>"8:56:53.850124"</f>
        <v>8:56:53.850124</v>
      </c>
      <c r="C3592">
        <v>-46</v>
      </c>
    </row>
    <row r="3593" spans="1:3" x14ac:dyDescent="0.25">
      <c r="A3593">
        <v>37</v>
      </c>
      <c r="B3593" t="str">
        <f>"8:56:54.205188"</f>
        <v>8:56:54.205188</v>
      </c>
      <c r="C3593">
        <v>-44</v>
      </c>
    </row>
    <row r="3594" spans="1:3" x14ac:dyDescent="0.25">
      <c r="A3594">
        <v>38</v>
      </c>
      <c r="B3594" t="str">
        <f>"8:56:54.206215"</f>
        <v>8:56:54.206215</v>
      </c>
      <c r="C3594">
        <v>-41</v>
      </c>
    </row>
    <row r="3595" spans="1:3" x14ac:dyDescent="0.25">
      <c r="A3595">
        <v>38</v>
      </c>
      <c r="B3595" t="str">
        <f>"8:56:54.206734"</f>
        <v>8:56:54.206734</v>
      </c>
      <c r="C3595">
        <v>-32</v>
      </c>
    </row>
    <row r="3596" spans="1:3" x14ac:dyDescent="0.25">
      <c r="A3596">
        <v>38</v>
      </c>
      <c r="B3596" t="str">
        <f>"8:56:54.207060"</f>
        <v>8:56:54.207060</v>
      </c>
      <c r="C3596">
        <v>-41</v>
      </c>
    </row>
    <row r="3597" spans="1:3" x14ac:dyDescent="0.25">
      <c r="A3597">
        <v>39</v>
      </c>
      <c r="B3597" t="str">
        <f>"8:56:54.207836"</f>
        <v>8:56:54.207836</v>
      </c>
      <c r="C3597">
        <v>-45</v>
      </c>
    </row>
    <row r="3598" spans="1:3" x14ac:dyDescent="0.25">
      <c r="A3598">
        <v>37</v>
      </c>
      <c r="B3598" t="str">
        <f>"8:56:54.564908"</f>
        <v>8:56:54.564908</v>
      </c>
      <c r="C3598">
        <v>-44</v>
      </c>
    </row>
    <row r="3599" spans="1:3" x14ac:dyDescent="0.25">
      <c r="A3599">
        <v>38</v>
      </c>
      <c r="B3599" t="str">
        <f>"8:56:54.565936"</f>
        <v>8:56:54.565936</v>
      </c>
      <c r="C3599">
        <v>-41</v>
      </c>
    </row>
    <row r="3600" spans="1:3" x14ac:dyDescent="0.25">
      <c r="A3600">
        <v>39</v>
      </c>
      <c r="B3600" t="str">
        <f>"8:56:54.566962"</f>
        <v>8:56:54.566962</v>
      </c>
      <c r="C3600">
        <v>-46</v>
      </c>
    </row>
    <row r="3601" spans="1:3" x14ac:dyDescent="0.25">
      <c r="A3601">
        <v>39</v>
      </c>
      <c r="B3601" t="str">
        <f>"8:56:54.567480"</f>
        <v>8:56:54.567480</v>
      </c>
      <c r="C3601">
        <v>-31</v>
      </c>
    </row>
    <row r="3602" spans="1:3" x14ac:dyDescent="0.25">
      <c r="A3602">
        <v>39</v>
      </c>
      <c r="B3602" t="str">
        <f>"8:56:54.567806"</f>
        <v>8:56:54.567806</v>
      </c>
      <c r="C3602">
        <v>-45</v>
      </c>
    </row>
    <row r="3603" spans="1:3" x14ac:dyDescent="0.25">
      <c r="A3603">
        <v>37</v>
      </c>
      <c r="B3603" t="str">
        <f>"8:56:54.924865"</f>
        <v>8:56:54.924865</v>
      </c>
      <c r="C3603">
        <v>-44</v>
      </c>
    </row>
    <row r="3604" spans="1:3" x14ac:dyDescent="0.25">
      <c r="A3604">
        <v>38</v>
      </c>
      <c r="B3604" t="str">
        <f>"8:56:54.925892"</f>
        <v>8:56:54.925892</v>
      </c>
      <c r="C3604">
        <v>-41</v>
      </c>
    </row>
    <row r="3605" spans="1:3" x14ac:dyDescent="0.25">
      <c r="A3605">
        <v>39</v>
      </c>
      <c r="B3605" t="str">
        <f>"8:56:54.926918"</f>
        <v>8:56:54.926918</v>
      </c>
      <c r="C3605">
        <v>-46</v>
      </c>
    </row>
    <row r="3606" spans="1:3" x14ac:dyDescent="0.25">
      <c r="A3606">
        <v>39</v>
      </c>
      <c r="B3606" t="str">
        <f>"8:56:54.927436"</f>
        <v>8:56:54.927436</v>
      </c>
      <c r="C3606">
        <v>-31</v>
      </c>
    </row>
    <row r="3607" spans="1:3" x14ac:dyDescent="0.25">
      <c r="A3607">
        <v>39</v>
      </c>
      <c r="B3607" t="str">
        <f>"8:56:54.927762"</f>
        <v>8:56:54.927762</v>
      </c>
      <c r="C3607">
        <v>-45</v>
      </c>
    </row>
    <row r="3608" spans="1:3" x14ac:dyDescent="0.25">
      <c r="A3608">
        <v>37</v>
      </c>
      <c r="B3608" t="str">
        <f>"8:56:55.280496"</f>
        <v>8:56:55.280496</v>
      </c>
      <c r="C3608">
        <v>-44</v>
      </c>
    </row>
    <row r="3609" spans="1:3" x14ac:dyDescent="0.25">
      <c r="A3609">
        <v>38</v>
      </c>
      <c r="B3609" t="str">
        <f>"8:56:55.281524"</f>
        <v>8:56:55.281524</v>
      </c>
      <c r="C3609">
        <v>-41</v>
      </c>
    </row>
    <row r="3610" spans="1:3" x14ac:dyDescent="0.25">
      <c r="A3610">
        <v>39</v>
      </c>
      <c r="B3610" t="str">
        <f>"8:56:55.282550"</f>
        <v>8:56:55.282550</v>
      </c>
      <c r="C3610">
        <v>-46</v>
      </c>
    </row>
    <row r="3611" spans="1:3" x14ac:dyDescent="0.25">
      <c r="A3611">
        <v>39</v>
      </c>
      <c r="B3611" t="str">
        <f>"8:56:55.283068"</f>
        <v>8:56:55.283068</v>
      </c>
      <c r="C3611">
        <v>-31</v>
      </c>
    </row>
    <row r="3612" spans="1:3" x14ac:dyDescent="0.25">
      <c r="A3612">
        <v>39</v>
      </c>
      <c r="B3612" t="str">
        <f>"8:56:55.283394"</f>
        <v>8:56:55.283394</v>
      </c>
      <c r="C3612">
        <v>-45</v>
      </c>
    </row>
    <row r="3613" spans="1:3" x14ac:dyDescent="0.25">
      <c r="A3613">
        <v>37</v>
      </c>
      <c r="B3613" t="str">
        <f>"8:56:55.635582"</f>
        <v>8:56:55.635582</v>
      </c>
      <c r="C3613">
        <v>-44</v>
      </c>
    </row>
    <row r="3614" spans="1:3" x14ac:dyDescent="0.25">
      <c r="A3614">
        <v>38</v>
      </c>
      <c r="B3614" t="str">
        <f>"8:56:55.636609"</f>
        <v>8:56:55.636609</v>
      </c>
      <c r="C3614">
        <v>-41</v>
      </c>
    </row>
    <row r="3615" spans="1:3" x14ac:dyDescent="0.25">
      <c r="A3615">
        <v>39</v>
      </c>
      <c r="B3615" t="str">
        <f>"8:56:55.637635"</f>
        <v>8:56:55.637635</v>
      </c>
      <c r="C3615">
        <v>-45</v>
      </c>
    </row>
    <row r="3616" spans="1:3" x14ac:dyDescent="0.25">
      <c r="A3616">
        <v>37</v>
      </c>
      <c r="B3616" t="str">
        <f>"8:56:55.989607"</f>
        <v>8:56:55.989607</v>
      </c>
      <c r="C3616">
        <v>-44</v>
      </c>
    </row>
    <row r="3617" spans="1:3" x14ac:dyDescent="0.25">
      <c r="A3617">
        <v>38</v>
      </c>
      <c r="B3617" t="str">
        <f>"8:56:55.990634"</f>
        <v>8:56:55.990634</v>
      </c>
      <c r="C3617">
        <v>-41</v>
      </c>
    </row>
    <row r="3618" spans="1:3" x14ac:dyDescent="0.25">
      <c r="A3618">
        <v>39</v>
      </c>
      <c r="B3618" t="str">
        <f>"8:56:55.991660"</f>
        <v>8:56:55.991660</v>
      </c>
      <c r="C3618">
        <v>-45</v>
      </c>
    </row>
    <row r="3619" spans="1:3" x14ac:dyDescent="0.25">
      <c r="A3619">
        <v>39</v>
      </c>
      <c r="B3619" t="str">
        <f>"8:56:55.992178"</f>
        <v>8:56:55.992178</v>
      </c>
      <c r="C3619">
        <v>-31</v>
      </c>
    </row>
    <row r="3620" spans="1:3" x14ac:dyDescent="0.25">
      <c r="A3620">
        <v>39</v>
      </c>
      <c r="B3620" t="str">
        <f>"8:56:55.992504"</f>
        <v>8:56:55.992504</v>
      </c>
      <c r="C3620">
        <v>-45</v>
      </c>
    </row>
    <row r="3621" spans="1:3" x14ac:dyDescent="0.25">
      <c r="A3621">
        <v>37</v>
      </c>
      <c r="B3621" t="str">
        <f>"8:56:56.343409"</f>
        <v>8:56:56.343409</v>
      </c>
      <c r="C3621">
        <v>-44</v>
      </c>
    </row>
    <row r="3622" spans="1:3" x14ac:dyDescent="0.25">
      <c r="A3622">
        <v>38</v>
      </c>
      <c r="B3622" t="str">
        <f>"8:56:56.344436"</f>
        <v>8:56:56.344436</v>
      </c>
      <c r="C3622">
        <v>-41</v>
      </c>
    </row>
    <row r="3623" spans="1:3" x14ac:dyDescent="0.25">
      <c r="A3623">
        <v>39</v>
      </c>
      <c r="B3623" t="str">
        <f>"8:56:56.345462"</f>
        <v>8:56:56.345462</v>
      </c>
      <c r="C3623">
        <v>-46</v>
      </c>
    </row>
    <row r="3624" spans="1:3" x14ac:dyDescent="0.25">
      <c r="A3624">
        <v>39</v>
      </c>
      <c r="B3624" t="str">
        <f>"8:56:56.345981"</f>
        <v>8:56:56.345981</v>
      </c>
      <c r="C3624">
        <v>-30</v>
      </c>
    </row>
    <row r="3625" spans="1:3" x14ac:dyDescent="0.25">
      <c r="A3625">
        <v>39</v>
      </c>
      <c r="B3625" t="str">
        <f>"8:56:56.346306"</f>
        <v>8:56:56.346306</v>
      </c>
      <c r="C3625">
        <v>-45</v>
      </c>
    </row>
    <row r="3626" spans="1:3" x14ac:dyDescent="0.25">
      <c r="A3626">
        <v>37</v>
      </c>
      <c r="B3626" t="str">
        <f>"8:56:56.701624"</f>
        <v>8:56:56.701624</v>
      </c>
      <c r="C3626">
        <v>-44</v>
      </c>
    </row>
    <row r="3627" spans="1:3" x14ac:dyDescent="0.25">
      <c r="A3627">
        <v>38</v>
      </c>
      <c r="B3627" t="str">
        <f>"8:56:56.702652"</f>
        <v>8:56:56.702652</v>
      </c>
      <c r="C3627">
        <v>-41</v>
      </c>
    </row>
    <row r="3628" spans="1:3" x14ac:dyDescent="0.25">
      <c r="A3628">
        <v>39</v>
      </c>
      <c r="B3628" t="str">
        <f>"8:56:56.703678"</f>
        <v>8:56:56.703678</v>
      </c>
      <c r="C3628">
        <v>-45</v>
      </c>
    </row>
    <row r="3629" spans="1:3" x14ac:dyDescent="0.25">
      <c r="A3629">
        <v>39</v>
      </c>
      <c r="B3629" t="str">
        <f>"8:56:56.704522"</f>
        <v>8:56:56.704522</v>
      </c>
      <c r="C3629">
        <v>-45</v>
      </c>
    </row>
    <row r="3630" spans="1:3" x14ac:dyDescent="0.25">
      <c r="A3630">
        <v>37</v>
      </c>
      <c r="B3630" t="str">
        <f>"8:56:57.053151"</f>
        <v>8:56:57.053151</v>
      </c>
      <c r="C3630">
        <v>-44</v>
      </c>
    </row>
    <row r="3631" spans="1:3" x14ac:dyDescent="0.25">
      <c r="A3631">
        <v>38</v>
      </c>
      <c r="B3631" t="str">
        <f>"8:56:57.054178"</f>
        <v>8:56:57.054178</v>
      </c>
      <c r="C3631">
        <v>-41</v>
      </c>
    </row>
    <row r="3632" spans="1:3" x14ac:dyDescent="0.25">
      <c r="A3632">
        <v>39</v>
      </c>
      <c r="B3632" t="str">
        <f>"8:56:57.055204"</f>
        <v>8:56:57.055204</v>
      </c>
      <c r="C3632">
        <v>-46</v>
      </c>
    </row>
    <row r="3633" spans="1:3" x14ac:dyDescent="0.25">
      <c r="A3633">
        <v>37</v>
      </c>
      <c r="B3633" t="str">
        <f>"8:56:57.407168"</f>
        <v>8:56:57.407168</v>
      </c>
      <c r="C3633">
        <v>-45</v>
      </c>
    </row>
    <row r="3634" spans="1:3" x14ac:dyDescent="0.25">
      <c r="A3634">
        <v>38</v>
      </c>
      <c r="B3634" t="str">
        <f>"8:56:57.408196"</f>
        <v>8:56:57.408196</v>
      </c>
      <c r="C3634">
        <v>-41</v>
      </c>
    </row>
    <row r="3635" spans="1:3" x14ac:dyDescent="0.25">
      <c r="A3635">
        <v>39</v>
      </c>
      <c r="B3635" t="str">
        <f>"8:56:57.409222"</f>
        <v>8:56:57.409222</v>
      </c>
      <c r="C3635">
        <v>-46</v>
      </c>
    </row>
    <row r="3636" spans="1:3" x14ac:dyDescent="0.25">
      <c r="A3636">
        <v>39</v>
      </c>
      <c r="B3636" t="str">
        <f>"8:56:57.409740"</f>
        <v>8:56:57.409740</v>
      </c>
      <c r="C3636">
        <v>-31</v>
      </c>
    </row>
    <row r="3637" spans="1:3" x14ac:dyDescent="0.25">
      <c r="A3637">
        <v>39</v>
      </c>
      <c r="B3637" t="str">
        <f>"8:56:57.410066"</f>
        <v>8:56:57.410066</v>
      </c>
      <c r="C3637">
        <v>-45</v>
      </c>
    </row>
    <row r="3638" spans="1:3" x14ac:dyDescent="0.25">
      <c r="A3638">
        <v>37</v>
      </c>
      <c r="B3638" t="str">
        <f>"8:56:57.767174"</f>
        <v>8:56:57.767174</v>
      </c>
      <c r="C3638">
        <v>-45</v>
      </c>
    </row>
    <row r="3639" spans="1:3" x14ac:dyDescent="0.25">
      <c r="A3639">
        <v>38</v>
      </c>
      <c r="B3639" t="str">
        <f>"8:56:57.768201"</f>
        <v>8:56:57.768201</v>
      </c>
      <c r="C3639">
        <v>-41</v>
      </c>
    </row>
    <row r="3640" spans="1:3" x14ac:dyDescent="0.25">
      <c r="A3640">
        <v>39</v>
      </c>
      <c r="B3640" t="str">
        <f>"8:56:57.769227"</f>
        <v>8:56:57.769227</v>
      </c>
      <c r="C3640">
        <v>-46</v>
      </c>
    </row>
    <row r="3641" spans="1:3" x14ac:dyDescent="0.25">
      <c r="A3641">
        <v>39</v>
      </c>
      <c r="B3641" t="str">
        <f>"8:56:57.769746"</f>
        <v>8:56:57.769746</v>
      </c>
      <c r="C3641">
        <v>-31</v>
      </c>
    </row>
    <row r="3642" spans="1:3" x14ac:dyDescent="0.25">
      <c r="A3642">
        <v>39</v>
      </c>
      <c r="B3642" t="str">
        <f>"8:56:57.770071"</f>
        <v>8:56:57.770071</v>
      </c>
      <c r="C3642">
        <v>-45</v>
      </c>
    </row>
    <row r="3643" spans="1:3" x14ac:dyDescent="0.25">
      <c r="A3643">
        <v>37</v>
      </c>
      <c r="B3643" t="str">
        <f>"8:56:58.122285"</f>
        <v>8:56:58.122285</v>
      </c>
      <c r="C3643">
        <v>-45</v>
      </c>
    </row>
    <row r="3644" spans="1:3" x14ac:dyDescent="0.25">
      <c r="A3644">
        <v>38</v>
      </c>
      <c r="B3644" t="str">
        <f>"8:56:58.123312"</f>
        <v>8:56:58.123312</v>
      </c>
      <c r="C3644">
        <v>-41</v>
      </c>
    </row>
    <row r="3645" spans="1:3" x14ac:dyDescent="0.25">
      <c r="A3645">
        <v>39</v>
      </c>
      <c r="B3645" t="str">
        <f>"8:56:58.124338"</f>
        <v>8:56:58.124338</v>
      </c>
      <c r="C3645">
        <v>-46</v>
      </c>
    </row>
    <row r="3646" spans="1:3" x14ac:dyDescent="0.25">
      <c r="A3646">
        <v>39</v>
      </c>
      <c r="B3646" t="str">
        <f>"8:56:58.125184"</f>
        <v>8:56:58.125184</v>
      </c>
      <c r="C3646">
        <v>-45</v>
      </c>
    </row>
    <row r="3647" spans="1:3" x14ac:dyDescent="0.25">
      <c r="A3647">
        <v>37</v>
      </c>
      <c r="B3647" t="str">
        <f>"8:56:58.480946"</f>
        <v>8:56:58.480946</v>
      </c>
      <c r="C3647">
        <v>-45</v>
      </c>
    </row>
    <row r="3648" spans="1:3" x14ac:dyDescent="0.25">
      <c r="A3648">
        <v>38</v>
      </c>
      <c r="B3648" t="str">
        <f>"8:56:58.481974"</f>
        <v>8:56:58.481974</v>
      </c>
      <c r="C3648">
        <v>-41</v>
      </c>
    </row>
    <row r="3649" spans="1:3" x14ac:dyDescent="0.25">
      <c r="A3649">
        <v>39</v>
      </c>
      <c r="B3649" t="str">
        <f>"8:56:58.483000"</f>
        <v>8:56:58.483000</v>
      </c>
      <c r="C3649">
        <v>-46</v>
      </c>
    </row>
    <row r="3650" spans="1:3" x14ac:dyDescent="0.25">
      <c r="A3650">
        <v>39</v>
      </c>
      <c r="B3650" t="str">
        <f>"8:56:58.483518"</f>
        <v>8:56:58.483518</v>
      </c>
      <c r="C3650">
        <v>-30</v>
      </c>
    </row>
    <row r="3651" spans="1:3" x14ac:dyDescent="0.25">
      <c r="A3651">
        <v>39</v>
      </c>
      <c r="B3651" t="str">
        <f>"8:56:58.483845"</f>
        <v>8:56:58.483845</v>
      </c>
      <c r="C3651">
        <v>-45</v>
      </c>
    </row>
    <row r="3652" spans="1:3" x14ac:dyDescent="0.25">
      <c r="A3652">
        <v>37</v>
      </c>
      <c r="B3652" t="str">
        <f>"8:56:58.831943"</f>
        <v>8:56:58.831943</v>
      </c>
      <c r="C3652">
        <v>-45</v>
      </c>
    </row>
    <row r="3653" spans="1:3" x14ac:dyDescent="0.25">
      <c r="A3653">
        <v>38</v>
      </c>
      <c r="B3653" t="str">
        <f>"8:56:58.832970"</f>
        <v>8:56:58.832970</v>
      </c>
      <c r="C3653">
        <v>-41</v>
      </c>
    </row>
    <row r="3654" spans="1:3" x14ac:dyDescent="0.25">
      <c r="A3654">
        <v>39</v>
      </c>
      <c r="B3654" t="str">
        <f>"8:56:58.833996"</f>
        <v>8:56:58.833996</v>
      </c>
      <c r="C3654">
        <v>-46</v>
      </c>
    </row>
    <row r="3655" spans="1:3" x14ac:dyDescent="0.25">
      <c r="A3655">
        <v>37</v>
      </c>
      <c r="B3655" t="str">
        <f>"8:56:59.182972"</f>
        <v>8:56:59.182972</v>
      </c>
      <c r="C3655">
        <v>-45</v>
      </c>
    </row>
    <row r="3656" spans="1:3" x14ac:dyDescent="0.25">
      <c r="A3656">
        <v>38</v>
      </c>
      <c r="B3656" t="str">
        <f>"8:56:59.184000"</f>
        <v>8:56:59.184000</v>
      </c>
      <c r="C3656">
        <v>-41</v>
      </c>
    </row>
    <row r="3657" spans="1:3" x14ac:dyDescent="0.25">
      <c r="A3657">
        <v>39</v>
      </c>
      <c r="B3657" t="str">
        <f>"8:56:59.185026"</f>
        <v>8:56:59.185026</v>
      </c>
      <c r="C3657">
        <v>-46</v>
      </c>
    </row>
    <row r="3658" spans="1:3" x14ac:dyDescent="0.25">
      <c r="A3658">
        <v>39</v>
      </c>
      <c r="B3658" t="str">
        <f>"8:56:59.185544"</f>
        <v>8:56:59.185544</v>
      </c>
      <c r="C3658">
        <v>-31</v>
      </c>
    </row>
    <row r="3659" spans="1:3" x14ac:dyDescent="0.25">
      <c r="A3659">
        <v>39</v>
      </c>
      <c r="B3659" t="str">
        <f>"8:56:59.185870"</f>
        <v>8:56:59.185870</v>
      </c>
      <c r="C3659">
        <v>-45</v>
      </c>
    </row>
    <row r="3660" spans="1:3" x14ac:dyDescent="0.25">
      <c r="A3660">
        <v>37</v>
      </c>
      <c r="B3660" t="str">
        <f>"8:56:59.540411"</f>
        <v>8:56:59.540411</v>
      </c>
      <c r="C3660">
        <v>-45</v>
      </c>
    </row>
    <row r="3661" spans="1:3" x14ac:dyDescent="0.25">
      <c r="A3661">
        <v>37</v>
      </c>
      <c r="B3661" t="str">
        <f>"8:56:59.540929"</f>
        <v>8:56:59.540929</v>
      </c>
      <c r="C3661">
        <v>-36</v>
      </c>
    </row>
    <row r="3662" spans="1:3" x14ac:dyDescent="0.25">
      <c r="A3662">
        <v>37</v>
      </c>
      <c r="B3662" t="str">
        <f>"8:56:59.541255"</f>
        <v>8:56:59.541255</v>
      </c>
      <c r="C3662">
        <v>-45</v>
      </c>
    </row>
    <row r="3663" spans="1:3" x14ac:dyDescent="0.25">
      <c r="A3663">
        <v>38</v>
      </c>
      <c r="B3663" t="str">
        <f>"8:56:59.542031"</f>
        <v>8:56:59.542031</v>
      </c>
      <c r="C3663">
        <v>-41</v>
      </c>
    </row>
    <row r="3664" spans="1:3" x14ac:dyDescent="0.25">
      <c r="A3664">
        <v>39</v>
      </c>
      <c r="B3664" t="str">
        <f>"8:56:59.543057"</f>
        <v>8:56:59.543057</v>
      </c>
      <c r="C3664">
        <v>-45</v>
      </c>
    </row>
    <row r="3665" spans="1:3" x14ac:dyDescent="0.25">
      <c r="A3665">
        <v>37</v>
      </c>
      <c r="B3665" t="str">
        <f>"8:56:59.900418"</f>
        <v>8:56:59.900418</v>
      </c>
      <c r="C3665">
        <v>-45</v>
      </c>
    </row>
    <row r="3666" spans="1:3" x14ac:dyDescent="0.25">
      <c r="A3666">
        <v>38</v>
      </c>
      <c r="B3666" t="str">
        <f>"8:56:59.901445"</f>
        <v>8:56:59.901445</v>
      </c>
      <c r="C3666">
        <v>-41</v>
      </c>
    </row>
    <row r="3667" spans="1:3" x14ac:dyDescent="0.25">
      <c r="A3667">
        <v>39</v>
      </c>
      <c r="B3667" t="str">
        <f>"8:56:59.902471"</f>
        <v>8:56:59.902471</v>
      </c>
      <c r="C3667">
        <v>-45</v>
      </c>
    </row>
    <row r="3668" spans="1:3" x14ac:dyDescent="0.25">
      <c r="A3668">
        <v>37</v>
      </c>
      <c r="B3668" t="str">
        <f>"8:57:00.260425"</f>
        <v>8:57:00.260425</v>
      </c>
      <c r="C3668">
        <v>-45</v>
      </c>
    </row>
    <row r="3669" spans="1:3" x14ac:dyDescent="0.25">
      <c r="A3669">
        <v>37</v>
      </c>
      <c r="B3669" t="str">
        <f>"8:57:00.260943"</f>
        <v>8:57:00.260943</v>
      </c>
      <c r="C3669">
        <v>-36</v>
      </c>
    </row>
    <row r="3670" spans="1:3" x14ac:dyDescent="0.25">
      <c r="A3670">
        <v>37</v>
      </c>
      <c r="B3670" t="str">
        <f>"8:57:00.261269"</f>
        <v>8:57:00.261269</v>
      </c>
      <c r="C3670">
        <v>-45</v>
      </c>
    </row>
    <row r="3671" spans="1:3" x14ac:dyDescent="0.25">
      <c r="A3671">
        <v>38</v>
      </c>
      <c r="B3671" t="str">
        <f>"8:57:00.262045"</f>
        <v>8:57:00.262045</v>
      </c>
      <c r="C3671">
        <v>-41</v>
      </c>
    </row>
    <row r="3672" spans="1:3" x14ac:dyDescent="0.25">
      <c r="A3672">
        <v>39</v>
      </c>
      <c r="B3672" t="str">
        <f>"8:57:00.263071"</f>
        <v>8:57:00.263071</v>
      </c>
      <c r="C3672">
        <v>-45</v>
      </c>
    </row>
    <row r="3673" spans="1:3" x14ac:dyDescent="0.25">
      <c r="A3673">
        <v>37</v>
      </c>
      <c r="B3673" t="str">
        <f>"8:57:00.617059"</f>
        <v>8:57:00.617059</v>
      </c>
      <c r="C3673">
        <v>-44</v>
      </c>
    </row>
    <row r="3674" spans="1:3" x14ac:dyDescent="0.25">
      <c r="A3674">
        <v>37</v>
      </c>
      <c r="B3674" t="str">
        <f>"8:57:00.617577"</f>
        <v>8:57:00.617577</v>
      </c>
      <c r="C3674">
        <v>-39</v>
      </c>
    </row>
    <row r="3675" spans="1:3" x14ac:dyDescent="0.25">
      <c r="A3675">
        <v>37</v>
      </c>
      <c r="B3675" t="str">
        <f>"8:57:00.617903"</f>
        <v>8:57:00.617903</v>
      </c>
      <c r="C3675">
        <v>-44</v>
      </c>
    </row>
    <row r="3676" spans="1:3" x14ac:dyDescent="0.25">
      <c r="A3676">
        <v>38</v>
      </c>
      <c r="B3676" t="str">
        <f>"8:57:00.618680"</f>
        <v>8:57:00.618680</v>
      </c>
      <c r="C3676">
        <v>-41</v>
      </c>
    </row>
    <row r="3677" spans="1:3" x14ac:dyDescent="0.25">
      <c r="A3677">
        <v>39</v>
      </c>
      <c r="B3677" t="str">
        <f>"8:57:00.619706"</f>
        <v>8:57:00.619706</v>
      </c>
      <c r="C3677">
        <v>-45</v>
      </c>
    </row>
    <row r="3678" spans="1:3" x14ac:dyDescent="0.25">
      <c r="A3678">
        <v>37</v>
      </c>
      <c r="B3678" t="str">
        <f>"8:57:00.970357"</f>
        <v>8:57:00.970357</v>
      </c>
      <c r="C3678">
        <v>-44</v>
      </c>
    </row>
    <row r="3679" spans="1:3" x14ac:dyDescent="0.25">
      <c r="A3679">
        <v>37</v>
      </c>
      <c r="B3679" t="str">
        <f>"8:57:00.970876"</f>
        <v>8:57:00.970876</v>
      </c>
      <c r="C3679">
        <v>-39</v>
      </c>
    </row>
    <row r="3680" spans="1:3" x14ac:dyDescent="0.25">
      <c r="A3680">
        <v>37</v>
      </c>
      <c r="B3680" t="str">
        <f>"8:57:00.971201"</f>
        <v>8:57:00.971201</v>
      </c>
      <c r="C3680">
        <v>-44</v>
      </c>
    </row>
    <row r="3681" spans="1:3" x14ac:dyDescent="0.25">
      <c r="A3681">
        <v>38</v>
      </c>
      <c r="B3681" t="str">
        <f>"8:57:00.971978"</f>
        <v>8:57:00.971978</v>
      </c>
      <c r="C3681">
        <v>-41</v>
      </c>
    </row>
    <row r="3682" spans="1:3" x14ac:dyDescent="0.25">
      <c r="A3682">
        <v>39</v>
      </c>
      <c r="B3682" t="str">
        <f>"8:57:00.973004"</f>
        <v>8:57:00.973004</v>
      </c>
      <c r="C3682">
        <v>-45</v>
      </c>
    </row>
    <row r="3683" spans="1:3" x14ac:dyDescent="0.25">
      <c r="A3683">
        <v>37</v>
      </c>
      <c r="B3683" t="str">
        <f>"8:57:01.322156"</f>
        <v>8:57:01.322156</v>
      </c>
      <c r="C3683">
        <v>-44</v>
      </c>
    </row>
    <row r="3684" spans="1:3" x14ac:dyDescent="0.25">
      <c r="A3684">
        <v>37</v>
      </c>
      <c r="B3684" t="str">
        <f>"8:57:01.322675"</f>
        <v>8:57:01.322675</v>
      </c>
      <c r="C3684">
        <v>-39</v>
      </c>
    </row>
    <row r="3685" spans="1:3" x14ac:dyDescent="0.25">
      <c r="A3685">
        <v>37</v>
      </c>
      <c r="B3685" t="str">
        <f>"8:57:01.323001"</f>
        <v>8:57:01.323001</v>
      </c>
      <c r="C3685">
        <v>-44</v>
      </c>
    </row>
    <row r="3686" spans="1:3" x14ac:dyDescent="0.25">
      <c r="A3686">
        <v>38</v>
      </c>
      <c r="B3686" t="str">
        <f>"8:57:01.323778"</f>
        <v>8:57:01.323778</v>
      </c>
      <c r="C3686">
        <v>-41</v>
      </c>
    </row>
    <row r="3687" spans="1:3" x14ac:dyDescent="0.25">
      <c r="A3687">
        <v>39</v>
      </c>
      <c r="B3687" t="str">
        <f>"8:57:01.324804"</f>
        <v>8:57:01.324804</v>
      </c>
      <c r="C3687">
        <v>-45</v>
      </c>
    </row>
    <row r="3688" spans="1:3" x14ac:dyDescent="0.25">
      <c r="A3688">
        <v>37</v>
      </c>
      <c r="B3688" t="str">
        <f>"8:57:01.679581"</f>
        <v>8:57:01.679581</v>
      </c>
      <c r="C3688">
        <v>-44</v>
      </c>
    </row>
    <row r="3689" spans="1:3" x14ac:dyDescent="0.25">
      <c r="A3689">
        <v>37</v>
      </c>
      <c r="B3689" t="str">
        <f>"8:57:01.680099"</f>
        <v>8:57:01.680099</v>
      </c>
      <c r="C3689">
        <v>-39</v>
      </c>
    </row>
    <row r="3690" spans="1:3" x14ac:dyDescent="0.25">
      <c r="A3690">
        <v>37</v>
      </c>
      <c r="B3690" t="str">
        <f>"8:57:01.680425"</f>
        <v>8:57:01.680425</v>
      </c>
      <c r="C3690">
        <v>-44</v>
      </c>
    </row>
    <row r="3691" spans="1:3" x14ac:dyDescent="0.25">
      <c r="A3691">
        <v>38</v>
      </c>
      <c r="B3691" t="str">
        <f>"8:57:01.681201"</f>
        <v>8:57:01.681201</v>
      </c>
      <c r="C3691">
        <v>-41</v>
      </c>
    </row>
    <row r="3692" spans="1:3" x14ac:dyDescent="0.25">
      <c r="A3692">
        <v>39</v>
      </c>
      <c r="B3692" t="str">
        <f>"8:57:01.682227"</f>
        <v>8:57:01.682227</v>
      </c>
      <c r="C3692">
        <v>-45</v>
      </c>
    </row>
    <row r="3693" spans="1:3" x14ac:dyDescent="0.25">
      <c r="A3693">
        <v>37</v>
      </c>
      <c r="B3693" t="str">
        <f>"8:57:02.038541"</f>
        <v>8:57:02.038541</v>
      </c>
      <c r="C3693">
        <v>-44</v>
      </c>
    </row>
    <row r="3694" spans="1:3" x14ac:dyDescent="0.25">
      <c r="A3694">
        <v>38</v>
      </c>
      <c r="B3694" t="str">
        <f>"8:57:02.039568"</f>
        <v>8:57:02.039568</v>
      </c>
      <c r="C3694">
        <v>-41</v>
      </c>
    </row>
    <row r="3695" spans="1:3" x14ac:dyDescent="0.25">
      <c r="A3695">
        <v>38</v>
      </c>
      <c r="B3695" t="str">
        <f>"8:57:02.040412"</f>
        <v>8:57:02.040412</v>
      </c>
      <c r="C3695">
        <v>-41</v>
      </c>
    </row>
    <row r="3696" spans="1:3" x14ac:dyDescent="0.25">
      <c r="A3696">
        <v>39</v>
      </c>
      <c r="B3696" t="str">
        <f>"8:57:02.041188"</f>
        <v>8:57:02.041188</v>
      </c>
      <c r="C3696">
        <v>-46</v>
      </c>
    </row>
    <row r="3697" spans="1:3" x14ac:dyDescent="0.25">
      <c r="A3697">
        <v>37</v>
      </c>
      <c r="B3697" t="str">
        <f>"8:57:02.392621"</f>
        <v>8:57:02.392621</v>
      </c>
      <c r="C3697">
        <v>-44</v>
      </c>
    </row>
    <row r="3698" spans="1:3" x14ac:dyDescent="0.25">
      <c r="A3698">
        <v>37</v>
      </c>
      <c r="B3698" t="str">
        <f>"8:57:02.393140"</f>
        <v>8:57:02.393140</v>
      </c>
      <c r="C3698">
        <v>-38</v>
      </c>
    </row>
    <row r="3699" spans="1:3" x14ac:dyDescent="0.25">
      <c r="A3699">
        <v>37</v>
      </c>
      <c r="B3699" t="str">
        <f>"8:57:02.393466"</f>
        <v>8:57:02.393466</v>
      </c>
      <c r="C3699">
        <v>-44</v>
      </c>
    </row>
    <row r="3700" spans="1:3" x14ac:dyDescent="0.25">
      <c r="A3700">
        <v>38</v>
      </c>
      <c r="B3700" t="str">
        <f>"8:57:02.394243"</f>
        <v>8:57:02.394243</v>
      </c>
      <c r="C3700">
        <v>-41</v>
      </c>
    </row>
    <row r="3701" spans="1:3" x14ac:dyDescent="0.25">
      <c r="A3701">
        <v>39</v>
      </c>
      <c r="B3701" t="str">
        <f>"8:57:02.395269"</f>
        <v>8:57:02.395269</v>
      </c>
      <c r="C3701">
        <v>-45</v>
      </c>
    </row>
    <row r="3702" spans="1:3" x14ac:dyDescent="0.25">
      <c r="A3702">
        <v>37</v>
      </c>
      <c r="B3702" t="str">
        <f>"8:57:02.747752"</f>
        <v>8:57:02.747752</v>
      </c>
      <c r="C3702">
        <v>-44</v>
      </c>
    </row>
    <row r="3703" spans="1:3" x14ac:dyDescent="0.25">
      <c r="A3703">
        <v>37</v>
      </c>
      <c r="B3703" t="str">
        <f>"8:57:02.748270"</f>
        <v>8:57:02.748270</v>
      </c>
      <c r="C3703">
        <v>-38</v>
      </c>
    </row>
    <row r="3704" spans="1:3" x14ac:dyDescent="0.25">
      <c r="A3704">
        <v>37</v>
      </c>
      <c r="B3704" t="str">
        <f>"8:57:02.748597"</f>
        <v>8:57:02.748597</v>
      </c>
      <c r="C3704">
        <v>-45</v>
      </c>
    </row>
    <row r="3705" spans="1:3" x14ac:dyDescent="0.25">
      <c r="A3705">
        <v>38</v>
      </c>
      <c r="B3705" t="str">
        <f>"8:57:02.749373"</f>
        <v>8:57:02.749373</v>
      </c>
      <c r="C3705">
        <v>-41</v>
      </c>
    </row>
    <row r="3706" spans="1:3" x14ac:dyDescent="0.25">
      <c r="A3706">
        <v>38</v>
      </c>
      <c r="B3706" t="str">
        <f>"8:57:02.750218"</f>
        <v>8:57:02.750218</v>
      </c>
      <c r="C3706">
        <v>-41</v>
      </c>
    </row>
    <row r="3707" spans="1:3" x14ac:dyDescent="0.25">
      <c r="A3707">
        <v>39</v>
      </c>
      <c r="B3707" t="str">
        <f>"8:57:02.750994"</f>
        <v>8:57:02.750994</v>
      </c>
      <c r="C3707">
        <v>-45</v>
      </c>
    </row>
    <row r="3708" spans="1:3" x14ac:dyDescent="0.25">
      <c r="A3708">
        <v>37</v>
      </c>
      <c r="B3708" t="str">
        <f>"8:57:03.104419"</f>
        <v>8:57:03.104419</v>
      </c>
      <c r="C3708">
        <v>-44</v>
      </c>
    </row>
    <row r="3709" spans="1:3" x14ac:dyDescent="0.25">
      <c r="A3709">
        <v>37</v>
      </c>
      <c r="B3709" t="str">
        <f>"8:57:03.104938"</f>
        <v>8:57:03.104938</v>
      </c>
      <c r="C3709">
        <v>-40</v>
      </c>
    </row>
    <row r="3710" spans="1:3" x14ac:dyDescent="0.25">
      <c r="A3710">
        <v>37</v>
      </c>
      <c r="B3710" t="str">
        <f>"8:57:03.105263"</f>
        <v>8:57:03.105263</v>
      </c>
      <c r="C3710">
        <v>-44</v>
      </c>
    </row>
    <row r="3711" spans="1:3" x14ac:dyDescent="0.25">
      <c r="A3711">
        <v>38</v>
      </c>
      <c r="B3711" t="str">
        <f>"8:57:03.106040"</f>
        <v>8:57:03.106040</v>
      </c>
      <c r="C3711">
        <v>-41</v>
      </c>
    </row>
    <row r="3712" spans="1:3" x14ac:dyDescent="0.25">
      <c r="A3712">
        <v>38</v>
      </c>
      <c r="B3712" t="str">
        <f>"8:57:03.106558"</f>
        <v>8:57:03.106558</v>
      </c>
      <c r="C3712">
        <v>-80</v>
      </c>
    </row>
    <row r="3713" spans="1:3" x14ac:dyDescent="0.25">
      <c r="A3713">
        <v>38</v>
      </c>
      <c r="B3713" t="str">
        <f>"8:57:03.106884"</f>
        <v>8:57:03.106884</v>
      </c>
      <c r="C3713">
        <v>-41</v>
      </c>
    </row>
    <row r="3714" spans="1:3" x14ac:dyDescent="0.25">
      <c r="A3714">
        <v>39</v>
      </c>
      <c r="B3714" t="str">
        <f>"8:57:03.107660"</f>
        <v>8:57:03.107660</v>
      </c>
      <c r="C3714">
        <v>-45</v>
      </c>
    </row>
    <row r="3715" spans="1:3" x14ac:dyDescent="0.25">
      <c r="A3715">
        <v>37</v>
      </c>
      <c r="B3715" t="str">
        <f>"8:57:03.464149"</f>
        <v>8:57:03.464149</v>
      </c>
      <c r="C3715">
        <v>-44</v>
      </c>
    </row>
    <row r="3716" spans="1:3" x14ac:dyDescent="0.25">
      <c r="A3716">
        <v>37</v>
      </c>
      <c r="B3716" t="str">
        <f>"8:57:03.464668"</f>
        <v>8:57:03.464668</v>
      </c>
      <c r="C3716">
        <v>-40</v>
      </c>
    </row>
    <row r="3717" spans="1:3" x14ac:dyDescent="0.25">
      <c r="A3717">
        <v>37</v>
      </c>
      <c r="B3717" t="str">
        <f>"8:57:03.464993"</f>
        <v>8:57:03.464993</v>
      </c>
      <c r="C3717">
        <v>-44</v>
      </c>
    </row>
    <row r="3718" spans="1:3" x14ac:dyDescent="0.25">
      <c r="A3718">
        <v>38</v>
      </c>
      <c r="B3718" t="str">
        <f>"8:57:03.465770"</f>
        <v>8:57:03.465770</v>
      </c>
      <c r="C3718">
        <v>-41</v>
      </c>
    </row>
    <row r="3719" spans="1:3" x14ac:dyDescent="0.25">
      <c r="A3719">
        <v>38</v>
      </c>
      <c r="B3719" t="str">
        <f>"8:57:03.466288"</f>
        <v>8:57:03.466288</v>
      </c>
      <c r="C3719">
        <v>-82</v>
      </c>
    </row>
    <row r="3720" spans="1:3" x14ac:dyDescent="0.25">
      <c r="A3720">
        <v>38</v>
      </c>
      <c r="B3720" t="str">
        <f>"8:57:03.466615"</f>
        <v>8:57:03.466615</v>
      </c>
      <c r="C3720">
        <v>-41</v>
      </c>
    </row>
    <row r="3721" spans="1:3" x14ac:dyDescent="0.25">
      <c r="A3721">
        <v>39</v>
      </c>
      <c r="B3721" t="str">
        <f>"8:57:03.467391"</f>
        <v>8:57:03.467391</v>
      </c>
      <c r="C3721">
        <v>-46</v>
      </c>
    </row>
    <row r="3722" spans="1:3" x14ac:dyDescent="0.25">
      <c r="A3722">
        <v>37</v>
      </c>
      <c r="B3722" t="str">
        <f>"8:57:03.818963"</f>
        <v>8:57:03.818963</v>
      </c>
      <c r="C3722">
        <v>-44</v>
      </c>
    </row>
    <row r="3723" spans="1:3" x14ac:dyDescent="0.25">
      <c r="A3723">
        <v>37</v>
      </c>
      <c r="B3723" t="str">
        <f>"8:57:03.819482"</f>
        <v>8:57:03.819482</v>
      </c>
      <c r="C3723">
        <v>-40</v>
      </c>
    </row>
    <row r="3724" spans="1:3" x14ac:dyDescent="0.25">
      <c r="A3724">
        <v>37</v>
      </c>
      <c r="B3724" t="str">
        <f>"8:57:03.819808"</f>
        <v>8:57:03.819808</v>
      </c>
      <c r="C3724">
        <v>-44</v>
      </c>
    </row>
    <row r="3725" spans="1:3" x14ac:dyDescent="0.25">
      <c r="A3725">
        <v>38</v>
      </c>
      <c r="B3725" t="str">
        <f>"8:57:03.820584"</f>
        <v>8:57:03.820584</v>
      </c>
      <c r="C3725">
        <v>-41</v>
      </c>
    </row>
    <row r="3726" spans="1:3" x14ac:dyDescent="0.25">
      <c r="A3726">
        <v>38</v>
      </c>
      <c r="B3726" t="str">
        <f>"8:57:03.821103"</f>
        <v>8:57:03.821103</v>
      </c>
      <c r="C3726">
        <v>-77</v>
      </c>
    </row>
    <row r="3727" spans="1:3" x14ac:dyDescent="0.25">
      <c r="A3727">
        <v>38</v>
      </c>
      <c r="B3727" t="str">
        <f>"8:57:03.821429"</f>
        <v>8:57:03.821429</v>
      </c>
      <c r="C3727">
        <v>-41</v>
      </c>
    </row>
    <row r="3728" spans="1:3" x14ac:dyDescent="0.25">
      <c r="A3728">
        <v>39</v>
      </c>
      <c r="B3728" t="str">
        <f>"8:57:03.822205"</f>
        <v>8:57:03.822205</v>
      </c>
      <c r="C3728">
        <v>-45</v>
      </c>
    </row>
    <row r="3729" spans="1:3" x14ac:dyDescent="0.25">
      <c r="A3729">
        <v>37</v>
      </c>
      <c r="B3729" t="str">
        <f>"8:57:04.169425"</f>
        <v>8:57:04.169425</v>
      </c>
      <c r="C3729">
        <v>-44</v>
      </c>
    </row>
    <row r="3730" spans="1:3" x14ac:dyDescent="0.25">
      <c r="A3730">
        <v>37</v>
      </c>
      <c r="B3730" t="str">
        <f>"8:57:04.169943"</f>
        <v>8:57:04.169943</v>
      </c>
      <c r="C3730">
        <v>-40</v>
      </c>
    </row>
    <row r="3731" spans="1:3" x14ac:dyDescent="0.25">
      <c r="A3731">
        <v>37</v>
      </c>
      <c r="B3731" t="str">
        <f>"8:57:04.170269"</f>
        <v>8:57:04.170269</v>
      </c>
      <c r="C3731">
        <v>-44</v>
      </c>
    </row>
    <row r="3732" spans="1:3" x14ac:dyDescent="0.25">
      <c r="A3732">
        <v>38</v>
      </c>
      <c r="B3732" t="str">
        <f>"8:57:04.171045"</f>
        <v>8:57:04.171045</v>
      </c>
      <c r="C3732">
        <v>-41</v>
      </c>
    </row>
    <row r="3733" spans="1:3" x14ac:dyDescent="0.25">
      <c r="A3733">
        <v>39</v>
      </c>
      <c r="B3733" t="str">
        <f>"8:57:04.172243"</f>
        <v>8:57:04.172243</v>
      </c>
      <c r="C3733">
        <v>-45</v>
      </c>
    </row>
    <row r="3734" spans="1:3" x14ac:dyDescent="0.25">
      <c r="A3734">
        <v>37</v>
      </c>
      <c r="B3734" t="str">
        <f>"8:57:04.521179"</f>
        <v>8:57:04.521179</v>
      </c>
      <c r="C3734">
        <v>-44</v>
      </c>
    </row>
    <row r="3735" spans="1:3" x14ac:dyDescent="0.25">
      <c r="A3735">
        <v>38</v>
      </c>
      <c r="B3735" t="str">
        <f>"8:57:04.522206"</f>
        <v>8:57:04.522206</v>
      </c>
      <c r="C3735">
        <v>-41</v>
      </c>
    </row>
    <row r="3736" spans="1:3" x14ac:dyDescent="0.25">
      <c r="A3736">
        <v>38</v>
      </c>
      <c r="B3736" t="str">
        <f>"8:57:04.522725"</f>
        <v>8:57:04.522725</v>
      </c>
      <c r="C3736">
        <v>-31</v>
      </c>
    </row>
    <row r="3737" spans="1:3" x14ac:dyDescent="0.25">
      <c r="A3737">
        <v>38</v>
      </c>
      <c r="B3737" t="str">
        <f>"8:57:04.523051"</f>
        <v>8:57:04.523051</v>
      </c>
      <c r="C3737">
        <v>-41</v>
      </c>
    </row>
    <row r="3738" spans="1:3" x14ac:dyDescent="0.25">
      <c r="A3738">
        <v>39</v>
      </c>
      <c r="B3738" t="str">
        <f>"8:57:04.523827"</f>
        <v>8:57:04.523827</v>
      </c>
      <c r="C3738">
        <v>-45</v>
      </c>
    </row>
    <row r="3739" spans="1:3" x14ac:dyDescent="0.25">
      <c r="A3739">
        <v>37</v>
      </c>
      <c r="B3739" t="str">
        <f>"8:57:04.874215"</f>
        <v>8:57:04.874215</v>
      </c>
      <c r="C3739">
        <v>-44</v>
      </c>
    </row>
    <row r="3740" spans="1:3" x14ac:dyDescent="0.25">
      <c r="A3740">
        <v>38</v>
      </c>
      <c r="B3740" t="str">
        <f>"8:57:04.875242"</f>
        <v>8:57:04.875242</v>
      </c>
      <c r="C3740">
        <v>-41</v>
      </c>
    </row>
    <row r="3741" spans="1:3" x14ac:dyDescent="0.25">
      <c r="A3741">
        <v>38</v>
      </c>
      <c r="B3741" t="str">
        <f>"8:57:04.875761"</f>
        <v>8:57:04.875761</v>
      </c>
      <c r="C3741">
        <v>-31</v>
      </c>
    </row>
    <row r="3742" spans="1:3" x14ac:dyDescent="0.25">
      <c r="A3742">
        <v>38</v>
      </c>
      <c r="B3742" t="str">
        <f>"8:57:04.876087"</f>
        <v>8:57:04.876087</v>
      </c>
      <c r="C3742">
        <v>-41</v>
      </c>
    </row>
    <row r="3743" spans="1:3" x14ac:dyDescent="0.25">
      <c r="A3743">
        <v>39</v>
      </c>
      <c r="B3743" t="str">
        <f>"8:57:04.876863"</f>
        <v>8:57:04.876863</v>
      </c>
      <c r="C3743">
        <v>-45</v>
      </c>
    </row>
    <row r="3744" spans="1:3" x14ac:dyDescent="0.25">
      <c r="A3744">
        <v>37</v>
      </c>
      <c r="B3744" t="str">
        <f>"8:57:05.228755"</f>
        <v>8:57:05.228755</v>
      </c>
      <c r="C3744">
        <v>-44</v>
      </c>
    </row>
    <row r="3745" spans="1:3" x14ac:dyDescent="0.25">
      <c r="A3745">
        <v>38</v>
      </c>
      <c r="B3745" t="str">
        <f>"8:57:05.229782"</f>
        <v>8:57:05.229782</v>
      </c>
      <c r="C3745">
        <v>-41</v>
      </c>
    </row>
    <row r="3746" spans="1:3" x14ac:dyDescent="0.25">
      <c r="A3746">
        <v>38</v>
      </c>
      <c r="B3746" t="str">
        <f>"8:57:05.230301"</f>
        <v>8:57:05.230301</v>
      </c>
      <c r="C3746">
        <v>-31</v>
      </c>
    </row>
    <row r="3747" spans="1:3" x14ac:dyDescent="0.25">
      <c r="A3747">
        <v>38</v>
      </c>
      <c r="B3747" t="str">
        <f>"8:57:05.230627"</f>
        <v>8:57:05.230627</v>
      </c>
      <c r="C3747">
        <v>-41</v>
      </c>
    </row>
    <row r="3748" spans="1:3" x14ac:dyDescent="0.25">
      <c r="A3748">
        <v>39</v>
      </c>
      <c r="B3748" t="str">
        <f>"8:57:05.231403"</f>
        <v>8:57:05.231403</v>
      </c>
      <c r="C3748">
        <v>-45</v>
      </c>
    </row>
    <row r="3749" spans="1:3" x14ac:dyDescent="0.25">
      <c r="A3749">
        <v>37</v>
      </c>
      <c r="B3749" t="str">
        <f>"8:57:05.580817"</f>
        <v>8:57:05.580817</v>
      </c>
      <c r="C3749">
        <v>-44</v>
      </c>
    </row>
    <row r="3750" spans="1:3" x14ac:dyDescent="0.25">
      <c r="A3750">
        <v>38</v>
      </c>
      <c r="B3750" t="str">
        <f>"8:57:05.581845"</f>
        <v>8:57:05.581845</v>
      </c>
      <c r="C3750">
        <v>-41</v>
      </c>
    </row>
    <row r="3751" spans="1:3" x14ac:dyDescent="0.25">
      <c r="A3751">
        <v>38</v>
      </c>
      <c r="B3751" t="str">
        <f>"8:57:05.582363"</f>
        <v>8:57:05.582363</v>
      </c>
      <c r="C3751">
        <v>-31</v>
      </c>
    </row>
    <row r="3752" spans="1:3" x14ac:dyDescent="0.25">
      <c r="A3752">
        <v>38</v>
      </c>
      <c r="B3752" t="str">
        <f>"8:57:05.582689"</f>
        <v>8:57:05.582689</v>
      </c>
      <c r="C3752">
        <v>-41</v>
      </c>
    </row>
    <row r="3753" spans="1:3" x14ac:dyDescent="0.25">
      <c r="A3753">
        <v>39</v>
      </c>
      <c r="B3753" t="str">
        <f>"8:57:05.583465"</f>
        <v>8:57:05.583465</v>
      </c>
      <c r="C3753">
        <v>-45</v>
      </c>
    </row>
    <row r="3754" spans="1:3" x14ac:dyDescent="0.25">
      <c r="A3754">
        <v>37</v>
      </c>
      <c r="B3754" t="str">
        <f>"8:57:05.932887"</f>
        <v>8:57:05.932887</v>
      </c>
      <c r="C3754">
        <v>-44</v>
      </c>
    </row>
    <row r="3755" spans="1:3" x14ac:dyDescent="0.25">
      <c r="A3755">
        <v>38</v>
      </c>
      <c r="B3755" t="str">
        <f>"8:57:05.933915"</f>
        <v>8:57:05.933915</v>
      </c>
      <c r="C3755">
        <v>-41</v>
      </c>
    </row>
    <row r="3756" spans="1:3" x14ac:dyDescent="0.25">
      <c r="A3756">
        <v>39</v>
      </c>
      <c r="B3756" t="str">
        <f>"8:57:05.934941"</f>
        <v>8:57:05.934941</v>
      </c>
      <c r="C3756">
        <v>-45</v>
      </c>
    </row>
    <row r="3757" spans="1:3" x14ac:dyDescent="0.25">
      <c r="A3757">
        <v>37</v>
      </c>
      <c r="B3757" t="str">
        <f>"8:57:06.286159"</f>
        <v>8:57:06.286159</v>
      </c>
      <c r="C3757">
        <v>-44</v>
      </c>
    </row>
    <row r="3758" spans="1:3" x14ac:dyDescent="0.25">
      <c r="A3758">
        <v>38</v>
      </c>
      <c r="B3758" t="str">
        <f>"8:57:06.287186"</f>
        <v>8:57:06.287186</v>
      </c>
      <c r="C3758">
        <v>-41</v>
      </c>
    </row>
    <row r="3759" spans="1:3" x14ac:dyDescent="0.25">
      <c r="A3759">
        <v>38</v>
      </c>
      <c r="B3759" t="str">
        <f>"8:57:06.287704"</f>
        <v>8:57:06.287704</v>
      </c>
      <c r="C3759">
        <v>-31</v>
      </c>
    </row>
    <row r="3760" spans="1:3" x14ac:dyDescent="0.25">
      <c r="A3760">
        <v>38</v>
      </c>
      <c r="B3760" t="str">
        <f>"8:57:06.288030"</f>
        <v>8:57:06.288030</v>
      </c>
      <c r="C3760">
        <v>-41</v>
      </c>
    </row>
    <row r="3761" spans="1:3" x14ac:dyDescent="0.25">
      <c r="A3761">
        <v>39</v>
      </c>
      <c r="B3761" t="str">
        <f>"8:57:06.288806"</f>
        <v>8:57:06.288806</v>
      </c>
      <c r="C3761">
        <v>-45</v>
      </c>
    </row>
    <row r="3762" spans="1:3" x14ac:dyDescent="0.25">
      <c r="A3762">
        <v>37</v>
      </c>
      <c r="B3762" t="str">
        <f>"8:57:06.636345"</f>
        <v>8:57:06.636345</v>
      </c>
      <c r="C3762">
        <v>-44</v>
      </c>
    </row>
    <row r="3763" spans="1:3" x14ac:dyDescent="0.25">
      <c r="A3763">
        <v>38</v>
      </c>
      <c r="B3763" t="str">
        <f>"8:57:06.637373"</f>
        <v>8:57:06.637373</v>
      </c>
      <c r="C3763">
        <v>-41</v>
      </c>
    </row>
    <row r="3764" spans="1:3" x14ac:dyDescent="0.25">
      <c r="A3764">
        <v>39</v>
      </c>
      <c r="B3764" t="str">
        <f>"8:57:06.638399"</f>
        <v>8:57:06.638399</v>
      </c>
      <c r="C3764">
        <v>-45</v>
      </c>
    </row>
    <row r="3765" spans="1:3" x14ac:dyDescent="0.25">
      <c r="A3765">
        <v>37</v>
      </c>
      <c r="B3765" t="str">
        <f>"8:57:06.988651"</f>
        <v>8:57:06.988651</v>
      </c>
      <c r="C3765">
        <v>-44</v>
      </c>
    </row>
    <row r="3766" spans="1:3" x14ac:dyDescent="0.25">
      <c r="A3766">
        <v>38</v>
      </c>
      <c r="B3766" t="str">
        <f>"8:57:06.989679"</f>
        <v>8:57:06.989679</v>
      </c>
      <c r="C3766">
        <v>-41</v>
      </c>
    </row>
    <row r="3767" spans="1:3" x14ac:dyDescent="0.25">
      <c r="A3767">
        <v>38</v>
      </c>
      <c r="B3767" t="str">
        <f>"8:57:06.990197"</f>
        <v>8:57:06.990197</v>
      </c>
      <c r="C3767">
        <v>-31</v>
      </c>
    </row>
    <row r="3768" spans="1:3" x14ac:dyDescent="0.25">
      <c r="A3768">
        <v>38</v>
      </c>
      <c r="B3768" t="str">
        <f>"8:57:06.990523"</f>
        <v>8:57:06.990523</v>
      </c>
      <c r="C3768">
        <v>-41</v>
      </c>
    </row>
    <row r="3769" spans="1:3" x14ac:dyDescent="0.25">
      <c r="A3769">
        <v>39</v>
      </c>
      <c r="B3769" t="str">
        <f>"8:57:06.991299"</f>
        <v>8:57:06.991299</v>
      </c>
      <c r="C3769">
        <v>-45</v>
      </c>
    </row>
    <row r="3770" spans="1:3" x14ac:dyDescent="0.25">
      <c r="A3770">
        <v>37</v>
      </c>
      <c r="B3770" t="str">
        <f>"8:57:07.342007"</f>
        <v>8:57:07.342007</v>
      </c>
      <c r="C3770">
        <v>-44</v>
      </c>
    </row>
    <row r="3771" spans="1:3" x14ac:dyDescent="0.25">
      <c r="A3771">
        <v>37</v>
      </c>
      <c r="B3771" t="str">
        <f>"8:57:07.342527"</f>
        <v>8:57:07.342527</v>
      </c>
      <c r="C3771">
        <v>-80</v>
      </c>
    </row>
    <row r="3772" spans="1:3" x14ac:dyDescent="0.25">
      <c r="A3772">
        <v>38</v>
      </c>
      <c r="B3772" t="str">
        <f>"8:57:07.343034"</f>
        <v>8:57:07.343034</v>
      </c>
      <c r="C3772">
        <v>-41</v>
      </c>
    </row>
    <row r="3773" spans="1:3" x14ac:dyDescent="0.25">
      <c r="A3773">
        <v>38</v>
      </c>
      <c r="B3773" t="str">
        <f>"8:57:07.343553"</f>
        <v>8:57:07.343553</v>
      </c>
      <c r="C3773">
        <v>-31</v>
      </c>
    </row>
    <row r="3774" spans="1:3" x14ac:dyDescent="0.25">
      <c r="A3774">
        <v>38</v>
      </c>
      <c r="B3774" t="str">
        <f>"8:57:07.343878"</f>
        <v>8:57:07.343878</v>
      </c>
      <c r="C3774">
        <v>-41</v>
      </c>
    </row>
    <row r="3775" spans="1:3" x14ac:dyDescent="0.25">
      <c r="A3775">
        <v>39</v>
      </c>
      <c r="B3775" t="str">
        <f>"8:57:07.344654"</f>
        <v>8:57:07.344654</v>
      </c>
      <c r="C3775">
        <v>-45</v>
      </c>
    </row>
    <row r="3776" spans="1:3" x14ac:dyDescent="0.25">
      <c r="A3776">
        <v>37</v>
      </c>
      <c r="B3776" t="str">
        <f>"8:57:07.702026"</f>
        <v>8:57:07.702026</v>
      </c>
      <c r="C3776">
        <v>-44</v>
      </c>
    </row>
    <row r="3777" spans="1:3" x14ac:dyDescent="0.25">
      <c r="A3777">
        <v>38</v>
      </c>
      <c r="B3777" t="str">
        <f>"8:57:07.703053"</f>
        <v>8:57:07.703053</v>
      </c>
      <c r="C3777">
        <v>-41</v>
      </c>
    </row>
    <row r="3778" spans="1:3" x14ac:dyDescent="0.25">
      <c r="A3778">
        <v>38</v>
      </c>
      <c r="B3778" t="str">
        <f>"8:57:07.703572"</f>
        <v>8:57:07.703572</v>
      </c>
      <c r="C3778">
        <v>-31</v>
      </c>
    </row>
    <row r="3779" spans="1:3" x14ac:dyDescent="0.25">
      <c r="A3779">
        <v>38</v>
      </c>
      <c r="B3779" t="str">
        <f>"8:57:07.703897"</f>
        <v>8:57:07.703897</v>
      </c>
      <c r="C3779">
        <v>-41</v>
      </c>
    </row>
    <row r="3780" spans="1:3" x14ac:dyDescent="0.25">
      <c r="A3780">
        <v>39</v>
      </c>
      <c r="B3780" t="str">
        <f>"8:57:07.704673"</f>
        <v>8:57:07.704673</v>
      </c>
      <c r="C3780">
        <v>-45</v>
      </c>
    </row>
    <row r="3781" spans="1:3" x14ac:dyDescent="0.25">
      <c r="A3781">
        <v>37</v>
      </c>
      <c r="B3781" t="str">
        <f>"8:57:08.059194"</f>
        <v>8:57:08.059194</v>
      </c>
      <c r="C3781">
        <v>-44</v>
      </c>
    </row>
    <row r="3782" spans="1:3" x14ac:dyDescent="0.25">
      <c r="A3782">
        <v>38</v>
      </c>
      <c r="B3782" t="str">
        <f>"8:57:08.060221"</f>
        <v>8:57:08.060221</v>
      </c>
      <c r="C3782">
        <v>-41</v>
      </c>
    </row>
    <row r="3783" spans="1:3" x14ac:dyDescent="0.25">
      <c r="A3783">
        <v>38</v>
      </c>
      <c r="B3783" t="str">
        <f>"8:57:08.060740"</f>
        <v>8:57:08.060740</v>
      </c>
      <c r="C3783">
        <v>-32</v>
      </c>
    </row>
    <row r="3784" spans="1:3" x14ac:dyDescent="0.25">
      <c r="A3784">
        <v>38</v>
      </c>
      <c r="B3784" t="str">
        <f>"8:57:08.061065"</f>
        <v>8:57:08.061065</v>
      </c>
      <c r="C3784">
        <v>-41</v>
      </c>
    </row>
    <row r="3785" spans="1:3" x14ac:dyDescent="0.25">
      <c r="A3785">
        <v>39</v>
      </c>
      <c r="B3785" t="str">
        <f>"8:57:08.061841"</f>
        <v>8:57:08.061841</v>
      </c>
      <c r="C3785">
        <v>-45</v>
      </c>
    </row>
    <row r="3786" spans="1:3" x14ac:dyDescent="0.25">
      <c r="A3786">
        <v>37</v>
      </c>
      <c r="B3786" t="str">
        <f>"8:57:08.413272"</f>
        <v>8:57:08.413272</v>
      </c>
      <c r="C3786">
        <v>-44</v>
      </c>
    </row>
    <row r="3787" spans="1:3" x14ac:dyDescent="0.25">
      <c r="A3787">
        <v>37</v>
      </c>
      <c r="B3787" t="str">
        <f>"8:57:08.413791"</f>
        <v>8:57:08.413791</v>
      </c>
      <c r="C3787">
        <v>-86</v>
      </c>
    </row>
    <row r="3788" spans="1:3" x14ac:dyDescent="0.25">
      <c r="A3788">
        <v>37</v>
      </c>
      <c r="B3788" t="str">
        <f>"8:57:08.414117"</f>
        <v>8:57:08.414117</v>
      </c>
      <c r="C3788">
        <v>-44</v>
      </c>
    </row>
    <row r="3789" spans="1:3" x14ac:dyDescent="0.25">
      <c r="A3789">
        <v>38</v>
      </c>
      <c r="B3789" t="str">
        <f>"8:57:08.414893"</f>
        <v>8:57:08.414893</v>
      </c>
      <c r="C3789">
        <v>-41</v>
      </c>
    </row>
    <row r="3790" spans="1:3" x14ac:dyDescent="0.25">
      <c r="A3790">
        <v>38</v>
      </c>
      <c r="B3790" t="str">
        <f>"8:57:08.415411"</f>
        <v>8:57:08.415411</v>
      </c>
      <c r="C3790">
        <v>-31</v>
      </c>
    </row>
    <row r="3791" spans="1:3" x14ac:dyDescent="0.25">
      <c r="A3791">
        <v>38</v>
      </c>
      <c r="B3791" t="str">
        <f>"8:57:08.415737"</f>
        <v>8:57:08.415737</v>
      </c>
      <c r="C3791">
        <v>-41</v>
      </c>
    </row>
    <row r="3792" spans="1:3" x14ac:dyDescent="0.25">
      <c r="A3792">
        <v>39</v>
      </c>
      <c r="B3792" t="str">
        <f>"8:57:08.416513"</f>
        <v>8:57:08.416513</v>
      </c>
      <c r="C3792">
        <v>-45</v>
      </c>
    </row>
    <row r="3793" spans="1:3" x14ac:dyDescent="0.25">
      <c r="A3793">
        <v>37</v>
      </c>
      <c r="B3793" t="str">
        <f>"8:57:08.767652"</f>
        <v>8:57:08.767652</v>
      </c>
      <c r="C3793">
        <v>-44</v>
      </c>
    </row>
    <row r="3794" spans="1:3" x14ac:dyDescent="0.25">
      <c r="A3794">
        <v>38</v>
      </c>
      <c r="B3794" t="str">
        <f>"8:57:08.768679"</f>
        <v>8:57:08.768679</v>
      </c>
      <c r="C3794">
        <v>-41</v>
      </c>
    </row>
    <row r="3795" spans="1:3" x14ac:dyDescent="0.25">
      <c r="A3795">
        <v>38</v>
      </c>
      <c r="B3795" t="str">
        <f>"8:57:08.769197"</f>
        <v>8:57:08.769197</v>
      </c>
      <c r="C3795">
        <v>-31</v>
      </c>
    </row>
    <row r="3796" spans="1:3" x14ac:dyDescent="0.25">
      <c r="A3796">
        <v>38</v>
      </c>
      <c r="B3796" t="str">
        <f>"8:57:08.769523"</f>
        <v>8:57:08.769523</v>
      </c>
      <c r="C3796">
        <v>-41</v>
      </c>
    </row>
    <row r="3797" spans="1:3" x14ac:dyDescent="0.25">
      <c r="A3797">
        <v>39</v>
      </c>
      <c r="B3797" t="str">
        <f>"8:57:08.770299"</f>
        <v>8:57:08.770299</v>
      </c>
      <c r="C3797">
        <v>-45</v>
      </c>
    </row>
    <row r="3798" spans="1:3" x14ac:dyDescent="0.25">
      <c r="A3798">
        <v>39</v>
      </c>
      <c r="B3798" t="str">
        <f>"8:57:08.770819"</f>
        <v>8:57:08.770819</v>
      </c>
      <c r="C3798">
        <v>-75</v>
      </c>
    </row>
    <row r="3799" spans="1:3" x14ac:dyDescent="0.25">
      <c r="A3799">
        <v>37</v>
      </c>
      <c r="B3799" t="str">
        <f>"8:57:09.123564"</f>
        <v>8:57:09.123564</v>
      </c>
      <c r="C3799">
        <v>-44</v>
      </c>
    </row>
    <row r="3800" spans="1:3" x14ac:dyDescent="0.25">
      <c r="A3800">
        <v>38</v>
      </c>
      <c r="B3800" t="str">
        <f>"8:57:09.124592"</f>
        <v>8:57:09.124592</v>
      </c>
      <c r="C3800">
        <v>-41</v>
      </c>
    </row>
    <row r="3801" spans="1:3" x14ac:dyDescent="0.25">
      <c r="A3801">
        <v>38</v>
      </c>
      <c r="B3801" t="str">
        <f>"8:57:09.125110"</f>
        <v>8:57:09.125110</v>
      </c>
      <c r="C3801">
        <v>-31</v>
      </c>
    </row>
    <row r="3802" spans="1:3" x14ac:dyDescent="0.25">
      <c r="A3802">
        <v>38</v>
      </c>
      <c r="B3802" t="str">
        <f>"8:57:09.125436"</f>
        <v>8:57:09.125436</v>
      </c>
      <c r="C3802">
        <v>-41</v>
      </c>
    </row>
    <row r="3803" spans="1:3" x14ac:dyDescent="0.25">
      <c r="A3803">
        <v>39</v>
      </c>
      <c r="B3803" t="str">
        <f>"8:57:09.126212"</f>
        <v>8:57:09.126212</v>
      </c>
      <c r="C3803">
        <v>-45</v>
      </c>
    </row>
    <row r="3804" spans="1:3" x14ac:dyDescent="0.25">
      <c r="A3804">
        <v>37</v>
      </c>
      <c r="B3804" t="str">
        <f>"8:57:09.474359"</f>
        <v>8:57:09.474359</v>
      </c>
      <c r="C3804">
        <v>-44</v>
      </c>
    </row>
    <row r="3805" spans="1:3" x14ac:dyDescent="0.25">
      <c r="A3805">
        <v>38</v>
      </c>
      <c r="B3805" t="str">
        <f>"8:57:09.475386"</f>
        <v>8:57:09.475386</v>
      </c>
      <c r="C3805">
        <v>-41</v>
      </c>
    </row>
    <row r="3806" spans="1:3" x14ac:dyDescent="0.25">
      <c r="A3806">
        <v>39</v>
      </c>
      <c r="B3806" t="str">
        <f>"8:57:09.476412"</f>
        <v>8:57:09.476412</v>
      </c>
      <c r="C3806">
        <v>-45</v>
      </c>
    </row>
    <row r="3807" spans="1:3" x14ac:dyDescent="0.25">
      <c r="A3807">
        <v>39</v>
      </c>
      <c r="B3807" t="str">
        <f>"8:57:09.476931"</f>
        <v>8:57:09.476931</v>
      </c>
      <c r="C3807">
        <v>-31</v>
      </c>
    </row>
    <row r="3808" spans="1:3" x14ac:dyDescent="0.25">
      <c r="A3808">
        <v>39</v>
      </c>
      <c r="B3808" t="str">
        <f>"8:57:09.477258"</f>
        <v>8:57:09.477258</v>
      </c>
      <c r="C3808">
        <v>-45</v>
      </c>
    </row>
    <row r="3809" spans="1:3" x14ac:dyDescent="0.25">
      <c r="A3809">
        <v>37</v>
      </c>
      <c r="B3809" t="str">
        <f>"8:57:09.826902"</f>
        <v>8:57:09.826902</v>
      </c>
      <c r="C3809">
        <v>-44</v>
      </c>
    </row>
    <row r="3810" spans="1:3" x14ac:dyDescent="0.25">
      <c r="A3810">
        <v>37</v>
      </c>
      <c r="B3810" t="str">
        <f>"8:57:09.827420"</f>
        <v>8:57:09.827420</v>
      </c>
      <c r="C3810">
        <v>-80</v>
      </c>
    </row>
    <row r="3811" spans="1:3" x14ac:dyDescent="0.25">
      <c r="A3811">
        <v>37</v>
      </c>
      <c r="B3811" t="str">
        <f>"8:57:09.827746"</f>
        <v>8:57:09.827746</v>
      </c>
      <c r="C3811">
        <v>-44</v>
      </c>
    </row>
    <row r="3812" spans="1:3" x14ac:dyDescent="0.25">
      <c r="A3812">
        <v>38</v>
      </c>
      <c r="B3812" t="str">
        <f>"8:57:09.828522"</f>
        <v>8:57:09.828522</v>
      </c>
      <c r="C3812">
        <v>-41</v>
      </c>
    </row>
    <row r="3813" spans="1:3" x14ac:dyDescent="0.25">
      <c r="A3813">
        <v>39</v>
      </c>
      <c r="B3813" t="str">
        <f>"8:57:09.829548"</f>
        <v>8:57:09.829548</v>
      </c>
      <c r="C3813">
        <v>-46</v>
      </c>
    </row>
    <row r="3814" spans="1:3" x14ac:dyDescent="0.25">
      <c r="A3814">
        <v>39</v>
      </c>
      <c r="B3814" t="str">
        <f>"8:57:09.830066"</f>
        <v>8:57:09.830066</v>
      </c>
      <c r="C3814">
        <v>-31</v>
      </c>
    </row>
    <row r="3815" spans="1:3" x14ac:dyDescent="0.25">
      <c r="A3815">
        <v>39</v>
      </c>
      <c r="B3815" t="str">
        <f>"8:57:09.830392"</f>
        <v>8:57:09.830392</v>
      </c>
      <c r="C3815">
        <v>-45</v>
      </c>
    </row>
    <row r="3816" spans="1:3" x14ac:dyDescent="0.25">
      <c r="A3816">
        <v>37</v>
      </c>
      <c r="B3816" t="str">
        <f>"8:57:10.180973"</f>
        <v>8:57:10.180973</v>
      </c>
      <c r="C3816">
        <v>-44</v>
      </c>
    </row>
    <row r="3817" spans="1:3" x14ac:dyDescent="0.25">
      <c r="A3817">
        <v>38</v>
      </c>
      <c r="B3817" t="str">
        <f>"8:57:10.182000"</f>
        <v>8:57:10.182000</v>
      </c>
      <c r="C3817">
        <v>-41</v>
      </c>
    </row>
    <row r="3818" spans="1:3" x14ac:dyDescent="0.25">
      <c r="A3818">
        <v>39</v>
      </c>
      <c r="B3818" t="str">
        <f>"8:57:10.183026"</f>
        <v>8:57:10.183026</v>
      </c>
      <c r="C3818">
        <v>-46</v>
      </c>
    </row>
    <row r="3819" spans="1:3" x14ac:dyDescent="0.25">
      <c r="A3819">
        <v>39</v>
      </c>
      <c r="B3819" t="str">
        <f>"8:57:10.183544"</f>
        <v>8:57:10.183544</v>
      </c>
      <c r="C3819">
        <v>-31</v>
      </c>
    </row>
    <row r="3820" spans="1:3" x14ac:dyDescent="0.25">
      <c r="A3820">
        <v>39</v>
      </c>
      <c r="B3820" t="str">
        <f>"8:57:10.183870"</f>
        <v>8:57:10.183870</v>
      </c>
      <c r="C3820">
        <v>-45</v>
      </c>
    </row>
    <row r="3821" spans="1:3" x14ac:dyDescent="0.25">
      <c r="A3821">
        <v>37</v>
      </c>
      <c r="B3821" t="str">
        <f>"8:57:10.533990"</f>
        <v>8:57:10.533990</v>
      </c>
      <c r="C3821">
        <v>-44</v>
      </c>
    </row>
    <row r="3822" spans="1:3" x14ac:dyDescent="0.25">
      <c r="A3822">
        <v>38</v>
      </c>
      <c r="B3822" t="str">
        <f>"8:57:10.535017"</f>
        <v>8:57:10.535017</v>
      </c>
      <c r="C3822">
        <v>-41</v>
      </c>
    </row>
    <row r="3823" spans="1:3" x14ac:dyDescent="0.25">
      <c r="A3823">
        <v>39</v>
      </c>
      <c r="B3823" t="str">
        <f>"8:57:10.536044"</f>
        <v>8:57:10.536044</v>
      </c>
      <c r="C3823">
        <v>-46</v>
      </c>
    </row>
    <row r="3824" spans="1:3" x14ac:dyDescent="0.25">
      <c r="A3824">
        <v>39</v>
      </c>
      <c r="B3824" t="str">
        <f>"8:57:10.536561"</f>
        <v>8:57:10.536561</v>
      </c>
      <c r="C3824">
        <v>-31</v>
      </c>
    </row>
    <row r="3825" spans="1:3" x14ac:dyDescent="0.25">
      <c r="A3825">
        <v>39</v>
      </c>
      <c r="B3825" t="str">
        <f>"8:57:10.536888"</f>
        <v>8:57:10.536888</v>
      </c>
      <c r="C3825">
        <v>-45</v>
      </c>
    </row>
    <row r="3826" spans="1:3" x14ac:dyDescent="0.25">
      <c r="A3826">
        <v>37</v>
      </c>
      <c r="B3826" t="str">
        <f>"8:57:10.890367"</f>
        <v>8:57:10.890367</v>
      </c>
      <c r="C3826">
        <v>-44</v>
      </c>
    </row>
    <row r="3827" spans="1:3" x14ac:dyDescent="0.25">
      <c r="A3827">
        <v>38</v>
      </c>
      <c r="B3827" t="str">
        <f>"8:57:10.891394"</f>
        <v>8:57:10.891394</v>
      </c>
      <c r="C3827">
        <v>-41</v>
      </c>
    </row>
    <row r="3828" spans="1:3" x14ac:dyDescent="0.25">
      <c r="A3828">
        <v>39</v>
      </c>
      <c r="B3828" t="str">
        <f>"8:57:10.892420"</f>
        <v>8:57:10.892420</v>
      </c>
      <c r="C3828">
        <v>-46</v>
      </c>
    </row>
    <row r="3829" spans="1:3" x14ac:dyDescent="0.25">
      <c r="A3829">
        <v>37</v>
      </c>
      <c r="B3829" t="str">
        <f>"8:57:11.240387"</f>
        <v>8:57:11.240387</v>
      </c>
      <c r="C3829">
        <v>-44</v>
      </c>
    </row>
    <row r="3830" spans="1:3" x14ac:dyDescent="0.25">
      <c r="A3830">
        <v>38</v>
      </c>
      <c r="B3830" t="str">
        <f>"8:57:11.241414"</f>
        <v>8:57:11.241414</v>
      </c>
      <c r="C3830">
        <v>-41</v>
      </c>
    </row>
    <row r="3831" spans="1:3" x14ac:dyDescent="0.25">
      <c r="A3831">
        <v>39</v>
      </c>
      <c r="B3831" t="str">
        <f>"8:57:11.242440"</f>
        <v>8:57:11.242440</v>
      </c>
      <c r="C3831">
        <v>-46</v>
      </c>
    </row>
    <row r="3832" spans="1:3" x14ac:dyDescent="0.25">
      <c r="A3832">
        <v>39</v>
      </c>
      <c r="B3832" t="str">
        <f>"8:57:11.242958"</f>
        <v>8:57:11.242958</v>
      </c>
      <c r="C3832">
        <v>-31</v>
      </c>
    </row>
    <row r="3833" spans="1:3" x14ac:dyDescent="0.25">
      <c r="A3833">
        <v>39</v>
      </c>
      <c r="B3833" t="str">
        <f>"8:57:11.243284"</f>
        <v>8:57:11.243284</v>
      </c>
      <c r="C3833">
        <v>-45</v>
      </c>
    </row>
    <row r="3834" spans="1:3" x14ac:dyDescent="0.25">
      <c r="A3834">
        <v>37</v>
      </c>
      <c r="B3834" t="str">
        <f>"8:57:11.590572"</f>
        <v>8:57:11.590572</v>
      </c>
      <c r="C3834">
        <v>-44</v>
      </c>
    </row>
    <row r="3835" spans="1:3" x14ac:dyDescent="0.25">
      <c r="A3835">
        <v>38</v>
      </c>
      <c r="B3835" t="str">
        <f>"8:57:11.591599"</f>
        <v>8:57:11.591599</v>
      </c>
      <c r="C3835">
        <v>-41</v>
      </c>
    </row>
    <row r="3836" spans="1:3" x14ac:dyDescent="0.25">
      <c r="A3836">
        <v>39</v>
      </c>
      <c r="B3836" t="str">
        <f>"8:57:11.592625"</f>
        <v>8:57:11.592625</v>
      </c>
      <c r="C3836">
        <v>-46</v>
      </c>
    </row>
    <row r="3837" spans="1:3" x14ac:dyDescent="0.25">
      <c r="A3837">
        <v>39</v>
      </c>
      <c r="B3837" t="str">
        <f>"8:57:11.593143"</f>
        <v>8:57:11.593143</v>
      </c>
      <c r="C3837">
        <v>-31</v>
      </c>
    </row>
    <row r="3838" spans="1:3" x14ac:dyDescent="0.25">
      <c r="A3838">
        <v>39</v>
      </c>
      <c r="B3838" t="str">
        <f>"8:57:11.593469"</f>
        <v>8:57:11.593469</v>
      </c>
      <c r="C3838">
        <v>-45</v>
      </c>
    </row>
    <row r="3839" spans="1:3" x14ac:dyDescent="0.25">
      <c r="A3839">
        <v>37</v>
      </c>
      <c r="B3839" t="str">
        <f>"8:57:11.945142"</f>
        <v>8:57:11.945142</v>
      </c>
      <c r="C3839">
        <v>-44</v>
      </c>
    </row>
    <row r="3840" spans="1:3" x14ac:dyDescent="0.25">
      <c r="A3840">
        <v>38</v>
      </c>
      <c r="B3840" t="str">
        <f>"8:57:11.946169"</f>
        <v>8:57:11.946169</v>
      </c>
      <c r="C3840">
        <v>-41</v>
      </c>
    </row>
    <row r="3841" spans="1:3" x14ac:dyDescent="0.25">
      <c r="A3841">
        <v>39</v>
      </c>
      <c r="B3841" t="str">
        <f>"8:57:11.947195"</f>
        <v>8:57:11.947195</v>
      </c>
      <c r="C3841">
        <v>-46</v>
      </c>
    </row>
    <row r="3842" spans="1:3" x14ac:dyDescent="0.25">
      <c r="A3842">
        <v>39</v>
      </c>
      <c r="B3842" t="str">
        <f>"8:57:11.947714"</f>
        <v>8:57:11.947714</v>
      </c>
      <c r="C3842">
        <v>-31</v>
      </c>
    </row>
    <row r="3843" spans="1:3" x14ac:dyDescent="0.25">
      <c r="A3843">
        <v>39</v>
      </c>
      <c r="B3843" t="str">
        <f>"8:57:11.948039"</f>
        <v>8:57:11.948039</v>
      </c>
      <c r="C3843">
        <v>-45</v>
      </c>
    </row>
    <row r="3844" spans="1:3" x14ac:dyDescent="0.25">
      <c r="A3844">
        <v>37</v>
      </c>
      <c r="B3844" t="str">
        <f>"8:57:12.297693"</f>
        <v>8:57:12.297693</v>
      </c>
      <c r="C3844">
        <v>-44</v>
      </c>
    </row>
    <row r="3845" spans="1:3" x14ac:dyDescent="0.25">
      <c r="A3845">
        <v>38</v>
      </c>
      <c r="B3845" t="str">
        <f>"8:57:12.298720"</f>
        <v>8:57:12.298720</v>
      </c>
      <c r="C3845">
        <v>-41</v>
      </c>
    </row>
    <row r="3846" spans="1:3" x14ac:dyDescent="0.25">
      <c r="A3846">
        <v>39</v>
      </c>
      <c r="B3846" t="str">
        <f>"8:57:12.299746"</f>
        <v>8:57:12.299746</v>
      </c>
      <c r="C3846">
        <v>-46</v>
      </c>
    </row>
    <row r="3847" spans="1:3" x14ac:dyDescent="0.25">
      <c r="A3847">
        <v>39</v>
      </c>
      <c r="B3847" t="str">
        <f>"8:57:12.300265"</f>
        <v>8:57:12.300265</v>
      </c>
      <c r="C3847">
        <v>-31</v>
      </c>
    </row>
    <row r="3848" spans="1:3" x14ac:dyDescent="0.25">
      <c r="A3848">
        <v>39</v>
      </c>
      <c r="B3848" t="str">
        <f>"8:57:12.300590"</f>
        <v>8:57:12.300590</v>
      </c>
      <c r="C3848">
        <v>-45</v>
      </c>
    </row>
    <row r="3849" spans="1:3" x14ac:dyDescent="0.25">
      <c r="A3849">
        <v>37</v>
      </c>
      <c r="B3849" t="str">
        <f>"8:57:12.654592"</f>
        <v>8:57:12.654592</v>
      </c>
      <c r="C3849">
        <v>-44</v>
      </c>
    </row>
    <row r="3850" spans="1:3" x14ac:dyDescent="0.25">
      <c r="A3850">
        <v>38</v>
      </c>
      <c r="B3850" t="str">
        <f>"8:57:12.655620"</f>
        <v>8:57:12.655620</v>
      </c>
      <c r="C3850">
        <v>-41</v>
      </c>
    </row>
    <row r="3851" spans="1:3" x14ac:dyDescent="0.25">
      <c r="A3851">
        <v>39</v>
      </c>
      <c r="B3851" t="str">
        <f>"8:57:12.656646"</f>
        <v>8:57:12.656646</v>
      </c>
      <c r="C3851">
        <v>-46</v>
      </c>
    </row>
    <row r="3852" spans="1:3" x14ac:dyDescent="0.25">
      <c r="A3852">
        <v>39</v>
      </c>
      <c r="B3852" t="str">
        <f>"8:57:12.657165"</f>
        <v>8:57:12.657165</v>
      </c>
      <c r="C3852">
        <v>-31</v>
      </c>
    </row>
    <row r="3853" spans="1:3" x14ac:dyDescent="0.25">
      <c r="A3853">
        <v>39</v>
      </c>
      <c r="B3853" t="str">
        <f>"8:57:12.657491"</f>
        <v>8:57:12.657491</v>
      </c>
      <c r="C3853">
        <v>-45</v>
      </c>
    </row>
    <row r="3854" spans="1:3" x14ac:dyDescent="0.25">
      <c r="A3854">
        <v>37</v>
      </c>
      <c r="B3854" t="str">
        <f>"8:57:13.011717"</f>
        <v>8:57:13.011717</v>
      </c>
      <c r="C3854">
        <v>-44</v>
      </c>
    </row>
    <row r="3855" spans="1:3" x14ac:dyDescent="0.25">
      <c r="A3855">
        <v>38</v>
      </c>
      <c r="B3855" t="str">
        <f>"8:57:13.012744"</f>
        <v>8:57:13.012744</v>
      </c>
      <c r="C3855">
        <v>-41</v>
      </c>
    </row>
    <row r="3856" spans="1:3" x14ac:dyDescent="0.25">
      <c r="A3856">
        <v>39</v>
      </c>
      <c r="B3856" t="str">
        <f>"8:57:13.013770"</f>
        <v>8:57:13.013770</v>
      </c>
      <c r="C3856">
        <v>-46</v>
      </c>
    </row>
    <row r="3857" spans="1:3" x14ac:dyDescent="0.25">
      <c r="A3857">
        <v>39</v>
      </c>
      <c r="B3857" t="str">
        <f>"8:57:13.014289"</f>
        <v>8:57:13.014289</v>
      </c>
      <c r="C3857">
        <v>-31</v>
      </c>
    </row>
    <row r="3858" spans="1:3" x14ac:dyDescent="0.25">
      <c r="A3858">
        <v>39</v>
      </c>
      <c r="B3858" t="str">
        <f>"8:57:13.014614"</f>
        <v>8:57:13.014614</v>
      </c>
      <c r="C3858">
        <v>-45</v>
      </c>
    </row>
    <row r="3859" spans="1:3" x14ac:dyDescent="0.25">
      <c r="A3859">
        <v>37</v>
      </c>
      <c r="B3859" t="str">
        <f>"8:57:13.370167"</f>
        <v>8:57:13.370167</v>
      </c>
      <c r="C3859">
        <v>-44</v>
      </c>
    </row>
    <row r="3860" spans="1:3" x14ac:dyDescent="0.25">
      <c r="A3860">
        <v>38</v>
      </c>
      <c r="B3860" t="str">
        <f>"8:57:13.371194"</f>
        <v>8:57:13.371194</v>
      </c>
      <c r="C3860">
        <v>-41</v>
      </c>
    </row>
    <row r="3861" spans="1:3" x14ac:dyDescent="0.25">
      <c r="A3861">
        <v>39</v>
      </c>
      <c r="B3861" t="str">
        <f>"8:57:13.372220"</f>
        <v>8:57:13.372220</v>
      </c>
      <c r="C3861">
        <v>-46</v>
      </c>
    </row>
    <row r="3862" spans="1:3" x14ac:dyDescent="0.25">
      <c r="A3862">
        <v>39</v>
      </c>
      <c r="B3862" t="str">
        <f>"8:57:13.372739"</f>
        <v>8:57:13.372739</v>
      </c>
      <c r="C3862">
        <v>-31</v>
      </c>
    </row>
    <row r="3863" spans="1:3" x14ac:dyDescent="0.25">
      <c r="A3863">
        <v>39</v>
      </c>
      <c r="B3863" t="str">
        <f>"8:57:13.373064"</f>
        <v>8:57:13.373064</v>
      </c>
      <c r="C3863">
        <v>-45</v>
      </c>
    </row>
    <row r="3864" spans="1:3" x14ac:dyDescent="0.25">
      <c r="A3864">
        <v>37</v>
      </c>
      <c r="B3864" t="str">
        <f>"8:57:13.722901"</f>
        <v>8:57:13.722901</v>
      </c>
      <c r="C3864">
        <v>-44</v>
      </c>
    </row>
    <row r="3865" spans="1:3" x14ac:dyDescent="0.25">
      <c r="A3865">
        <v>38</v>
      </c>
      <c r="B3865" t="str">
        <f>"8:57:13.723929"</f>
        <v>8:57:13.723929</v>
      </c>
      <c r="C3865">
        <v>-41</v>
      </c>
    </row>
    <row r="3866" spans="1:3" x14ac:dyDescent="0.25">
      <c r="A3866">
        <v>39</v>
      </c>
      <c r="B3866" t="str">
        <f>"8:57:13.724955"</f>
        <v>8:57:13.724955</v>
      </c>
      <c r="C3866">
        <v>-46</v>
      </c>
    </row>
    <row r="3867" spans="1:3" x14ac:dyDescent="0.25">
      <c r="A3867">
        <v>39</v>
      </c>
      <c r="B3867" t="str">
        <f>"8:57:13.725473"</f>
        <v>8:57:13.725473</v>
      </c>
      <c r="C3867">
        <v>-31</v>
      </c>
    </row>
    <row r="3868" spans="1:3" x14ac:dyDescent="0.25">
      <c r="A3868">
        <v>39</v>
      </c>
      <c r="B3868" t="str">
        <f>"8:57:13.725799"</f>
        <v>8:57:13.725799</v>
      </c>
      <c r="C3868">
        <v>-45</v>
      </c>
    </row>
    <row r="3869" spans="1:3" x14ac:dyDescent="0.25">
      <c r="A3869">
        <v>37</v>
      </c>
      <c r="B3869" t="str">
        <f>"8:57:14.075749"</f>
        <v>8:57:14.075749</v>
      </c>
      <c r="C3869">
        <v>-44</v>
      </c>
    </row>
    <row r="3870" spans="1:3" x14ac:dyDescent="0.25">
      <c r="A3870">
        <v>38</v>
      </c>
      <c r="B3870" t="str">
        <f>"8:57:14.076776"</f>
        <v>8:57:14.076776</v>
      </c>
      <c r="C3870">
        <v>-41</v>
      </c>
    </row>
    <row r="3871" spans="1:3" x14ac:dyDescent="0.25">
      <c r="A3871">
        <v>39</v>
      </c>
      <c r="B3871" t="str">
        <f>"8:57:14.077802"</f>
        <v>8:57:14.077802</v>
      </c>
      <c r="C3871">
        <v>-46</v>
      </c>
    </row>
    <row r="3872" spans="1:3" x14ac:dyDescent="0.25">
      <c r="A3872">
        <v>39</v>
      </c>
      <c r="B3872" t="str">
        <f>"8:57:14.078320"</f>
        <v>8:57:14.078320</v>
      </c>
      <c r="C3872">
        <v>-31</v>
      </c>
    </row>
    <row r="3873" spans="1:3" x14ac:dyDescent="0.25">
      <c r="A3873">
        <v>39</v>
      </c>
      <c r="B3873" t="str">
        <f>"8:57:14.078646"</f>
        <v>8:57:14.078646</v>
      </c>
      <c r="C3873">
        <v>-45</v>
      </c>
    </row>
    <row r="3874" spans="1:3" x14ac:dyDescent="0.25">
      <c r="A3874">
        <v>37</v>
      </c>
      <c r="B3874" t="str">
        <f>"8:57:14.431108"</f>
        <v>8:57:14.431108</v>
      </c>
      <c r="C3874">
        <v>-44</v>
      </c>
    </row>
    <row r="3875" spans="1:3" x14ac:dyDescent="0.25">
      <c r="A3875">
        <v>38</v>
      </c>
      <c r="B3875" t="str">
        <f>"8:57:14.432135"</f>
        <v>8:57:14.432135</v>
      </c>
      <c r="C3875">
        <v>-41</v>
      </c>
    </row>
    <row r="3876" spans="1:3" x14ac:dyDescent="0.25">
      <c r="A3876">
        <v>39</v>
      </c>
      <c r="B3876" t="str">
        <f>"8:57:14.433161"</f>
        <v>8:57:14.433161</v>
      </c>
      <c r="C3876">
        <v>-46</v>
      </c>
    </row>
    <row r="3877" spans="1:3" x14ac:dyDescent="0.25">
      <c r="A3877">
        <v>37</v>
      </c>
      <c r="B3877" t="str">
        <f>"8:57:14.789296"</f>
        <v>8:57:14.789296</v>
      </c>
      <c r="C3877">
        <v>-44</v>
      </c>
    </row>
    <row r="3878" spans="1:3" x14ac:dyDescent="0.25">
      <c r="A3878">
        <v>37</v>
      </c>
      <c r="B3878" t="str">
        <f>"8:57:14.789814"</f>
        <v>8:57:14.789814</v>
      </c>
      <c r="C3878">
        <v>-38</v>
      </c>
    </row>
    <row r="3879" spans="1:3" x14ac:dyDescent="0.25">
      <c r="A3879">
        <v>37</v>
      </c>
      <c r="B3879" t="str">
        <f>"8:57:14.790140"</f>
        <v>8:57:14.790140</v>
      </c>
      <c r="C3879">
        <v>-44</v>
      </c>
    </row>
    <row r="3880" spans="1:3" x14ac:dyDescent="0.25">
      <c r="A3880">
        <v>38</v>
      </c>
      <c r="B3880" t="str">
        <f>"8:57:14.790916"</f>
        <v>8:57:14.790916</v>
      </c>
      <c r="C3880">
        <v>-41</v>
      </c>
    </row>
    <row r="3881" spans="1:3" x14ac:dyDescent="0.25">
      <c r="A3881">
        <v>39</v>
      </c>
      <c r="B3881" t="str">
        <f>"8:57:14.791942"</f>
        <v>8:57:14.791942</v>
      </c>
      <c r="C3881">
        <v>-46</v>
      </c>
    </row>
    <row r="3882" spans="1:3" x14ac:dyDescent="0.25">
      <c r="A3882">
        <v>37</v>
      </c>
      <c r="B3882" t="str">
        <f>"8:57:15.143637"</f>
        <v>8:57:15.143637</v>
      </c>
      <c r="C3882">
        <v>-44</v>
      </c>
    </row>
    <row r="3883" spans="1:3" x14ac:dyDescent="0.25">
      <c r="A3883">
        <v>37</v>
      </c>
      <c r="B3883" t="str">
        <f>"8:57:15.144155"</f>
        <v>8:57:15.144155</v>
      </c>
      <c r="C3883">
        <v>-38</v>
      </c>
    </row>
    <row r="3884" spans="1:3" x14ac:dyDescent="0.25">
      <c r="A3884">
        <v>37</v>
      </c>
      <c r="B3884" t="str">
        <f>"8:57:15.144481"</f>
        <v>8:57:15.144481</v>
      </c>
      <c r="C3884">
        <v>-44</v>
      </c>
    </row>
    <row r="3885" spans="1:3" x14ac:dyDescent="0.25">
      <c r="A3885">
        <v>38</v>
      </c>
      <c r="B3885" t="str">
        <f>"8:57:15.145257"</f>
        <v>8:57:15.145257</v>
      </c>
      <c r="C3885">
        <v>-41</v>
      </c>
    </row>
    <row r="3886" spans="1:3" x14ac:dyDescent="0.25">
      <c r="A3886">
        <v>39</v>
      </c>
      <c r="B3886" t="str">
        <f>"8:57:15.146283"</f>
        <v>8:57:15.146283</v>
      </c>
      <c r="C3886">
        <v>-45</v>
      </c>
    </row>
    <row r="3887" spans="1:3" x14ac:dyDescent="0.25">
      <c r="A3887">
        <v>37</v>
      </c>
      <c r="B3887" t="str">
        <f>"8:57:15.496980"</f>
        <v>8:57:15.496980</v>
      </c>
      <c r="C3887">
        <v>-44</v>
      </c>
    </row>
    <row r="3888" spans="1:3" x14ac:dyDescent="0.25">
      <c r="A3888">
        <v>37</v>
      </c>
      <c r="B3888" t="str">
        <f>"8:57:15.497499"</f>
        <v>8:57:15.497499</v>
      </c>
      <c r="C3888">
        <v>-38</v>
      </c>
    </row>
    <row r="3889" spans="1:3" x14ac:dyDescent="0.25">
      <c r="A3889">
        <v>37</v>
      </c>
      <c r="B3889" t="str">
        <f>"8:57:15.497825"</f>
        <v>8:57:15.497825</v>
      </c>
      <c r="C3889">
        <v>-44</v>
      </c>
    </row>
    <row r="3890" spans="1:3" x14ac:dyDescent="0.25">
      <c r="A3890">
        <v>38</v>
      </c>
      <c r="B3890" t="str">
        <f>"8:57:15.498601"</f>
        <v>8:57:15.498601</v>
      </c>
      <c r="C3890">
        <v>-41</v>
      </c>
    </row>
    <row r="3891" spans="1:3" x14ac:dyDescent="0.25">
      <c r="A3891">
        <v>39</v>
      </c>
      <c r="B3891" t="str">
        <f>"8:57:15.499627"</f>
        <v>8:57:15.499627</v>
      </c>
      <c r="C3891">
        <v>-45</v>
      </c>
    </row>
    <row r="3892" spans="1:3" x14ac:dyDescent="0.25">
      <c r="A3892">
        <v>37</v>
      </c>
      <c r="B3892" t="str">
        <f>"8:57:15.850840"</f>
        <v>8:57:15.850840</v>
      </c>
      <c r="C3892">
        <v>-44</v>
      </c>
    </row>
    <row r="3893" spans="1:3" x14ac:dyDescent="0.25">
      <c r="A3893">
        <v>37</v>
      </c>
      <c r="B3893" t="str">
        <f>"8:57:15.851359"</f>
        <v>8:57:15.851359</v>
      </c>
      <c r="C3893">
        <v>-38</v>
      </c>
    </row>
    <row r="3894" spans="1:3" x14ac:dyDescent="0.25">
      <c r="A3894">
        <v>37</v>
      </c>
      <c r="B3894" t="str">
        <f>"8:57:15.851685"</f>
        <v>8:57:15.851685</v>
      </c>
      <c r="C3894">
        <v>-44</v>
      </c>
    </row>
    <row r="3895" spans="1:3" x14ac:dyDescent="0.25">
      <c r="A3895">
        <v>38</v>
      </c>
      <c r="B3895" t="str">
        <f>"8:57:15.852461"</f>
        <v>8:57:15.852461</v>
      </c>
      <c r="C3895">
        <v>-41</v>
      </c>
    </row>
    <row r="3896" spans="1:3" x14ac:dyDescent="0.25">
      <c r="A3896">
        <v>39</v>
      </c>
      <c r="B3896" t="str">
        <f>"8:57:15.853487"</f>
        <v>8:57:15.853487</v>
      </c>
      <c r="C3896">
        <v>-45</v>
      </c>
    </row>
    <row r="3897" spans="1:3" x14ac:dyDescent="0.25">
      <c r="A3897">
        <v>37</v>
      </c>
      <c r="B3897" t="str">
        <f>"8:57:16.206181"</f>
        <v>8:57:16.206181</v>
      </c>
      <c r="C3897">
        <v>-45</v>
      </c>
    </row>
    <row r="3898" spans="1:3" x14ac:dyDescent="0.25">
      <c r="A3898">
        <v>37</v>
      </c>
      <c r="B3898" t="str">
        <f>"8:57:16.206700"</f>
        <v>8:57:16.206700</v>
      </c>
      <c r="C3898">
        <v>-36</v>
      </c>
    </row>
    <row r="3899" spans="1:3" x14ac:dyDescent="0.25">
      <c r="A3899">
        <v>37</v>
      </c>
      <c r="B3899" t="str">
        <f>"8:57:16.207026"</f>
        <v>8:57:16.207026</v>
      </c>
      <c r="C3899">
        <v>-45</v>
      </c>
    </row>
    <row r="3900" spans="1:3" x14ac:dyDescent="0.25">
      <c r="A3900">
        <v>38</v>
      </c>
      <c r="B3900" t="str">
        <f>"8:57:16.207802"</f>
        <v>8:57:16.207802</v>
      </c>
      <c r="C3900">
        <v>-41</v>
      </c>
    </row>
    <row r="3901" spans="1:3" x14ac:dyDescent="0.25">
      <c r="A3901">
        <v>39</v>
      </c>
      <c r="B3901" t="str">
        <f>"8:57:16.208828"</f>
        <v>8:57:16.208828</v>
      </c>
      <c r="C3901">
        <v>-46</v>
      </c>
    </row>
    <row r="3902" spans="1:3" x14ac:dyDescent="0.25">
      <c r="A3902">
        <v>37</v>
      </c>
      <c r="B3902" t="str">
        <f>"8:57:16.558434"</f>
        <v>8:57:16.558434</v>
      </c>
      <c r="C3902">
        <v>-45</v>
      </c>
    </row>
    <row r="3903" spans="1:3" x14ac:dyDescent="0.25">
      <c r="A3903">
        <v>37</v>
      </c>
      <c r="B3903" t="str">
        <f>"8:57:16.558953"</f>
        <v>8:57:16.558953</v>
      </c>
      <c r="C3903">
        <v>-36</v>
      </c>
    </row>
    <row r="3904" spans="1:3" x14ac:dyDescent="0.25">
      <c r="A3904">
        <v>37</v>
      </c>
      <c r="B3904" t="str">
        <f>"8:57:16.559279"</f>
        <v>8:57:16.559279</v>
      </c>
      <c r="C3904">
        <v>-45</v>
      </c>
    </row>
    <row r="3905" spans="1:3" x14ac:dyDescent="0.25">
      <c r="A3905">
        <v>38</v>
      </c>
      <c r="B3905" t="str">
        <f>"8:57:16.560056"</f>
        <v>8:57:16.560056</v>
      </c>
      <c r="C3905">
        <v>-41</v>
      </c>
    </row>
    <row r="3906" spans="1:3" x14ac:dyDescent="0.25">
      <c r="A3906">
        <v>39</v>
      </c>
      <c r="B3906" t="str">
        <f>"8:57:16.561082"</f>
        <v>8:57:16.561082</v>
      </c>
      <c r="C3906">
        <v>-45</v>
      </c>
    </row>
    <row r="3907" spans="1:3" x14ac:dyDescent="0.25">
      <c r="A3907">
        <v>37</v>
      </c>
      <c r="B3907" t="str">
        <f>"8:57:16.914877"</f>
        <v>8:57:16.914877</v>
      </c>
      <c r="C3907">
        <v>-45</v>
      </c>
    </row>
    <row r="3908" spans="1:3" x14ac:dyDescent="0.25">
      <c r="A3908">
        <v>37</v>
      </c>
      <c r="B3908" t="str">
        <f>"8:57:16.915396"</f>
        <v>8:57:16.915396</v>
      </c>
      <c r="C3908">
        <v>-36</v>
      </c>
    </row>
    <row r="3909" spans="1:3" x14ac:dyDescent="0.25">
      <c r="A3909">
        <v>37</v>
      </c>
      <c r="B3909" t="str">
        <f>"8:57:16.915722"</f>
        <v>8:57:16.915722</v>
      </c>
      <c r="C3909">
        <v>-45</v>
      </c>
    </row>
    <row r="3910" spans="1:3" x14ac:dyDescent="0.25">
      <c r="A3910">
        <v>38</v>
      </c>
      <c r="B3910" t="str">
        <f>"8:57:16.916499"</f>
        <v>8:57:16.916499</v>
      </c>
      <c r="C3910">
        <v>-41</v>
      </c>
    </row>
    <row r="3911" spans="1:3" x14ac:dyDescent="0.25">
      <c r="A3911">
        <v>39</v>
      </c>
      <c r="B3911" t="str">
        <f>"8:57:16.917525"</f>
        <v>8:57:16.917525</v>
      </c>
      <c r="C3911">
        <v>-46</v>
      </c>
    </row>
    <row r="3912" spans="1:3" x14ac:dyDescent="0.25">
      <c r="A3912">
        <v>37</v>
      </c>
      <c r="B3912" t="str">
        <f>"8:57:17.267444"</f>
        <v>8:57:17.267444</v>
      </c>
      <c r="C3912">
        <v>-45</v>
      </c>
    </row>
    <row r="3913" spans="1:3" x14ac:dyDescent="0.25">
      <c r="A3913">
        <v>38</v>
      </c>
      <c r="B3913" t="str">
        <f>"8:57:17.268472"</f>
        <v>8:57:17.268472</v>
      </c>
      <c r="C3913">
        <v>-41</v>
      </c>
    </row>
    <row r="3914" spans="1:3" x14ac:dyDescent="0.25">
      <c r="A3914">
        <v>39</v>
      </c>
      <c r="B3914" t="str">
        <f>"8:57:17.269498"</f>
        <v>8:57:17.269498</v>
      </c>
      <c r="C3914">
        <v>-46</v>
      </c>
    </row>
    <row r="3915" spans="1:3" x14ac:dyDescent="0.25">
      <c r="A3915">
        <v>37</v>
      </c>
      <c r="B3915" t="str">
        <f>"8:57:17.620795"</f>
        <v>8:57:17.620795</v>
      </c>
      <c r="C3915">
        <v>-45</v>
      </c>
    </row>
    <row r="3916" spans="1:3" x14ac:dyDescent="0.25">
      <c r="A3916">
        <v>37</v>
      </c>
      <c r="B3916" t="str">
        <f>"8:57:17.621314"</f>
        <v>8:57:17.621314</v>
      </c>
      <c r="C3916">
        <v>-37</v>
      </c>
    </row>
    <row r="3917" spans="1:3" x14ac:dyDescent="0.25">
      <c r="A3917">
        <v>37</v>
      </c>
      <c r="B3917" t="str">
        <f>"8:57:17.621639"</f>
        <v>8:57:17.621639</v>
      </c>
      <c r="C3917">
        <v>-45</v>
      </c>
    </row>
    <row r="3918" spans="1:3" x14ac:dyDescent="0.25">
      <c r="A3918">
        <v>38</v>
      </c>
      <c r="B3918" t="str">
        <f>"8:57:17.622415"</f>
        <v>8:57:17.622415</v>
      </c>
      <c r="C3918">
        <v>-41</v>
      </c>
    </row>
    <row r="3919" spans="1:3" x14ac:dyDescent="0.25">
      <c r="A3919">
        <v>39</v>
      </c>
      <c r="B3919" t="str">
        <f>"8:57:17.623441"</f>
        <v>8:57:17.623441</v>
      </c>
      <c r="C3919">
        <v>-46</v>
      </c>
    </row>
    <row r="3920" spans="1:3" x14ac:dyDescent="0.25">
      <c r="A3920">
        <v>37</v>
      </c>
      <c r="B3920" t="str">
        <f>"8:57:17.980052"</f>
        <v>8:57:17.980052</v>
      </c>
      <c r="C3920">
        <v>-45</v>
      </c>
    </row>
    <row r="3921" spans="1:3" x14ac:dyDescent="0.25">
      <c r="A3921">
        <v>37</v>
      </c>
      <c r="B3921" t="str">
        <f>"8:57:17.980570"</f>
        <v>8:57:17.980570</v>
      </c>
      <c r="C3921">
        <v>-37</v>
      </c>
    </row>
    <row r="3922" spans="1:3" x14ac:dyDescent="0.25">
      <c r="A3922">
        <v>37</v>
      </c>
      <c r="B3922" t="str">
        <f>"8:57:17.980896"</f>
        <v>8:57:17.980896</v>
      </c>
      <c r="C3922">
        <v>-45</v>
      </c>
    </row>
    <row r="3923" spans="1:3" x14ac:dyDescent="0.25">
      <c r="A3923">
        <v>38</v>
      </c>
      <c r="B3923" t="str">
        <f>"8:57:17.981672"</f>
        <v>8:57:17.981672</v>
      </c>
      <c r="C3923">
        <v>-41</v>
      </c>
    </row>
    <row r="3924" spans="1:3" x14ac:dyDescent="0.25">
      <c r="A3924">
        <v>39</v>
      </c>
      <c r="B3924" t="str">
        <f>"8:57:17.982698"</f>
        <v>8:57:17.982698</v>
      </c>
      <c r="C3924">
        <v>-46</v>
      </c>
    </row>
    <row r="3925" spans="1:3" x14ac:dyDescent="0.25">
      <c r="A3925">
        <v>37</v>
      </c>
      <c r="B3925" t="str">
        <f>"8:57:18.335148"</f>
        <v>8:57:18.335148</v>
      </c>
      <c r="C3925">
        <v>-45</v>
      </c>
    </row>
    <row r="3926" spans="1:3" x14ac:dyDescent="0.25">
      <c r="A3926">
        <v>38</v>
      </c>
      <c r="B3926" t="str">
        <f>"8:57:18.336175"</f>
        <v>8:57:18.336175</v>
      </c>
      <c r="C3926">
        <v>-41</v>
      </c>
    </row>
    <row r="3927" spans="1:3" x14ac:dyDescent="0.25">
      <c r="A3927">
        <v>39</v>
      </c>
      <c r="B3927" t="str">
        <f>"8:57:18.337201"</f>
        <v>8:57:18.337201</v>
      </c>
      <c r="C3927">
        <v>-46</v>
      </c>
    </row>
    <row r="3928" spans="1:3" x14ac:dyDescent="0.25">
      <c r="A3928">
        <v>37</v>
      </c>
      <c r="B3928" t="str">
        <f>"8:57:18.686373"</f>
        <v>8:57:18.686373</v>
      </c>
      <c r="C3928">
        <v>-45</v>
      </c>
    </row>
    <row r="3929" spans="1:3" x14ac:dyDescent="0.25">
      <c r="A3929">
        <v>37</v>
      </c>
      <c r="B3929" t="str">
        <f>"8:57:18.686892"</f>
        <v>8:57:18.686892</v>
      </c>
      <c r="C3929">
        <v>-37</v>
      </c>
    </row>
    <row r="3930" spans="1:3" x14ac:dyDescent="0.25">
      <c r="A3930">
        <v>37</v>
      </c>
      <c r="B3930" t="str">
        <f>"8:57:18.687217"</f>
        <v>8:57:18.687217</v>
      </c>
      <c r="C3930">
        <v>-45</v>
      </c>
    </row>
    <row r="3931" spans="1:3" x14ac:dyDescent="0.25">
      <c r="A3931">
        <v>38</v>
      </c>
      <c r="B3931" t="str">
        <f>"8:57:18.687994"</f>
        <v>8:57:18.687994</v>
      </c>
      <c r="C3931">
        <v>-41</v>
      </c>
    </row>
    <row r="3932" spans="1:3" x14ac:dyDescent="0.25">
      <c r="A3932">
        <v>39</v>
      </c>
      <c r="B3932" t="str">
        <f>"8:57:18.689020"</f>
        <v>8:57:18.689020</v>
      </c>
      <c r="C3932">
        <v>-46</v>
      </c>
    </row>
    <row r="3933" spans="1:3" x14ac:dyDescent="0.25">
      <c r="A3933">
        <v>37</v>
      </c>
      <c r="B3933" t="str">
        <f>"8:57:19.038111"</f>
        <v>8:57:19.038111</v>
      </c>
      <c r="C3933">
        <v>-45</v>
      </c>
    </row>
    <row r="3934" spans="1:3" x14ac:dyDescent="0.25">
      <c r="A3934">
        <v>37</v>
      </c>
      <c r="B3934" t="str">
        <f>"8:57:19.038630"</f>
        <v>8:57:19.038630</v>
      </c>
      <c r="C3934">
        <v>-37</v>
      </c>
    </row>
    <row r="3935" spans="1:3" x14ac:dyDescent="0.25">
      <c r="A3935">
        <v>37</v>
      </c>
      <c r="B3935" t="str">
        <f>"8:57:19.038956"</f>
        <v>8:57:19.038956</v>
      </c>
      <c r="C3935">
        <v>-45</v>
      </c>
    </row>
    <row r="3936" spans="1:3" x14ac:dyDescent="0.25">
      <c r="A3936">
        <v>38</v>
      </c>
      <c r="B3936" t="str">
        <f>"8:57:19.039733"</f>
        <v>8:57:19.039733</v>
      </c>
      <c r="C3936">
        <v>-41</v>
      </c>
    </row>
    <row r="3937" spans="1:3" x14ac:dyDescent="0.25">
      <c r="A3937">
        <v>39</v>
      </c>
      <c r="B3937" t="str">
        <f>"8:57:19.040759"</f>
        <v>8:57:19.040759</v>
      </c>
      <c r="C3937">
        <v>-46</v>
      </c>
    </row>
    <row r="3938" spans="1:3" x14ac:dyDescent="0.25">
      <c r="A3938">
        <v>37</v>
      </c>
      <c r="B3938" t="str">
        <f>"8:57:19.395246"</f>
        <v>8:57:19.395246</v>
      </c>
      <c r="C3938">
        <v>-45</v>
      </c>
    </row>
    <row r="3939" spans="1:3" x14ac:dyDescent="0.25">
      <c r="A3939">
        <v>37</v>
      </c>
      <c r="B3939" t="str">
        <f>"8:57:19.395764"</f>
        <v>8:57:19.395764</v>
      </c>
      <c r="C3939">
        <v>-38</v>
      </c>
    </row>
    <row r="3940" spans="1:3" x14ac:dyDescent="0.25">
      <c r="A3940">
        <v>37</v>
      </c>
      <c r="B3940" t="str">
        <f>"8:57:19.396091"</f>
        <v>8:57:19.396091</v>
      </c>
      <c r="C3940">
        <v>-45</v>
      </c>
    </row>
    <row r="3941" spans="1:3" x14ac:dyDescent="0.25">
      <c r="A3941">
        <v>38</v>
      </c>
      <c r="B3941" t="str">
        <f>"8:57:19.396867"</f>
        <v>8:57:19.396867</v>
      </c>
      <c r="C3941">
        <v>-41</v>
      </c>
    </row>
    <row r="3942" spans="1:3" x14ac:dyDescent="0.25">
      <c r="A3942">
        <v>39</v>
      </c>
      <c r="B3942" t="str">
        <f>"8:57:19.397893"</f>
        <v>8:57:19.397893</v>
      </c>
      <c r="C3942">
        <v>-46</v>
      </c>
    </row>
    <row r="3943" spans="1:3" x14ac:dyDescent="0.25">
      <c r="A3943">
        <v>37</v>
      </c>
      <c r="B3943" t="str">
        <f>"8:57:19.752432"</f>
        <v>8:57:19.752432</v>
      </c>
      <c r="C3943">
        <v>-45</v>
      </c>
    </row>
    <row r="3944" spans="1:3" x14ac:dyDescent="0.25">
      <c r="A3944">
        <v>38</v>
      </c>
      <c r="B3944" t="str">
        <f>"8:57:19.753459"</f>
        <v>8:57:19.753459</v>
      </c>
      <c r="C3944">
        <v>-41</v>
      </c>
    </row>
    <row r="3945" spans="1:3" x14ac:dyDescent="0.25">
      <c r="A3945">
        <v>38</v>
      </c>
      <c r="B3945" t="str">
        <f>"8:57:19.753978"</f>
        <v>8:57:19.753978</v>
      </c>
      <c r="C3945">
        <v>-32</v>
      </c>
    </row>
    <row r="3946" spans="1:3" x14ac:dyDescent="0.25">
      <c r="A3946">
        <v>38</v>
      </c>
      <c r="B3946" t="str">
        <f>"8:57:19.754303"</f>
        <v>8:57:19.754303</v>
      </c>
      <c r="C3946">
        <v>-41</v>
      </c>
    </row>
    <row r="3947" spans="1:3" x14ac:dyDescent="0.25">
      <c r="A3947">
        <v>39</v>
      </c>
      <c r="B3947" t="str">
        <f>"8:57:19.755079"</f>
        <v>8:57:19.755079</v>
      </c>
      <c r="C3947">
        <v>-46</v>
      </c>
    </row>
    <row r="3948" spans="1:3" x14ac:dyDescent="0.25">
      <c r="A3948">
        <v>37</v>
      </c>
      <c r="B3948" t="str">
        <f>"8:57:20.106758"</f>
        <v>8:57:20.106758</v>
      </c>
      <c r="C3948">
        <v>-45</v>
      </c>
    </row>
    <row r="3949" spans="1:3" x14ac:dyDescent="0.25">
      <c r="A3949">
        <v>38</v>
      </c>
      <c r="B3949" t="str">
        <f>"8:57:20.107785"</f>
        <v>8:57:20.107785</v>
      </c>
      <c r="C3949">
        <v>-41</v>
      </c>
    </row>
    <row r="3950" spans="1:3" x14ac:dyDescent="0.25">
      <c r="A3950">
        <v>38</v>
      </c>
      <c r="B3950" t="str">
        <f>"8:57:20.108304"</f>
        <v>8:57:20.108304</v>
      </c>
      <c r="C3950">
        <v>-32</v>
      </c>
    </row>
    <row r="3951" spans="1:3" x14ac:dyDescent="0.25">
      <c r="A3951">
        <v>38</v>
      </c>
      <c r="B3951" t="str">
        <f>"8:57:20.108630"</f>
        <v>8:57:20.108630</v>
      </c>
      <c r="C3951">
        <v>-41</v>
      </c>
    </row>
    <row r="3952" spans="1:3" x14ac:dyDescent="0.25">
      <c r="A3952">
        <v>39</v>
      </c>
      <c r="B3952" t="str">
        <f>"8:57:20.109406"</f>
        <v>8:57:20.109406</v>
      </c>
      <c r="C3952">
        <v>-46</v>
      </c>
    </row>
    <row r="3953" spans="1:3" x14ac:dyDescent="0.25">
      <c r="A3953">
        <v>37</v>
      </c>
      <c r="B3953" t="str">
        <f>"8:57:20.461564"</f>
        <v>8:57:20.461564</v>
      </c>
      <c r="C3953">
        <v>-45</v>
      </c>
    </row>
    <row r="3954" spans="1:3" x14ac:dyDescent="0.25">
      <c r="A3954">
        <v>38</v>
      </c>
      <c r="B3954" t="str">
        <f>"8:57:20.462591"</f>
        <v>8:57:20.462591</v>
      </c>
      <c r="C3954">
        <v>-41</v>
      </c>
    </row>
    <row r="3955" spans="1:3" x14ac:dyDescent="0.25">
      <c r="A3955">
        <v>38</v>
      </c>
      <c r="B3955" t="str">
        <f>"8:57:20.463109"</f>
        <v>8:57:20.463109</v>
      </c>
      <c r="C3955">
        <v>-31</v>
      </c>
    </row>
    <row r="3956" spans="1:3" x14ac:dyDescent="0.25">
      <c r="A3956">
        <v>38</v>
      </c>
      <c r="B3956" t="str">
        <f>"8:57:20.463435"</f>
        <v>8:57:20.463435</v>
      </c>
      <c r="C3956">
        <v>-41</v>
      </c>
    </row>
    <row r="3957" spans="1:3" x14ac:dyDescent="0.25">
      <c r="A3957">
        <v>39</v>
      </c>
      <c r="B3957" t="str">
        <f>"8:57:20.464211"</f>
        <v>8:57:20.464211</v>
      </c>
      <c r="C3957">
        <v>-46</v>
      </c>
    </row>
    <row r="3958" spans="1:3" x14ac:dyDescent="0.25">
      <c r="A3958">
        <v>37</v>
      </c>
      <c r="B3958" t="str">
        <f>"8:57:20.813874"</f>
        <v>8:57:20.813874</v>
      </c>
      <c r="C3958">
        <v>-45</v>
      </c>
    </row>
    <row r="3959" spans="1:3" x14ac:dyDescent="0.25">
      <c r="A3959">
        <v>38</v>
      </c>
      <c r="B3959" t="str">
        <f>"8:57:20.814901"</f>
        <v>8:57:20.814901</v>
      </c>
      <c r="C3959">
        <v>-41</v>
      </c>
    </row>
    <row r="3960" spans="1:3" x14ac:dyDescent="0.25">
      <c r="A3960">
        <v>38</v>
      </c>
      <c r="B3960" t="str">
        <f>"8:57:20.815420"</f>
        <v>8:57:20.815420</v>
      </c>
      <c r="C3960">
        <v>-31</v>
      </c>
    </row>
    <row r="3961" spans="1:3" x14ac:dyDescent="0.25">
      <c r="A3961">
        <v>38</v>
      </c>
      <c r="B3961" t="str">
        <f>"8:57:20.815747"</f>
        <v>8:57:20.815747</v>
      </c>
      <c r="C3961">
        <v>-41</v>
      </c>
    </row>
    <row r="3962" spans="1:3" x14ac:dyDescent="0.25">
      <c r="A3962">
        <v>39</v>
      </c>
      <c r="B3962" t="str">
        <f>"8:57:20.816522"</f>
        <v>8:57:20.816522</v>
      </c>
      <c r="C3962">
        <v>-46</v>
      </c>
    </row>
    <row r="3963" spans="1:3" x14ac:dyDescent="0.25">
      <c r="A3963">
        <v>37</v>
      </c>
      <c r="B3963" t="str">
        <f>"8:57:21.164076"</f>
        <v>8:57:21.164076</v>
      </c>
      <c r="C3963">
        <v>-45</v>
      </c>
    </row>
    <row r="3964" spans="1:3" x14ac:dyDescent="0.25">
      <c r="A3964">
        <v>38</v>
      </c>
      <c r="B3964" t="str">
        <f>"8:57:21.165103"</f>
        <v>8:57:21.165103</v>
      </c>
      <c r="C3964">
        <v>-41</v>
      </c>
    </row>
    <row r="3965" spans="1:3" x14ac:dyDescent="0.25">
      <c r="A3965">
        <v>38</v>
      </c>
      <c r="B3965" t="str">
        <f>"8:57:21.165622"</f>
        <v>8:57:21.165622</v>
      </c>
      <c r="C3965">
        <v>-31</v>
      </c>
    </row>
    <row r="3966" spans="1:3" x14ac:dyDescent="0.25">
      <c r="A3966">
        <v>38</v>
      </c>
      <c r="B3966" t="str">
        <f>"8:57:21.165947"</f>
        <v>8:57:21.165947</v>
      </c>
      <c r="C3966">
        <v>-41</v>
      </c>
    </row>
    <row r="3967" spans="1:3" x14ac:dyDescent="0.25">
      <c r="A3967">
        <v>39</v>
      </c>
      <c r="B3967" t="str">
        <f>"8:57:21.166723"</f>
        <v>8:57:21.166723</v>
      </c>
      <c r="C3967">
        <v>-46</v>
      </c>
    </row>
    <row r="3968" spans="1:3" x14ac:dyDescent="0.25">
      <c r="A3968">
        <v>37</v>
      </c>
      <c r="B3968" t="str">
        <f>"8:57:21.517388"</f>
        <v>8:57:21.517388</v>
      </c>
      <c r="C3968">
        <v>-45</v>
      </c>
    </row>
    <row r="3969" spans="1:3" x14ac:dyDescent="0.25">
      <c r="A3969">
        <v>38</v>
      </c>
      <c r="B3969" t="str">
        <f>"8:57:21.518415"</f>
        <v>8:57:21.518415</v>
      </c>
      <c r="C3969">
        <v>-41</v>
      </c>
    </row>
    <row r="3970" spans="1:3" x14ac:dyDescent="0.25">
      <c r="A3970">
        <v>38</v>
      </c>
      <c r="B3970" t="str">
        <f>"8:57:21.518934"</f>
        <v>8:57:21.518934</v>
      </c>
      <c r="C3970">
        <v>-31</v>
      </c>
    </row>
    <row r="3971" spans="1:3" x14ac:dyDescent="0.25">
      <c r="A3971">
        <v>38</v>
      </c>
      <c r="B3971" t="str">
        <f>"8:57:21.519260"</f>
        <v>8:57:21.519260</v>
      </c>
      <c r="C3971">
        <v>-41</v>
      </c>
    </row>
    <row r="3972" spans="1:3" x14ac:dyDescent="0.25">
      <c r="A3972">
        <v>39</v>
      </c>
      <c r="B3972" t="str">
        <f>"8:57:21.520036"</f>
        <v>8:57:21.520036</v>
      </c>
      <c r="C3972">
        <v>-46</v>
      </c>
    </row>
    <row r="3973" spans="1:3" x14ac:dyDescent="0.25">
      <c r="A3973">
        <v>37</v>
      </c>
      <c r="B3973" t="str">
        <f>"8:57:21.874000"</f>
        <v>8:57:21.874000</v>
      </c>
      <c r="C3973">
        <v>-45</v>
      </c>
    </row>
    <row r="3974" spans="1:3" x14ac:dyDescent="0.25">
      <c r="A3974">
        <v>38</v>
      </c>
      <c r="B3974" t="str">
        <f>"8:57:21.875028"</f>
        <v>8:57:21.875028</v>
      </c>
      <c r="C3974">
        <v>-41</v>
      </c>
    </row>
    <row r="3975" spans="1:3" x14ac:dyDescent="0.25">
      <c r="A3975">
        <v>39</v>
      </c>
      <c r="B3975" t="str">
        <f>"8:57:21.876054"</f>
        <v>8:57:21.876054</v>
      </c>
      <c r="C3975">
        <v>-46</v>
      </c>
    </row>
    <row r="3976" spans="1:3" x14ac:dyDescent="0.25">
      <c r="A3976">
        <v>37</v>
      </c>
      <c r="B3976" t="str">
        <f>"8:57:22.229877"</f>
        <v>8:57:22.229877</v>
      </c>
      <c r="C3976">
        <v>-45</v>
      </c>
    </row>
    <row r="3977" spans="1:3" x14ac:dyDescent="0.25">
      <c r="A3977">
        <v>38</v>
      </c>
      <c r="B3977" t="str">
        <f>"8:57:22.230904"</f>
        <v>8:57:22.230904</v>
      </c>
      <c r="C3977">
        <v>-41</v>
      </c>
    </row>
    <row r="3978" spans="1:3" x14ac:dyDescent="0.25">
      <c r="A3978">
        <v>38</v>
      </c>
      <c r="B3978" t="str">
        <f>"8:57:22.231423"</f>
        <v>8:57:22.231423</v>
      </c>
      <c r="C3978">
        <v>-31</v>
      </c>
    </row>
    <row r="3979" spans="1:3" x14ac:dyDescent="0.25">
      <c r="A3979">
        <v>38</v>
      </c>
      <c r="B3979" t="str">
        <f>"8:57:22.231749"</f>
        <v>8:57:22.231749</v>
      </c>
      <c r="C3979">
        <v>-41</v>
      </c>
    </row>
    <row r="3980" spans="1:3" x14ac:dyDescent="0.25">
      <c r="A3980">
        <v>39</v>
      </c>
      <c r="B3980" t="str">
        <f>"8:57:22.232525"</f>
        <v>8:57:22.232525</v>
      </c>
      <c r="C3980">
        <v>-46</v>
      </c>
    </row>
    <row r="3981" spans="1:3" x14ac:dyDescent="0.25">
      <c r="A3981">
        <v>37</v>
      </c>
      <c r="B3981" t="str">
        <f>"8:57:22.587271"</f>
        <v>8:57:22.587271</v>
      </c>
      <c r="C3981">
        <v>-45</v>
      </c>
    </row>
    <row r="3982" spans="1:3" x14ac:dyDescent="0.25">
      <c r="A3982">
        <v>38</v>
      </c>
      <c r="B3982" t="str">
        <f>"8:57:22.588299"</f>
        <v>8:57:22.588299</v>
      </c>
      <c r="C3982">
        <v>-41</v>
      </c>
    </row>
    <row r="3983" spans="1:3" x14ac:dyDescent="0.25">
      <c r="A3983">
        <v>38</v>
      </c>
      <c r="B3983" t="str">
        <f>"8:57:22.588817"</f>
        <v>8:57:22.588817</v>
      </c>
      <c r="C3983">
        <v>-31</v>
      </c>
    </row>
    <row r="3984" spans="1:3" x14ac:dyDescent="0.25">
      <c r="A3984">
        <v>38</v>
      </c>
      <c r="B3984" t="str">
        <f>"8:57:22.589144"</f>
        <v>8:57:22.589144</v>
      </c>
      <c r="C3984">
        <v>-41</v>
      </c>
    </row>
    <row r="3985" spans="1:3" x14ac:dyDescent="0.25">
      <c r="A3985">
        <v>39</v>
      </c>
      <c r="B3985" t="str">
        <f>"8:57:22.589920"</f>
        <v>8:57:22.589920</v>
      </c>
      <c r="C3985">
        <v>-46</v>
      </c>
    </row>
    <row r="3986" spans="1:3" x14ac:dyDescent="0.25">
      <c r="A3986">
        <v>37</v>
      </c>
      <c r="B3986" t="str">
        <f>"8:57:22.943352"</f>
        <v>8:57:22.943352</v>
      </c>
      <c r="C3986">
        <v>-44</v>
      </c>
    </row>
    <row r="3987" spans="1:3" x14ac:dyDescent="0.25">
      <c r="A3987">
        <v>38</v>
      </c>
      <c r="B3987" t="str">
        <f>"8:57:22.944379"</f>
        <v>8:57:22.944379</v>
      </c>
      <c r="C3987">
        <v>-41</v>
      </c>
    </row>
    <row r="3988" spans="1:3" x14ac:dyDescent="0.25">
      <c r="A3988">
        <v>38</v>
      </c>
      <c r="B3988" t="str">
        <f>"8:57:22.944897"</f>
        <v>8:57:22.944897</v>
      </c>
      <c r="C3988">
        <v>-31</v>
      </c>
    </row>
    <row r="3989" spans="1:3" x14ac:dyDescent="0.25">
      <c r="A3989">
        <v>38</v>
      </c>
      <c r="B3989" t="str">
        <f>"8:57:22.945223"</f>
        <v>8:57:22.945223</v>
      </c>
      <c r="C3989">
        <v>-41</v>
      </c>
    </row>
    <row r="3990" spans="1:3" x14ac:dyDescent="0.25">
      <c r="A3990">
        <v>39</v>
      </c>
      <c r="B3990" t="str">
        <f>"8:57:22.945999"</f>
        <v>8:57:22.945999</v>
      </c>
      <c r="C3990">
        <v>-46</v>
      </c>
    </row>
    <row r="3991" spans="1:3" x14ac:dyDescent="0.25">
      <c r="A3991">
        <v>39</v>
      </c>
      <c r="B3991" t="str">
        <f>"8:57:22.946519"</f>
        <v>8:57:22.946519</v>
      </c>
      <c r="C3991">
        <v>-89</v>
      </c>
    </row>
    <row r="3992" spans="1:3" x14ac:dyDescent="0.25">
      <c r="A3992">
        <v>39</v>
      </c>
      <c r="B3992" t="str">
        <f>"8:57:22.946845"</f>
        <v>8:57:22.946845</v>
      </c>
      <c r="C3992">
        <v>-45</v>
      </c>
    </row>
    <row r="3993" spans="1:3" x14ac:dyDescent="0.25">
      <c r="A3993">
        <v>37</v>
      </c>
      <c r="B3993" t="str">
        <f>"8:57:23.300979"</f>
        <v>8:57:23.300979</v>
      </c>
      <c r="C3993">
        <v>-44</v>
      </c>
    </row>
    <row r="3994" spans="1:3" x14ac:dyDescent="0.25">
      <c r="A3994">
        <v>38</v>
      </c>
      <c r="B3994" t="str">
        <f>"8:57:23.302007"</f>
        <v>8:57:23.302007</v>
      </c>
      <c r="C3994">
        <v>-41</v>
      </c>
    </row>
    <row r="3995" spans="1:3" x14ac:dyDescent="0.25">
      <c r="A3995">
        <v>38</v>
      </c>
      <c r="B3995" t="str">
        <f>"8:57:23.302525"</f>
        <v>8:57:23.302525</v>
      </c>
      <c r="C3995">
        <v>-31</v>
      </c>
    </row>
    <row r="3996" spans="1:3" x14ac:dyDescent="0.25">
      <c r="A3996">
        <v>38</v>
      </c>
      <c r="B3996" t="str">
        <f>"8:57:23.302852"</f>
        <v>8:57:23.302852</v>
      </c>
      <c r="C3996">
        <v>-41</v>
      </c>
    </row>
    <row r="3997" spans="1:3" x14ac:dyDescent="0.25">
      <c r="A3997">
        <v>39</v>
      </c>
      <c r="B3997" t="str">
        <f>"8:57:23.303628"</f>
        <v>8:57:23.303628</v>
      </c>
      <c r="C3997">
        <v>-45</v>
      </c>
    </row>
    <row r="3998" spans="1:3" x14ac:dyDescent="0.25">
      <c r="A3998">
        <v>37</v>
      </c>
      <c r="B3998" t="str">
        <f>"8:57:23.651413"</f>
        <v>8:57:23.651413</v>
      </c>
      <c r="C3998">
        <v>-44</v>
      </c>
    </row>
    <row r="3999" spans="1:3" x14ac:dyDescent="0.25">
      <c r="A3999">
        <v>38</v>
      </c>
      <c r="B3999" t="str">
        <f>"8:57:23.652441"</f>
        <v>8:57:23.652441</v>
      </c>
      <c r="C3999">
        <v>-41</v>
      </c>
    </row>
    <row r="4000" spans="1:3" x14ac:dyDescent="0.25">
      <c r="A4000">
        <v>38</v>
      </c>
      <c r="B4000" t="str">
        <f>"8:57:23.652960"</f>
        <v>8:57:23.652960</v>
      </c>
      <c r="C4000">
        <v>-31</v>
      </c>
    </row>
    <row r="4001" spans="1:3" x14ac:dyDescent="0.25">
      <c r="A4001">
        <v>38</v>
      </c>
      <c r="B4001" t="str">
        <f>"8:57:23.653286"</f>
        <v>8:57:23.653286</v>
      </c>
      <c r="C4001">
        <v>-41</v>
      </c>
    </row>
    <row r="4002" spans="1:3" x14ac:dyDescent="0.25">
      <c r="A4002">
        <v>39</v>
      </c>
      <c r="B4002" t="str">
        <f>"8:57:23.654062"</f>
        <v>8:57:23.654062</v>
      </c>
      <c r="C4002">
        <v>-46</v>
      </c>
    </row>
    <row r="4003" spans="1:3" x14ac:dyDescent="0.25">
      <c r="A4003">
        <v>37</v>
      </c>
      <c r="B4003" t="str">
        <f>"8:57:24.002454"</f>
        <v>8:57:24.002454</v>
      </c>
      <c r="C4003">
        <v>-44</v>
      </c>
    </row>
    <row r="4004" spans="1:3" x14ac:dyDescent="0.25">
      <c r="A4004">
        <v>38</v>
      </c>
      <c r="B4004" t="str">
        <f>"8:57:24.003481"</f>
        <v>8:57:24.003481</v>
      </c>
      <c r="C4004">
        <v>-41</v>
      </c>
    </row>
    <row r="4005" spans="1:3" x14ac:dyDescent="0.25">
      <c r="A4005">
        <v>38</v>
      </c>
      <c r="B4005" t="str">
        <f>"8:57:24.004000"</f>
        <v>8:57:24.004000</v>
      </c>
      <c r="C4005">
        <v>-31</v>
      </c>
    </row>
    <row r="4006" spans="1:3" x14ac:dyDescent="0.25">
      <c r="A4006">
        <v>38</v>
      </c>
      <c r="B4006" t="str">
        <f>"8:57:24.004325"</f>
        <v>8:57:24.004325</v>
      </c>
      <c r="C4006">
        <v>-41</v>
      </c>
    </row>
    <row r="4007" spans="1:3" x14ac:dyDescent="0.25">
      <c r="A4007">
        <v>39</v>
      </c>
      <c r="B4007" t="str">
        <f>"8:57:24.005101"</f>
        <v>8:57:24.005101</v>
      </c>
      <c r="C4007">
        <v>-46</v>
      </c>
    </row>
    <row r="4008" spans="1:3" x14ac:dyDescent="0.25">
      <c r="A4008">
        <v>37</v>
      </c>
      <c r="B4008" t="str">
        <f>"8:57:24.358057"</f>
        <v>8:57:24.358057</v>
      </c>
      <c r="C4008">
        <v>-44</v>
      </c>
    </row>
    <row r="4009" spans="1:3" x14ac:dyDescent="0.25">
      <c r="A4009">
        <v>38</v>
      </c>
      <c r="B4009" t="str">
        <f>"8:57:24.359084"</f>
        <v>8:57:24.359084</v>
      </c>
      <c r="C4009">
        <v>-41</v>
      </c>
    </row>
    <row r="4010" spans="1:3" x14ac:dyDescent="0.25">
      <c r="A4010">
        <v>38</v>
      </c>
      <c r="B4010" t="str">
        <f>"8:57:24.359603"</f>
        <v>8:57:24.359603</v>
      </c>
      <c r="C4010">
        <v>-31</v>
      </c>
    </row>
    <row r="4011" spans="1:3" x14ac:dyDescent="0.25">
      <c r="A4011">
        <v>38</v>
      </c>
      <c r="B4011" t="str">
        <f>"8:57:24.359928"</f>
        <v>8:57:24.359928</v>
      </c>
      <c r="C4011">
        <v>-41</v>
      </c>
    </row>
    <row r="4012" spans="1:3" x14ac:dyDescent="0.25">
      <c r="A4012">
        <v>39</v>
      </c>
      <c r="B4012" t="str">
        <f>"8:57:24.360704"</f>
        <v>8:57:24.360704</v>
      </c>
      <c r="C4012">
        <v>-46</v>
      </c>
    </row>
    <row r="4013" spans="1:3" x14ac:dyDescent="0.25">
      <c r="A4013">
        <v>37</v>
      </c>
      <c r="B4013" t="str">
        <f>"8:57:24.712839"</f>
        <v>8:57:24.712839</v>
      </c>
      <c r="C4013">
        <v>-44</v>
      </c>
    </row>
    <row r="4014" spans="1:3" x14ac:dyDescent="0.25">
      <c r="A4014">
        <v>38</v>
      </c>
      <c r="B4014" t="str">
        <f>"8:57:24.713866"</f>
        <v>8:57:24.713866</v>
      </c>
      <c r="C4014">
        <v>-41</v>
      </c>
    </row>
    <row r="4015" spans="1:3" x14ac:dyDescent="0.25">
      <c r="A4015">
        <v>39</v>
      </c>
      <c r="B4015" t="str">
        <f>"8:57:24.714892"</f>
        <v>8:57:24.714892</v>
      </c>
      <c r="C4015">
        <v>-46</v>
      </c>
    </row>
    <row r="4016" spans="1:3" x14ac:dyDescent="0.25">
      <c r="A4016">
        <v>39</v>
      </c>
      <c r="B4016" t="str">
        <f>"8:57:24.715411"</f>
        <v>8:57:24.715411</v>
      </c>
      <c r="C4016">
        <v>-31</v>
      </c>
    </row>
    <row r="4017" spans="1:3" x14ac:dyDescent="0.25">
      <c r="A4017">
        <v>39</v>
      </c>
      <c r="B4017" t="str">
        <f>"8:57:24.715736"</f>
        <v>8:57:24.715736</v>
      </c>
      <c r="C4017">
        <v>-45</v>
      </c>
    </row>
    <row r="4018" spans="1:3" x14ac:dyDescent="0.25">
      <c r="A4018">
        <v>37</v>
      </c>
      <c r="B4018" t="str">
        <f>"8:57:25.064644"</f>
        <v>8:57:25.064644</v>
      </c>
      <c r="C4018">
        <v>-44</v>
      </c>
    </row>
    <row r="4019" spans="1:3" x14ac:dyDescent="0.25">
      <c r="A4019">
        <v>38</v>
      </c>
      <c r="B4019" t="str">
        <f>"8:57:25.065671"</f>
        <v>8:57:25.065671</v>
      </c>
      <c r="C4019">
        <v>-41</v>
      </c>
    </row>
    <row r="4020" spans="1:3" x14ac:dyDescent="0.25">
      <c r="A4020">
        <v>39</v>
      </c>
      <c r="B4020" t="str">
        <f>"8:57:25.066697"</f>
        <v>8:57:25.066697</v>
      </c>
      <c r="C4020">
        <v>-46</v>
      </c>
    </row>
    <row r="4021" spans="1:3" x14ac:dyDescent="0.25">
      <c r="A4021">
        <v>39</v>
      </c>
      <c r="B4021" t="str">
        <f>"8:57:25.067215"</f>
        <v>8:57:25.067215</v>
      </c>
      <c r="C4021">
        <v>-31</v>
      </c>
    </row>
    <row r="4022" spans="1:3" x14ac:dyDescent="0.25">
      <c r="A4022">
        <v>39</v>
      </c>
      <c r="B4022" t="str">
        <f>"8:57:25.067541"</f>
        <v>8:57:25.067541</v>
      </c>
      <c r="C4022">
        <v>-45</v>
      </c>
    </row>
    <row r="4023" spans="1:3" x14ac:dyDescent="0.25">
      <c r="A4023">
        <v>37</v>
      </c>
      <c r="B4023" t="str">
        <f>"8:57:25.417960"</f>
        <v>8:57:25.417960</v>
      </c>
      <c r="C4023">
        <v>-44</v>
      </c>
    </row>
    <row r="4024" spans="1:3" x14ac:dyDescent="0.25">
      <c r="A4024">
        <v>38</v>
      </c>
      <c r="B4024" t="str">
        <f>"8:57:25.418987"</f>
        <v>8:57:25.418987</v>
      </c>
      <c r="C4024">
        <v>-41</v>
      </c>
    </row>
    <row r="4025" spans="1:3" x14ac:dyDescent="0.25">
      <c r="A4025">
        <v>39</v>
      </c>
      <c r="B4025" t="str">
        <f>"8:57:25.420013"</f>
        <v>8:57:25.420013</v>
      </c>
      <c r="C4025">
        <v>-46</v>
      </c>
    </row>
    <row r="4026" spans="1:3" x14ac:dyDescent="0.25">
      <c r="A4026">
        <v>39</v>
      </c>
      <c r="B4026" t="str">
        <f>"8:57:25.420531"</f>
        <v>8:57:25.420531</v>
      </c>
      <c r="C4026">
        <v>-31</v>
      </c>
    </row>
    <row r="4027" spans="1:3" x14ac:dyDescent="0.25">
      <c r="A4027">
        <v>39</v>
      </c>
      <c r="B4027" t="str">
        <f>"8:57:25.420857"</f>
        <v>8:57:25.420857</v>
      </c>
      <c r="C4027">
        <v>-45</v>
      </c>
    </row>
    <row r="4028" spans="1:3" x14ac:dyDescent="0.25">
      <c r="A4028">
        <v>37</v>
      </c>
      <c r="B4028" t="str">
        <f>"8:57:25.773592"</f>
        <v>8:57:25.773592</v>
      </c>
      <c r="C4028">
        <v>-44</v>
      </c>
    </row>
    <row r="4029" spans="1:3" x14ac:dyDescent="0.25">
      <c r="A4029">
        <v>38</v>
      </c>
      <c r="B4029" t="str">
        <f>"8:57:25.774619"</f>
        <v>8:57:25.774619</v>
      </c>
      <c r="C4029">
        <v>-41</v>
      </c>
    </row>
    <row r="4030" spans="1:3" x14ac:dyDescent="0.25">
      <c r="A4030">
        <v>39</v>
      </c>
      <c r="B4030" t="str">
        <f>"8:57:25.775645"</f>
        <v>8:57:25.775645</v>
      </c>
      <c r="C4030">
        <v>-46</v>
      </c>
    </row>
    <row r="4031" spans="1:3" x14ac:dyDescent="0.25">
      <c r="A4031">
        <v>39</v>
      </c>
      <c r="B4031" t="str">
        <f>"8:57:25.776163"</f>
        <v>8:57:25.776163</v>
      </c>
      <c r="C4031">
        <v>-31</v>
      </c>
    </row>
    <row r="4032" spans="1:3" x14ac:dyDescent="0.25">
      <c r="A4032">
        <v>39</v>
      </c>
      <c r="B4032" t="str">
        <f>"8:57:25.776489"</f>
        <v>8:57:25.776489</v>
      </c>
      <c r="C4032">
        <v>-45</v>
      </c>
    </row>
    <row r="4033" spans="1:3" x14ac:dyDescent="0.25">
      <c r="A4033">
        <v>37</v>
      </c>
      <c r="B4033" t="str">
        <f>"8:57:26.127127"</f>
        <v>8:57:26.127127</v>
      </c>
      <c r="C4033">
        <v>-44</v>
      </c>
    </row>
    <row r="4034" spans="1:3" x14ac:dyDescent="0.25">
      <c r="A4034">
        <v>38</v>
      </c>
      <c r="B4034" t="str">
        <f>"8:57:26.128155"</f>
        <v>8:57:26.128155</v>
      </c>
      <c r="C4034">
        <v>-41</v>
      </c>
    </row>
    <row r="4035" spans="1:3" x14ac:dyDescent="0.25">
      <c r="A4035">
        <v>39</v>
      </c>
      <c r="B4035" t="str">
        <f>"8:57:26.129181"</f>
        <v>8:57:26.129181</v>
      </c>
      <c r="C4035">
        <v>-46</v>
      </c>
    </row>
    <row r="4036" spans="1:3" x14ac:dyDescent="0.25">
      <c r="A4036">
        <v>39</v>
      </c>
      <c r="B4036" t="str">
        <f>"8:57:26.129699"</f>
        <v>8:57:26.129699</v>
      </c>
      <c r="C4036">
        <v>-31</v>
      </c>
    </row>
    <row r="4037" spans="1:3" x14ac:dyDescent="0.25">
      <c r="A4037">
        <v>39</v>
      </c>
      <c r="B4037" t="str">
        <f>"8:57:26.130025"</f>
        <v>8:57:26.130025</v>
      </c>
      <c r="C4037">
        <v>-45</v>
      </c>
    </row>
    <row r="4038" spans="1:3" x14ac:dyDescent="0.25">
      <c r="A4038">
        <v>37</v>
      </c>
      <c r="B4038" t="str">
        <f>"8:57:26.484271"</f>
        <v>8:57:26.484271</v>
      </c>
      <c r="C4038">
        <v>-44</v>
      </c>
    </row>
    <row r="4039" spans="1:3" x14ac:dyDescent="0.25">
      <c r="A4039">
        <v>38</v>
      </c>
      <c r="B4039" t="str">
        <f>"8:57:26.485298"</f>
        <v>8:57:26.485298</v>
      </c>
      <c r="C4039">
        <v>-41</v>
      </c>
    </row>
    <row r="4040" spans="1:3" x14ac:dyDescent="0.25">
      <c r="A4040">
        <v>39</v>
      </c>
      <c r="B4040" t="str">
        <f>"8:57:26.486324"</f>
        <v>8:57:26.486324</v>
      </c>
      <c r="C4040">
        <v>-46</v>
      </c>
    </row>
    <row r="4041" spans="1:3" x14ac:dyDescent="0.25">
      <c r="A4041">
        <v>37</v>
      </c>
      <c r="B4041" t="str">
        <f>"8:57:26.836242"</f>
        <v>8:57:26.836242</v>
      </c>
      <c r="C4041">
        <v>-44</v>
      </c>
    </row>
    <row r="4042" spans="1:3" x14ac:dyDescent="0.25">
      <c r="A4042">
        <v>38</v>
      </c>
      <c r="B4042" t="str">
        <f>"8:57:26.837270"</f>
        <v>8:57:26.837270</v>
      </c>
      <c r="C4042">
        <v>-41</v>
      </c>
    </row>
    <row r="4043" spans="1:3" x14ac:dyDescent="0.25">
      <c r="A4043">
        <v>39</v>
      </c>
      <c r="B4043" t="str">
        <f>"8:57:26.838296"</f>
        <v>8:57:26.838296</v>
      </c>
      <c r="C4043">
        <v>-46</v>
      </c>
    </row>
    <row r="4044" spans="1:3" x14ac:dyDescent="0.25">
      <c r="A4044">
        <v>39</v>
      </c>
      <c r="B4044" t="str">
        <f>"8:57:26.838814"</f>
        <v>8:57:26.838814</v>
      </c>
      <c r="C4044">
        <v>-31</v>
      </c>
    </row>
    <row r="4045" spans="1:3" x14ac:dyDescent="0.25">
      <c r="A4045">
        <v>39</v>
      </c>
      <c r="B4045" t="str">
        <f>"8:57:26.839140"</f>
        <v>8:57:26.839140</v>
      </c>
      <c r="C4045">
        <v>-45</v>
      </c>
    </row>
    <row r="4046" spans="1:3" x14ac:dyDescent="0.25">
      <c r="A4046">
        <v>37</v>
      </c>
      <c r="B4046" t="str">
        <f>"8:57:27.186746"</f>
        <v>8:57:27.186746</v>
      </c>
      <c r="C4046">
        <v>-44</v>
      </c>
    </row>
    <row r="4047" spans="1:3" x14ac:dyDescent="0.25">
      <c r="A4047">
        <v>38</v>
      </c>
      <c r="B4047" t="str">
        <f>"8:57:27.187773"</f>
        <v>8:57:27.187773</v>
      </c>
      <c r="C4047">
        <v>-41</v>
      </c>
    </row>
    <row r="4048" spans="1:3" x14ac:dyDescent="0.25">
      <c r="A4048">
        <v>39</v>
      </c>
      <c r="B4048" t="str">
        <f>"8:57:27.188799"</f>
        <v>8:57:27.188799</v>
      </c>
      <c r="C4048">
        <v>-45</v>
      </c>
    </row>
    <row r="4049" spans="1:3" x14ac:dyDescent="0.25">
      <c r="A4049">
        <v>37</v>
      </c>
      <c r="B4049" t="str">
        <f>"8:57:27.546416"</f>
        <v>8:57:27.546416</v>
      </c>
      <c r="C4049">
        <v>-44</v>
      </c>
    </row>
    <row r="4050" spans="1:3" x14ac:dyDescent="0.25">
      <c r="A4050">
        <v>38</v>
      </c>
      <c r="B4050" t="str">
        <f>"8:57:27.547443"</f>
        <v>8:57:27.547443</v>
      </c>
      <c r="C4050">
        <v>-41</v>
      </c>
    </row>
    <row r="4051" spans="1:3" x14ac:dyDescent="0.25">
      <c r="A4051">
        <v>39</v>
      </c>
      <c r="B4051" t="str">
        <f>"8:57:27.548469"</f>
        <v>8:57:27.548469</v>
      </c>
      <c r="C4051">
        <v>-45</v>
      </c>
    </row>
    <row r="4052" spans="1:3" x14ac:dyDescent="0.25">
      <c r="A4052">
        <v>39</v>
      </c>
      <c r="B4052" t="str">
        <f>"8:57:27.548988"</f>
        <v>8:57:27.548988</v>
      </c>
      <c r="C4052">
        <v>-31</v>
      </c>
    </row>
    <row r="4053" spans="1:3" x14ac:dyDescent="0.25">
      <c r="A4053">
        <v>39</v>
      </c>
      <c r="B4053" t="str">
        <f>"8:57:27.549314"</f>
        <v>8:57:27.549314</v>
      </c>
      <c r="C4053">
        <v>-45</v>
      </c>
    </row>
    <row r="4054" spans="1:3" x14ac:dyDescent="0.25">
      <c r="A4054">
        <v>37</v>
      </c>
      <c r="B4054" t="str">
        <f>"8:57:27.898386"</f>
        <v>8:57:27.898386</v>
      </c>
      <c r="C4054">
        <v>-44</v>
      </c>
    </row>
    <row r="4055" spans="1:3" x14ac:dyDescent="0.25">
      <c r="A4055">
        <v>38</v>
      </c>
      <c r="B4055" t="str">
        <f>"8:57:27.899413"</f>
        <v>8:57:27.899413</v>
      </c>
      <c r="C4055">
        <v>-41</v>
      </c>
    </row>
    <row r="4056" spans="1:3" x14ac:dyDescent="0.25">
      <c r="A4056">
        <v>39</v>
      </c>
      <c r="B4056" t="str">
        <f>"8:57:27.900439"</f>
        <v>8:57:27.900439</v>
      </c>
      <c r="C4056">
        <v>-45</v>
      </c>
    </row>
    <row r="4057" spans="1:3" x14ac:dyDescent="0.25">
      <c r="A4057">
        <v>39</v>
      </c>
      <c r="B4057" t="str">
        <f>"8:57:27.900957"</f>
        <v>8:57:27.900957</v>
      </c>
      <c r="C4057">
        <v>-31</v>
      </c>
    </row>
    <row r="4058" spans="1:3" x14ac:dyDescent="0.25">
      <c r="A4058">
        <v>39</v>
      </c>
      <c r="B4058" t="str">
        <f>"8:57:27.901283"</f>
        <v>8:57:27.901283</v>
      </c>
      <c r="C4058">
        <v>-45</v>
      </c>
    </row>
    <row r="4059" spans="1:3" x14ac:dyDescent="0.25">
      <c r="A4059">
        <v>37</v>
      </c>
      <c r="B4059" t="str">
        <f>"8:57:28.250900"</f>
        <v>8:57:28.250900</v>
      </c>
      <c r="C4059">
        <v>-44</v>
      </c>
    </row>
    <row r="4060" spans="1:3" x14ac:dyDescent="0.25">
      <c r="A4060">
        <v>38</v>
      </c>
      <c r="B4060" t="str">
        <f>"8:57:28.251928"</f>
        <v>8:57:28.251928</v>
      </c>
      <c r="C4060">
        <v>-41</v>
      </c>
    </row>
    <row r="4061" spans="1:3" x14ac:dyDescent="0.25">
      <c r="A4061">
        <v>39</v>
      </c>
      <c r="B4061" t="str">
        <f>"8:57:28.252954"</f>
        <v>8:57:28.252954</v>
      </c>
      <c r="C4061">
        <v>-45</v>
      </c>
    </row>
    <row r="4062" spans="1:3" x14ac:dyDescent="0.25">
      <c r="A4062">
        <v>39</v>
      </c>
      <c r="B4062" t="str">
        <f>"8:57:28.253472"</f>
        <v>8:57:28.253472</v>
      </c>
      <c r="C4062">
        <v>-31</v>
      </c>
    </row>
    <row r="4063" spans="1:3" x14ac:dyDescent="0.25">
      <c r="A4063">
        <v>39</v>
      </c>
      <c r="B4063" t="str">
        <f>"8:57:28.253798"</f>
        <v>8:57:28.253798</v>
      </c>
      <c r="C4063">
        <v>-45</v>
      </c>
    </row>
    <row r="4064" spans="1:3" x14ac:dyDescent="0.25">
      <c r="A4064">
        <v>37</v>
      </c>
      <c r="B4064" t="str">
        <f>"8:57:28.609289"</f>
        <v>8:57:28.609289</v>
      </c>
      <c r="C4064">
        <v>-44</v>
      </c>
    </row>
    <row r="4065" spans="1:3" x14ac:dyDescent="0.25">
      <c r="A4065">
        <v>37</v>
      </c>
      <c r="B4065" t="str">
        <f>"8:57:28.610134"</f>
        <v>8:57:28.610134</v>
      </c>
      <c r="C4065">
        <v>-44</v>
      </c>
    </row>
    <row r="4066" spans="1:3" x14ac:dyDescent="0.25">
      <c r="A4066">
        <v>38</v>
      </c>
      <c r="B4066" t="str">
        <f>"8:57:28.610910"</f>
        <v>8:57:28.610910</v>
      </c>
      <c r="C4066">
        <v>-41</v>
      </c>
    </row>
    <row r="4067" spans="1:3" x14ac:dyDescent="0.25">
      <c r="A4067">
        <v>39</v>
      </c>
      <c r="B4067" t="str">
        <f>"8:57:28.611936"</f>
        <v>8:57:28.611936</v>
      </c>
      <c r="C4067">
        <v>-45</v>
      </c>
    </row>
    <row r="4068" spans="1:3" x14ac:dyDescent="0.25">
      <c r="A4068">
        <v>39</v>
      </c>
      <c r="B4068" t="str">
        <f>"8:57:28.612454"</f>
        <v>8:57:28.612454</v>
      </c>
      <c r="C4068">
        <v>-31</v>
      </c>
    </row>
    <row r="4069" spans="1:3" x14ac:dyDescent="0.25">
      <c r="A4069">
        <v>39</v>
      </c>
      <c r="B4069" t="str">
        <f>"8:57:28.612780"</f>
        <v>8:57:28.612780</v>
      </c>
      <c r="C4069">
        <v>-45</v>
      </c>
    </row>
    <row r="4070" spans="1:3" x14ac:dyDescent="0.25">
      <c r="A4070">
        <v>37</v>
      </c>
      <c r="B4070" t="str">
        <f>"8:57:28.963326"</f>
        <v>8:57:28.963326</v>
      </c>
      <c r="C4070">
        <v>-44</v>
      </c>
    </row>
    <row r="4071" spans="1:3" x14ac:dyDescent="0.25">
      <c r="A4071">
        <v>38</v>
      </c>
      <c r="B4071" t="str">
        <f>"8:57:28.964353"</f>
        <v>8:57:28.964353</v>
      </c>
      <c r="C4071">
        <v>-41</v>
      </c>
    </row>
    <row r="4072" spans="1:3" x14ac:dyDescent="0.25">
      <c r="A4072">
        <v>39</v>
      </c>
      <c r="B4072" t="str">
        <f>"8:57:28.965379"</f>
        <v>8:57:28.965379</v>
      </c>
      <c r="C4072">
        <v>-45</v>
      </c>
    </row>
    <row r="4073" spans="1:3" x14ac:dyDescent="0.25">
      <c r="A4073">
        <v>39</v>
      </c>
      <c r="B4073" t="str">
        <f>"8:57:28.965897"</f>
        <v>8:57:28.965897</v>
      </c>
      <c r="C4073">
        <v>-31</v>
      </c>
    </row>
    <row r="4074" spans="1:3" x14ac:dyDescent="0.25">
      <c r="A4074">
        <v>39</v>
      </c>
      <c r="B4074" t="str">
        <f>"8:57:28.966223"</f>
        <v>8:57:28.966223</v>
      </c>
      <c r="C4074">
        <v>-45</v>
      </c>
    </row>
    <row r="4075" spans="1:3" x14ac:dyDescent="0.25">
      <c r="A4075">
        <v>37</v>
      </c>
      <c r="B4075" t="str">
        <f>"8:57:29.317406"</f>
        <v>8:57:29.317406</v>
      </c>
      <c r="C4075">
        <v>-44</v>
      </c>
    </row>
    <row r="4076" spans="1:3" x14ac:dyDescent="0.25">
      <c r="A4076">
        <v>38</v>
      </c>
      <c r="B4076" t="str">
        <f>"8:57:29.318434"</f>
        <v>8:57:29.318434</v>
      </c>
      <c r="C4076">
        <v>-41</v>
      </c>
    </row>
    <row r="4077" spans="1:3" x14ac:dyDescent="0.25">
      <c r="A4077">
        <v>39</v>
      </c>
      <c r="B4077" t="str">
        <f>"8:57:29.319460"</f>
        <v>8:57:29.319460</v>
      </c>
      <c r="C4077">
        <v>-45</v>
      </c>
    </row>
    <row r="4078" spans="1:3" x14ac:dyDescent="0.25">
      <c r="A4078">
        <v>39</v>
      </c>
      <c r="B4078" t="str">
        <f>"8:57:29.319978"</f>
        <v>8:57:29.319978</v>
      </c>
      <c r="C4078">
        <v>-31</v>
      </c>
    </row>
    <row r="4079" spans="1:3" x14ac:dyDescent="0.25">
      <c r="A4079">
        <v>39</v>
      </c>
      <c r="B4079" t="str">
        <f>"8:57:29.320304"</f>
        <v>8:57:29.320304</v>
      </c>
      <c r="C4079">
        <v>-45</v>
      </c>
    </row>
    <row r="4080" spans="1:3" x14ac:dyDescent="0.25">
      <c r="A4080">
        <v>37</v>
      </c>
      <c r="B4080" t="str">
        <f>"8:57:29.671974"</f>
        <v>8:57:29.671974</v>
      </c>
      <c r="C4080">
        <v>-45</v>
      </c>
    </row>
    <row r="4081" spans="1:3" x14ac:dyDescent="0.25">
      <c r="A4081">
        <v>38</v>
      </c>
      <c r="B4081" t="str">
        <f>"8:57:29.673001"</f>
        <v>8:57:29.673001</v>
      </c>
      <c r="C4081">
        <v>-41</v>
      </c>
    </row>
    <row r="4082" spans="1:3" x14ac:dyDescent="0.25">
      <c r="A4082">
        <v>39</v>
      </c>
      <c r="B4082" t="str">
        <f>"8:57:29.674027"</f>
        <v>8:57:29.674027</v>
      </c>
      <c r="C4082">
        <v>-46</v>
      </c>
    </row>
    <row r="4083" spans="1:3" x14ac:dyDescent="0.25">
      <c r="A4083">
        <v>37</v>
      </c>
      <c r="B4083" t="str">
        <f>"8:57:30.023739"</f>
        <v>8:57:30.023739</v>
      </c>
      <c r="C4083">
        <v>-45</v>
      </c>
    </row>
    <row r="4084" spans="1:3" x14ac:dyDescent="0.25">
      <c r="A4084">
        <v>37</v>
      </c>
      <c r="B4084" t="str">
        <f>"8:57:30.024257"</f>
        <v>8:57:30.024257</v>
      </c>
      <c r="C4084">
        <v>-36</v>
      </c>
    </row>
    <row r="4085" spans="1:3" x14ac:dyDescent="0.25">
      <c r="A4085">
        <v>37</v>
      </c>
      <c r="B4085" t="str">
        <f>"8:57:30.024584"</f>
        <v>8:57:30.024584</v>
      </c>
      <c r="C4085">
        <v>-45</v>
      </c>
    </row>
    <row r="4086" spans="1:3" x14ac:dyDescent="0.25">
      <c r="A4086">
        <v>38</v>
      </c>
      <c r="B4086" t="str">
        <f>"8:57:30.025360"</f>
        <v>8:57:30.025360</v>
      </c>
      <c r="C4086">
        <v>-41</v>
      </c>
    </row>
    <row r="4087" spans="1:3" x14ac:dyDescent="0.25">
      <c r="A4087">
        <v>39</v>
      </c>
      <c r="B4087" t="str">
        <f>"8:57:30.026386"</f>
        <v>8:57:30.026386</v>
      </c>
      <c r="C4087">
        <v>-45</v>
      </c>
    </row>
    <row r="4088" spans="1:3" x14ac:dyDescent="0.25">
      <c r="A4088">
        <v>37</v>
      </c>
      <c r="B4088" t="str">
        <f>"8:57:30.376221"</f>
        <v>8:57:30.376221</v>
      </c>
      <c r="C4088">
        <v>-45</v>
      </c>
    </row>
    <row r="4089" spans="1:3" x14ac:dyDescent="0.25">
      <c r="A4089">
        <v>38</v>
      </c>
      <c r="B4089" t="str">
        <f>"8:57:30.377249"</f>
        <v>8:57:30.377249</v>
      </c>
      <c r="C4089">
        <v>-41</v>
      </c>
    </row>
    <row r="4090" spans="1:3" x14ac:dyDescent="0.25">
      <c r="A4090">
        <v>39</v>
      </c>
      <c r="B4090" t="str">
        <f>"8:57:30.378275"</f>
        <v>8:57:30.378275</v>
      </c>
      <c r="C4090">
        <v>-45</v>
      </c>
    </row>
    <row r="4091" spans="1:3" x14ac:dyDescent="0.25">
      <c r="A4091">
        <v>37</v>
      </c>
      <c r="B4091" t="str">
        <f>"8:57:30.728036"</f>
        <v>8:57:30.728036</v>
      </c>
      <c r="C4091">
        <v>-45</v>
      </c>
    </row>
    <row r="4092" spans="1:3" x14ac:dyDescent="0.25">
      <c r="A4092">
        <v>37</v>
      </c>
      <c r="B4092" t="str">
        <f>"8:57:30.728555"</f>
        <v>8:57:30.728555</v>
      </c>
      <c r="C4092">
        <v>-36</v>
      </c>
    </row>
    <row r="4093" spans="1:3" x14ac:dyDescent="0.25">
      <c r="A4093">
        <v>37</v>
      </c>
      <c r="B4093" t="str">
        <f>"8:57:30.728881"</f>
        <v>8:57:30.728881</v>
      </c>
      <c r="C4093">
        <v>-45</v>
      </c>
    </row>
    <row r="4094" spans="1:3" x14ac:dyDescent="0.25">
      <c r="A4094">
        <v>38</v>
      </c>
      <c r="B4094" t="str">
        <f>"8:57:30.729657"</f>
        <v>8:57:30.729657</v>
      </c>
      <c r="C4094">
        <v>-41</v>
      </c>
    </row>
    <row r="4095" spans="1:3" x14ac:dyDescent="0.25">
      <c r="A4095">
        <v>39</v>
      </c>
      <c r="B4095" t="str">
        <f>"8:57:30.730683"</f>
        <v>8:57:30.730683</v>
      </c>
      <c r="C4095">
        <v>-45</v>
      </c>
    </row>
    <row r="4096" spans="1:3" x14ac:dyDescent="0.25">
      <c r="A4096">
        <v>37</v>
      </c>
      <c r="B4096" t="str">
        <f>"8:57:31.087456"</f>
        <v>8:57:31.087456</v>
      </c>
      <c r="C4096">
        <v>-45</v>
      </c>
    </row>
    <row r="4097" spans="1:3" x14ac:dyDescent="0.25">
      <c r="A4097">
        <v>37</v>
      </c>
      <c r="B4097" t="str">
        <f>"8:57:31.087975"</f>
        <v>8:57:31.087975</v>
      </c>
      <c r="C4097">
        <v>-36</v>
      </c>
    </row>
    <row r="4098" spans="1:3" x14ac:dyDescent="0.25">
      <c r="A4098">
        <v>37</v>
      </c>
      <c r="B4098" t="str">
        <f>"8:57:31.088301"</f>
        <v>8:57:31.088301</v>
      </c>
      <c r="C4098">
        <v>-45</v>
      </c>
    </row>
    <row r="4099" spans="1:3" x14ac:dyDescent="0.25">
      <c r="A4099">
        <v>38</v>
      </c>
      <c r="B4099" t="str">
        <f>"8:57:31.089077"</f>
        <v>8:57:31.089077</v>
      </c>
      <c r="C4099">
        <v>-41</v>
      </c>
    </row>
    <row r="4100" spans="1:3" x14ac:dyDescent="0.25">
      <c r="A4100">
        <v>39</v>
      </c>
      <c r="B4100" t="str">
        <f>"8:57:31.090103"</f>
        <v>8:57:31.090103</v>
      </c>
      <c r="C4100">
        <v>-45</v>
      </c>
    </row>
    <row r="4101" spans="1:3" x14ac:dyDescent="0.25">
      <c r="A4101">
        <v>38</v>
      </c>
      <c r="B4101" t="str">
        <f>"8:57:31.438962"</f>
        <v>8:57:31.438962</v>
      </c>
      <c r="C4101">
        <v>-41</v>
      </c>
    </row>
    <row r="4102" spans="1:3" x14ac:dyDescent="0.25">
      <c r="A4102">
        <v>39</v>
      </c>
      <c r="B4102" t="str">
        <f>"8:57:31.439988"</f>
        <v>8:57:31.439988</v>
      </c>
      <c r="C4102">
        <v>-46</v>
      </c>
    </row>
    <row r="4103" spans="1:3" x14ac:dyDescent="0.25">
      <c r="A4103">
        <v>37</v>
      </c>
      <c r="B4103" t="str">
        <f>"8:57:31.792252"</f>
        <v>8:57:31.792252</v>
      </c>
      <c r="C4103">
        <v>-45</v>
      </c>
    </row>
    <row r="4104" spans="1:3" x14ac:dyDescent="0.25">
      <c r="A4104">
        <v>37</v>
      </c>
      <c r="B4104" t="str">
        <f>"8:57:31.792770"</f>
        <v>8:57:31.792770</v>
      </c>
      <c r="C4104">
        <v>-36</v>
      </c>
    </row>
    <row r="4105" spans="1:3" x14ac:dyDescent="0.25">
      <c r="A4105">
        <v>37</v>
      </c>
      <c r="B4105" t="str">
        <f>"8:57:31.793097"</f>
        <v>8:57:31.793097</v>
      </c>
      <c r="C4105">
        <v>-45</v>
      </c>
    </row>
    <row r="4106" spans="1:3" x14ac:dyDescent="0.25">
      <c r="A4106">
        <v>38</v>
      </c>
      <c r="B4106" t="str">
        <f>"8:57:31.793873"</f>
        <v>8:57:31.793873</v>
      </c>
      <c r="C4106">
        <v>-41</v>
      </c>
    </row>
    <row r="4107" spans="1:3" x14ac:dyDescent="0.25">
      <c r="A4107">
        <v>38</v>
      </c>
      <c r="B4107" t="str">
        <f>"8:57:31.794718"</f>
        <v>8:57:31.794718</v>
      </c>
      <c r="C4107">
        <v>-41</v>
      </c>
    </row>
    <row r="4108" spans="1:3" x14ac:dyDescent="0.25">
      <c r="A4108">
        <v>39</v>
      </c>
      <c r="B4108" t="str">
        <f>"8:57:31.795494"</f>
        <v>8:57:31.795494</v>
      </c>
      <c r="C4108">
        <v>-45</v>
      </c>
    </row>
    <row r="4109" spans="1:3" x14ac:dyDescent="0.25">
      <c r="A4109">
        <v>37</v>
      </c>
      <c r="B4109" t="str">
        <f>"8:57:32.143496"</f>
        <v>8:57:32.143496</v>
      </c>
      <c r="C4109">
        <v>-44</v>
      </c>
    </row>
    <row r="4110" spans="1:3" x14ac:dyDescent="0.25">
      <c r="A4110">
        <v>37</v>
      </c>
      <c r="B4110" t="str">
        <f>"8:57:32.144014"</f>
        <v>8:57:32.144014</v>
      </c>
      <c r="C4110">
        <v>-40</v>
      </c>
    </row>
    <row r="4111" spans="1:3" x14ac:dyDescent="0.25">
      <c r="A4111">
        <v>37</v>
      </c>
      <c r="B4111" t="str">
        <f>"8:57:32.144341"</f>
        <v>8:57:32.144341</v>
      </c>
      <c r="C4111">
        <v>-44</v>
      </c>
    </row>
    <row r="4112" spans="1:3" x14ac:dyDescent="0.25">
      <c r="A4112">
        <v>38</v>
      </c>
      <c r="B4112" t="str">
        <f>"8:57:32.145117"</f>
        <v>8:57:32.145117</v>
      </c>
      <c r="C4112">
        <v>-41</v>
      </c>
    </row>
    <row r="4113" spans="1:3" x14ac:dyDescent="0.25">
      <c r="A4113">
        <v>39</v>
      </c>
      <c r="B4113" t="str">
        <f>"8:57:32.146143"</f>
        <v>8:57:32.146143</v>
      </c>
      <c r="C4113">
        <v>-45</v>
      </c>
    </row>
    <row r="4114" spans="1:3" x14ac:dyDescent="0.25">
      <c r="A4114">
        <v>37</v>
      </c>
      <c r="B4114" t="str">
        <f>"8:57:32.495548"</f>
        <v>8:57:32.495548</v>
      </c>
      <c r="C4114">
        <v>-44</v>
      </c>
    </row>
    <row r="4115" spans="1:3" x14ac:dyDescent="0.25">
      <c r="A4115">
        <v>37</v>
      </c>
      <c r="B4115" t="str">
        <f>"8:57:32.496067"</f>
        <v>8:57:32.496067</v>
      </c>
      <c r="C4115">
        <v>-39</v>
      </c>
    </row>
    <row r="4116" spans="1:3" x14ac:dyDescent="0.25">
      <c r="A4116">
        <v>37</v>
      </c>
      <c r="B4116" t="str">
        <f>"8:57:32.496392"</f>
        <v>8:57:32.496392</v>
      </c>
      <c r="C4116">
        <v>-44</v>
      </c>
    </row>
    <row r="4117" spans="1:3" x14ac:dyDescent="0.25">
      <c r="A4117">
        <v>38</v>
      </c>
      <c r="B4117" t="str">
        <f>"8:57:32.497168"</f>
        <v>8:57:32.497168</v>
      </c>
      <c r="C4117">
        <v>-41</v>
      </c>
    </row>
    <row r="4118" spans="1:3" x14ac:dyDescent="0.25">
      <c r="A4118">
        <v>39</v>
      </c>
      <c r="B4118" t="str">
        <f>"8:57:32.498194"</f>
        <v>8:57:32.498194</v>
      </c>
      <c r="C4118">
        <v>-45</v>
      </c>
    </row>
    <row r="4119" spans="1:3" x14ac:dyDescent="0.25">
      <c r="A4119">
        <v>37</v>
      </c>
      <c r="B4119" t="str">
        <f>"8:57:32.852995"</f>
        <v>8:57:32.852995</v>
      </c>
      <c r="C4119">
        <v>-44</v>
      </c>
    </row>
    <row r="4120" spans="1:3" x14ac:dyDescent="0.25">
      <c r="A4120">
        <v>37</v>
      </c>
      <c r="B4120" t="str">
        <f>"8:57:32.853514"</f>
        <v>8:57:32.853514</v>
      </c>
      <c r="C4120">
        <v>-40</v>
      </c>
    </row>
    <row r="4121" spans="1:3" x14ac:dyDescent="0.25">
      <c r="A4121">
        <v>37</v>
      </c>
      <c r="B4121" t="str">
        <f>"8:57:32.853840"</f>
        <v>8:57:32.853840</v>
      </c>
      <c r="C4121">
        <v>-44</v>
      </c>
    </row>
    <row r="4122" spans="1:3" x14ac:dyDescent="0.25">
      <c r="A4122">
        <v>38</v>
      </c>
      <c r="B4122" t="str">
        <f>"8:57:32.854616"</f>
        <v>8:57:32.854616</v>
      </c>
      <c r="C4122">
        <v>-41</v>
      </c>
    </row>
    <row r="4123" spans="1:3" x14ac:dyDescent="0.25">
      <c r="A4123">
        <v>39</v>
      </c>
      <c r="B4123" t="str">
        <f>"8:57:32.855642"</f>
        <v>8:57:32.855642</v>
      </c>
      <c r="C4123">
        <v>-45</v>
      </c>
    </row>
    <row r="4124" spans="1:3" x14ac:dyDescent="0.25">
      <c r="A4124">
        <v>37</v>
      </c>
      <c r="B4124" t="str">
        <f>"8:57:33.204295"</f>
        <v>8:57:33.204295</v>
      </c>
      <c r="C4124">
        <v>-44</v>
      </c>
    </row>
    <row r="4125" spans="1:3" x14ac:dyDescent="0.25">
      <c r="A4125">
        <v>37</v>
      </c>
      <c r="B4125" t="str">
        <f>"8:57:33.204814"</f>
        <v>8:57:33.204814</v>
      </c>
      <c r="C4125">
        <v>-39</v>
      </c>
    </row>
    <row r="4126" spans="1:3" x14ac:dyDescent="0.25">
      <c r="A4126">
        <v>37</v>
      </c>
      <c r="B4126" t="str">
        <f>"8:57:33.205140"</f>
        <v>8:57:33.205140</v>
      </c>
      <c r="C4126">
        <v>-44</v>
      </c>
    </row>
    <row r="4127" spans="1:3" x14ac:dyDescent="0.25">
      <c r="A4127">
        <v>38</v>
      </c>
      <c r="B4127" t="str">
        <f>"8:57:33.205916"</f>
        <v>8:57:33.205916</v>
      </c>
      <c r="C4127">
        <v>-41</v>
      </c>
    </row>
    <row r="4128" spans="1:3" x14ac:dyDescent="0.25">
      <c r="A4128">
        <v>39</v>
      </c>
      <c r="B4128" t="str">
        <f>"8:57:33.206942"</f>
        <v>8:57:33.206942</v>
      </c>
      <c r="C4128">
        <v>-45</v>
      </c>
    </row>
    <row r="4129" spans="1:3" x14ac:dyDescent="0.25">
      <c r="A4129">
        <v>37</v>
      </c>
      <c r="B4129" t="str">
        <f>"8:57:33.563722"</f>
        <v>8:57:33.563722</v>
      </c>
      <c r="C4129">
        <v>-44</v>
      </c>
    </row>
    <row r="4130" spans="1:3" x14ac:dyDescent="0.25">
      <c r="A4130">
        <v>37</v>
      </c>
      <c r="B4130" t="str">
        <f>"8:57:33.564240"</f>
        <v>8:57:33.564240</v>
      </c>
      <c r="C4130">
        <v>-39</v>
      </c>
    </row>
    <row r="4131" spans="1:3" x14ac:dyDescent="0.25">
      <c r="A4131">
        <v>37</v>
      </c>
      <c r="B4131" t="str">
        <f>"8:57:33.564566"</f>
        <v>8:57:33.564566</v>
      </c>
      <c r="C4131">
        <v>-44</v>
      </c>
    </row>
    <row r="4132" spans="1:3" x14ac:dyDescent="0.25">
      <c r="A4132">
        <v>38</v>
      </c>
      <c r="B4132" t="str">
        <f>"8:57:33.565342"</f>
        <v>8:57:33.565342</v>
      </c>
      <c r="C4132">
        <v>-41</v>
      </c>
    </row>
    <row r="4133" spans="1:3" x14ac:dyDescent="0.25">
      <c r="A4133">
        <v>39</v>
      </c>
      <c r="B4133" t="str">
        <f>"8:57:33.566368"</f>
        <v>8:57:33.566368</v>
      </c>
      <c r="C4133">
        <v>-45</v>
      </c>
    </row>
    <row r="4134" spans="1:3" x14ac:dyDescent="0.25">
      <c r="A4134">
        <v>37</v>
      </c>
      <c r="B4134" t="str">
        <f>"8:57:33.917768"</f>
        <v>8:57:33.917768</v>
      </c>
      <c r="C4134">
        <v>-44</v>
      </c>
    </row>
    <row r="4135" spans="1:3" x14ac:dyDescent="0.25">
      <c r="A4135">
        <v>37</v>
      </c>
      <c r="B4135" t="str">
        <f>"8:57:33.918286"</f>
        <v>8:57:33.918286</v>
      </c>
      <c r="C4135">
        <v>-39</v>
      </c>
    </row>
    <row r="4136" spans="1:3" x14ac:dyDescent="0.25">
      <c r="A4136">
        <v>37</v>
      </c>
      <c r="B4136" t="str">
        <f>"8:57:33.918612"</f>
        <v>8:57:33.918612</v>
      </c>
      <c r="C4136">
        <v>-44</v>
      </c>
    </row>
    <row r="4137" spans="1:3" x14ac:dyDescent="0.25">
      <c r="A4137">
        <v>38</v>
      </c>
      <c r="B4137" t="str">
        <f>"8:57:33.919388"</f>
        <v>8:57:33.919388</v>
      </c>
      <c r="C4137">
        <v>-41</v>
      </c>
    </row>
    <row r="4138" spans="1:3" x14ac:dyDescent="0.25">
      <c r="A4138">
        <v>39</v>
      </c>
      <c r="B4138" t="str">
        <f>"8:57:33.920414"</f>
        <v>8:57:33.920414</v>
      </c>
      <c r="C4138">
        <v>-45</v>
      </c>
    </row>
    <row r="4139" spans="1:3" x14ac:dyDescent="0.25">
      <c r="A4139">
        <v>37</v>
      </c>
      <c r="B4139" t="str">
        <f>"8:57:34.270082"</f>
        <v>8:57:34.270082</v>
      </c>
      <c r="C4139">
        <v>-44</v>
      </c>
    </row>
    <row r="4140" spans="1:3" x14ac:dyDescent="0.25">
      <c r="A4140">
        <v>37</v>
      </c>
      <c r="B4140" t="str">
        <f>"8:57:34.270600"</f>
        <v>8:57:34.270600</v>
      </c>
      <c r="C4140">
        <v>-39</v>
      </c>
    </row>
    <row r="4141" spans="1:3" x14ac:dyDescent="0.25">
      <c r="A4141">
        <v>37</v>
      </c>
      <c r="B4141" t="str">
        <f>"8:57:34.270926"</f>
        <v>8:57:34.270926</v>
      </c>
      <c r="C4141">
        <v>-44</v>
      </c>
    </row>
    <row r="4142" spans="1:3" x14ac:dyDescent="0.25">
      <c r="A4142">
        <v>38</v>
      </c>
      <c r="B4142" t="str">
        <f>"8:57:34.271702"</f>
        <v>8:57:34.271702</v>
      </c>
      <c r="C4142">
        <v>-41</v>
      </c>
    </row>
    <row r="4143" spans="1:3" x14ac:dyDescent="0.25">
      <c r="A4143">
        <v>39</v>
      </c>
      <c r="B4143" t="str">
        <f>"8:57:34.272728"</f>
        <v>8:57:34.272728</v>
      </c>
      <c r="C4143">
        <v>-45</v>
      </c>
    </row>
    <row r="4144" spans="1:3" x14ac:dyDescent="0.25">
      <c r="A4144">
        <v>37</v>
      </c>
      <c r="B4144" t="str">
        <f>"8:57:34.624678"</f>
        <v>8:57:34.624678</v>
      </c>
      <c r="C4144">
        <v>-44</v>
      </c>
    </row>
    <row r="4145" spans="1:3" x14ac:dyDescent="0.25">
      <c r="A4145">
        <v>38</v>
      </c>
      <c r="B4145" t="str">
        <f>"8:57:34.625705"</f>
        <v>8:57:34.625705</v>
      </c>
      <c r="C4145">
        <v>-41</v>
      </c>
    </row>
    <row r="4146" spans="1:3" x14ac:dyDescent="0.25">
      <c r="A4146">
        <v>38</v>
      </c>
      <c r="B4146" t="str">
        <f>"8:57:34.626223"</f>
        <v>8:57:34.626223</v>
      </c>
      <c r="C4146">
        <v>-31</v>
      </c>
    </row>
    <row r="4147" spans="1:3" x14ac:dyDescent="0.25">
      <c r="A4147">
        <v>38</v>
      </c>
      <c r="B4147" t="str">
        <f>"8:57:34.626549"</f>
        <v>8:57:34.626549</v>
      </c>
      <c r="C4147">
        <v>-41</v>
      </c>
    </row>
    <row r="4148" spans="1:3" x14ac:dyDescent="0.25">
      <c r="A4148">
        <v>39</v>
      </c>
      <c r="B4148" t="str">
        <f>"8:57:34.627325"</f>
        <v>8:57:34.627325</v>
      </c>
      <c r="C4148">
        <v>-45</v>
      </c>
    </row>
    <row r="4149" spans="1:3" x14ac:dyDescent="0.25">
      <c r="A4149">
        <v>37</v>
      </c>
      <c r="B4149" t="str">
        <f>"8:57:34.980813"</f>
        <v>8:57:34.980813</v>
      </c>
      <c r="C4149">
        <v>-44</v>
      </c>
    </row>
    <row r="4150" spans="1:3" x14ac:dyDescent="0.25">
      <c r="A4150">
        <v>38</v>
      </c>
      <c r="B4150" t="str">
        <f>"8:57:34.981841"</f>
        <v>8:57:34.981841</v>
      </c>
      <c r="C4150">
        <v>-41</v>
      </c>
    </row>
    <row r="4151" spans="1:3" x14ac:dyDescent="0.25">
      <c r="A4151">
        <v>38</v>
      </c>
      <c r="B4151" t="str">
        <f>"8:57:34.982360"</f>
        <v>8:57:34.982360</v>
      </c>
      <c r="C4151">
        <v>-31</v>
      </c>
    </row>
    <row r="4152" spans="1:3" x14ac:dyDescent="0.25">
      <c r="A4152">
        <v>38</v>
      </c>
      <c r="B4152" t="str">
        <f>"8:57:34.982686"</f>
        <v>8:57:34.982686</v>
      </c>
      <c r="C4152">
        <v>-41</v>
      </c>
    </row>
    <row r="4153" spans="1:3" x14ac:dyDescent="0.25">
      <c r="A4153">
        <v>39</v>
      </c>
      <c r="B4153" t="str">
        <f>"8:57:34.983462"</f>
        <v>8:57:34.983462</v>
      </c>
      <c r="C4153">
        <v>-45</v>
      </c>
    </row>
    <row r="4154" spans="1:3" x14ac:dyDescent="0.25">
      <c r="A4154">
        <v>37</v>
      </c>
      <c r="B4154" t="str">
        <f>"8:57:35.335679"</f>
        <v>8:57:35.335679</v>
      </c>
      <c r="C4154">
        <v>-44</v>
      </c>
    </row>
    <row r="4155" spans="1:3" x14ac:dyDescent="0.25">
      <c r="A4155">
        <v>38</v>
      </c>
      <c r="B4155" t="str">
        <f>"8:57:35.336706"</f>
        <v>8:57:35.336706</v>
      </c>
      <c r="C4155">
        <v>-41</v>
      </c>
    </row>
    <row r="4156" spans="1:3" x14ac:dyDescent="0.25">
      <c r="A4156">
        <v>38</v>
      </c>
      <c r="B4156" t="str">
        <f>"8:57:35.337225"</f>
        <v>8:57:35.337225</v>
      </c>
      <c r="C4156">
        <v>-31</v>
      </c>
    </row>
    <row r="4157" spans="1:3" x14ac:dyDescent="0.25">
      <c r="A4157">
        <v>38</v>
      </c>
      <c r="B4157" t="str">
        <f>"8:57:35.337550"</f>
        <v>8:57:35.337550</v>
      </c>
      <c r="C4157">
        <v>-41</v>
      </c>
    </row>
    <row r="4158" spans="1:3" x14ac:dyDescent="0.25">
      <c r="A4158">
        <v>39</v>
      </c>
      <c r="B4158" t="str">
        <f>"8:57:35.338326"</f>
        <v>8:57:35.338326</v>
      </c>
      <c r="C4158">
        <v>-45</v>
      </c>
    </row>
    <row r="4159" spans="1:3" x14ac:dyDescent="0.25">
      <c r="A4159">
        <v>37</v>
      </c>
      <c r="B4159" t="str">
        <f>"8:57:35.694348"</f>
        <v>8:57:35.694348</v>
      </c>
      <c r="C4159">
        <v>-44</v>
      </c>
    </row>
    <row r="4160" spans="1:3" x14ac:dyDescent="0.25">
      <c r="A4160">
        <v>38</v>
      </c>
      <c r="B4160" t="str">
        <f>"8:57:35.695711"</f>
        <v>8:57:35.695711</v>
      </c>
      <c r="C4160">
        <v>-41</v>
      </c>
    </row>
    <row r="4161" spans="1:3" x14ac:dyDescent="0.25">
      <c r="A4161">
        <v>38</v>
      </c>
      <c r="B4161" t="str">
        <f>"8:57:35.696229"</f>
        <v>8:57:35.696229</v>
      </c>
      <c r="C4161">
        <v>-31</v>
      </c>
    </row>
    <row r="4162" spans="1:3" x14ac:dyDescent="0.25">
      <c r="A4162">
        <v>38</v>
      </c>
      <c r="B4162" t="str">
        <f>"8:57:35.696555"</f>
        <v>8:57:35.696555</v>
      </c>
      <c r="C4162">
        <v>-41</v>
      </c>
    </row>
    <row r="4163" spans="1:3" x14ac:dyDescent="0.25">
      <c r="A4163">
        <v>39</v>
      </c>
      <c r="B4163" t="str">
        <f>"8:57:35.697331"</f>
        <v>8:57:35.697331</v>
      </c>
      <c r="C4163">
        <v>-45</v>
      </c>
    </row>
    <row r="4164" spans="1:3" x14ac:dyDescent="0.25">
      <c r="A4164">
        <v>37</v>
      </c>
      <c r="B4164" t="str">
        <f>"8:57:36.047145"</f>
        <v>8:57:36.047145</v>
      </c>
      <c r="C4164">
        <v>-44</v>
      </c>
    </row>
    <row r="4165" spans="1:3" x14ac:dyDescent="0.25">
      <c r="A4165">
        <v>38</v>
      </c>
      <c r="B4165" t="str">
        <f>"8:57:36.048172"</f>
        <v>8:57:36.048172</v>
      </c>
      <c r="C4165">
        <v>-41</v>
      </c>
    </row>
    <row r="4166" spans="1:3" x14ac:dyDescent="0.25">
      <c r="A4166">
        <v>39</v>
      </c>
      <c r="B4166" t="str">
        <f>"8:57:36.049198"</f>
        <v>8:57:36.049198</v>
      </c>
      <c r="C4166">
        <v>-45</v>
      </c>
    </row>
    <row r="4167" spans="1:3" x14ac:dyDescent="0.25">
      <c r="A4167">
        <v>37</v>
      </c>
      <c r="B4167" t="str">
        <f>"8:57:36.400203"</f>
        <v>8:57:36.400203</v>
      </c>
      <c r="C4167">
        <v>-44</v>
      </c>
    </row>
    <row r="4168" spans="1:3" x14ac:dyDescent="0.25">
      <c r="A4168">
        <v>37</v>
      </c>
      <c r="B4168" t="str">
        <f>"8:57:36.400722"</f>
        <v>8:57:36.400722</v>
      </c>
      <c r="C4168">
        <v>-86</v>
      </c>
    </row>
    <row r="4169" spans="1:3" x14ac:dyDescent="0.25">
      <c r="A4169">
        <v>37</v>
      </c>
      <c r="B4169" t="str">
        <f>"8:57:36.401048"</f>
        <v>8:57:36.401048</v>
      </c>
      <c r="C4169">
        <v>-44</v>
      </c>
    </row>
    <row r="4170" spans="1:3" x14ac:dyDescent="0.25">
      <c r="A4170">
        <v>38</v>
      </c>
      <c r="B4170" t="str">
        <f>"8:57:36.401824"</f>
        <v>8:57:36.401824</v>
      </c>
      <c r="C4170">
        <v>-41</v>
      </c>
    </row>
    <row r="4171" spans="1:3" x14ac:dyDescent="0.25">
      <c r="A4171">
        <v>38</v>
      </c>
      <c r="B4171" t="str">
        <f>"8:57:36.402343"</f>
        <v>8:57:36.402343</v>
      </c>
      <c r="C4171">
        <v>-31</v>
      </c>
    </row>
    <row r="4172" spans="1:3" x14ac:dyDescent="0.25">
      <c r="A4172">
        <v>38</v>
      </c>
      <c r="B4172" t="str">
        <f>"8:57:36.402668"</f>
        <v>8:57:36.402668</v>
      </c>
      <c r="C4172">
        <v>-41</v>
      </c>
    </row>
    <row r="4173" spans="1:3" x14ac:dyDescent="0.25">
      <c r="A4173">
        <v>39</v>
      </c>
      <c r="B4173" t="str">
        <f>"8:57:36.403444"</f>
        <v>8:57:36.403444</v>
      </c>
      <c r="C4173">
        <v>-45</v>
      </c>
    </row>
    <row r="4174" spans="1:3" x14ac:dyDescent="0.25">
      <c r="A4174">
        <v>37</v>
      </c>
      <c r="B4174" t="str">
        <f>"8:57:36.758073"</f>
        <v>8:57:36.758073</v>
      </c>
      <c r="C4174">
        <v>-44</v>
      </c>
    </row>
    <row r="4175" spans="1:3" x14ac:dyDescent="0.25">
      <c r="A4175">
        <v>38</v>
      </c>
      <c r="B4175" t="str">
        <f>"8:57:36.759101"</f>
        <v>8:57:36.759101</v>
      </c>
      <c r="C4175">
        <v>-41</v>
      </c>
    </row>
    <row r="4176" spans="1:3" x14ac:dyDescent="0.25">
      <c r="A4176">
        <v>38</v>
      </c>
      <c r="B4176" t="str">
        <f>"8:57:36.759619"</f>
        <v>8:57:36.759619</v>
      </c>
      <c r="C4176">
        <v>-31</v>
      </c>
    </row>
    <row r="4177" spans="1:3" x14ac:dyDescent="0.25">
      <c r="A4177">
        <v>38</v>
      </c>
      <c r="B4177" t="str">
        <f>"8:57:36.759945"</f>
        <v>8:57:36.759945</v>
      </c>
      <c r="C4177">
        <v>-41</v>
      </c>
    </row>
    <row r="4178" spans="1:3" x14ac:dyDescent="0.25">
      <c r="A4178">
        <v>39</v>
      </c>
      <c r="B4178" t="str">
        <f>"8:57:36.760721"</f>
        <v>8:57:36.760721</v>
      </c>
      <c r="C4178">
        <v>-45</v>
      </c>
    </row>
    <row r="4179" spans="1:3" x14ac:dyDescent="0.25">
      <c r="A4179">
        <v>37</v>
      </c>
      <c r="B4179" t="str">
        <f>"8:57:37.117994"</f>
        <v>8:57:37.117994</v>
      </c>
      <c r="C4179">
        <v>-44</v>
      </c>
    </row>
    <row r="4180" spans="1:3" x14ac:dyDescent="0.25">
      <c r="A4180">
        <v>38</v>
      </c>
      <c r="B4180" t="str">
        <f>"8:57:37.119021"</f>
        <v>8:57:37.119021</v>
      </c>
      <c r="C4180">
        <v>-41</v>
      </c>
    </row>
    <row r="4181" spans="1:3" x14ac:dyDescent="0.25">
      <c r="A4181">
        <v>38</v>
      </c>
      <c r="B4181" t="str">
        <f>"8:57:37.119539"</f>
        <v>8:57:37.119539</v>
      </c>
      <c r="C4181">
        <v>-32</v>
      </c>
    </row>
    <row r="4182" spans="1:3" x14ac:dyDescent="0.25">
      <c r="A4182">
        <v>38</v>
      </c>
      <c r="B4182" t="str">
        <f>"8:57:37.119865"</f>
        <v>8:57:37.119865</v>
      </c>
      <c r="C4182">
        <v>-41</v>
      </c>
    </row>
    <row r="4183" spans="1:3" x14ac:dyDescent="0.25">
      <c r="A4183">
        <v>39</v>
      </c>
      <c r="B4183" t="str">
        <f>"8:57:37.120641"</f>
        <v>8:57:37.120641</v>
      </c>
      <c r="C4183">
        <v>-45</v>
      </c>
    </row>
    <row r="4184" spans="1:3" x14ac:dyDescent="0.25">
      <c r="A4184">
        <v>37</v>
      </c>
      <c r="B4184" t="str">
        <f>"8:57:37.476128"</f>
        <v>8:57:37.476128</v>
      </c>
      <c r="C4184">
        <v>-44</v>
      </c>
    </row>
    <row r="4185" spans="1:3" x14ac:dyDescent="0.25">
      <c r="A4185">
        <v>38</v>
      </c>
      <c r="B4185" t="str">
        <f>"8:57:37.477155"</f>
        <v>8:57:37.477155</v>
      </c>
      <c r="C4185">
        <v>-41</v>
      </c>
    </row>
    <row r="4186" spans="1:3" x14ac:dyDescent="0.25">
      <c r="A4186">
        <v>38</v>
      </c>
      <c r="B4186" t="str">
        <f>"8:57:37.477674"</f>
        <v>8:57:37.477674</v>
      </c>
      <c r="C4186">
        <v>-31</v>
      </c>
    </row>
    <row r="4187" spans="1:3" x14ac:dyDescent="0.25">
      <c r="A4187">
        <v>38</v>
      </c>
      <c r="B4187" t="str">
        <f>"8:57:37.477999"</f>
        <v>8:57:37.477999</v>
      </c>
      <c r="C4187">
        <v>-41</v>
      </c>
    </row>
    <row r="4188" spans="1:3" x14ac:dyDescent="0.25">
      <c r="A4188">
        <v>39</v>
      </c>
      <c r="B4188" t="str">
        <f>"8:57:37.478775"</f>
        <v>8:57:37.478775</v>
      </c>
      <c r="C4188">
        <v>-45</v>
      </c>
    </row>
    <row r="4189" spans="1:3" x14ac:dyDescent="0.25">
      <c r="A4189">
        <v>37</v>
      </c>
      <c r="B4189" t="str">
        <f>"8:57:37.835324"</f>
        <v>8:57:37.835324</v>
      </c>
      <c r="C4189">
        <v>-44</v>
      </c>
    </row>
    <row r="4190" spans="1:3" x14ac:dyDescent="0.25">
      <c r="A4190">
        <v>38</v>
      </c>
      <c r="B4190" t="str">
        <f>"8:57:37.836351"</f>
        <v>8:57:37.836351</v>
      </c>
      <c r="C4190">
        <v>-41</v>
      </c>
    </row>
    <row r="4191" spans="1:3" x14ac:dyDescent="0.25">
      <c r="A4191">
        <v>39</v>
      </c>
      <c r="B4191" t="str">
        <f>"8:57:37.837377"</f>
        <v>8:57:37.837377</v>
      </c>
      <c r="C4191">
        <v>-45</v>
      </c>
    </row>
    <row r="4192" spans="1:3" x14ac:dyDescent="0.25">
      <c r="A4192">
        <v>37</v>
      </c>
      <c r="B4192" t="str">
        <f>"8:57:38.190689"</f>
        <v>8:57:38.190689</v>
      </c>
      <c r="C4192">
        <v>-44</v>
      </c>
    </row>
    <row r="4193" spans="1:3" x14ac:dyDescent="0.25">
      <c r="A4193">
        <v>38</v>
      </c>
      <c r="B4193" t="str">
        <f>"8:57:38.191717"</f>
        <v>8:57:38.191717</v>
      </c>
      <c r="C4193">
        <v>-41</v>
      </c>
    </row>
    <row r="4194" spans="1:3" x14ac:dyDescent="0.25">
      <c r="A4194">
        <v>38</v>
      </c>
      <c r="B4194" t="str">
        <f>"8:57:38.192235"</f>
        <v>8:57:38.192235</v>
      </c>
      <c r="C4194">
        <v>-32</v>
      </c>
    </row>
    <row r="4195" spans="1:3" x14ac:dyDescent="0.25">
      <c r="A4195">
        <v>38</v>
      </c>
      <c r="B4195" t="str">
        <f>"8:57:38.192561"</f>
        <v>8:57:38.192561</v>
      </c>
      <c r="C4195">
        <v>-41</v>
      </c>
    </row>
    <row r="4196" spans="1:3" x14ac:dyDescent="0.25">
      <c r="A4196">
        <v>39</v>
      </c>
      <c r="B4196" t="str">
        <f>"8:57:38.193337"</f>
        <v>8:57:38.193337</v>
      </c>
      <c r="C4196">
        <v>-45</v>
      </c>
    </row>
    <row r="4197" spans="1:3" x14ac:dyDescent="0.25">
      <c r="A4197">
        <v>37</v>
      </c>
      <c r="B4197" t="str">
        <f>"8:57:38.547610"</f>
        <v>8:57:38.547610</v>
      </c>
      <c r="C4197">
        <v>-45</v>
      </c>
    </row>
    <row r="4198" spans="1:3" x14ac:dyDescent="0.25">
      <c r="A4198">
        <v>38</v>
      </c>
      <c r="B4198" t="str">
        <f>"8:57:38.548637"</f>
        <v>8:57:38.548637</v>
      </c>
      <c r="C4198">
        <v>-41</v>
      </c>
    </row>
    <row r="4199" spans="1:3" x14ac:dyDescent="0.25">
      <c r="A4199">
        <v>38</v>
      </c>
      <c r="B4199" t="str">
        <f>"8:57:38.549156"</f>
        <v>8:57:38.549156</v>
      </c>
      <c r="C4199">
        <v>-31</v>
      </c>
    </row>
    <row r="4200" spans="1:3" x14ac:dyDescent="0.25">
      <c r="A4200">
        <v>38</v>
      </c>
      <c r="B4200" t="str">
        <f>"8:57:38.549481"</f>
        <v>8:57:38.549481</v>
      </c>
      <c r="C4200">
        <v>-41</v>
      </c>
    </row>
    <row r="4201" spans="1:3" x14ac:dyDescent="0.25">
      <c r="A4201">
        <v>39</v>
      </c>
      <c r="B4201" t="str">
        <f>"8:57:38.550257"</f>
        <v>8:57:38.550257</v>
      </c>
      <c r="C4201">
        <v>-46</v>
      </c>
    </row>
    <row r="4202" spans="1:3" x14ac:dyDescent="0.25">
      <c r="A4202">
        <v>37</v>
      </c>
      <c r="B4202" t="str">
        <f>"8:57:38.902928"</f>
        <v>8:57:38.902928</v>
      </c>
      <c r="C4202">
        <v>-45</v>
      </c>
    </row>
    <row r="4203" spans="1:3" x14ac:dyDescent="0.25">
      <c r="A4203">
        <v>38</v>
      </c>
      <c r="B4203" t="str">
        <f>"8:57:38.903956"</f>
        <v>8:57:38.903956</v>
      </c>
      <c r="C4203">
        <v>-41</v>
      </c>
    </row>
    <row r="4204" spans="1:3" x14ac:dyDescent="0.25">
      <c r="A4204">
        <v>38</v>
      </c>
      <c r="B4204" t="str">
        <f>"8:57:38.904474"</f>
        <v>8:57:38.904474</v>
      </c>
      <c r="C4204">
        <v>-32</v>
      </c>
    </row>
    <row r="4205" spans="1:3" x14ac:dyDescent="0.25">
      <c r="A4205">
        <v>38</v>
      </c>
      <c r="B4205" t="str">
        <f>"8:57:38.904800"</f>
        <v>8:57:38.904800</v>
      </c>
      <c r="C4205">
        <v>-41</v>
      </c>
    </row>
    <row r="4206" spans="1:3" x14ac:dyDescent="0.25">
      <c r="A4206">
        <v>39</v>
      </c>
      <c r="B4206" t="str">
        <f>"8:57:38.905576"</f>
        <v>8:57:38.905576</v>
      </c>
      <c r="C4206">
        <v>-46</v>
      </c>
    </row>
    <row r="4207" spans="1:3" x14ac:dyDescent="0.25">
      <c r="A4207">
        <v>37</v>
      </c>
      <c r="B4207" t="str">
        <f>"8:57:39.253908"</f>
        <v>8:57:39.253908</v>
      </c>
      <c r="C4207">
        <v>-45</v>
      </c>
    </row>
    <row r="4208" spans="1:3" x14ac:dyDescent="0.25">
      <c r="A4208">
        <v>38</v>
      </c>
      <c r="B4208" t="str">
        <f>"8:57:39.254936"</f>
        <v>8:57:39.254936</v>
      </c>
      <c r="C4208">
        <v>-41</v>
      </c>
    </row>
    <row r="4209" spans="1:3" x14ac:dyDescent="0.25">
      <c r="A4209">
        <v>38</v>
      </c>
      <c r="B4209" t="str">
        <f>"8:57:39.255455"</f>
        <v>8:57:39.255455</v>
      </c>
      <c r="C4209">
        <v>-32</v>
      </c>
    </row>
    <row r="4210" spans="1:3" x14ac:dyDescent="0.25">
      <c r="A4210">
        <v>38</v>
      </c>
      <c r="B4210" t="str">
        <f>"8:57:39.255781"</f>
        <v>8:57:39.255781</v>
      </c>
      <c r="C4210">
        <v>-41</v>
      </c>
    </row>
    <row r="4211" spans="1:3" x14ac:dyDescent="0.25">
      <c r="A4211">
        <v>39</v>
      </c>
      <c r="B4211" t="str">
        <f>"8:57:39.256557"</f>
        <v>8:57:39.256557</v>
      </c>
      <c r="C4211">
        <v>-46</v>
      </c>
    </row>
    <row r="4212" spans="1:3" x14ac:dyDescent="0.25">
      <c r="A4212">
        <v>37</v>
      </c>
      <c r="B4212" t="str">
        <f>"8:57:39.607772"</f>
        <v>8:57:39.607772</v>
      </c>
      <c r="C4212">
        <v>-45</v>
      </c>
    </row>
    <row r="4213" spans="1:3" x14ac:dyDescent="0.25">
      <c r="A4213">
        <v>38</v>
      </c>
      <c r="B4213" t="str">
        <f>"8:57:39.608799"</f>
        <v>8:57:39.608799</v>
      </c>
      <c r="C4213">
        <v>-41</v>
      </c>
    </row>
    <row r="4214" spans="1:3" x14ac:dyDescent="0.25">
      <c r="A4214">
        <v>38</v>
      </c>
      <c r="B4214" t="str">
        <f>"8:57:39.609644"</f>
        <v>8:57:39.609644</v>
      </c>
      <c r="C4214">
        <v>-41</v>
      </c>
    </row>
    <row r="4215" spans="1:3" x14ac:dyDescent="0.25">
      <c r="A4215">
        <v>39</v>
      </c>
      <c r="B4215" t="str">
        <f>"8:57:39.610420"</f>
        <v>8:57:39.610420</v>
      </c>
      <c r="C4215">
        <v>-46</v>
      </c>
    </row>
    <row r="4216" spans="1:3" x14ac:dyDescent="0.25">
      <c r="A4216">
        <v>39</v>
      </c>
      <c r="B4216" t="str">
        <f>"8:57:39.610939"</f>
        <v>8:57:39.610939</v>
      </c>
      <c r="C4216">
        <v>-30</v>
      </c>
    </row>
    <row r="4217" spans="1:3" x14ac:dyDescent="0.25">
      <c r="A4217">
        <v>39</v>
      </c>
      <c r="B4217" t="str">
        <f>"8:57:39.611265"</f>
        <v>8:57:39.611265</v>
      </c>
      <c r="C4217">
        <v>-45</v>
      </c>
    </row>
    <row r="4218" spans="1:3" x14ac:dyDescent="0.25">
      <c r="A4218">
        <v>37</v>
      </c>
      <c r="B4218" t="str">
        <f>"8:57:39.958207"</f>
        <v>8:57:39.958207</v>
      </c>
      <c r="C4218">
        <v>-45</v>
      </c>
    </row>
    <row r="4219" spans="1:3" x14ac:dyDescent="0.25">
      <c r="A4219">
        <v>38</v>
      </c>
      <c r="B4219" t="str">
        <f>"8:57:39.959235"</f>
        <v>8:57:39.959235</v>
      </c>
      <c r="C4219">
        <v>-41</v>
      </c>
    </row>
    <row r="4220" spans="1:3" x14ac:dyDescent="0.25">
      <c r="A4220">
        <v>39</v>
      </c>
      <c r="B4220" t="str">
        <f>"8:57:39.960261"</f>
        <v>8:57:39.960261</v>
      </c>
      <c r="C4220">
        <v>-46</v>
      </c>
    </row>
    <row r="4221" spans="1:3" x14ac:dyDescent="0.25">
      <c r="A4221">
        <v>39</v>
      </c>
      <c r="B4221" t="str">
        <f>"8:57:39.960779"</f>
        <v>8:57:39.960779</v>
      </c>
      <c r="C4221">
        <v>-30</v>
      </c>
    </row>
    <row r="4222" spans="1:3" x14ac:dyDescent="0.25">
      <c r="A4222">
        <v>39</v>
      </c>
      <c r="B4222" t="str">
        <f>"8:57:39.961105"</f>
        <v>8:57:39.961105</v>
      </c>
      <c r="C4222">
        <v>-45</v>
      </c>
    </row>
    <row r="4223" spans="1:3" x14ac:dyDescent="0.25">
      <c r="A4223">
        <v>37</v>
      </c>
      <c r="B4223" t="str">
        <f>"8:57:40.315653"</f>
        <v>8:57:40.315653</v>
      </c>
      <c r="C4223">
        <v>-45</v>
      </c>
    </row>
    <row r="4224" spans="1:3" x14ac:dyDescent="0.25">
      <c r="A4224">
        <v>38</v>
      </c>
      <c r="B4224" t="str">
        <f>"8:57:40.316681"</f>
        <v>8:57:40.316681</v>
      </c>
      <c r="C4224">
        <v>-41</v>
      </c>
    </row>
    <row r="4225" spans="1:3" x14ac:dyDescent="0.25">
      <c r="A4225">
        <v>39</v>
      </c>
      <c r="B4225" t="str">
        <f>"8:57:40.317707"</f>
        <v>8:57:40.317707</v>
      </c>
      <c r="C4225">
        <v>-45</v>
      </c>
    </row>
    <row r="4226" spans="1:3" x14ac:dyDescent="0.25">
      <c r="A4226">
        <v>37</v>
      </c>
      <c r="B4226" t="str">
        <f>"8:57:40.674637"</f>
        <v>8:57:40.674637</v>
      </c>
      <c r="C4226">
        <v>-45</v>
      </c>
    </row>
    <row r="4227" spans="1:3" x14ac:dyDescent="0.25">
      <c r="A4227">
        <v>38</v>
      </c>
      <c r="B4227" t="str">
        <f>"8:57:40.675664"</f>
        <v>8:57:40.675664</v>
      </c>
      <c r="C4227">
        <v>-41</v>
      </c>
    </row>
    <row r="4228" spans="1:3" x14ac:dyDescent="0.25">
      <c r="A4228">
        <v>39</v>
      </c>
      <c r="B4228" t="str">
        <f>"8:57:40.676690"</f>
        <v>8:57:40.676690</v>
      </c>
      <c r="C4228">
        <v>-45</v>
      </c>
    </row>
    <row r="4229" spans="1:3" x14ac:dyDescent="0.25">
      <c r="A4229">
        <v>39</v>
      </c>
      <c r="B4229" t="str">
        <f>"8:57:40.677208"</f>
        <v>8:57:40.677208</v>
      </c>
      <c r="C4229">
        <v>-30</v>
      </c>
    </row>
    <row r="4230" spans="1:3" x14ac:dyDescent="0.25">
      <c r="A4230">
        <v>39</v>
      </c>
      <c r="B4230" t="str">
        <f>"8:57:40.677534"</f>
        <v>8:57:40.677534</v>
      </c>
      <c r="C4230">
        <v>-45</v>
      </c>
    </row>
    <row r="4231" spans="1:3" x14ac:dyDescent="0.25">
      <c r="A4231">
        <v>37</v>
      </c>
      <c r="B4231" t="str">
        <f>"8:57:41.029513"</f>
        <v>8:57:41.029513</v>
      </c>
      <c r="C4231">
        <v>-45</v>
      </c>
    </row>
    <row r="4232" spans="1:3" x14ac:dyDescent="0.25">
      <c r="A4232">
        <v>38</v>
      </c>
      <c r="B4232" t="str">
        <f>"8:57:41.030541"</f>
        <v>8:57:41.030541</v>
      </c>
      <c r="C4232">
        <v>-41</v>
      </c>
    </row>
    <row r="4233" spans="1:3" x14ac:dyDescent="0.25">
      <c r="A4233">
        <v>39</v>
      </c>
      <c r="B4233" t="str">
        <f>"8:57:41.031567"</f>
        <v>8:57:41.031567</v>
      </c>
      <c r="C4233">
        <v>-45</v>
      </c>
    </row>
    <row r="4234" spans="1:3" x14ac:dyDescent="0.25">
      <c r="A4234">
        <v>37</v>
      </c>
      <c r="B4234" t="str">
        <f>"8:57:41.384069"</f>
        <v>8:57:41.384069</v>
      </c>
      <c r="C4234">
        <v>-45</v>
      </c>
    </row>
    <row r="4235" spans="1:3" x14ac:dyDescent="0.25">
      <c r="A4235">
        <v>38</v>
      </c>
      <c r="B4235" t="str">
        <f>"8:57:41.385097"</f>
        <v>8:57:41.385097</v>
      </c>
      <c r="C4235">
        <v>-41</v>
      </c>
    </row>
    <row r="4236" spans="1:3" x14ac:dyDescent="0.25">
      <c r="A4236">
        <v>39</v>
      </c>
      <c r="B4236" t="str">
        <f>"8:57:41.386123"</f>
        <v>8:57:41.386123</v>
      </c>
      <c r="C4236">
        <v>-46</v>
      </c>
    </row>
    <row r="4237" spans="1:3" x14ac:dyDescent="0.25">
      <c r="A4237">
        <v>39</v>
      </c>
      <c r="B4237" t="str">
        <f>"8:57:41.386641"</f>
        <v>8:57:41.386641</v>
      </c>
      <c r="C4237">
        <v>-30</v>
      </c>
    </row>
    <row r="4238" spans="1:3" x14ac:dyDescent="0.25">
      <c r="A4238">
        <v>39</v>
      </c>
      <c r="B4238" t="str">
        <f>"8:57:41.386967"</f>
        <v>8:57:41.386967</v>
      </c>
      <c r="C4238">
        <v>-45</v>
      </c>
    </row>
    <row r="4239" spans="1:3" x14ac:dyDescent="0.25">
      <c r="A4239">
        <v>37</v>
      </c>
      <c r="B4239" t="str">
        <f>"8:57:41.743776"</f>
        <v>8:57:41.743776</v>
      </c>
      <c r="C4239">
        <v>-45</v>
      </c>
    </row>
    <row r="4240" spans="1:3" x14ac:dyDescent="0.25">
      <c r="A4240">
        <v>38</v>
      </c>
      <c r="B4240" t="str">
        <f>"8:57:41.744803"</f>
        <v>8:57:41.744803</v>
      </c>
      <c r="C4240">
        <v>-41</v>
      </c>
    </row>
    <row r="4241" spans="1:3" x14ac:dyDescent="0.25">
      <c r="A4241">
        <v>39</v>
      </c>
      <c r="B4241" t="str">
        <f>"8:57:41.745829"</f>
        <v>8:57:41.745829</v>
      </c>
      <c r="C4241">
        <v>-46</v>
      </c>
    </row>
    <row r="4242" spans="1:3" x14ac:dyDescent="0.25">
      <c r="A4242">
        <v>39</v>
      </c>
      <c r="B4242" t="str">
        <f>"8:57:41.746347"</f>
        <v>8:57:41.746347</v>
      </c>
      <c r="C4242">
        <v>-30</v>
      </c>
    </row>
    <row r="4243" spans="1:3" x14ac:dyDescent="0.25">
      <c r="A4243">
        <v>39</v>
      </c>
      <c r="B4243" t="str">
        <f>"8:57:41.746673"</f>
        <v>8:57:41.746673</v>
      </c>
      <c r="C4243">
        <v>-45</v>
      </c>
    </row>
    <row r="4244" spans="1:3" x14ac:dyDescent="0.25">
      <c r="A4244">
        <v>37</v>
      </c>
      <c r="B4244" t="str">
        <f>"8:57:42.098310"</f>
        <v>8:57:42.098310</v>
      </c>
      <c r="C4244">
        <v>-45</v>
      </c>
    </row>
    <row r="4245" spans="1:3" x14ac:dyDescent="0.25">
      <c r="A4245">
        <v>38</v>
      </c>
      <c r="B4245" t="str">
        <f>"8:57:42.099338"</f>
        <v>8:57:42.099338</v>
      </c>
      <c r="C4245">
        <v>-41</v>
      </c>
    </row>
    <row r="4246" spans="1:3" x14ac:dyDescent="0.25">
      <c r="A4246">
        <v>39</v>
      </c>
      <c r="B4246" t="str">
        <f>"8:57:42.100364"</f>
        <v>8:57:42.100364</v>
      </c>
      <c r="C4246">
        <v>-45</v>
      </c>
    </row>
    <row r="4247" spans="1:3" x14ac:dyDescent="0.25">
      <c r="A4247">
        <v>39</v>
      </c>
      <c r="B4247" t="str">
        <f>"8:57:42.100883"</f>
        <v>8:57:42.100883</v>
      </c>
      <c r="C4247">
        <v>-30</v>
      </c>
    </row>
    <row r="4248" spans="1:3" x14ac:dyDescent="0.25">
      <c r="A4248">
        <v>39</v>
      </c>
      <c r="B4248" t="str">
        <f>"8:57:42.101209"</f>
        <v>8:57:42.101209</v>
      </c>
      <c r="C4248">
        <v>-45</v>
      </c>
    </row>
    <row r="4249" spans="1:3" x14ac:dyDescent="0.25">
      <c r="A4249">
        <v>37</v>
      </c>
      <c r="B4249" t="str">
        <f>"8:57:42.454996"</f>
        <v>8:57:42.454996</v>
      </c>
      <c r="C4249">
        <v>-45</v>
      </c>
    </row>
    <row r="4250" spans="1:3" x14ac:dyDescent="0.25">
      <c r="A4250">
        <v>38</v>
      </c>
      <c r="B4250" t="str">
        <f>"8:57:42.456023"</f>
        <v>8:57:42.456023</v>
      </c>
      <c r="C4250">
        <v>-41</v>
      </c>
    </row>
    <row r="4251" spans="1:3" x14ac:dyDescent="0.25">
      <c r="A4251">
        <v>39</v>
      </c>
      <c r="B4251" t="str">
        <f>"8:57:42.457049"</f>
        <v>8:57:42.457049</v>
      </c>
      <c r="C4251">
        <v>-46</v>
      </c>
    </row>
    <row r="4252" spans="1:3" x14ac:dyDescent="0.25">
      <c r="A4252">
        <v>39</v>
      </c>
      <c r="B4252" t="str">
        <f>"8:57:42.457568"</f>
        <v>8:57:42.457568</v>
      </c>
      <c r="C4252">
        <v>-30</v>
      </c>
    </row>
    <row r="4253" spans="1:3" x14ac:dyDescent="0.25">
      <c r="A4253">
        <v>39</v>
      </c>
      <c r="B4253" t="str">
        <f>"8:57:42.457894"</f>
        <v>8:57:42.457894</v>
      </c>
      <c r="C4253">
        <v>-45</v>
      </c>
    </row>
    <row r="4254" spans="1:3" x14ac:dyDescent="0.25">
      <c r="A4254">
        <v>37</v>
      </c>
      <c r="B4254" t="str">
        <f>"8:57:42.811865"</f>
        <v>8:57:42.811865</v>
      </c>
      <c r="C4254">
        <v>-45</v>
      </c>
    </row>
    <row r="4255" spans="1:3" x14ac:dyDescent="0.25">
      <c r="A4255">
        <v>38</v>
      </c>
      <c r="B4255" t="str">
        <f>"8:57:42.812892"</f>
        <v>8:57:42.812892</v>
      </c>
      <c r="C4255">
        <v>-41</v>
      </c>
    </row>
    <row r="4256" spans="1:3" x14ac:dyDescent="0.25">
      <c r="A4256">
        <v>39</v>
      </c>
      <c r="B4256" t="str">
        <f>"8:57:42.813918"</f>
        <v>8:57:42.813918</v>
      </c>
      <c r="C4256">
        <v>-46</v>
      </c>
    </row>
    <row r="4257" spans="1:3" x14ac:dyDescent="0.25">
      <c r="A4257">
        <v>39</v>
      </c>
      <c r="B4257" t="str">
        <f>"8:57:42.814437"</f>
        <v>8:57:42.814437</v>
      </c>
      <c r="C4257">
        <v>-30</v>
      </c>
    </row>
    <row r="4258" spans="1:3" x14ac:dyDescent="0.25">
      <c r="A4258">
        <v>39</v>
      </c>
      <c r="B4258" t="str">
        <f>"8:57:42.814763"</f>
        <v>8:57:42.814763</v>
      </c>
      <c r="C4258">
        <v>-45</v>
      </c>
    </row>
    <row r="4259" spans="1:3" x14ac:dyDescent="0.25">
      <c r="A4259">
        <v>37</v>
      </c>
      <c r="B4259" t="str">
        <f>"8:57:43.170512"</f>
        <v>8:57:43.170512</v>
      </c>
      <c r="C4259">
        <v>-44</v>
      </c>
    </row>
    <row r="4260" spans="1:3" x14ac:dyDescent="0.25">
      <c r="A4260">
        <v>38</v>
      </c>
      <c r="B4260" t="str">
        <f>"8:57:43.171539"</f>
        <v>8:57:43.171539</v>
      </c>
      <c r="C4260">
        <v>-41</v>
      </c>
    </row>
    <row r="4261" spans="1:3" x14ac:dyDescent="0.25">
      <c r="A4261">
        <v>39</v>
      </c>
      <c r="B4261" t="str">
        <f>"8:57:43.172565"</f>
        <v>8:57:43.172565</v>
      </c>
      <c r="C4261">
        <v>-45</v>
      </c>
    </row>
    <row r="4262" spans="1:3" x14ac:dyDescent="0.25">
      <c r="A4262">
        <v>39</v>
      </c>
      <c r="B4262" t="str">
        <f>"8:57:43.173083"</f>
        <v>8:57:43.173083</v>
      </c>
      <c r="C4262">
        <v>-30</v>
      </c>
    </row>
    <row r="4263" spans="1:3" x14ac:dyDescent="0.25">
      <c r="A4263">
        <v>39</v>
      </c>
      <c r="B4263" t="str">
        <f>"8:57:43.173409"</f>
        <v>8:57:43.173409</v>
      </c>
      <c r="C4263">
        <v>-45</v>
      </c>
    </row>
    <row r="4264" spans="1:3" x14ac:dyDescent="0.25">
      <c r="A4264">
        <v>37</v>
      </c>
      <c r="B4264" t="str">
        <f>"8:57:43.525881"</f>
        <v>8:57:43.525881</v>
      </c>
      <c r="C4264">
        <v>-45</v>
      </c>
    </row>
    <row r="4265" spans="1:3" x14ac:dyDescent="0.25">
      <c r="A4265">
        <v>38</v>
      </c>
      <c r="B4265" t="str">
        <f>"8:57:43.526908"</f>
        <v>8:57:43.526908</v>
      </c>
      <c r="C4265">
        <v>-41</v>
      </c>
    </row>
    <row r="4266" spans="1:3" x14ac:dyDescent="0.25">
      <c r="A4266">
        <v>39</v>
      </c>
      <c r="B4266" t="str">
        <f>"8:57:43.527934"</f>
        <v>8:57:43.527934</v>
      </c>
      <c r="C4266">
        <v>-45</v>
      </c>
    </row>
    <row r="4267" spans="1:3" x14ac:dyDescent="0.25">
      <c r="A4267">
        <v>39</v>
      </c>
      <c r="B4267" t="str">
        <f>"8:57:43.528452"</f>
        <v>8:57:43.528452</v>
      </c>
      <c r="C4267">
        <v>-30</v>
      </c>
    </row>
    <row r="4268" spans="1:3" x14ac:dyDescent="0.25">
      <c r="A4268">
        <v>39</v>
      </c>
      <c r="B4268" t="str">
        <f>"8:57:43.528778"</f>
        <v>8:57:43.528778</v>
      </c>
      <c r="C4268">
        <v>-45</v>
      </c>
    </row>
    <row r="4269" spans="1:3" x14ac:dyDescent="0.25">
      <c r="A4269">
        <v>37</v>
      </c>
      <c r="B4269" t="str">
        <f>"8:57:43.884836"</f>
        <v>8:57:43.884836</v>
      </c>
      <c r="C4269">
        <v>-44</v>
      </c>
    </row>
    <row r="4270" spans="1:3" x14ac:dyDescent="0.25">
      <c r="A4270">
        <v>38</v>
      </c>
      <c r="B4270" t="str">
        <f>"8:57:43.885863"</f>
        <v>8:57:43.885863</v>
      </c>
      <c r="C4270">
        <v>-41</v>
      </c>
    </row>
    <row r="4271" spans="1:3" x14ac:dyDescent="0.25">
      <c r="A4271">
        <v>37</v>
      </c>
      <c r="B4271" t="str">
        <f>"8:57:44.239167"</f>
        <v>8:57:44.239167</v>
      </c>
      <c r="C4271">
        <v>-44</v>
      </c>
    </row>
    <row r="4272" spans="1:3" x14ac:dyDescent="0.25">
      <c r="A4272">
        <v>38</v>
      </c>
      <c r="B4272" t="str">
        <f>"8:57:44.240195"</f>
        <v>8:57:44.240195</v>
      </c>
      <c r="C4272">
        <v>-41</v>
      </c>
    </row>
    <row r="4273" spans="1:3" x14ac:dyDescent="0.25">
      <c r="A4273">
        <v>39</v>
      </c>
      <c r="B4273" t="str">
        <f>"8:57:44.241221"</f>
        <v>8:57:44.241221</v>
      </c>
      <c r="C4273">
        <v>-45</v>
      </c>
    </row>
    <row r="4274" spans="1:3" x14ac:dyDescent="0.25">
      <c r="A4274">
        <v>39</v>
      </c>
      <c r="B4274" t="str">
        <f>"8:57:44.241739"</f>
        <v>8:57:44.241739</v>
      </c>
      <c r="C4274">
        <v>-30</v>
      </c>
    </row>
    <row r="4275" spans="1:3" x14ac:dyDescent="0.25">
      <c r="A4275">
        <v>39</v>
      </c>
      <c r="B4275" t="str">
        <f>"8:57:44.242065"</f>
        <v>8:57:44.242065</v>
      </c>
      <c r="C4275">
        <v>-45</v>
      </c>
    </row>
    <row r="4276" spans="1:3" x14ac:dyDescent="0.25">
      <c r="A4276">
        <v>37</v>
      </c>
      <c r="B4276" t="str">
        <f>"8:57:44.589607"</f>
        <v>8:57:44.589607</v>
      </c>
      <c r="C4276">
        <v>-44</v>
      </c>
    </row>
    <row r="4277" spans="1:3" x14ac:dyDescent="0.25">
      <c r="A4277">
        <v>37</v>
      </c>
      <c r="B4277" t="str">
        <f>"8:57:44.590126"</f>
        <v>8:57:44.590126</v>
      </c>
      <c r="C4277">
        <v>-39</v>
      </c>
    </row>
    <row r="4278" spans="1:3" x14ac:dyDescent="0.25">
      <c r="A4278">
        <v>37</v>
      </c>
      <c r="B4278" t="str">
        <f>"8:57:44.590452"</f>
        <v>8:57:44.590452</v>
      </c>
      <c r="C4278">
        <v>-44</v>
      </c>
    </row>
    <row r="4279" spans="1:3" x14ac:dyDescent="0.25">
      <c r="A4279">
        <v>38</v>
      </c>
      <c r="B4279" t="str">
        <f>"8:57:44.591228"</f>
        <v>8:57:44.591228</v>
      </c>
      <c r="C4279">
        <v>-41</v>
      </c>
    </row>
    <row r="4280" spans="1:3" x14ac:dyDescent="0.25">
      <c r="A4280">
        <v>39</v>
      </c>
      <c r="B4280" t="str">
        <f>"8:57:44.592254"</f>
        <v>8:57:44.592254</v>
      </c>
      <c r="C4280">
        <v>-45</v>
      </c>
    </row>
    <row r="4281" spans="1:3" x14ac:dyDescent="0.25">
      <c r="A4281">
        <v>37</v>
      </c>
      <c r="B4281" t="str">
        <f>"8:57:44.945248"</f>
        <v>8:57:44.945248</v>
      </c>
      <c r="C4281">
        <v>-44</v>
      </c>
    </row>
    <row r="4282" spans="1:3" x14ac:dyDescent="0.25">
      <c r="A4282">
        <v>38</v>
      </c>
      <c r="B4282" t="str">
        <f>"8:57:44.946275"</f>
        <v>8:57:44.946275</v>
      </c>
      <c r="C4282">
        <v>-41</v>
      </c>
    </row>
    <row r="4283" spans="1:3" x14ac:dyDescent="0.25">
      <c r="A4283">
        <v>39</v>
      </c>
      <c r="B4283" t="str">
        <f>"8:57:44.947301"</f>
        <v>8:57:44.947301</v>
      </c>
      <c r="C4283">
        <v>-45</v>
      </c>
    </row>
    <row r="4284" spans="1:3" x14ac:dyDescent="0.25">
      <c r="A4284">
        <v>37</v>
      </c>
      <c r="B4284" t="str">
        <f>"8:57:45.301336"</f>
        <v>8:57:45.301336</v>
      </c>
      <c r="C4284">
        <v>-44</v>
      </c>
    </row>
    <row r="4285" spans="1:3" x14ac:dyDescent="0.25">
      <c r="A4285">
        <v>37</v>
      </c>
      <c r="B4285" t="str">
        <f>"8:57:45.301855"</f>
        <v>8:57:45.301855</v>
      </c>
      <c r="C4285">
        <v>-39</v>
      </c>
    </row>
    <row r="4286" spans="1:3" x14ac:dyDescent="0.25">
      <c r="A4286">
        <v>37</v>
      </c>
      <c r="B4286" t="str">
        <f>"8:57:45.302181"</f>
        <v>8:57:45.302181</v>
      </c>
      <c r="C4286">
        <v>-44</v>
      </c>
    </row>
    <row r="4287" spans="1:3" x14ac:dyDescent="0.25">
      <c r="A4287">
        <v>38</v>
      </c>
      <c r="B4287" t="str">
        <f>"8:57:45.302957"</f>
        <v>8:57:45.302957</v>
      </c>
      <c r="C4287">
        <v>-41</v>
      </c>
    </row>
    <row r="4288" spans="1:3" x14ac:dyDescent="0.25">
      <c r="A4288">
        <v>39</v>
      </c>
      <c r="B4288" t="str">
        <f>"8:57:45.303983"</f>
        <v>8:57:45.303983</v>
      </c>
      <c r="C4288">
        <v>-45</v>
      </c>
    </row>
    <row r="4289" spans="1:3" x14ac:dyDescent="0.25">
      <c r="A4289">
        <v>37</v>
      </c>
      <c r="B4289" t="str">
        <f>"8:57:45.655886"</f>
        <v>8:57:45.655886</v>
      </c>
      <c r="C4289">
        <v>-44</v>
      </c>
    </row>
    <row r="4290" spans="1:3" x14ac:dyDescent="0.25">
      <c r="A4290">
        <v>37</v>
      </c>
      <c r="B4290" t="str">
        <f>"8:57:45.656405"</f>
        <v>8:57:45.656405</v>
      </c>
      <c r="C4290">
        <v>-40</v>
      </c>
    </row>
    <row r="4291" spans="1:3" x14ac:dyDescent="0.25">
      <c r="A4291">
        <v>37</v>
      </c>
      <c r="B4291" t="str">
        <f>"8:57:45.656731"</f>
        <v>8:57:45.656731</v>
      </c>
      <c r="C4291">
        <v>-44</v>
      </c>
    </row>
    <row r="4292" spans="1:3" x14ac:dyDescent="0.25">
      <c r="A4292">
        <v>38</v>
      </c>
      <c r="B4292" t="str">
        <f>"8:57:45.657508"</f>
        <v>8:57:45.657508</v>
      </c>
      <c r="C4292">
        <v>-41</v>
      </c>
    </row>
    <row r="4293" spans="1:3" x14ac:dyDescent="0.25">
      <c r="A4293">
        <v>39</v>
      </c>
      <c r="B4293" t="str">
        <f>"8:57:45.658534"</f>
        <v>8:57:45.658534</v>
      </c>
      <c r="C4293">
        <v>-45</v>
      </c>
    </row>
    <row r="4294" spans="1:3" x14ac:dyDescent="0.25">
      <c r="A4294">
        <v>37</v>
      </c>
      <c r="B4294" t="str">
        <f>"8:57:46.014305"</f>
        <v>8:57:46.014305</v>
      </c>
      <c r="C4294">
        <v>-44</v>
      </c>
    </row>
    <row r="4295" spans="1:3" x14ac:dyDescent="0.25">
      <c r="A4295">
        <v>37</v>
      </c>
      <c r="B4295" t="str">
        <f>"8:57:46.014823"</f>
        <v>8:57:46.014823</v>
      </c>
      <c r="C4295">
        <v>-40</v>
      </c>
    </row>
    <row r="4296" spans="1:3" x14ac:dyDescent="0.25">
      <c r="A4296">
        <v>37</v>
      </c>
      <c r="B4296" t="str">
        <f>"8:57:46.015150"</f>
        <v>8:57:46.015150</v>
      </c>
      <c r="C4296">
        <v>-44</v>
      </c>
    </row>
    <row r="4297" spans="1:3" x14ac:dyDescent="0.25">
      <c r="A4297">
        <v>38</v>
      </c>
      <c r="B4297" t="str">
        <f>"8:57:46.015926"</f>
        <v>8:57:46.015926</v>
      </c>
      <c r="C4297">
        <v>-41</v>
      </c>
    </row>
    <row r="4298" spans="1:3" x14ac:dyDescent="0.25">
      <c r="A4298">
        <v>39</v>
      </c>
      <c r="B4298" t="str">
        <f>"8:57:46.016952"</f>
        <v>8:57:46.016952</v>
      </c>
      <c r="C4298">
        <v>-46</v>
      </c>
    </row>
    <row r="4299" spans="1:3" x14ac:dyDescent="0.25">
      <c r="A4299">
        <v>37</v>
      </c>
      <c r="B4299" t="str">
        <f>"8:57:46.373484"</f>
        <v>8:57:46.373484</v>
      </c>
      <c r="C4299">
        <v>-44</v>
      </c>
    </row>
    <row r="4300" spans="1:3" x14ac:dyDescent="0.25">
      <c r="A4300">
        <v>37</v>
      </c>
      <c r="B4300" t="str">
        <f>"8:57:46.374002"</f>
        <v>8:57:46.374002</v>
      </c>
      <c r="C4300">
        <v>-37</v>
      </c>
    </row>
    <row r="4301" spans="1:3" x14ac:dyDescent="0.25">
      <c r="A4301">
        <v>37</v>
      </c>
      <c r="B4301" t="str">
        <f>"8:57:46.374328"</f>
        <v>8:57:46.374328</v>
      </c>
      <c r="C4301">
        <v>-44</v>
      </c>
    </row>
    <row r="4302" spans="1:3" x14ac:dyDescent="0.25">
      <c r="A4302">
        <v>38</v>
      </c>
      <c r="B4302" t="str">
        <f>"8:57:46.375105"</f>
        <v>8:57:46.375105</v>
      </c>
      <c r="C4302">
        <v>-41</v>
      </c>
    </row>
    <row r="4303" spans="1:3" x14ac:dyDescent="0.25">
      <c r="A4303">
        <v>39</v>
      </c>
      <c r="B4303" t="str">
        <f>"8:57:46.376131"</f>
        <v>8:57:46.376131</v>
      </c>
      <c r="C4303">
        <v>-45</v>
      </c>
    </row>
    <row r="4304" spans="1:3" x14ac:dyDescent="0.25">
      <c r="A4304">
        <v>37</v>
      </c>
      <c r="B4304" t="str">
        <f>"8:57:46.725017"</f>
        <v>8:57:46.725017</v>
      </c>
      <c r="C4304">
        <v>-44</v>
      </c>
    </row>
    <row r="4305" spans="1:3" x14ac:dyDescent="0.25">
      <c r="A4305">
        <v>37</v>
      </c>
      <c r="B4305" t="str">
        <f>"8:57:46.725536"</f>
        <v>8:57:46.725536</v>
      </c>
      <c r="C4305">
        <v>-38</v>
      </c>
    </row>
    <row r="4306" spans="1:3" x14ac:dyDescent="0.25">
      <c r="A4306">
        <v>37</v>
      </c>
      <c r="B4306" t="str">
        <f>"8:57:46.725862"</f>
        <v>8:57:46.725862</v>
      </c>
      <c r="C4306">
        <v>-44</v>
      </c>
    </row>
    <row r="4307" spans="1:3" x14ac:dyDescent="0.25">
      <c r="A4307">
        <v>38</v>
      </c>
      <c r="B4307" t="str">
        <f>"8:57:46.726638"</f>
        <v>8:57:46.726638</v>
      </c>
      <c r="C4307">
        <v>-41</v>
      </c>
    </row>
    <row r="4308" spans="1:3" x14ac:dyDescent="0.25">
      <c r="A4308">
        <v>39</v>
      </c>
      <c r="B4308" t="str">
        <f>"8:57:46.727664"</f>
        <v>8:57:46.727664</v>
      </c>
      <c r="C4308">
        <v>-45</v>
      </c>
    </row>
    <row r="4309" spans="1:3" x14ac:dyDescent="0.25">
      <c r="A4309">
        <v>37</v>
      </c>
      <c r="B4309" t="str">
        <f>"8:57:47.082412"</f>
        <v>8:57:47.082412</v>
      </c>
      <c r="C4309">
        <v>-44</v>
      </c>
    </row>
    <row r="4310" spans="1:3" x14ac:dyDescent="0.25">
      <c r="A4310">
        <v>37</v>
      </c>
      <c r="B4310" t="str">
        <f>"8:57:47.082931"</f>
        <v>8:57:47.082931</v>
      </c>
      <c r="C4310">
        <v>-38</v>
      </c>
    </row>
    <row r="4311" spans="1:3" x14ac:dyDescent="0.25">
      <c r="A4311">
        <v>37</v>
      </c>
      <c r="B4311" t="str">
        <f>"8:57:47.083257"</f>
        <v>8:57:47.083257</v>
      </c>
      <c r="C4311">
        <v>-44</v>
      </c>
    </row>
    <row r="4312" spans="1:3" x14ac:dyDescent="0.25">
      <c r="A4312">
        <v>38</v>
      </c>
      <c r="B4312" t="str">
        <f>"8:57:47.084033"</f>
        <v>8:57:47.084033</v>
      </c>
      <c r="C4312">
        <v>-41</v>
      </c>
    </row>
    <row r="4313" spans="1:3" x14ac:dyDescent="0.25">
      <c r="A4313">
        <v>39</v>
      </c>
      <c r="B4313" t="str">
        <f>"8:57:47.085059"</f>
        <v>8:57:47.085059</v>
      </c>
      <c r="C4313">
        <v>-45</v>
      </c>
    </row>
    <row r="4314" spans="1:3" x14ac:dyDescent="0.25">
      <c r="A4314">
        <v>37</v>
      </c>
      <c r="B4314" t="str">
        <f>"8:57:47.433683"</f>
        <v>8:57:47.433683</v>
      </c>
      <c r="C4314">
        <v>-44</v>
      </c>
    </row>
    <row r="4315" spans="1:3" x14ac:dyDescent="0.25">
      <c r="A4315">
        <v>37</v>
      </c>
      <c r="B4315" t="str">
        <f>"8:57:47.434201"</f>
        <v>8:57:47.434201</v>
      </c>
      <c r="C4315">
        <v>-38</v>
      </c>
    </row>
    <row r="4316" spans="1:3" x14ac:dyDescent="0.25">
      <c r="A4316">
        <v>37</v>
      </c>
      <c r="B4316" t="str">
        <f>"8:57:47.434527"</f>
        <v>8:57:47.434527</v>
      </c>
      <c r="C4316">
        <v>-44</v>
      </c>
    </row>
    <row r="4317" spans="1:3" x14ac:dyDescent="0.25">
      <c r="A4317">
        <v>38</v>
      </c>
      <c r="B4317" t="str">
        <f>"8:57:47.435303"</f>
        <v>8:57:47.435303</v>
      </c>
      <c r="C4317">
        <v>-41</v>
      </c>
    </row>
    <row r="4318" spans="1:3" x14ac:dyDescent="0.25">
      <c r="A4318">
        <v>39</v>
      </c>
      <c r="B4318" t="str">
        <f>"8:57:47.436329"</f>
        <v>8:57:47.436329</v>
      </c>
      <c r="C4318">
        <v>-45</v>
      </c>
    </row>
    <row r="4319" spans="1:3" x14ac:dyDescent="0.25">
      <c r="A4319">
        <v>37</v>
      </c>
      <c r="B4319" t="str">
        <f>"8:57:47.793127"</f>
        <v>8:57:47.793127</v>
      </c>
      <c r="C4319">
        <v>-44</v>
      </c>
    </row>
    <row r="4320" spans="1:3" x14ac:dyDescent="0.25">
      <c r="A4320">
        <v>37</v>
      </c>
      <c r="B4320" t="str">
        <f>"8:57:47.793646"</f>
        <v>8:57:47.793646</v>
      </c>
      <c r="C4320">
        <v>-38</v>
      </c>
    </row>
    <row r="4321" spans="1:3" x14ac:dyDescent="0.25">
      <c r="A4321">
        <v>37</v>
      </c>
      <c r="B4321" t="str">
        <f>"8:57:47.793971"</f>
        <v>8:57:47.793971</v>
      </c>
      <c r="C4321">
        <v>-44</v>
      </c>
    </row>
    <row r="4322" spans="1:3" x14ac:dyDescent="0.25">
      <c r="A4322">
        <v>38</v>
      </c>
      <c r="B4322" t="str">
        <f>"8:57:47.794748"</f>
        <v>8:57:47.794748</v>
      </c>
      <c r="C4322">
        <v>-41</v>
      </c>
    </row>
    <row r="4323" spans="1:3" x14ac:dyDescent="0.25">
      <c r="A4323">
        <v>39</v>
      </c>
      <c r="B4323" t="str">
        <f>"8:57:47.795774"</f>
        <v>8:57:47.795774</v>
      </c>
      <c r="C4323">
        <v>-45</v>
      </c>
    </row>
    <row r="4324" spans="1:3" x14ac:dyDescent="0.25">
      <c r="A4324">
        <v>37</v>
      </c>
      <c r="B4324" t="str">
        <f>"8:57:48.143564"</f>
        <v>8:57:48.143564</v>
      </c>
      <c r="C4324">
        <v>-44</v>
      </c>
    </row>
    <row r="4325" spans="1:3" x14ac:dyDescent="0.25">
      <c r="A4325">
        <v>38</v>
      </c>
      <c r="B4325" t="str">
        <f>"8:57:48.144591"</f>
        <v>8:57:48.144591</v>
      </c>
      <c r="C4325">
        <v>-41</v>
      </c>
    </row>
    <row r="4326" spans="1:3" x14ac:dyDescent="0.25">
      <c r="A4326">
        <v>39</v>
      </c>
      <c r="B4326" t="str">
        <f>"8:57:48.145617"</f>
        <v>8:57:48.145617</v>
      </c>
      <c r="C4326">
        <v>-46</v>
      </c>
    </row>
    <row r="4327" spans="1:3" x14ac:dyDescent="0.25">
      <c r="A4327">
        <v>37</v>
      </c>
      <c r="B4327" t="str">
        <f>"8:57:48.494017"</f>
        <v>8:57:48.494017</v>
      </c>
      <c r="C4327">
        <v>-45</v>
      </c>
    </row>
    <row r="4328" spans="1:3" x14ac:dyDescent="0.25">
      <c r="A4328">
        <v>38</v>
      </c>
      <c r="B4328" t="str">
        <f>"8:57:48.495044"</f>
        <v>8:57:48.495044</v>
      </c>
      <c r="C4328">
        <v>-41</v>
      </c>
    </row>
    <row r="4329" spans="1:3" x14ac:dyDescent="0.25">
      <c r="A4329">
        <v>39</v>
      </c>
      <c r="B4329" t="str">
        <f>"8:57:48.496070"</f>
        <v>8:57:48.496070</v>
      </c>
      <c r="C4329">
        <v>-46</v>
      </c>
    </row>
    <row r="4330" spans="1:3" x14ac:dyDescent="0.25">
      <c r="A4330">
        <v>37</v>
      </c>
      <c r="B4330" t="str">
        <f>"8:57:48.849891"</f>
        <v>8:57:48.849891</v>
      </c>
      <c r="C4330">
        <v>-44</v>
      </c>
    </row>
    <row r="4331" spans="1:3" x14ac:dyDescent="0.25">
      <c r="A4331">
        <v>38</v>
      </c>
      <c r="B4331" t="str">
        <f>"8:57:48.850918"</f>
        <v>8:57:48.850918</v>
      </c>
      <c r="C4331">
        <v>-41</v>
      </c>
    </row>
    <row r="4332" spans="1:3" x14ac:dyDescent="0.25">
      <c r="A4332">
        <v>38</v>
      </c>
      <c r="B4332" t="str">
        <f>"8:57:48.851762"</f>
        <v>8:57:48.851762</v>
      </c>
      <c r="C4332">
        <v>-41</v>
      </c>
    </row>
    <row r="4333" spans="1:3" x14ac:dyDescent="0.25">
      <c r="A4333">
        <v>39</v>
      </c>
      <c r="B4333" t="str">
        <f>"8:57:48.852538"</f>
        <v>8:57:48.852538</v>
      </c>
      <c r="C4333">
        <v>-46</v>
      </c>
    </row>
    <row r="4334" spans="1:3" x14ac:dyDescent="0.25">
      <c r="A4334">
        <v>37</v>
      </c>
      <c r="B4334" t="str">
        <f>"8:57:49.209561"</f>
        <v>8:57:49.209561</v>
      </c>
      <c r="C4334">
        <v>-45</v>
      </c>
    </row>
    <row r="4335" spans="1:3" x14ac:dyDescent="0.25">
      <c r="A4335">
        <v>37</v>
      </c>
      <c r="B4335" t="str">
        <f>"8:57:49.210079"</f>
        <v>8:57:49.210079</v>
      </c>
      <c r="C4335">
        <v>-38</v>
      </c>
    </row>
    <row r="4336" spans="1:3" x14ac:dyDescent="0.25">
      <c r="A4336">
        <v>37</v>
      </c>
      <c r="B4336" t="str">
        <f>"8:57:49.210406"</f>
        <v>8:57:49.210406</v>
      </c>
      <c r="C4336">
        <v>-45</v>
      </c>
    </row>
    <row r="4337" spans="1:3" x14ac:dyDescent="0.25">
      <c r="A4337">
        <v>38</v>
      </c>
      <c r="B4337" t="str">
        <f>"8:57:49.211182"</f>
        <v>8:57:49.211182</v>
      </c>
      <c r="C4337">
        <v>-41</v>
      </c>
    </row>
    <row r="4338" spans="1:3" x14ac:dyDescent="0.25">
      <c r="A4338">
        <v>39</v>
      </c>
      <c r="B4338" t="str">
        <f>"8:57:49.212343"</f>
        <v>8:57:49.212343</v>
      </c>
      <c r="C4338">
        <v>-46</v>
      </c>
    </row>
    <row r="4339" spans="1:3" x14ac:dyDescent="0.25">
      <c r="A4339">
        <v>37</v>
      </c>
      <c r="B4339" t="str">
        <f>"8:57:49.569554"</f>
        <v>8:57:49.569554</v>
      </c>
      <c r="C4339">
        <v>-44</v>
      </c>
    </row>
    <row r="4340" spans="1:3" x14ac:dyDescent="0.25">
      <c r="A4340">
        <v>38</v>
      </c>
      <c r="B4340" t="str">
        <f>"8:57:49.570581"</f>
        <v>8:57:49.570581</v>
      </c>
      <c r="C4340">
        <v>-41</v>
      </c>
    </row>
    <row r="4341" spans="1:3" x14ac:dyDescent="0.25">
      <c r="A4341">
        <v>38</v>
      </c>
      <c r="B4341" t="str">
        <f>"8:57:49.571099"</f>
        <v>8:57:49.571099</v>
      </c>
      <c r="C4341">
        <v>-32</v>
      </c>
    </row>
    <row r="4342" spans="1:3" x14ac:dyDescent="0.25">
      <c r="A4342">
        <v>38</v>
      </c>
      <c r="B4342" t="str">
        <f>"8:57:49.571425"</f>
        <v>8:57:49.571425</v>
      </c>
      <c r="C4342">
        <v>-41</v>
      </c>
    </row>
    <row r="4343" spans="1:3" x14ac:dyDescent="0.25">
      <c r="A4343">
        <v>39</v>
      </c>
      <c r="B4343" t="str">
        <f>"8:57:49.572201"</f>
        <v>8:57:49.572201</v>
      </c>
      <c r="C4343">
        <v>-45</v>
      </c>
    </row>
    <row r="4344" spans="1:3" x14ac:dyDescent="0.25">
      <c r="A4344">
        <v>37</v>
      </c>
      <c r="B4344" t="str">
        <f>"8:57:49.922106"</f>
        <v>8:57:49.922106</v>
      </c>
      <c r="C4344">
        <v>-45</v>
      </c>
    </row>
    <row r="4345" spans="1:3" x14ac:dyDescent="0.25">
      <c r="A4345">
        <v>38</v>
      </c>
      <c r="B4345" t="str">
        <f>"8:57:49.923133"</f>
        <v>8:57:49.923133</v>
      </c>
      <c r="C4345">
        <v>-41</v>
      </c>
    </row>
    <row r="4346" spans="1:3" x14ac:dyDescent="0.25">
      <c r="A4346">
        <v>39</v>
      </c>
      <c r="B4346" t="str">
        <f>"8:57:49.924159"</f>
        <v>8:57:49.924159</v>
      </c>
      <c r="C4346">
        <v>-46</v>
      </c>
    </row>
    <row r="4347" spans="1:3" x14ac:dyDescent="0.25">
      <c r="A4347">
        <v>37</v>
      </c>
      <c r="B4347" t="str">
        <f>"8:57:50.274363"</f>
        <v>8:57:50.274363</v>
      </c>
      <c r="C4347">
        <v>-45</v>
      </c>
    </row>
    <row r="4348" spans="1:3" x14ac:dyDescent="0.25">
      <c r="A4348">
        <v>38</v>
      </c>
      <c r="B4348" t="str">
        <f>"8:57:50.275391"</f>
        <v>8:57:50.275391</v>
      </c>
      <c r="C4348">
        <v>-41</v>
      </c>
    </row>
    <row r="4349" spans="1:3" x14ac:dyDescent="0.25">
      <c r="A4349">
        <v>38</v>
      </c>
      <c r="B4349" t="str">
        <f>"8:57:50.275909"</f>
        <v>8:57:50.275909</v>
      </c>
      <c r="C4349">
        <v>-31</v>
      </c>
    </row>
    <row r="4350" spans="1:3" x14ac:dyDescent="0.25">
      <c r="A4350">
        <v>38</v>
      </c>
      <c r="B4350" t="str">
        <f>"8:57:50.276235"</f>
        <v>8:57:50.276235</v>
      </c>
      <c r="C4350">
        <v>-41</v>
      </c>
    </row>
    <row r="4351" spans="1:3" x14ac:dyDescent="0.25">
      <c r="A4351">
        <v>39</v>
      </c>
      <c r="B4351" t="str">
        <f>"8:57:50.277011"</f>
        <v>8:57:50.277011</v>
      </c>
      <c r="C4351">
        <v>-45</v>
      </c>
    </row>
    <row r="4352" spans="1:3" x14ac:dyDescent="0.25">
      <c r="A4352">
        <v>37</v>
      </c>
      <c r="B4352" t="str">
        <f>"8:57:50.628473"</f>
        <v>8:57:50.628473</v>
      </c>
      <c r="C4352">
        <v>-44</v>
      </c>
    </row>
    <row r="4353" spans="1:3" x14ac:dyDescent="0.25">
      <c r="A4353">
        <v>38</v>
      </c>
      <c r="B4353" t="str">
        <f>"8:57:50.629500"</f>
        <v>8:57:50.629500</v>
      </c>
      <c r="C4353">
        <v>-41</v>
      </c>
    </row>
    <row r="4354" spans="1:3" x14ac:dyDescent="0.25">
      <c r="A4354">
        <v>38</v>
      </c>
      <c r="B4354" t="str">
        <f>"8:57:50.630019"</f>
        <v>8:57:50.630019</v>
      </c>
      <c r="C4354">
        <v>-31</v>
      </c>
    </row>
    <row r="4355" spans="1:3" x14ac:dyDescent="0.25">
      <c r="A4355">
        <v>38</v>
      </c>
      <c r="B4355" t="str">
        <f>"8:57:50.630345"</f>
        <v>8:57:50.630345</v>
      </c>
      <c r="C4355">
        <v>-41</v>
      </c>
    </row>
    <row r="4356" spans="1:3" x14ac:dyDescent="0.25">
      <c r="A4356">
        <v>39</v>
      </c>
      <c r="B4356" t="str">
        <f>"8:57:50.631121"</f>
        <v>8:57:50.631121</v>
      </c>
      <c r="C4356">
        <v>-45</v>
      </c>
    </row>
    <row r="4357" spans="1:3" x14ac:dyDescent="0.25">
      <c r="A4357">
        <v>37</v>
      </c>
      <c r="B4357" t="str">
        <f>"8:57:50.980698"</f>
        <v>8:57:50.980698</v>
      </c>
      <c r="C4357">
        <v>-44</v>
      </c>
    </row>
    <row r="4358" spans="1:3" x14ac:dyDescent="0.25">
      <c r="A4358">
        <v>38</v>
      </c>
      <c r="B4358" t="str">
        <f>"8:57:50.981725"</f>
        <v>8:57:50.981725</v>
      </c>
      <c r="C4358">
        <v>-41</v>
      </c>
    </row>
    <row r="4359" spans="1:3" x14ac:dyDescent="0.25">
      <c r="A4359">
        <v>38</v>
      </c>
      <c r="B4359" t="str">
        <f>"8:57:50.982244"</f>
        <v>8:57:50.982244</v>
      </c>
      <c r="C4359">
        <v>-31</v>
      </c>
    </row>
    <row r="4360" spans="1:3" x14ac:dyDescent="0.25">
      <c r="A4360">
        <v>38</v>
      </c>
      <c r="B4360" t="str">
        <f>"8:57:50.982570"</f>
        <v>8:57:50.982570</v>
      </c>
      <c r="C4360">
        <v>-41</v>
      </c>
    </row>
    <row r="4361" spans="1:3" x14ac:dyDescent="0.25">
      <c r="A4361">
        <v>39</v>
      </c>
      <c r="B4361" t="str">
        <f>"8:57:50.983346"</f>
        <v>8:57:50.983346</v>
      </c>
      <c r="C4361">
        <v>-45</v>
      </c>
    </row>
    <row r="4362" spans="1:3" x14ac:dyDescent="0.25">
      <c r="A4362">
        <v>37</v>
      </c>
      <c r="B4362" t="str">
        <f>"8:57:51.332475"</f>
        <v>8:57:51.332475</v>
      </c>
      <c r="C4362">
        <v>-44</v>
      </c>
    </row>
    <row r="4363" spans="1:3" x14ac:dyDescent="0.25">
      <c r="A4363">
        <v>38</v>
      </c>
      <c r="B4363" t="str">
        <f>"8:57:51.333502"</f>
        <v>8:57:51.333502</v>
      </c>
      <c r="C4363">
        <v>-41</v>
      </c>
    </row>
    <row r="4364" spans="1:3" x14ac:dyDescent="0.25">
      <c r="A4364">
        <v>38</v>
      </c>
      <c r="B4364" t="str">
        <f>"8:57:51.334020"</f>
        <v>8:57:51.334020</v>
      </c>
      <c r="C4364">
        <v>-31</v>
      </c>
    </row>
    <row r="4365" spans="1:3" x14ac:dyDescent="0.25">
      <c r="A4365">
        <v>38</v>
      </c>
      <c r="B4365" t="str">
        <f>"8:57:51.334346"</f>
        <v>8:57:51.334346</v>
      </c>
      <c r="C4365">
        <v>-41</v>
      </c>
    </row>
    <row r="4366" spans="1:3" x14ac:dyDescent="0.25">
      <c r="A4366">
        <v>39</v>
      </c>
      <c r="B4366" t="str">
        <f>"8:57:51.335122"</f>
        <v>8:57:51.335122</v>
      </c>
      <c r="C4366">
        <v>-45</v>
      </c>
    </row>
    <row r="4367" spans="1:3" x14ac:dyDescent="0.25">
      <c r="A4367">
        <v>37</v>
      </c>
      <c r="B4367" t="str">
        <f>"8:57:51.688334"</f>
        <v>8:57:51.688334</v>
      </c>
      <c r="C4367">
        <v>-44</v>
      </c>
    </row>
    <row r="4368" spans="1:3" x14ac:dyDescent="0.25">
      <c r="A4368">
        <v>38</v>
      </c>
      <c r="B4368" t="str">
        <f>"8:57:51.689361"</f>
        <v>8:57:51.689361</v>
      </c>
      <c r="C4368">
        <v>-41</v>
      </c>
    </row>
    <row r="4369" spans="1:3" x14ac:dyDescent="0.25">
      <c r="A4369">
        <v>38</v>
      </c>
      <c r="B4369" t="str">
        <f>"8:57:51.689880"</f>
        <v>8:57:51.689880</v>
      </c>
      <c r="C4369">
        <v>-31</v>
      </c>
    </row>
    <row r="4370" spans="1:3" x14ac:dyDescent="0.25">
      <c r="A4370">
        <v>38</v>
      </c>
      <c r="B4370" t="str">
        <f>"8:57:51.690206"</f>
        <v>8:57:51.690206</v>
      </c>
      <c r="C4370">
        <v>-41</v>
      </c>
    </row>
    <row r="4371" spans="1:3" x14ac:dyDescent="0.25">
      <c r="A4371">
        <v>39</v>
      </c>
      <c r="B4371" t="str">
        <f>"8:57:51.690982"</f>
        <v>8:57:51.690982</v>
      </c>
      <c r="C4371">
        <v>-45</v>
      </c>
    </row>
    <row r="4372" spans="1:3" x14ac:dyDescent="0.25">
      <c r="A4372">
        <v>37</v>
      </c>
      <c r="B4372" t="str">
        <f>"8:57:52.042613"</f>
        <v>8:57:52.042613</v>
      </c>
      <c r="C4372">
        <v>-44</v>
      </c>
    </row>
    <row r="4373" spans="1:3" x14ac:dyDescent="0.25">
      <c r="A4373">
        <v>38</v>
      </c>
      <c r="B4373" t="str">
        <f>"8:57:52.043640"</f>
        <v>8:57:52.043640</v>
      </c>
      <c r="C4373">
        <v>-41</v>
      </c>
    </row>
    <row r="4374" spans="1:3" x14ac:dyDescent="0.25">
      <c r="A4374">
        <v>38</v>
      </c>
      <c r="B4374" t="str">
        <f>"8:57:52.044159"</f>
        <v>8:57:52.044159</v>
      </c>
      <c r="C4374">
        <v>-31</v>
      </c>
    </row>
    <row r="4375" spans="1:3" x14ac:dyDescent="0.25">
      <c r="A4375">
        <v>38</v>
      </c>
      <c r="B4375" t="str">
        <f>"8:57:52.044485"</f>
        <v>8:57:52.044485</v>
      </c>
      <c r="C4375">
        <v>-41</v>
      </c>
    </row>
    <row r="4376" spans="1:3" x14ac:dyDescent="0.25">
      <c r="A4376">
        <v>39</v>
      </c>
      <c r="B4376" t="str">
        <f>"8:57:52.045261"</f>
        <v>8:57:52.045261</v>
      </c>
      <c r="C4376">
        <v>-46</v>
      </c>
    </row>
    <row r="4377" spans="1:3" x14ac:dyDescent="0.25">
      <c r="A4377">
        <v>37</v>
      </c>
      <c r="B4377" t="str">
        <f>"8:57:52.398518"</f>
        <v>8:57:52.398518</v>
      </c>
      <c r="C4377">
        <v>-44</v>
      </c>
    </row>
    <row r="4378" spans="1:3" x14ac:dyDescent="0.25">
      <c r="A4378">
        <v>38</v>
      </c>
      <c r="B4378" t="str">
        <f>"8:57:52.399545"</f>
        <v>8:57:52.399545</v>
      </c>
      <c r="C4378">
        <v>-41</v>
      </c>
    </row>
    <row r="4379" spans="1:3" x14ac:dyDescent="0.25">
      <c r="A4379">
        <v>38</v>
      </c>
      <c r="B4379" t="str">
        <f>"8:57:52.400064"</f>
        <v>8:57:52.400064</v>
      </c>
      <c r="C4379">
        <v>-31</v>
      </c>
    </row>
    <row r="4380" spans="1:3" x14ac:dyDescent="0.25">
      <c r="A4380">
        <v>38</v>
      </c>
      <c r="B4380" t="str">
        <f>"8:57:52.400389"</f>
        <v>8:57:52.400389</v>
      </c>
      <c r="C4380">
        <v>-41</v>
      </c>
    </row>
    <row r="4381" spans="1:3" x14ac:dyDescent="0.25">
      <c r="A4381">
        <v>39</v>
      </c>
      <c r="B4381" t="str">
        <f>"8:57:52.401165"</f>
        <v>8:57:52.401165</v>
      </c>
      <c r="C4381">
        <v>-45</v>
      </c>
    </row>
    <row r="4382" spans="1:3" x14ac:dyDescent="0.25">
      <c r="A4382">
        <v>37</v>
      </c>
      <c r="B4382" t="str">
        <f>"8:57:52.749772"</f>
        <v>8:57:52.749772</v>
      </c>
      <c r="C4382">
        <v>-44</v>
      </c>
    </row>
    <row r="4383" spans="1:3" x14ac:dyDescent="0.25">
      <c r="A4383">
        <v>38</v>
      </c>
      <c r="B4383" t="str">
        <f>"8:57:52.750799"</f>
        <v>8:57:52.750799</v>
      </c>
      <c r="C4383">
        <v>-41</v>
      </c>
    </row>
    <row r="4384" spans="1:3" x14ac:dyDescent="0.25">
      <c r="A4384">
        <v>38</v>
      </c>
      <c r="B4384" t="str">
        <f>"8:57:52.751318"</f>
        <v>8:57:52.751318</v>
      </c>
      <c r="C4384">
        <v>-31</v>
      </c>
    </row>
    <row r="4385" spans="1:3" x14ac:dyDescent="0.25">
      <c r="A4385">
        <v>38</v>
      </c>
      <c r="B4385" t="str">
        <f>"8:57:52.751643"</f>
        <v>8:57:52.751643</v>
      </c>
      <c r="C4385">
        <v>-41</v>
      </c>
    </row>
    <row r="4386" spans="1:3" x14ac:dyDescent="0.25">
      <c r="A4386">
        <v>39</v>
      </c>
      <c r="B4386" t="str">
        <f>"8:57:52.752419"</f>
        <v>8:57:52.752419</v>
      </c>
      <c r="C4386">
        <v>-45</v>
      </c>
    </row>
    <row r="4387" spans="1:3" x14ac:dyDescent="0.25">
      <c r="A4387">
        <v>37</v>
      </c>
      <c r="B4387" t="str">
        <f>"8:57:53.107215"</f>
        <v>8:57:53.107215</v>
      </c>
      <c r="C4387">
        <v>-44</v>
      </c>
    </row>
    <row r="4388" spans="1:3" x14ac:dyDescent="0.25">
      <c r="A4388">
        <v>38</v>
      </c>
      <c r="B4388" t="str">
        <f>"8:57:53.108242"</f>
        <v>8:57:53.108242</v>
      </c>
      <c r="C4388">
        <v>-41</v>
      </c>
    </row>
    <row r="4389" spans="1:3" x14ac:dyDescent="0.25">
      <c r="A4389">
        <v>38</v>
      </c>
      <c r="B4389" t="str">
        <f>"8:57:53.108761"</f>
        <v>8:57:53.108761</v>
      </c>
      <c r="C4389">
        <v>-31</v>
      </c>
    </row>
    <row r="4390" spans="1:3" x14ac:dyDescent="0.25">
      <c r="A4390">
        <v>38</v>
      </c>
      <c r="B4390" t="str">
        <f>"8:57:53.109086"</f>
        <v>8:57:53.109086</v>
      </c>
      <c r="C4390">
        <v>-41</v>
      </c>
    </row>
    <row r="4391" spans="1:3" x14ac:dyDescent="0.25">
      <c r="A4391">
        <v>39</v>
      </c>
      <c r="B4391" t="str">
        <f>"8:57:53.109862"</f>
        <v>8:57:53.109862</v>
      </c>
      <c r="C4391">
        <v>-45</v>
      </c>
    </row>
    <row r="4392" spans="1:3" x14ac:dyDescent="0.25">
      <c r="A4392">
        <v>37</v>
      </c>
      <c r="B4392" t="str">
        <f>"8:57:53.464599"</f>
        <v>8:57:53.464599</v>
      </c>
      <c r="C4392">
        <v>-44</v>
      </c>
    </row>
    <row r="4393" spans="1:3" x14ac:dyDescent="0.25">
      <c r="A4393">
        <v>38</v>
      </c>
      <c r="B4393" t="str">
        <f>"8:57:53.465626"</f>
        <v>8:57:53.465626</v>
      </c>
      <c r="C4393">
        <v>-41</v>
      </c>
    </row>
    <row r="4394" spans="1:3" x14ac:dyDescent="0.25">
      <c r="A4394">
        <v>38</v>
      </c>
      <c r="B4394" t="str">
        <f>"8:57:53.466144"</f>
        <v>8:57:53.466144</v>
      </c>
      <c r="C4394">
        <v>-31</v>
      </c>
    </row>
    <row r="4395" spans="1:3" x14ac:dyDescent="0.25">
      <c r="A4395">
        <v>38</v>
      </c>
      <c r="B4395" t="str">
        <f>"8:57:53.466470"</f>
        <v>8:57:53.466470</v>
      </c>
      <c r="C4395">
        <v>-41</v>
      </c>
    </row>
    <row r="4396" spans="1:3" x14ac:dyDescent="0.25">
      <c r="A4396">
        <v>39</v>
      </c>
      <c r="B4396" t="str">
        <f>"8:57:53.467246"</f>
        <v>8:57:53.467246</v>
      </c>
      <c r="C4396">
        <v>-45</v>
      </c>
    </row>
    <row r="4397" spans="1:3" x14ac:dyDescent="0.25">
      <c r="A4397">
        <v>39</v>
      </c>
      <c r="B4397" t="str">
        <f>"8:57:53.467765"</f>
        <v>8:57:53.467765</v>
      </c>
      <c r="C4397">
        <v>-81</v>
      </c>
    </row>
    <row r="4398" spans="1:3" x14ac:dyDescent="0.25">
      <c r="A4398">
        <v>39</v>
      </c>
      <c r="B4398" t="str">
        <f>"8:57:53.468091"</f>
        <v>8:57:53.468091</v>
      </c>
      <c r="C4398">
        <v>-45</v>
      </c>
    </row>
    <row r="4399" spans="1:3" x14ac:dyDescent="0.25">
      <c r="A4399">
        <v>37</v>
      </c>
      <c r="B4399" t="str">
        <f>"8:57:53.821017"</f>
        <v>8:57:53.821017</v>
      </c>
      <c r="C4399">
        <v>-44</v>
      </c>
    </row>
    <row r="4400" spans="1:3" x14ac:dyDescent="0.25">
      <c r="A4400">
        <v>38</v>
      </c>
      <c r="B4400" t="str">
        <f>"8:57:53.822044"</f>
        <v>8:57:53.822044</v>
      </c>
      <c r="C4400">
        <v>-41</v>
      </c>
    </row>
    <row r="4401" spans="1:3" x14ac:dyDescent="0.25">
      <c r="A4401">
        <v>38</v>
      </c>
      <c r="B4401" t="str">
        <f>"8:57:53.822562"</f>
        <v>8:57:53.822562</v>
      </c>
      <c r="C4401">
        <v>-31</v>
      </c>
    </row>
    <row r="4402" spans="1:3" x14ac:dyDescent="0.25">
      <c r="A4402">
        <v>38</v>
      </c>
      <c r="B4402" t="str">
        <f>"8:57:53.822888"</f>
        <v>8:57:53.822888</v>
      </c>
      <c r="C4402">
        <v>-41</v>
      </c>
    </row>
    <row r="4403" spans="1:3" x14ac:dyDescent="0.25">
      <c r="A4403">
        <v>39</v>
      </c>
      <c r="B4403" t="str">
        <f>"8:57:53.823664"</f>
        <v>8:57:53.823664</v>
      </c>
      <c r="C4403">
        <v>-46</v>
      </c>
    </row>
    <row r="4404" spans="1:3" x14ac:dyDescent="0.25">
      <c r="A4404">
        <v>37</v>
      </c>
      <c r="B4404" t="str">
        <f>"8:57:54.178903"</f>
        <v>8:57:54.178903</v>
      </c>
      <c r="C4404">
        <v>-44</v>
      </c>
    </row>
    <row r="4405" spans="1:3" x14ac:dyDescent="0.25">
      <c r="A4405">
        <v>38</v>
      </c>
      <c r="B4405" t="str">
        <f>"8:57:54.179931"</f>
        <v>8:57:54.179931</v>
      </c>
      <c r="C4405">
        <v>-41</v>
      </c>
    </row>
    <row r="4406" spans="1:3" x14ac:dyDescent="0.25">
      <c r="A4406">
        <v>38</v>
      </c>
      <c r="B4406" t="str">
        <f>"8:57:54.180449"</f>
        <v>8:57:54.180449</v>
      </c>
      <c r="C4406">
        <v>-31</v>
      </c>
    </row>
    <row r="4407" spans="1:3" x14ac:dyDescent="0.25">
      <c r="A4407">
        <v>38</v>
      </c>
      <c r="B4407" t="str">
        <f>"8:57:54.180776"</f>
        <v>8:57:54.180776</v>
      </c>
      <c r="C4407">
        <v>-41</v>
      </c>
    </row>
    <row r="4408" spans="1:3" x14ac:dyDescent="0.25">
      <c r="A4408">
        <v>39</v>
      </c>
      <c r="B4408" t="str">
        <f>"8:57:54.181552"</f>
        <v>8:57:54.181552</v>
      </c>
      <c r="C4408">
        <v>-46</v>
      </c>
    </row>
    <row r="4409" spans="1:3" x14ac:dyDescent="0.25">
      <c r="A4409">
        <v>37</v>
      </c>
      <c r="B4409" t="str">
        <f>"8:57:54.532175"</f>
        <v>8:57:54.532175</v>
      </c>
      <c r="C4409">
        <v>-44</v>
      </c>
    </row>
    <row r="4410" spans="1:3" x14ac:dyDescent="0.25">
      <c r="A4410">
        <v>38</v>
      </c>
      <c r="B4410" t="str">
        <f>"8:57:54.533203"</f>
        <v>8:57:54.533203</v>
      </c>
      <c r="C4410">
        <v>-41</v>
      </c>
    </row>
    <row r="4411" spans="1:3" x14ac:dyDescent="0.25">
      <c r="A4411">
        <v>39</v>
      </c>
      <c r="B4411" t="str">
        <f>"8:57:54.534229"</f>
        <v>8:57:54.534229</v>
      </c>
      <c r="C4411">
        <v>-46</v>
      </c>
    </row>
    <row r="4412" spans="1:3" x14ac:dyDescent="0.25">
      <c r="A4412">
        <v>39</v>
      </c>
      <c r="B4412" t="str">
        <f>"8:57:54.534747"</f>
        <v>8:57:54.534747</v>
      </c>
      <c r="C4412">
        <v>-31</v>
      </c>
    </row>
    <row r="4413" spans="1:3" x14ac:dyDescent="0.25">
      <c r="A4413">
        <v>39</v>
      </c>
      <c r="B4413" t="str">
        <f>"8:57:54.535073"</f>
        <v>8:57:54.535073</v>
      </c>
      <c r="C4413">
        <v>-45</v>
      </c>
    </row>
    <row r="4414" spans="1:3" x14ac:dyDescent="0.25">
      <c r="A4414">
        <v>37</v>
      </c>
      <c r="B4414" t="str">
        <f>"8:57:54.883976"</f>
        <v>8:57:54.883976</v>
      </c>
      <c r="C4414">
        <v>-44</v>
      </c>
    </row>
    <row r="4415" spans="1:3" x14ac:dyDescent="0.25">
      <c r="A4415">
        <v>38</v>
      </c>
      <c r="B4415" t="str">
        <f>"8:57:54.885003"</f>
        <v>8:57:54.885003</v>
      </c>
      <c r="C4415">
        <v>-41</v>
      </c>
    </row>
    <row r="4416" spans="1:3" x14ac:dyDescent="0.25">
      <c r="A4416">
        <v>39</v>
      </c>
      <c r="B4416" t="str">
        <f>"8:57:54.886337"</f>
        <v>8:57:54.886337</v>
      </c>
      <c r="C4416">
        <v>-46</v>
      </c>
    </row>
    <row r="4417" spans="1:3" x14ac:dyDescent="0.25">
      <c r="A4417">
        <v>39</v>
      </c>
      <c r="B4417" t="str">
        <f>"8:57:54.886856"</f>
        <v>8:57:54.886856</v>
      </c>
      <c r="C4417">
        <v>-31</v>
      </c>
    </row>
    <row r="4418" spans="1:3" x14ac:dyDescent="0.25">
      <c r="A4418">
        <v>39</v>
      </c>
      <c r="B4418" t="str">
        <f>"8:57:54.887181"</f>
        <v>8:57:54.887181</v>
      </c>
      <c r="C4418">
        <v>-45</v>
      </c>
    </row>
    <row r="4419" spans="1:3" x14ac:dyDescent="0.25">
      <c r="A4419">
        <v>37</v>
      </c>
      <c r="B4419" t="str">
        <f>"8:57:55.241678"</f>
        <v>8:57:55.241678</v>
      </c>
      <c r="C4419">
        <v>-44</v>
      </c>
    </row>
    <row r="4420" spans="1:3" x14ac:dyDescent="0.25">
      <c r="A4420">
        <v>38</v>
      </c>
      <c r="B4420" t="str">
        <f>"8:57:55.242705"</f>
        <v>8:57:55.242705</v>
      </c>
      <c r="C4420">
        <v>-41</v>
      </c>
    </row>
    <row r="4421" spans="1:3" x14ac:dyDescent="0.25">
      <c r="A4421">
        <v>39</v>
      </c>
      <c r="B4421" t="str">
        <f>"8:57:55.243731"</f>
        <v>8:57:55.243731</v>
      </c>
      <c r="C4421">
        <v>-46</v>
      </c>
    </row>
    <row r="4422" spans="1:3" x14ac:dyDescent="0.25">
      <c r="A4422">
        <v>39</v>
      </c>
      <c r="B4422" t="str">
        <f>"8:57:55.244250"</f>
        <v>8:57:55.244250</v>
      </c>
      <c r="C4422">
        <v>-31</v>
      </c>
    </row>
    <row r="4423" spans="1:3" x14ac:dyDescent="0.25">
      <c r="A4423">
        <v>39</v>
      </c>
      <c r="B4423" t="str">
        <f>"8:57:55.244576"</f>
        <v>8:57:55.244576</v>
      </c>
      <c r="C4423">
        <v>-45</v>
      </c>
    </row>
    <row r="4424" spans="1:3" x14ac:dyDescent="0.25">
      <c r="A4424">
        <v>37</v>
      </c>
      <c r="B4424" t="str">
        <f>"8:57:55.595774"</f>
        <v>8:57:55.595774</v>
      </c>
      <c r="C4424">
        <v>-44</v>
      </c>
    </row>
    <row r="4425" spans="1:3" x14ac:dyDescent="0.25">
      <c r="A4425">
        <v>38</v>
      </c>
      <c r="B4425" t="str">
        <f>"8:57:55.596802"</f>
        <v>8:57:55.596802</v>
      </c>
      <c r="C4425">
        <v>-41</v>
      </c>
    </row>
    <row r="4426" spans="1:3" x14ac:dyDescent="0.25">
      <c r="A4426">
        <v>39</v>
      </c>
      <c r="B4426" t="str">
        <f>"8:57:55.597828"</f>
        <v>8:57:55.597828</v>
      </c>
      <c r="C4426">
        <v>-46</v>
      </c>
    </row>
    <row r="4427" spans="1:3" x14ac:dyDescent="0.25">
      <c r="A4427">
        <v>39</v>
      </c>
      <c r="B4427" t="str">
        <f>"8:57:55.598346"</f>
        <v>8:57:55.598346</v>
      </c>
      <c r="C4427">
        <v>-31</v>
      </c>
    </row>
    <row r="4428" spans="1:3" x14ac:dyDescent="0.25">
      <c r="A4428">
        <v>39</v>
      </c>
      <c r="B4428" t="str">
        <f>"8:57:55.598672"</f>
        <v>8:57:55.598672</v>
      </c>
      <c r="C4428">
        <v>-45</v>
      </c>
    </row>
    <row r="4429" spans="1:3" x14ac:dyDescent="0.25">
      <c r="A4429">
        <v>37</v>
      </c>
      <c r="B4429" t="str">
        <f>"8:57:55.951616"</f>
        <v>8:57:55.951616</v>
      </c>
      <c r="C4429">
        <v>-44</v>
      </c>
    </row>
    <row r="4430" spans="1:3" x14ac:dyDescent="0.25">
      <c r="A4430">
        <v>38</v>
      </c>
      <c r="B4430" t="str">
        <f>"8:57:55.952644"</f>
        <v>8:57:55.952644</v>
      </c>
      <c r="C4430">
        <v>-41</v>
      </c>
    </row>
    <row r="4431" spans="1:3" x14ac:dyDescent="0.25">
      <c r="A4431">
        <v>39</v>
      </c>
      <c r="B4431" t="str">
        <f>"8:57:55.953670"</f>
        <v>8:57:55.953670</v>
      </c>
      <c r="C4431">
        <v>-46</v>
      </c>
    </row>
    <row r="4432" spans="1:3" x14ac:dyDescent="0.25">
      <c r="A4432">
        <v>39</v>
      </c>
      <c r="B4432" t="str">
        <f>"8:57:55.954188"</f>
        <v>8:57:55.954188</v>
      </c>
      <c r="C4432">
        <v>-30</v>
      </c>
    </row>
    <row r="4433" spans="1:3" x14ac:dyDescent="0.25">
      <c r="A4433">
        <v>39</v>
      </c>
      <c r="B4433" t="str">
        <f>"8:57:55.954514"</f>
        <v>8:57:55.954514</v>
      </c>
      <c r="C4433">
        <v>-45</v>
      </c>
    </row>
    <row r="4434" spans="1:3" x14ac:dyDescent="0.25">
      <c r="A4434">
        <v>37</v>
      </c>
      <c r="B4434" t="str">
        <f>"8:57:56.303583"</f>
        <v>8:57:56.303583</v>
      </c>
      <c r="C4434">
        <v>-44</v>
      </c>
    </row>
    <row r="4435" spans="1:3" x14ac:dyDescent="0.25">
      <c r="A4435">
        <v>38</v>
      </c>
      <c r="B4435" t="str">
        <f>"8:57:56.304611"</f>
        <v>8:57:56.304611</v>
      </c>
      <c r="C4435">
        <v>-41</v>
      </c>
    </row>
    <row r="4436" spans="1:3" x14ac:dyDescent="0.25">
      <c r="A4436">
        <v>39</v>
      </c>
      <c r="B4436" t="str">
        <f>"8:57:56.305637"</f>
        <v>8:57:56.305637</v>
      </c>
      <c r="C4436">
        <v>-45</v>
      </c>
    </row>
    <row r="4437" spans="1:3" x14ac:dyDescent="0.25">
      <c r="A4437">
        <v>39</v>
      </c>
      <c r="B4437" t="str">
        <f>"8:57:56.306155"</f>
        <v>8:57:56.306155</v>
      </c>
      <c r="C4437">
        <v>-30</v>
      </c>
    </row>
    <row r="4438" spans="1:3" x14ac:dyDescent="0.25">
      <c r="A4438">
        <v>39</v>
      </c>
      <c r="B4438" t="str">
        <f>"8:57:56.306481"</f>
        <v>8:57:56.306481</v>
      </c>
      <c r="C4438">
        <v>-45</v>
      </c>
    </row>
    <row r="4439" spans="1:3" x14ac:dyDescent="0.25">
      <c r="A4439">
        <v>37</v>
      </c>
      <c r="B4439" t="str">
        <f>"8:57:56.660514"</f>
        <v>8:57:56.660514</v>
      </c>
      <c r="C4439">
        <v>-44</v>
      </c>
    </row>
    <row r="4440" spans="1:3" x14ac:dyDescent="0.25">
      <c r="A4440">
        <v>37</v>
      </c>
      <c r="B4440" t="str">
        <f>"8:57:56.661033"</f>
        <v>8:57:56.661033</v>
      </c>
      <c r="C4440">
        <v>-80</v>
      </c>
    </row>
    <row r="4441" spans="1:3" x14ac:dyDescent="0.25">
      <c r="A4441">
        <v>37</v>
      </c>
      <c r="B4441" t="str">
        <f>"8:57:56.661359"</f>
        <v>8:57:56.661359</v>
      </c>
      <c r="C4441">
        <v>-44</v>
      </c>
    </row>
    <row r="4442" spans="1:3" x14ac:dyDescent="0.25">
      <c r="A4442">
        <v>38</v>
      </c>
      <c r="B4442" t="str">
        <f>"8:57:56.662135"</f>
        <v>8:57:56.662135</v>
      </c>
      <c r="C4442">
        <v>-41</v>
      </c>
    </row>
    <row r="4443" spans="1:3" x14ac:dyDescent="0.25">
      <c r="A4443">
        <v>39</v>
      </c>
      <c r="B4443" t="str">
        <f>"8:57:56.663161"</f>
        <v>8:57:56.663161</v>
      </c>
      <c r="C4443">
        <v>-46</v>
      </c>
    </row>
    <row r="4444" spans="1:3" x14ac:dyDescent="0.25">
      <c r="A4444">
        <v>39</v>
      </c>
      <c r="B4444" t="str">
        <f>"8:57:56.663679"</f>
        <v>8:57:56.663679</v>
      </c>
      <c r="C4444">
        <v>-30</v>
      </c>
    </row>
    <row r="4445" spans="1:3" x14ac:dyDescent="0.25">
      <c r="A4445">
        <v>39</v>
      </c>
      <c r="B4445" t="str">
        <f>"8:57:56.664005"</f>
        <v>8:57:56.664005</v>
      </c>
      <c r="C4445">
        <v>-45</v>
      </c>
    </row>
    <row r="4446" spans="1:3" x14ac:dyDescent="0.25">
      <c r="A4446">
        <v>37</v>
      </c>
      <c r="B4446" t="str">
        <f>"8:57:57.013513"</f>
        <v>8:57:57.013513</v>
      </c>
      <c r="C4446">
        <v>-44</v>
      </c>
    </row>
    <row r="4447" spans="1:3" x14ac:dyDescent="0.25">
      <c r="A4447">
        <v>38</v>
      </c>
      <c r="B4447" t="str">
        <f>"8:57:57.014541"</f>
        <v>8:57:57.014541</v>
      </c>
      <c r="C4447">
        <v>-41</v>
      </c>
    </row>
    <row r="4448" spans="1:3" x14ac:dyDescent="0.25">
      <c r="A4448">
        <v>39</v>
      </c>
      <c r="B4448" t="str">
        <f>"8:57:57.015567"</f>
        <v>8:57:57.015567</v>
      </c>
      <c r="C4448">
        <v>-45</v>
      </c>
    </row>
    <row r="4449" spans="1:3" x14ac:dyDescent="0.25">
      <c r="A4449">
        <v>39</v>
      </c>
      <c r="B4449" t="str">
        <f>"8:57:57.016085"</f>
        <v>8:57:57.016085</v>
      </c>
      <c r="C4449">
        <v>-30</v>
      </c>
    </row>
    <row r="4450" spans="1:3" x14ac:dyDescent="0.25">
      <c r="A4450">
        <v>39</v>
      </c>
      <c r="B4450" t="str">
        <f>"8:57:57.016411"</f>
        <v>8:57:57.016411</v>
      </c>
      <c r="C4450">
        <v>-45</v>
      </c>
    </row>
    <row r="4451" spans="1:3" x14ac:dyDescent="0.25">
      <c r="A4451">
        <v>37</v>
      </c>
      <c r="B4451" t="str">
        <f>"8:57:57.368304"</f>
        <v>8:57:57.368304</v>
      </c>
      <c r="C4451">
        <v>-44</v>
      </c>
    </row>
    <row r="4452" spans="1:3" x14ac:dyDescent="0.25">
      <c r="A4452">
        <v>38</v>
      </c>
      <c r="B4452" t="str">
        <f>"8:57:57.369331"</f>
        <v>8:57:57.369331</v>
      </c>
      <c r="C4452">
        <v>-41</v>
      </c>
    </row>
    <row r="4453" spans="1:3" x14ac:dyDescent="0.25">
      <c r="A4453">
        <v>39</v>
      </c>
      <c r="B4453" t="str">
        <f>"8:57:57.370357"</f>
        <v>8:57:57.370357</v>
      </c>
      <c r="C4453">
        <v>-45</v>
      </c>
    </row>
    <row r="4454" spans="1:3" x14ac:dyDescent="0.25">
      <c r="A4454">
        <v>37</v>
      </c>
      <c r="B4454" t="str">
        <f>"8:57:57.723608"</f>
        <v>8:57:57.723608</v>
      </c>
      <c r="C4454">
        <v>-44</v>
      </c>
    </row>
    <row r="4455" spans="1:3" x14ac:dyDescent="0.25">
      <c r="A4455">
        <v>38</v>
      </c>
      <c r="B4455" t="str">
        <f>"8:57:57.724635"</f>
        <v>8:57:57.724635</v>
      </c>
      <c r="C4455">
        <v>-41</v>
      </c>
    </row>
    <row r="4456" spans="1:3" x14ac:dyDescent="0.25">
      <c r="A4456">
        <v>39</v>
      </c>
      <c r="B4456" t="str">
        <f>"8:57:57.725661"</f>
        <v>8:57:57.725661</v>
      </c>
      <c r="C4456">
        <v>-45</v>
      </c>
    </row>
    <row r="4457" spans="1:3" x14ac:dyDescent="0.25">
      <c r="A4457">
        <v>39</v>
      </c>
      <c r="B4457" t="str">
        <f>"8:57:57.726180"</f>
        <v>8:57:57.726180</v>
      </c>
      <c r="C4457">
        <v>-31</v>
      </c>
    </row>
    <row r="4458" spans="1:3" x14ac:dyDescent="0.25">
      <c r="A4458">
        <v>39</v>
      </c>
      <c r="B4458" t="str">
        <f>"8:57:57.726505"</f>
        <v>8:57:57.726505</v>
      </c>
      <c r="C4458">
        <v>-45</v>
      </c>
    </row>
    <row r="4459" spans="1:3" x14ac:dyDescent="0.25">
      <c r="A4459">
        <v>37</v>
      </c>
      <c r="B4459" t="str">
        <f>"8:57:58.083085"</f>
        <v>8:57:58.083085</v>
      </c>
      <c r="C4459">
        <v>-44</v>
      </c>
    </row>
    <row r="4460" spans="1:3" x14ac:dyDescent="0.25">
      <c r="A4460">
        <v>38</v>
      </c>
      <c r="B4460" t="str">
        <f>"8:57:58.084113"</f>
        <v>8:57:58.084113</v>
      </c>
      <c r="C4460">
        <v>-41</v>
      </c>
    </row>
    <row r="4461" spans="1:3" x14ac:dyDescent="0.25">
      <c r="A4461">
        <v>39</v>
      </c>
      <c r="B4461" t="str">
        <f>"8:57:58.085139"</f>
        <v>8:57:58.085139</v>
      </c>
      <c r="C4461">
        <v>-45</v>
      </c>
    </row>
    <row r="4462" spans="1:3" x14ac:dyDescent="0.25">
      <c r="A4462">
        <v>39</v>
      </c>
      <c r="B4462" t="str">
        <f>"8:57:58.085657"</f>
        <v>8:57:58.085657</v>
      </c>
      <c r="C4462">
        <v>-30</v>
      </c>
    </row>
    <row r="4463" spans="1:3" x14ac:dyDescent="0.25">
      <c r="A4463">
        <v>39</v>
      </c>
      <c r="B4463" t="str">
        <f>"8:57:58.085983"</f>
        <v>8:57:58.085983</v>
      </c>
      <c r="C4463">
        <v>-45</v>
      </c>
    </row>
    <row r="4464" spans="1:3" x14ac:dyDescent="0.25">
      <c r="A4464">
        <v>37</v>
      </c>
      <c r="B4464" t="str">
        <f>"8:57:58.434351"</f>
        <v>8:57:58.434351</v>
      </c>
      <c r="C4464">
        <v>-44</v>
      </c>
    </row>
    <row r="4465" spans="1:3" x14ac:dyDescent="0.25">
      <c r="A4465">
        <v>38</v>
      </c>
      <c r="B4465" t="str">
        <f>"8:57:58.435379"</f>
        <v>8:57:58.435379</v>
      </c>
      <c r="C4465">
        <v>-41</v>
      </c>
    </row>
    <row r="4466" spans="1:3" x14ac:dyDescent="0.25">
      <c r="A4466">
        <v>39</v>
      </c>
      <c r="B4466" t="str">
        <f>"8:57:58.436405"</f>
        <v>8:57:58.436405</v>
      </c>
      <c r="C4466">
        <v>-45</v>
      </c>
    </row>
    <row r="4467" spans="1:3" x14ac:dyDescent="0.25">
      <c r="A4467">
        <v>39</v>
      </c>
      <c r="B4467" t="str">
        <f>"8:57:58.436923"</f>
        <v>8:57:58.436923</v>
      </c>
      <c r="C4467">
        <v>-31</v>
      </c>
    </row>
    <row r="4468" spans="1:3" x14ac:dyDescent="0.25">
      <c r="A4468">
        <v>39</v>
      </c>
      <c r="B4468" t="str">
        <f>"8:57:58.437249"</f>
        <v>8:57:58.437249</v>
      </c>
      <c r="C4468">
        <v>-45</v>
      </c>
    </row>
    <row r="4469" spans="1:3" x14ac:dyDescent="0.25">
      <c r="A4469">
        <v>37</v>
      </c>
      <c r="B4469" t="str">
        <f>"8:57:58.785299"</f>
        <v>8:57:58.785299</v>
      </c>
      <c r="C4469">
        <v>-44</v>
      </c>
    </row>
    <row r="4470" spans="1:3" x14ac:dyDescent="0.25">
      <c r="A4470">
        <v>37</v>
      </c>
      <c r="B4470" t="str">
        <f>"8:57:58.785819"</f>
        <v>8:57:58.785819</v>
      </c>
      <c r="C4470">
        <v>-83</v>
      </c>
    </row>
    <row r="4471" spans="1:3" x14ac:dyDescent="0.25">
      <c r="A4471">
        <v>37</v>
      </c>
      <c r="B4471" t="str">
        <f>"8:57:58.786145"</f>
        <v>8:57:58.786145</v>
      </c>
      <c r="C4471">
        <v>-44</v>
      </c>
    </row>
    <row r="4472" spans="1:3" x14ac:dyDescent="0.25">
      <c r="A4472">
        <v>38</v>
      </c>
      <c r="B4472" t="str">
        <f>"8:57:58.786921"</f>
        <v>8:57:58.786921</v>
      </c>
      <c r="C4472">
        <v>-41</v>
      </c>
    </row>
    <row r="4473" spans="1:3" x14ac:dyDescent="0.25">
      <c r="A4473">
        <v>39</v>
      </c>
      <c r="B4473" t="str">
        <f>"8:57:58.787947"</f>
        <v>8:57:58.787947</v>
      </c>
      <c r="C4473">
        <v>-45</v>
      </c>
    </row>
    <row r="4474" spans="1:3" x14ac:dyDescent="0.25">
      <c r="A4474">
        <v>37</v>
      </c>
      <c r="B4474" t="str">
        <f>"8:57:59.135543"</f>
        <v>8:57:59.135543</v>
      </c>
      <c r="C4474">
        <v>-44</v>
      </c>
    </row>
    <row r="4475" spans="1:3" x14ac:dyDescent="0.25">
      <c r="A4475">
        <v>38</v>
      </c>
      <c r="B4475" t="str">
        <f>"8:57:59.136570"</f>
        <v>8:57:59.136570</v>
      </c>
      <c r="C4475">
        <v>-41</v>
      </c>
    </row>
    <row r="4476" spans="1:3" x14ac:dyDescent="0.25">
      <c r="A4476">
        <v>39</v>
      </c>
      <c r="B4476" t="str">
        <f>"8:57:59.137596"</f>
        <v>8:57:59.137596</v>
      </c>
      <c r="C4476">
        <v>-46</v>
      </c>
    </row>
    <row r="4477" spans="1:3" x14ac:dyDescent="0.25">
      <c r="A4477">
        <v>39</v>
      </c>
      <c r="B4477" t="str">
        <f>"8:57:59.138115"</f>
        <v>8:57:59.138115</v>
      </c>
      <c r="C4477">
        <v>-31</v>
      </c>
    </row>
    <row r="4478" spans="1:3" x14ac:dyDescent="0.25">
      <c r="A4478">
        <v>39</v>
      </c>
      <c r="B4478" t="str">
        <f>"8:57:59.138441"</f>
        <v>8:57:59.138441</v>
      </c>
      <c r="C4478">
        <v>-45</v>
      </c>
    </row>
    <row r="4479" spans="1:3" x14ac:dyDescent="0.25">
      <c r="A4479">
        <v>37</v>
      </c>
      <c r="B4479" t="str">
        <f>"8:57:59.492970"</f>
        <v>8:57:59.492970</v>
      </c>
      <c r="C4479">
        <v>-44</v>
      </c>
    </row>
    <row r="4480" spans="1:3" x14ac:dyDescent="0.25">
      <c r="A4480">
        <v>37</v>
      </c>
      <c r="B4480" t="str">
        <f>"8:57:59.493488"</f>
        <v>8:57:59.493488</v>
      </c>
      <c r="C4480">
        <v>-40</v>
      </c>
    </row>
    <row r="4481" spans="1:3" x14ac:dyDescent="0.25">
      <c r="A4481">
        <v>37</v>
      </c>
      <c r="B4481" t="str">
        <f>"8:57:59.493815"</f>
        <v>8:57:59.493815</v>
      </c>
      <c r="C4481">
        <v>-44</v>
      </c>
    </row>
    <row r="4482" spans="1:3" x14ac:dyDescent="0.25">
      <c r="A4482">
        <v>38</v>
      </c>
      <c r="B4482" t="str">
        <f>"8:57:59.494591"</f>
        <v>8:57:59.494591</v>
      </c>
      <c r="C4482">
        <v>-41</v>
      </c>
    </row>
    <row r="4483" spans="1:3" x14ac:dyDescent="0.25">
      <c r="A4483">
        <v>39</v>
      </c>
      <c r="B4483" t="str">
        <f>"8:57:59.495617"</f>
        <v>8:57:59.495617</v>
      </c>
      <c r="C4483">
        <v>-45</v>
      </c>
    </row>
    <row r="4484" spans="1:3" x14ac:dyDescent="0.25">
      <c r="A4484">
        <v>37</v>
      </c>
      <c r="B4484" t="str">
        <f>"8:57:59.850153"</f>
        <v>8:57:59.850153</v>
      </c>
      <c r="C4484">
        <v>-44</v>
      </c>
    </row>
    <row r="4485" spans="1:3" x14ac:dyDescent="0.25">
      <c r="A4485">
        <v>37</v>
      </c>
      <c r="B4485" t="str">
        <f>"8:57:59.850671"</f>
        <v>8:57:59.850671</v>
      </c>
      <c r="C4485">
        <v>-39</v>
      </c>
    </row>
    <row r="4486" spans="1:3" x14ac:dyDescent="0.25">
      <c r="A4486">
        <v>37</v>
      </c>
      <c r="B4486" t="str">
        <f>"8:57:59.850998"</f>
        <v>8:57:59.850998</v>
      </c>
      <c r="C4486">
        <v>-44</v>
      </c>
    </row>
    <row r="4487" spans="1:3" x14ac:dyDescent="0.25">
      <c r="A4487">
        <v>38</v>
      </c>
      <c r="B4487" t="str">
        <f>"8:57:59.851774"</f>
        <v>8:57:59.851774</v>
      </c>
      <c r="C4487">
        <v>-41</v>
      </c>
    </row>
    <row r="4488" spans="1:3" x14ac:dyDescent="0.25">
      <c r="A4488">
        <v>39</v>
      </c>
      <c r="B4488" t="str">
        <f>"8:57:59.852800"</f>
        <v>8:57:59.852800</v>
      </c>
      <c r="C4488">
        <v>-45</v>
      </c>
    </row>
    <row r="4489" spans="1:3" x14ac:dyDescent="0.25">
      <c r="A4489">
        <v>37</v>
      </c>
      <c r="B4489" t="str">
        <f>"8:58:00.205454"</f>
        <v>8:58:00.205454</v>
      </c>
      <c r="C4489">
        <v>-44</v>
      </c>
    </row>
    <row r="4490" spans="1:3" x14ac:dyDescent="0.25">
      <c r="A4490">
        <v>37</v>
      </c>
      <c r="B4490" t="str">
        <f>"8:58:00.205972"</f>
        <v>8:58:00.205972</v>
      </c>
      <c r="C4490">
        <v>-40</v>
      </c>
    </row>
    <row r="4491" spans="1:3" x14ac:dyDescent="0.25">
      <c r="A4491">
        <v>37</v>
      </c>
      <c r="B4491" t="str">
        <f>"8:58:00.206298"</f>
        <v>8:58:00.206298</v>
      </c>
      <c r="C4491">
        <v>-44</v>
      </c>
    </row>
    <row r="4492" spans="1:3" x14ac:dyDescent="0.25">
      <c r="A4492">
        <v>38</v>
      </c>
      <c r="B4492" t="str">
        <f>"8:58:00.207074"</f>
        <v>8:58:00.207074</v>
      </c>
      <c r="C4492">
        <v>-41</v>
      </c>
    </row>
    <row r="4493" spans="1:3" x14ac:dyDescent="0.25">
      <c r="A4493">
        <v>39</v>
      </c>
      <c r="B4493" t="str">
        <f>"8:58:00.208100"</f>
        <v>8:58:00.208100</v>
      </c>
      <c r="C4493">
        <v>-45</v>
      </c>
    </row>
    <row r="4494" spans="1:3" x14ac:dyDescent="0.25">
      <c r="A4494">
        <v>37</v>
      </c>
      <c r="B4494" t="str">
        <f>"8:58:00.556404"</f>
        <v>8:58:00.556404</v>
      </c>
      <c r="C4494">
        <v>-44</v>
      </c>
    </row>
    <row r="4495" spans="1:3" x14ac:dyDescent="0.25">
      <c r="A4495">
        <v>37</v>
      </c>
      <c r="B4495" t="str">
        <f>"8:58:00.556923"</f>
        <v>8:58:00.556923</v>
      </c>
      <c r="C4495">
        <v>-40</v>
      </c>
    </row>
    <row r="4496" spans="1:3" x14ac:dyDescent="0.25">
      <c r="A4496">
        <v>37</v>
      </c>
      <c r="B4496" t="str">
        <f>"8:58:00.557248"</f>
        <v>8:58:00.557248</v>
      </c>
      <c r="C4496">
        <v>-44</v>
      </c>
    </row>
    <row r="4497" spans="1:3" x14ac:dyDescent="0.25">
      <c r="A4497">
        <v>38</v>
      </c>
      <c r="B4497" t="str">
        <f>"8:58:00.558024"</f>
        <v>8:58:00.558024</v>
      </c>
      <c r="C4497">
        <v>-41</v>
      </c>
    </row>
    <row r="4498" spans="1:3" x14ac:dyDescent="0.25">
      <c r="A4498">
        <v>39</v>
      </c>
      <c r="B4498" t="str">
        <f>"8:58:00.559050"</f>
        <v>8:58:00.559050</v>
      </c>
      <c r="C4498">
        <v>-46</v>
      </c>
    </row>
    <row r="4499" spans="1:3" x14ac:dyDescent="0.25">
      <c r="A4499">
        <v>39</v>
      </c>
      <c r="B4499" t="str">
        <f>"8:58:00.559897"</f>
        <v>8:58:00.559897</v>
      </c>
      <c r="C4499">
        <v>-45</v>
      </c>
    </row>
    <row r="4500" spans="1:3" x14ac:dyDescent="0.25">
      <c r="A4500">
        <v>37</v>
      </c>
      <c r="B4500" t="str">
        <f>"8:58:00.908140"</f>
        <v>8:58:00.908140</v>
      </c>
      <c r="C4500">
        <v>-44</v>
      </c>
    </row>
    <row r="4501" spans="1:3" x14ac:dyDescent="0.25">
      <c r="A4501">
        <v>37</v>
      </c>
      <c r="B4501" t="str">
        <f>"8:58:00.908659"</f>
        <v>8:58:00.908659</v>
      </c>
      <c r="C4501">
        <v>-39</v>
      </c>
    </row>
    <row r="4502" spans="1:3" x14ac:dyDescent="0.25">
      <c r="A4502">
        <v>37</v>
      </c>
      <c r="B4502" t="str">
        <f>"8:58:00.908985"</f>
        <v>8:58:00.908985</v>
      </c>
      <c r="C4502">
        <v>-44</v>
      </c>
    </row>
    <row r="4503" spans="1:3" x14ac:dyDescent="0.25">
      <c r="A4503">
        <v>38</v>
      </c>
      <c r="B4503" t="str">
        <f>"8:58:00.909761"</f>
        <v>8:58:00.909761</v>
      </c>
      <c r="C4503">
        <v>-41</v>
      </c>
    </row>
    <row r="4504" spans="1:3" x14ac:dyDescent="0.25">
      <c r="A4504">
        <v>39</v>
      </c>
      <c r="B4504" t="str">
        <f>"8:58:00.910787"</f>
        <v>8:58:00.910787</v>
      </c>
      <c r="C4504">
        <v>-46</v>
      </c>
    </row>
    <row r="4505" spans="1:3" x14ac:dyDescent="0.25">
      <c r="A4505">
        <v>39</v>
      </c>
      <c r="B4505" t="str">
        <f>"8:58:00.911307"</f>
        <v>8:58:00.911307</v>
      </c>
      <c r="C4505">
        <v>-86</v>
      </c>
    </row>
    <row r="4506" spans="1:3" x14ac:dyDescent="0.25">
      <c r="A4506">
        <v>39</v>
      </c>
      <c r="B4506" t="str">
        <f>"8:58:00.911633"</f>
        <v>8:58:00.911633</v>
      </c>
      <c r="C4506">
        <v>-45</v>
      </c>
    </row>
    <row r="4507" spans="1:3" x14ac:dyDescent="0.25">
      <c r="A4507">
        <v>37</v>
      </c>
      <c r="B4507" t="str">
        <f>"8:58:01.267572"</f>
        <v>8:58:01.267572</v>
      </c>
      <c r="C4507">
        <v>-44</v>
      </c>
    </row>
    <row r="4508" spans="1:3" x14ac:dyDescent="0.25">
      <c r="A4508">
        <v>38</v>
      </c>
      <c r="B4508" t="str">
        <f>"8:58:01.268600"</f>
        <v>8:58:01.268600</v>
      </c>
      <c r="C4508">
        <v>-41</v>
      </c>
    </row>
    <row r="4509" spans="1:3" x14ac:dyDescent="0.25">
      <c r="A4509">
        <v>39</v>
      </c>
      <c r="B4509" t="str">
        <f>"8:58:01.269626"</f>
        <v>8:58:01.269626</v>
      </c>
      <c r="C4509">
        <v>-46</v>
      </c>
    </row>
    <row r="4510" spans="1:3" x14ac:dyDescent="0.25">
      <c r="A4510">
        <v>37</v>
      </c>
      <c r="B4510" t="str">
        <f>"8:58:01.624431"</f>
        <v>8:58:01.624431</v>
      </c>
      <c r="C4510">
        <v>-44</v>
      </c>
    </row>
    <row r="4511" spans="1:3" x14ac:dyDescent="0.25">
      <c r="A4511">
        <v>37</v>
      </c>
      <c r="B4511" t="str">
        <f>"8:58:01.624950"</f>
        <v>8:58:01.624950</v>
      </c>
      <c r="C4511">
        <v>-39</v>
      </c>
    </row>
    <row r="4512" spans="1:3" x14ac:dyDescent="0.25">
      <c r="A4512">
        <v>37</v>
      </c>
      <c r="B4512" t="str">
        <f>"8:58:01.625276"</f>
        <v>8:58:01.625276</v>
      </c>
      <c r="C4512">
        <v>-44</v>
      </c>
    </row>
    <row r="4513" spans="1:3" x14ac:dyDescent="0.25">
      <c r="A4513">
        <v>38</v>
      </c>
      <c r="B4513" t="str">
        <f>"8:58:01.626053"</f>
        <v>8:58:01.626053</v>
      </c>
      <c r="C4513">
        <v>-41</v>
      </c>
    </row>
    <row r="4514" spans="1:3" x14ac:dyDescent="0.25">
      <c r="A4514">
        <v>39</v>
      </c>
      <c r="B4514" t="str">
        <f>"8:58:01.627079"</f>
        <v>8:58:01.627079</v>
      </c>
      <c r="C4514">
        <v>-45</v>
      </c>
    </row>
    <row r="4515" spans="1:3" x14ac:dyDescent="0.25">
      <c r="A4515">
        <v>37</v>
      </c>
      <c r="B4515" t="str">
        <f>"8:58:01.980853"</f>
        <v>8:58:01.980853</v>
      </c>
      <c r="C4515">
        <v>-44</v>
      </c>
    </row>
    <row r="4516" spans="1:3" x14ac:dyDescent="0.25">
      <c r="A4516">
        <v>37</v>
      </c>
      <c r="B4516" t="str">
        <f>"8:58:01.981372"</f>
        <v>8:58:01.981372</v>
      </c>
      <c r="C4516">
        <v>-39</v>
      </c>
    </row>
    <row r="4517" spans="1:3" x14ac:dyDescent="0.25">
      <c r="A4517">
        <v>37</v>
      </c>
      <c r="B4517" t="str">
        <f>"8:58:01.981698"</f>
        <v>8:58:01.981698</v>
      </c>
      <c r="C4517">
        <v>-44</v>
      </c>
    </row>
    <row r="4518" spans="1:3" x14ac:dyDescent="0.25">
      <c r="A4518">
        <v>38</v>
      </c>
      <c r="B4518" t="str">
        <f>"8:58:01.982475"</f>
        <v>8:58:01.982475</v>
      </c>
      <c r="C4518">
        <v>-41</v>
      </c>
    </row>
    <row r="4519" spans="1:3" x14ac:dyDescent="0.25">
      <c r="A4519">
        <v>39</v>
      </c>
      <c r="B4519" t="str">
        <f>"8:58:01.983501"</f>
        <v>8:58:01.983501</v>
      </c>
      <c r="C4519">
        <v>-45</v>
      </c>
    </row>
    <row r="4520" spans="1:3" x14ac:dyDescent="0.25">
      <c r="A4520">
        <v>37</v>
      </c>
      <c r="B4520" t="str">
        <f>"8:58:02.335158"</f>
        <v>8:58:02.335158</v>
      </c>
      <c r="C4520">
        <v>-44</v>
      </c>
    </row>
    <row r="4521" spans="1:3" x14ac:dyDescent="0.25">
      <c r="A4521">
        <v>38</v>
      </c>
      <c r="B4521" t="str">
        <f>"8:58:02.336185"</f>
        <v>8:58:02.336185</v>
      </c>
      <c r="C4521">
        <v>-41</v>
      </c>
    </row>
    <row r="4522" spans="1:3" x14ac:dyDescent="0.25">
      <c r="A4522">
        <v>39</v>
      </c>
      <c r="B4522" t="str">
        <f>"8:58:02.337211"</f>
        <v>8:58:02.337211</v>
      </c>
      <c r="C4522">
        <v>-45</v>
      </c>
    </row>
    <row r="4523" spans="1:3" x14ac:dyDescent="0.25">
      <c r="A4523">
        <v>37</v>
      </c>
      <c r="B4523" t="str">
        <f>"8:58:02.693540"</f>
        <v>8:58:02.693540</v>
      </c>
      <c r="C4523">
        <v>-44</v>
      </c>
    </row>
    <row r="4524" spans="1:3" x14ac:dyDescent="0.25">
      <c r="A4524">
        <v>37</v>
      </c>
      <c r="B4524" t="str">
        <f>"8:58:02.694058"</f>
        <v>8:58:02.694058</v>
      </c>
      <c r="C4524">
        <v>-40</v>
      </c>
    </row>
    <row r="4525" spans="1:3" x14ac:dyDescent="0.25">
      <c r="A4525">
        <v>37</v>
      </c>
      <c r="B4525" t="str">
        <f>"8:58:02.694384"</f>
        <v>8:58:02.694384</v>
      </c>
      <c r="C4525">
        <v>-44</v>
      </c>
    </row>
    <row r="4526" spans="1:3" x14ac:dyDescent="0.25">
      <c r="A4526">
        <v>38</v>
      </c>
      <c r="B4526" t="str">
        <f>"8:58:02.695160"</f>
        <v>8:58:02.695160</v>
      </c>
      <c r="C4526">
        <v>-41</v>
      </c>
    </row>
    <row r="4527" spans="1:3" x14ac:dyDescent="0.25">
      <c r="A4527">
        <v>39</v>
      </c>
      <c r="B4527" t="str">
        <f>"8:58:02.696186"</f>
        <v>8:58:02.696186</v>
      </c>
      <c r="C4527">
        <v>-45</v>
      </c>
    </row>
    <row r="4528" spans="1:3" x14ac:dyDescent="0.25">
      <c r="A4528">
        <v>37</v>
      </c>
      <c r="B4528" t="str">
        <f>"8:58:03.048085"</f>
        <v>8:58:03.048085</v>
      </c>
      <c r="C4528">
        <v>-44</v>
      </c>
    </row>
    <row r="4529" spans="1:3" x14ac:dyDescent="0.25">
      <c r="A4529">
        <v>37</v>
      </c>
      <c r="B4529" t="str">
        <f>"8:58:03.048603"</f>
        <v>8:58:03.048603</v>
      </c>
      <c r="C4529">
        <v>-40</v>
      </c>
    </row>
    <row r="4530" spans="1:3" x14ac:dyDescent="0.25">
      <c r="A4530">
        <v>37</v>
      </c>
      <c r="B4530" t="str">
        <f>"8:58:03.048929"</f>
        <v>8:58:03.048929</v>
      </c>
      <c r="C4530">
        <v>-44</v>
      </c>
    </row>
    <row r="4531" spans="1:3" x14ac:dyDescent="0.25">
      <c r="A4531">
        <v>38</v>
      </c>
      <c r="B4531" t="str">
        <f>"8:58:03.049706"</f>
        <v>8:58:03.049706</v>
      </c>
      <c r="C4531">
        <v>-41</v>
      </c>
    </row>
    <row r="4532" spans="1:3" x14ac:dyDescent="0.25">
      <c r="A4532">
        <v>39</v>
      </c>
      <c r="B4532" t="str">
        <f>"8:58:03.050732"</f>
        <v>8:58:03.050732</v>
      </c>
      <c r="C4532">
        <v>-45</v>
      </c>
    </row>
    <row r="4533" spans="1:3" x14ac:dyDescent="0.25">
      <c r="A4533">
        <v>37</v>
      </c>
      <c r="B4533" t="str">
        <f>"8:58:03.399279"</f>
        <v>8:58:03.399279</v>
      </c>
      <c r="C4533">
        <v>-44</v>
      </c>
    </row>
    <row r="4534" spans="1:3" x14ac:dyDescent="0.25">
      <c r="A4534">
        <v>37</v>
      </c>
      <c r="B4534" t="str">
        <f>"8:58:03.399797"</f>
        <v>8:58:03.399797</v>
      </c>
      <c r="C4534">
        <v>-40</v>
      </c>
    </row>
    <row r="4535" spans="1:3" x14ac:dyDescent="0.25">
      <c r="A4535">
        <v>37</v>
      </c>
      <c r="B4535" t="str">
        <f>"8:58:03.400124"</f>
        <v>8:58:03.400124</v>
      </c>
      <c r="C4535">
        <v>-44</v>
      </c>
    </row>
    <row r="4536" spans="1:3" x14ac:dyDescent="0.25">
      <c r="A4536">
        <v>38</v>
      </c>
      <c r="B4536" t="str">
        <f>"8:58:03.400900"</f>
        <v>8:58:03.400900</v>
      </c>
      <c r="C4536">
        <v>-41</v>
      </c>
    </row>
    <row r="4537" spans="1:3" x14ac:dyDescent="0.25">
      <c r="A4537">
        <v>39</v>
      </c>
      <c r="B4537" t="str">
        <f>"8:58:03.401926"</f>
        <v>8:58:03.401926</v>
      </c>
      <c r="C4537">
        <v>-45</v>
      </c>
    </row>
    <row r="4538" spans="1:3" x14ac:dyDescent="0.25">
      <c r="A4538">
        <v>37</v>
      </c>
      <c r="B4538" t="str">
        <f>"8:58:03.756393"</f>
        <v>8:58:03.756393</v>
      </c>
      <c r="C4538">
        <v>-44</v>
      </c>
    </row>
    <row r="4539" spans="1:3" x14ac:dyDescent="0.25">
      <c r="A4539">
        <v>37</v>
      </c>
      <c r="B4539" t="str">
        <f>"8:58:03.756912"</f>
        <v>8:58:03.756912</v>
      </c>
      <c r="C4539">
        <v>-40</v>
      </c>
    </row>
    <row r="4540" spans="1:3" x14ac:dyDescent="0.25">
      <c r="A4540">
        <v>37</v>
      </c>
      <c r="B4540" t="str">
        <f>"8:58:03.757238"</f>
        <v>8:58:03.757238</v>
      </c>
      <c r="C4540">
        <v>-44</v>
      </c>
    </row>
    <row r="4541" spans="1:3" x14ac:dyDescent="0.25">
      <c r="A4541">
        <v>38</v>
      </c>
      <c r="B4541" t="str">
        <f>"8:58:03.758014"</f>
        <v>8:58:03.758014</v>
      </c>
      <c r="C4541">
        <v>-41</v>
      </c>
    </row>
    <row r="4542" spans="1:3" x14ac:dyDescent="0.25">
      <c r="A4542">
        <v>39</v>
      </c>
      <c r="B4542" t="str">
        <f>"8:58:03.759040"</f>
        <v>8:58:03.759040</v>
      </c>
      <c r="C4542">
        <v>-45</v>
      </c>
    </row>
    <row r="4543" spans="1:3" x14ac:dyDescent="0.25">
      <c r="A4543">
        <v>37</v>
      </c>
      <c r="B4543" t="str">
        <f>"8:58:04.112258"</f>
        <v>8:58:04.112258</v>
      </c>
      <c r="C4543">
        <v>-44</v>
      </c>
    </row>
    <row r="4544" spans="1:3" x14ac:dyDescent="0.25">
      <c r="A4544">
        <v>37</v>
      </c>
      <c r="B4544" t="str">
        <f>"8:58:04.112777"</f>
        <v>8:58:04.112777</v>
      </c>
      <c r="C4544">
        <v>-40</v>
      </c>
    </row>
    <row r="4545" spans="1:3" x14ac:dyDescent="0.25">
      <c r="A4545">
        <v>37</v>
      </c>
      <c r="B4545" t="str">
        <f>"8:58:04.113103"</f>
        <v>8:58:04.113103</v>
      </c>
      <c r="C4545">
        <v>-44</v>
      </c>
    </row>
    <row r="4546" spans="1:3" x14ac:dyDescent="0.25">
      <c r="A4546">
        <v>38</v>
      </c>
      <c r="B4546" t="str">
        <f>"8:58:04.113879"</f>
        <v>8:58:04.113879</v>
      </c>
      <c r="C4546">
        <v>-41</v>
      </c>
    </row>
    <row r="4547" spans="1:3" x14ac:dyDescent="0.25">
      <c r="A4547">
        <v>39</v>
      </c>
      <c r="B4547" t="str">
        <f>"8:58:04.114905"</f>
        <v>8:58:04.114905</v>
      </c>
      <c r="C4547">
        <v>-45</v>
      </c>
    </row>
    <row r="4548" spans="1:3" x14ac:dyDescent="0.25">
      <c r="A4548">
        <v>37</v>
      </c>
      <c r="B4548" t="str">
        <f>"8:58:04.468378"</f>
        <v>8:58:04.468378</v>
      </c>
      <c r="C4548">
        <v>-44</v>
      </c>
    </row>
    <row r="4549" spans="1:3" x14ac:dyDescent="0.25">
      <c r="A4549">
        <v>38</v>
      </c>
      <c r="B4549" t="str">
        <f>"8:58:04.469538"</f>
        <v>8:58:04.469538</v>
      </c>
      <c r="C4549">
        <v>-41</v>
      </c>
    </row>
    <row r="4550" spans="1:3" x14ac:dyDescent="0.25">
      <c r="A4550">
        <v>38</v>
      </c>
      <c r="B4550" t="str">
        <f>"8:58:04.470057"</f>
        <v>8:58:04.470057</v>
      </c>
      <c r="C4550">
        <v>-31</v>
      </c>
    </row>
    <row r="4551" spans="1:3" x14ac:dyDescent="0.25">
      <c r="A4551">
        <v>38</v>
      </c>
      <c r="B4551" t="str">
        <f>"8:58:04.470382"</f>
        <v>8:58:04.470382</v>
      </c>
      <c r="C4551">
        <v>-41</v>
      </c>
    </row>
    <row r="4552" spans="1:3" x14ac:dyDescent="0.25">
      <c r="A4552">
        <v>39</v>
      </c>
      <c r="B4552" t="str">
        <f>"8:58:04.471158"</f>
        <v>8:58:04.471158</v>
      </c>
      <c r="C4552">
        <v>-45</v>
      </c>
    </row>
    <row r="4553" spans="1:3" x14ac:dyDescent="0.25">
      <c r="A4553">
        <v>37</v>
      </c>
      <c r="B4553" t="str">
        <f>"8:58:04.827553"</f>
        <v>8:58:04.827553</v>
      </c>
      <c r="C4553">
        <v>-44</v>
      </c>
    </row>
    <row r="4554" spans="1:3" x14ac:dyDescent="0.25">
      <c r="A4554">
        <v>38</v>
      </c>
      <c r="B4554" t="str">
        <f>"8:58:04.828581"</f>
        <v>8:58:04.828581</v>
      </c>
      <c r="C4554">
        <v>-41</v>
      </c>
    </row>
    <row r="4555" spans="1:3" x14ac:dyDescent="0.25">
      <c r="A4555">
        <v>38</v>
      </c>
      <c r="B4555" t="str">
        <f>"8:58:04.829099"</f>
        <v>8:58:04.829099</v>
      </c>
      <c r="C4555">
        <v>-31</v>
      </c>
    </row>
    <row r="4556" spans="1:3" x14ac:dyDescent="0.25">
      <c r="A4556">
        <v>38</v>
      </c>
      <c r="B4556" t="str">
        <f>"8:58:04.829425"</f>
        <v>8:58:04.829425</v>
      </c>
      <c r="C4556">
        <v>-41</v>
      </c>
    </row>
    <row r="4557" spans="1:3" x14ac:dyDescent="0.25">
      <c r="A4557">
        <v>39</v>
      </c>
      <c r="B4557" t="str">
        <f>"8:58:04.830201"</f>
        <v>8:58:04.830201</v>
      </c>
      <c r="C4557">
        <v>-45</v>
      </c>
    </row>
    <row r="4558" spans="1:3" x14ac:dyDescent="0.25">
      <c r="A4558">
        <v>37</v>
      </c>
      <c r="B4558" t="str">
        <f>"8:58:05.178026"</f>
        <v>8:58:05.178026</v>
      </c>
      <c r="C4558">
        <v>-44</v>
      </c>
    </row>
    <row r="4559" spans="1:3" x14ac:dyDescent="0.25">
      <c r="A4559">
        <v>38</v>
      </c>
      <c r="B4559" t="str">
        <f>"8:58:05.179053"</f>
        <v>8:58:05.179053</v>
      </c>
      <c r="C4559">
        <v>-41</v>
      </c>
    </row>
    <row r="4560" spans="1:3" x14ac:dyDescent="0.25">
      <c r="A4560">
        <v>38</v>
      </c>
      <c r="B4560" t="str">
        <f>"8:58:05.179571"</f>
        <v>8:58:05.179571</v>
      </c>
      <c r="C4560">
        <v>-31</v>
      </c>
    </row>
    <row r="4561" spans="1:3" x14ac:dyDescent="0.25">
      <c r="A4561">
        <v>38</v>
      </c>
      <c r="B4561" t="str">
        <f>"8:58:05.179897"</f>
        <v>8:58:05.179897</v>
      </c>
      <c r="C4561">
        <v>-41</v>
      </c>
    </row>
    <row r="4562" spans="1:3" x14ac:dyDescent="0.25">
      <c r="A4562">
        <v>39</v>
      </c>
      <c r="B4562" t="str">
        <f>"8:58:05.180673"</f>
        <v>8:58:05.180673</v>
      </c>
      <c r="C4562">
        <v>-45</v>
      </c>
    </row>
    <row r="4563" spans="1:3" x14ac:dyDescent="0.25">
      <c r="A4563">
        <v>37</v>
      </c>
      <c r="B4563" t="str">
        <f>"8:58:05.536206"</f>
        <v>8:58:05.536206</v>
      </c>
      <c r="C4563">
        <v>-44</v>
      </c>
    </row>
    <row r="4564" spans="1:3" x14ac:dyDescent="0.25">
      <c r="A4564">
        <v>38</v>
      </c>
      <c r="B4564" t="str">
        <f>"8:58:05.537234"</f>
        <v>8:58:05.537234</v>
      </c>
      <c r="C4564">
        <v>-41</v>
      </c>
    </row>
    <row r="4565" spans="1:3" x14ac:dyDescent="0.25">
      <c r="A4565">
        <v>38</v>
      </c>
      <c r="B4565" t="str">
        <f>"8:58:05.537752"</f>
        <v>8:58:05.537752</v>
      </c>
      <c r="C4565">
        <v>-31</v>
      </c>
    </row>
    <row r="4566" spans="1:3" x14ac:dyDescent="0.25">
      <c r="A4566">
        <v>38</v>
      </c>
      <c r="B4566" t="str">
        <f>"8:58:05.538078"</f>
        <v>8:58:05.538078</v>
      </c>
      <c r="C4566">
        <v>-41</v>
      </c>
    </row>
    <row r="4567" spans="1:3" x14ac:dyDescent="0.25">
      <c r="A4567">
        <v>39</v>
      </c>
      <c r="B4567" t="str">
        <f>"8:58:05.538854"</f>
        <v>8:58:05.538854</v>
      </c>
      <c r="C4567">
        <v>-45</v>
      </c>
    </row>
    <row r="4568" spans="1:3" x14ac:dyDescent="0.25">
      <c r="A4568">
        <v>37</v>
      </c>
      <c r="B4568" t="str">
        <f>"8:58:05.887685"</f>
        <v>8:58:05.887685</v>
      </c>
      <c r="C4568">
        <v>-44</v>
      </c>
    </row>
    <row r="4569" spans="1:3" x14ac:dyDescent="0.25">
      <c r="A4569">
        <v>38</v>
      </c>
      <c r="B4569" t="str">
        <f>"8:58:05.888712"</f>
        <v>8:58:05.888712</v>
      </c>
      <c r="C4569">
        <v>-41</v>
      </c>
    </row>
    <row r="4570" spans="1:3" x14ac:dyDescent="0.25">
      <c r="A4570">
        <v>38</v>
      </c>
      <c r="B4570" t="str">
        <f>"8:58:05.889230"</f>
        <v>8:58:05.889230</v>
      </c>
      <c r="C4570">
        <v>-31</v>
      </c>
    </row>
    <row r="4571" spans="1:3" x14ac:dyDescent="0.25">
      <c r="A4571">
        <v>38</v>
      </c>
      <c r="B4571" t="str">
        <f>"8:58:05.889556"</f>
        <v>8:58:05.889556</v>
      </c>
      <c r="C4571">
        <v>-41</v>
      </c>
    </row>
    <row r="4572" spans="1:3" x14ac:dyDescent="0.25">
      <c r="A4572">
        <v>39</v>
      </c>
      <c r="B4572" t="str">
        <f>"8:58:05.890332"</f>
        <v>8:58:05.890332</v>
      </c>
      <c r="C4572">
        <v>-45</v>
      </c>
    </row>
    <row r="4573" spans="1:3" x14ac:dyDescent="0.25">
      <c r="A4573">
        <v>37</v>
      </c>
      <c r="B4573" t="str">
        <f>"8:58:06.242303"</f>
        <v>8:58:06.242303</v>
      </c>
      <c r="C4573">
        <v>-44</v>
      </c>
    </row>
    <row r="4574" spans="1:3" x14ac:dyDescent="0.25">
      <c r="A4574">
        <v>38</v>
      </c>
      <c r="B4574" t="str">
        <f>"8:58:06.243330"</f>
        <v>8:58:06.243330</v>
      </c>
      <c r="C4574">
        <v>-41</v>
      </c>
    </row>
    <row r="4575" spans="1:3" x14ac:dyDescent="0.25">
      <c r="A4575">
        <v>38</v>
      </c>
      <c r="B4575" t="str">
        <f>"8:58:06.243848"</f>
        <v>8:58:06.243848</v>
      </c>
      <c r="C4575">
        <v>-31</v>
      </c>
    </row>
    <row r="4576" spans="1:3" x14ac:dyDescent="0.25">
      <c r="A4576">
        <v>38</v>
      </c>
      <c r="B4576" t="str">
        <f>"8:58:06.244174"</f>
        <v>8:58:06.244174</v>
      </c>
      <c r="C4576">
        <v>-41</v>
      </c>
    </row>
    <row r="4577" spans="1:3" x14ac:dyDescent="0.25">
      <c r="A4577">
        <v>39</v>
      </c>
      <c r="B4577" t="str">
        <f>"8:58:06.244950"</f>
        <v>8:58:06.244950</v>
      </c>
      <c r="C4577">
        <v>-45</v>
      </c>
    </row>
    <row r="4578" spans="1:3" x14ac:dyDescent="0.25">
      <c r="A4578">
        <v>37</v>
      </c>
      <c r="B4578" t="str">
        <f>"8:58:06.600941"</f>
        <v>8:58:06.600941</v>
      </c>
      <c r="C4578">
        <v>-44</v>
      </c>
    </row>
    <row r="4579" spans="1:3" x14ac:dyDescent="0.25">
      <c r="A4579">
        <v>38</v>
      </c>
      <c r="B4579" t="str">
        <f>"8:58:06.601968"</f>
        <v>8:58:06.601968</v>
      </c>
      <c r="C4579">
        <v>-41</v>
      </c>
    </row>
    <row r="4580" spans="1:3" x14ac:dyDescent="0.25">
      <c r="A4580">
        <v>38</v>
      </c>
      <c r="B4580" t="str">
        <f>"8:58:06.602487"</f>
        <v>8:58:06.602487</v>
      </c>
      <c r="C4580">
        <v>-31</v>
      </c>
    </row>
    <row r="4581" spans="1:3" x14ac:dyDescent="0.25">
      <c r="A4581">
        <v>38</v>
      </c>
      <c r="B4581" t="str">
        <f>"8:58:06.602812"</f>
        <v>8:58:06.602812</v>
      </c>
      <c r="C4581">
        <v>-41</v>
      </c>
    </row>
    <row r="4582" spans="1:3" x14ac:dyDescent="0.25">
      <c r="A4582">
        <v>39</v>
      </c>
      <c r="B4582" t="str">
        <f>"8:58:06.603588"</f>
        <v>8:58:06.603588</v>
      </c>
      <c r="C4582">
        <v>-45</v>
      </c>
    </row>
    <row r="4583" spans="1:3" x14ac:dyDescent="0.25">
      <c r="A4583">
        <v>39</v>
      </c>
      <c r="B4583" t="str">
        <f>"8:58:06.604108"</f>
        <v>8:58:06.604108</v>
      </c>
      <c r="C4583">
        <v>-90</v>
      </c>
    </row>
    <row r="4584" spans="1:3" x14ac:dyDescent="0.25">
      <c r="A4584">
        <v>37</v>
      </c>
      <c r="B4584" t="str">
        <f>"8:58:06.954740"</f>
        <v>8:58:06.954740</v>
      </c>
      <c r="C4584">
        <v>-44</v>
      </c>
    </row>
    <row r="4585" spans="1:3" x14ac:dyDescent="0.25">
      <c r="A4585">
        <v>38</v>
      </c>
      <c r="B4585" t="str">
        <f>"8:58:06.955767"</f>
        <v>8:58:06.955767</v>
      </c>
      <c r="C4585">
        <v>-41</v>
      </c>
    </row>
    <row r="4586" spans="1:3" x14ac:dyDescent="0.25">
      <c r="A4586">
        <v>38</v>
      </c>
      <c r="B4586" t="str">
        <f>"8:58:06.956286"</f>
        <v>8:58:06.956286</v>
      </c>
      <c r="C4586">
        <v>-31</v>
      </c>
    </row>
    <row r="4587" spans="1:3" x14ac:dyDescent="0.25">
      <c r="A4587">
        <v>38</v>
      </c>
      <c r="B4587" t="str">
        <f>"8:58:06.956611"</f>
        <v>8:58:06.956611</v>
      </c>
      <c r="C4587">
        <v>-41</v>
      </c>
    </row>
    <row r="4588" spans="1:3" x14ac:dyDescent="0.25">
      <c r="A4588">
        <v>39</v>
      </c>
      <c r="B4588" t="str">
        <f>"8:58:06.957387"</f>
        <v>8:58:06.957387</v>
      </c>
      <c r="C4588">
        <v>-45</v>
      </c>
    </row>
    <row r="4589" spans="1:3" x14ac:dyDescent="0.25">
      <c r="A4589">
        <v>37</v>
      </c>
      <c r="B4589" t="str">
        <f>"8:58:07.307048"</f>
        <v>8:58:07.307048</v>
      </c>
      <c r="C4589">
        <v>-44</v>
      </c>
    </row>
    <row r="4590" spans="1:3" x14ac:dyDescent="0.25">
      <c r="A4590">
        <v>38</v>
      </c>
      <c r="B4590" t="str">
        <f>"8:58:07.308075"</f>
        <v>8:58:07.308075</v>
      </c>
      <c r="C4590">
        <v>-41</v>
      </c>
    </row>
    <row r="4591" spans="1:3" x14ac:dyDescent="0.25">
      <c r="A4591">
        <v>38</v>
      </c>
      <c r="B4591" t="str">
        <f>"8:58:07.308594"</f>
        <v>8:58:07.308594</v>
      </c>
      <c r="C4591">
        <v>-31</v>
      </c>
    </row>
    <row r="4592" spans="1:3" x14ac:dyDescent="0.25">
      <c r="A4592">
        <v>38</v>
      </c>
      <c r="B4592" t="str">
        <f>"8:58:07.308919"</f>
        <v>8:58:07.308919</v>
      </c>
      <c r="C4592">
        <v>-41</v>
      </c>
    </row>
    <row r="4593" spans="1:3" x14ac:dyDescent="0.25">
      <c r="A4593">
        <v>39</v>
      </c>
      <c r="B4593" t="str">
        <f>"8:58:07.309695"</f>
        <v>8:58:07.309695</v>
      </c>
      <c r="C4593">
        <v>-45</v>
      </c>
    </row>
    <row r="4594" spans="1:3" x14ac:dyDescent="0.25">
      <c r="A4594">
        <v>37</v>
      </c>
      <c r="B4594" t="str">
        <f>"8:58:07.666013"</f>
        <v>8:58:07.666013</v>
      </c>
      <c r="C4594">
        <v>-44</v>
      </c>
    </row>
    <row r="4595" spans="1:3" x14ac:dyDescent="0.25">
      <c r="A4595">
        <v>38</v>
      </c>
      <c r="B4595" t="str">
        <f>"8:58:07.667040"</f>
        <v>8:58:07.667040</v>
      </c>
      <c r="C4595">
        <v>-41</v>
      </c>
    </row>
    <row r="4596" spans="1:3" x14ac:dyDescent="0.25">
      <c r="A4596">
        <v>38</v>
      </c>
      <c r="B4596" t="str">
        <f>"8:58:07.667559"</f>
        <v>8:58:07.667559</v>
      </c>
      <c r="C4596">
        <v>-31</v>
      </c>
    </row>
    <row r="4597" spans="1:3" x14ac:dyDescent="0.25">
      <c r="A4597">
        <v>38</v>
      </c>
      <c r="B4597" t="str">
        <f>"8:58:07.667884"</f>
        <v>8:58:07.667884</v>
      </c>
      <c r="C4597">
        <v>-41</v>
      </c>
    </row>
    <row r="4598" spans="1:3" x14ac:dyDescent="0.25">
      <c r="A4598">
        <v>39</v>
      </c>
      <c r="B4598" t="str">
        <f>"8:58:07.668660"</f>
        <v>8:58:07.668660</v>
      </c>
      <c r="C4598">
        <v>-45</v>
      </c>
    </row>
    <row r="4599" spans="1:3" x14ac:dyDescent="0.25">
      <c r="A4599">
        <v>37</v>
      </c>
      <c r="B4599" t="str">
        <f>"8:58:08.021096"</f>
        <v>8:58:08.021096</v>
      </c>
      <c r="C4599">
        <v>-44</v>
      </c>
    </row>
    <row r="4600" spans="1:3" x14ac:dyDescent="0.25">
      <c r="A4600">
        <v>38</v>
      </c>
      <c r="B4600" t="str">
        <f>"8:58:08.022123"</f>
        <v>8:58:08.022123</v>
      </c>
      <c r="C4600">
        <v>-41</v>
      </c>
    </row>
    <row r="4601" spans="1:3" x14ac:dyDescent="0.25">
      <c r="A4601">
        <v>38</v>
      </c>
      <c r="B4601" t="str">
        <f>"8:58:08.022641"</f>
        <v>8:58:08.022641</v>
      </c>
      <c r="C4601">
        <v>-31</v>
      </c>
    </row>
    <row r="4602" spans="1:3" x14ac:dyDescent="0.25">
      <c r="A4602">
        <v>38</v>
      </c>
      <c r="B4602" t="str">
        <f>"8:58:08.022967"</f>
        <v>8:58:08.022967</v>
      </c>
      <c r="C4602">
        <v>-41</v>
      </c>
    </row>
    <row r="4603" spans="1:3" x14ac:dyDescent="0.25">
      <c r="A4603">
        <v>39</v>
      </c>
      <c r="B4603" t="str">
        <f>"8:58:08.023743"</f>
        <v>8:58:08.023743</v>
      </c>
      <c r="C4603">
        <v>-45</v>
      </c>
    </row>
    <row r="4604" spans="1:3" x14ac:dyDescent="0.25">
      <c r="A4604">
        <v>37</v>
      </c>
      <c r="B4604" t="str">
        <f>"8:58:08.375147"</f>
        <v>8:58:08.375147</v>
      </c>
      <c r="C4604">
        <v>-45</v>
      </c>
    </row>
    <row r="4605" spans="1:3" x14ac:dyDescent="0.25">
      <c r="A4605">
        <v>38</v>
      </c>
      <c r="B4605" t="str">
        <f>"8:58:08.376175"</f>
        <v>8:58:08.376175</v>
      </c>
      <c r="C4605">
        <v>-41</v>
      </c>
    </row>
    <row r="4606" spans="1:3" x14ac:dyDescent="0.25">
      <c r="A4606">
        <v>38</v>
      </c>
      <c r="B4606" t="str">
        <f>"8:58:08.376693"</f>
        <v>8:58:08.376693</v>
      </c>
      <c r="C4606">
        <v>-32</v>
      </c>
    </row>
    <row r="4607" spans="1:3" x14ac:dyDescent="0.25">
      <c r="A4607">
        <v>38</v>
      </c>
      <c r="B4607" t="str">
        <f>"8:58:08.377019"</f>
        <v>8:58:08.377019</v>
      </c>
      <c r="C4607">
        <v>-41</v>
      </c>
    </row>
    <row r="4608" spans="1:3" x14ac:dyDescent="0.25">
      <c r="A4608">
        <v>39</v>
      </c>
      <c r="B4608" t="str">
        <f>"8:58:08.377795"</f>
        <v>8:58:08.377795</v>
      </c>
      <c r="C4608">
        <v>-45</v>
      </c>
    </row>
    <row r="4609" spans="1:3" x14ac:dyDescent="0.25">
      <c r="A4609">
        <v>37</v>
      </c>
      <c r="B4609" t="str">
        <f>"8:58:08.729218"</f>
        <v>8:58:08.729218</v>
      </c>
      <c r="C4609">
        <v>-45</v>
      </c>
    </row>
    <row r="4610" spans="1:3" x14ac:dyDescent="0.25">
      <c r="A4610">
        <v>38</v>
      </c>
      <c r="B4610" t="str">
        <f>"8:58:08.730245"</f>
        <v>8:58:08.730245</v>
      </c>
      <c r="C4610">
        <v>-41</v>
      </c>
    </row>
    <row r="4611" spans="1:3" x14ac:dyDescent="0.25">
      <c r="A4611">
        <v>38</v>
      </c>
      <c r="B4611" t="str">
        <f>"8:58:08.730764"</f>
        <v>8:58:08.730764</v>
      </c>
      <c r="C4611">
        <v>-31</v>
      </c>
    </row>
    <row r="4612" spans="1:3" x14ac:dyDescent="0.25">
      <c r="A4612">
        <v>38</v>
      </c>
      <c r="B4612" t="str">
        <f>"8:58:08.731090"</f>
        <v>8:58:08.731090</v>
      </c>
      <c r="C4612">
        <v>-41</v>
      </c>
    </row>
    <row r="4613" spans="1:3" x14ac:dyDescent="0.25">
      <c r="A4613">
        <v>39</v>
      </c>
      <c r="B4613" t="str">
        <f>"8:58:08.731866"</f>
        <v>8:58:08.731866</v>
      </c>
      <c r="C4613">
        <v>-46</v>
      </c>
    </row>
    <row r="4614" spans="1:3" x14ac:dyDescent="0.25">
      <c r="A4614">
        <v>37</v>
      </c>
      <c r="B4614" t="str">
        <f>"8:58:09.086071"</f>
        <v>8:58:09.086071</v>
      </c>
      <c r="C4614">
        <v>-44</v>
      </c>
    </row>
    <row r="4615" spans="1:3" x14ac:dyDescent="0.25">
      <c r="A4615">
        <v>38</v>
      </c>
      <c r="B4615" t="str">
        <f>"8:58:09.087099"</f>
        <v>8:58:09.087099</v>
      </c>
      <c r="C4615">
        <v>-41</v>
      </c>
    </row>
    <row r="4616" spans="1:3" x14ac:dyDescent="0.25">
      <c r="A4616">
        <v>38</v>
      </c>
      <c r="B4616" t="str">
        <f>"8:58:09.087617"</f>
        <v>8:58:09.087617</v>
      </c>
      <c r="C4616">
        <v>-31</v>
      </c>
    </row>
    <row r="4617" spans="1:3" x14ac:dyDescent="0.25">
      <c r="A4617">
        <v>38</v>
      </c>
      <c r="B4617" t="str">
        <f>"8:58:09.087944"</f>
        <v>8:58:09.087944</v>
      </c>
      <c r="C4617">
        <v>-41</v>
      </c>
    </row>
    <row r="4618" spans="1:3" x14ac:dyDescent="0.25">
      <c r="A4618">
        <v>39</v>
      </c>
      <c r="B4618" t="str">
        <f>"8:58:09.088720"</f>
        <v>8:58:09.088720</v>
      </c>
      <c r="C4618">
        <v>-46</v>
      </c>
    </row>
    <row r="4619" spans="1:3" x14ac:dyDescent="0.25">
      <c r="A4619">
        <v>37</v>
      </c>
      <c r="B4619" t="str">
        <f>"8:58:09.444511"</f>
        <v>8:58:09.444511</v>
      </c>
      <c r="C4619">
        <v>-45</v>
      </c>
    </row>
    <row r="4620" spans="1:3" x14ac:dyDescent="0.25">
      <c r="A4620">
        <v>38</v>
      </c>
      <c r="B4620" t="str">
        <f>"8:58:09.445538"</f>
        <v>8:58:09.445538</v>
      </c>
      <c r="C4620">
        <v>-41</v>
      </c>
    </row>
    <row r="4621" spans="1:3" x14ac:dyDescent="0.25">
      <c r="A4621">
        <v>39</v>
      </c>
      <c r="B4621" t="str">
        <f>"8:58:09.446564"</f>
        <v>8:58:09.446564</v>
      </c>
      <c r="C4621">
        <v>-46</v>
      </c>
    </row>
    <row r="4622" spans="1:3" x14ac:dyDescent="0.25">
      <c r="A4622">
        <v>37</v>
      </c>
      <c r="B4622" t="str">
        <f>"8:58:09.803992"</f>
        <v>8:58:09.803992</v>
      </c>
      <c r="C4622">
        <v>-45</v>
      </c>
    </row>
    <row r="4623" spans="1:3" x14ac:dyDescent="0.25">
      <c r="A4623">
        <v>38</v>
      </c>
      <c r="B4623" t="str">
        <f>"8:58:09.805020"</f>
        <v>8:58:09.805020</v>
      </c>
      <c r="C4623">
        <v>-41</v>
      </c>
    </row>
    <row r="4624" spans="1:3" x14ac:dyDescent="0.25">
      <c r="A4624">
        <v>39</v>
      </c>
      <c r="B4624" t="str">
        <f>"8:58:09.806046"</f>
        <v>8:58:09.806046</v>
      </c>
      <c r="C4624">
        <v>-46</v>
      </c>
    </row>
    <row r="4625" spans="1:3" x14ac:dyDescent="0.25">
      <c r="A4625">
        <v>39</v>
      </c>
      <c r="B4625" t="str">
        <f>"8:58:09.806564"</f>
        <v>8:58:09.806564</v>
      </c>
      <c r="C4625">
        <v>-30</v>
      </c>
    </row>
    <row r="4626" spans="1:3" x14ac:dyDescent="0.25">
      <c r="A4626">
        <v>39</v>
      </c>
      <c r="B4626" t="str">
        <f>"8:58:09.806890"</f>
        <v>8:58:09.806890</v>
      </c>
      <c r="C4626">
        <v>-45</v>
      </c>
    </row>
    <row r="4627" spans="1:3" x14ac:dyDescent="0.25">
      <c r="A4627">
        <v>37</v>
      </c>
      <c r="B4627" t="str">
        <f>"8:58:10.155968"</f>
        <v>8:58:10.155968</v>
      </c>
      <c r="C4627">
        <v>-45</v>
      </c>
    </row>
    <row r="4628" spans="1:3" x14ac:dyDescent="0.25">
      <c r="A4628">
        <v>38</v>
      </c>
      <c r="B4628" t="str">
        <f>"8:58:10.156995"</f>
        <v>8:58:10.156995</v>
      </c>
      <c r="C4628">
        <v>-41</v>
      </c>
    </row>
    <row r="4629" spans="1:3" x14ac:dyDescent="0.25">
      <c r="A4629">
        <v>39</v>
      </c>
      <c r="B4629" t="str">
        <f>"8:58:10.158021"</f>
        <v>8:58:10.158021</v>
      </c>
      <c r="C4629">
        <v>-45</v>
      </c>
    </row>
    <row r="4630" spans="1:3" x14ac:dyDescent="0.25">
      <c r="A4630">
        <v>39</v>
      </c>
      <c r="B4630" t="str">
        <f>"8:58:10.158540"</f>
        <v>8:58:10.158540</v>
      </c>
      <c r="C4630">
        <v>-30</v>
      </c>
    </row>
    <row r="4631" spans="1:3" x14ac:dyDescent="0.25">
      <c r="A4631">
        <v>39</v>
      </c>
      <c r="B4631" t="str">
        <f>"8:58:10.158865"</f>
        <v>8:58:10.158865</v>
      </c>
      <c r="C4631">
        <v>-45</v>
      </c>
    </row>
    <row r="4632" spans="1:3" x14ac:dyDescent="0.25">
      <c r="A4632">
        <v>37</v>
      </c>
      <c r="B4632" t="str">
        <f>"8:58:10.508732"</f>
        <v>8:58:10.508732</v>
      </c>
      <c r="C4632">
        <v>-45</v>
      </c>
    </row>
    <row r="4633" spans="1:3" x14ac:dyDescent="0.25">
      <c r="A4633">
        <v>38</v>
      </c>
      <c r="B4633" t="str">
        <f>"8:58:10.509759"</f>
        <v>8:58:10.509759</v>
      </c>
      <c r="C4633">
        <v>-41</v>
      </c>
    </row>
    <row r="4634" spans="1:3" x14ac:dyDescent="0.25">
      <c r="A4634">
        <v>39</v>
      </c>
      <c r="B4634" t="str">
        <f>"8:58:10.510785"</f>
        <v>8:58:10.510785</v>
      </c>
      <c r="C4634">
        <v>-45</v>
      </c>
    </row>
    <row r="4635" spans="1:3" x14ac:dyDescent="0.25">
      <c r="A4635">
        <v>39</v>
      </c>
      <c r="B4635" t="str">
        <f>"8:58:10.511304"</f>
        <v>8:58:10.511304</v>
      </c>
      <c r="C4635">
        <v>-30</v>
      </c>
    </row>
    <row r="4636" spans="1:3" x14ac:dyDescent="0.25">
      <c r="A4636">
        <v>39</v>
      </c>
      <c r="B4636" t="str">
        <f>"8:58:10.511630"</f>
        <v>8:58:10.511630</v>
      </c>
      <c r="C4636">
        <v>-45</v>
      </c>
    </row>
    <row r="4637" spans="1:3" x14ac:dyDescent="0.25">
      <c r="A4637">
        <v>37</v>
      </c>
      <c r="B4637" t="str">
        <f>"8:58:10.863313"</f>
        <v>8:58:10.863313</v>
      </c>
      <c r="C4637">
        <v>-45</v>
      </c>
    </row>
    <row r="4638" spans="1:3" x14ac:dyDescent="0.25">
      <c r="A4638">
        <v>38</v>
      </c>
      <c r="B4638" t="str">
        <f>"8:58:10.864340"</f>
        <v>8:58:10.864340</v>
      </c>
      <c r="C4638">
        <v>-41</v>
      </c>
    </row>
    <row r="4639" spans="1:3" x14ac:dyDescent="0.25">
      <c r="A4639">
        <v>39</v>
      </c>
      <c r="B4639" t="str">
        <f>"8:58:10.865366"</f>
        <v>8:58:10.865366</v>
      </c>
      <c r="C4639">
        <v>-46</v>
      </c>
    </row>
    <row r="4640" spans="1:3" x14ac:dyDescent="0.25">
      <c r="A4640">
        <v>39</v>
      </c>
      <c r="B4640" t="str">
        <f>"8:58:10.865884"</f>
        <v>8:58:10.865884</v>
      </c>
      <c r="C4640">
        <v>-30</v>
      </c>
    </row>
    <row r="4641" spans="1:3" x14ac:dyDescent="0.25">
      <c r="A4641">
        <v>39</v>
      </c>
      <c r="B4641" t="str">
        <f>"8:58:10.866210"</f>
        <v>8:58:10.866210</v>
      </c>
      <c r="C4641">
        <v>-45</v>
      </c>
    </row>
    <row r="4642" spans="1:3" x14ac:dyDescent="0.25">
      <c r="A4642">
        <v>37</v>
      </c>
      <c r="B4642" t="str">
        <f>"8:58:11.215798"</f>
        <v>8:58:11.215798</v>
      </c>
      <c r="C4642">
        <v>-45</v>
      </c>
    </row>
    <row r="4643" spans="1:3" x14ac:dyDescent="0.25">
      <c r="A4643">
        <v>38</v>
      </c>
      <c r="B4643" t="str">
        <f>"8:58:11.216825"</f>
        <v>8:58:11.216825</v>
      </c>
      <c r="C4643">
        <v>-41</v>
      </c>
    </row>
    <row r="4644" spans="1:3" x14ac:dyDescent="0.25">
      <c r="A4644">
        <v>38</v>
      </c>
      <c r="B4644" t="str">
        <f>"8:58:11.217346"</f>
        <v>8:58:11.217346</v>
      </c>
      <c r="C4644">
        <v>-80</v>
      </c>
    </row>
    <row r="4645" spans="1:3" x14ac:dyDescent="0.25">
      <c r="A4645">
        <v>38</v>
      </c>
      <c r="B4645" t="str">
        <f>"8:58:11.217671"</f>
        <v>8:58:11.217671</v>
      </c>
      <c r="C4645">
        <v>-41</v>
      </c>
    </row>
    <row r="4646" spans="1:3" x14ac:dyDescent="0.25">
      <c r="A4646">
        <v>39</v>
      </c>
      <c r="B4646" t="str">
        <f>"8:58:11.218447"</f>
        <v>8:58:11.218447</v>
      </c>
      <c r="C4646">
        <v>-46</v>
      </c>
    </row>
    <row r="4647" spans="1:3" x14ac:dyDescent="0.25">
      <c r="A4647">
        <v>37</v>
      </c>
      <c r="B4647" t="str">
        <f>"8:58:11.569583"</f>
        <v>8:58:11.569583</v>
      </c>
      <c r="C4647">
        <v>-44</v>
      </c>
    </row>
    <row r="4648" spans="1:3" x14ac:dyDescent="0.25">
      <c r="A4648">
        <v>38</v>
      </c>
      <c r="B4648" t="str">
        <f>"8:58:11.570610"</f>
        <v>8:58:11.570610</v>
      </c>
      <c r="C4648">
        <v>-41</v>
      </c>
    </row>
    <row r="4649" spans="1:3" x14ac:dyDescent="0.25">
      <c r="A4649">
        <v>39</v>
      </c>
      <c r="B4649" t="str">
        <f>"8:58:11.571636"</f>
        <v>8:58:11.571636</v>
      </c>
      <c r="C4649">
        <v>-45</v>
      </c>
    </row>
    <row r="4650" spans="1:3" x14ac:dyDescent="0.25">
      <c r="A4650">
        <v>39</v>
      </c>
      <c r="B4650" t="str">
        <f>"8:58:11.572154"</f>
        <v>8:58:11.572154</v>
      </c>
      <c r="C4650">
        <v>-30</v>
      </c>
    </row>
    <row r="4651" spans="1:3" x14ac:dyDescent="0.25">
      <c r="A4651">
        <v>39</v>
      </c>
      <c r="B4651" t="str">
        <f>"8:58:11.572480"</f>
        <v>8:58:11.572480</v>
      </c>
      <c r="C4651">
        <v>-45</v>
      </c>
    </row>
    <row r="4652" spans="1:3" x14ac:dyDescent="0.25">
      <c r="A4652">
        <v>37</v>
      </c>
      <c r="B4652" t="str">
        <f>"8:58:11.921831"</f>
        <v>8:58:11.921831</v>
      </c>
      <c r="C4652">
        <v>-44</v>
      </c>
    </row>
    <row r="4653" spans="1:3" x14ac:dyDescent="0.25">
      <c r="A4653">
        <v>38</v>
      </c>
      <c r="B4653" t="str">
        <f>"8:58:11.922858"</f>
        <v>8:58:11.922858</v>
      </c>
      <c r="C4653">
        <v>-41</v>
      </c>
    </row>
    <row r="4654" spans="1:3" x14ac:dyDescent="0.25">
      <c r="A4654">
        <v>39</v>
      </c>
      <c r="B4654" t="str">
        <f>"8:58:11.923884"</f>
        <v>8:58:11.923884</v>
      </c>
      <c r="C4654">
        <v>-46</v>
      </c>
    </row>
    <row r="4655" spans="1:3" x14ac:dyDescent="0.25">
      <c r="A4655">
        <v>37</v>
      </c>
      <c r="B4655" t="str">
        <f>"8:58:12.280016"</f>
        <v>8:58:12.280016</v>
      </c>
      <c r="C4655">
        <v>-44</v>
      </c>
    </row>
    <row r="4656" spans="1:3" x14ac:dyDescent="0.25">
      <c r="A4656">
        <v>38</v>
      </c>
      <c r="B4656" t="str">
        <f>"8:58:12.281044"</f>
        <v>8:58:12.281044</v>
      </c>
      <c r="C4656">
        <v>-41</v>
      </c>
    </row>
    <row r="4657" spans="1:3" x14ac:dyDescent="0.25">
      <c r="A4657">
        <v>39</v>
      </c>
      <c r="B4657" t="str">
        <f>"8:58:12.282070"</f>
        <v>8:58:12.282070</v>
      </c>
      <c r="C4657">
        <v>-46</v>
      </c>
    </row>
    <row r="4658" spans="1:3" x14ac:dyDescent="0.25">
      <c r="A4658">
        <v>39</v>
      </c>
      <c r="B4658" t="str">
        <f>"8:58:12.282588"</f>
        <v>8:58:12.282588</v>
      </c>
      <c r="C4658">
        <v>-30</v>
      </c>
    </row>
    <row r="4659" spans="1:3" x14ac:dyDescent="0.25">
      <c r="A4659">
        <v>39</v>
      </c>
      <c r="B4659" t="str">
        <f>"8:58:12.282914"</f>
        <v>8:58:12.282914</v>
      </c>
      <c r="C4659">
        <v>-45</v>
      </c>
    </row>
    <row r="4660" spans="1:3" x14ac:dyDescent="0.25">
      <c r="A4660">
        <v>37</v>
      </c>
      <c r="B4660" t="str">
        <f>"8:58:12.632076"</f>
        <v>8:58:12.632076</v>
      </c>
      <c r="C4660">
        <v>-44</v>
      </c>
    </row>
    <row r="4661" spans="1:3" x14ac:dyDescent="0.25">
      <c r="A4661">
        <v>38</v>
      </c>
      <c r="B4661" t="str">
        <f>"8:58:12.633103"</f>
        <v>8:58:12.633103</v>
      </c>
      <c r="C4661">
        <v>-41</v>
      </c>
    </row>
    <row r="4662" spans="1:3" x14ac:dyDescent="0.25">
      <c r="A4662">
        <v>39</v>
      </c>
      <c r="B4662" t="str">
        <f>"8:58:12.634129"</f>
        <v>8:58:12.634129</v>
      </c>
      <c r="C4662">
        <v>-46</v>
      </c>
    </row>
    <row r="4663" spans="1:3" x14ac:dyDescent="0.25">
      <c r="A4663">
        <v>39</v>
      </c>
      <c r="B4663" t="str">
        <f>"8:58:12.634647"</f>
        <v>8:58:12.634647</v>
      </c>
      <c r="C4663">
        <v>-30</v>
      </c>
    </row>
    <row r="4664" spans="1:3" x14ac:dyDescent="0.25">
      <c r="A4664">
        <v>39</v>
      </c>
      <c r="B4664" t="str">
        <f>"8:58:12.634973"</f>
        <v>8:58:12.634973</v>
      </c>
      <c r="C4664">
        <v>-45</v>
      </c>
    </row>
    <row r="4665" spans="1:3" x14ac:dyDescent="0.25">
      <c r="A4665">
        <v>37</v>
      </c>
      <c r="B4665" t="str">
        <f>"8:58:12.991318"</f>
        <v>8:58:12.991318</v>
      </c>
      <c r="C4665">
        <v>-45</v>
      </c>
    </row>
    <row r="4666" spans="1:3" x14ac:dyDescent="0.25">
      <c r="A4666">
        <v>38</v>
      </c>
      <c r="B4666" t="str">
        <f>"8:58:12.992345"</f>
        <v>8:58:12.992345</v>
      </c>
      <c r="C4666">
        <v>-41</v>
      </c>
    </row>
    <row r="4667" spans="1:3" x14ac:dyDescent="0.25">
      <c r="A4667">
        <v>39</v>
      </c>
      <c r="B4667" t="str">
        <f>"8:58:12.993372"</f>
        <v>8:58:12.993372</v>
      </c>
      <c r="C4667">
        <v>-46</v>
      </c>
    </row>
    <row r="4668" spans="1:3" x14ac:dyDescent="0.25">
      <c r="A4668">
        <v>39</v>
      </c>
      <c r="B4668" t="str">
        <f>"8:58:12.993890"</f>
        <v>8:58:12.993890</v>
      </c>
      <c r="C4668">
        <v>-30</v>
      </c>
    </row>
    <row r="4669" spans="1:3" x14ac:dyDescent="0.25">
      <c r="A4669">
        <v>39</v>
      </c>
      <c r="B4669" t="str">
        <f>"8:58:12.994216"</f>
        <v>8:58:12.994216</v>
      </c>
      <c r="C4669">
        <v>-45</v>
      </c>
    </row>
    <row r="4670" spans="1:3" x14ac:dyDescent="0.25">
      <c r="A4670">
        <v>37</v>
      </c>
      <c r="B4670" t="str">
        <f>"8:58:13.349501"</f>
        <v>8:58:13.349501</v>
      </c>
      <c r="C4670">
        <v>-44</v>
      </c>
    </row>
    <row r="4671" spans="1:3" x14ac:dyDescent="0.25">
      <c r="A4671">
        <v>38</v>
      </c>
      <c r="B4671" t="str">
        <f>"8:58:13.350529"</f>
        <v>8:58:13.350529</v>
      </c>
      <c r="C4671">
        <v>-41</v>
      </c>
    </row>
    <row r="4672" spans="1:3" x14ac:dyDescent="0.25">
      <c r="A4672">
        <v>39</v>
      </c>
      <c r="B4672" t="str">
        <f>"8:58:13.351555"</f>
        <v>8:58:13.351555</v>
      </c>
      <c r="C4672">
        <v>-46</v>
      </c>
    </row>
    <row r="4673" spans="1:3" x14ac:dyDescent="0.25">
      <c r="A4673">
        <v>39</v>
      </c>
      <c r="B4673" t="str">
        <f>"8:58:13.352073"</f>
        <v>8:58:13.352073</v>
      </c>
      <c r="C4673">
        <v>-30</v>
      </c>
    </row>
    <row r="4674" spans="1:3" x14ac:dyDescent="0.25">
      <c r="A4674">
        <v>39</v>
      </c>
      <c r="B4674" t="str">
        <f>"8:58:13.352399"</f>
        <v>8:58:13.352399</v>
      </c>
      <c r="C4674">
        <v>-45</v>
      </c>
    </row>
    <row r="4675" spans="1:3" x14ac:dyDescent="0.25">
      <c r="A4675">
        <v>37</v>
      </c>
      <c r="B4675" t="str">
        <f>"8:58:13.709211"</f>
        <v>8:58:13.709211</v>
      </c>
      <c r="C4675">
        <v>-44</v>
      </c>
    </row>
    <row r="4676" spans="1:3" x14ac:dyDescent="0.25">
      <c r="A4676">
        <v>38</v>
      </c>
      <c r="B4676" t="str">
        <f>"8:58:13.710238"</f>
        <v>8:58:13.710238</v>
      </c>
      <c r="C4676">
        <v>-41</v>
      </c>
    </row>
    <row r="4677" spans="1:3" x14ac:dyDescent="0.25">
      <c r="A4677">
        <v>39</v>
      </c>
      <c r="B4677" t="str">
        <f>"8:58:13.711264"</f>
        <v>8:58:13.711264</v>
      </c>
      <c r="C4677">
        <v>-45</v>
      </c>
    </row>
    <row r="4678" spans="1:3" x14ac:dyDescent="0.25">
      <c r="A4678">
        <v>37</v>
      </c>
      <c r="B4678" t="str">
        <f>"8:58:14.068404"</f>
        <v>8:58:14.068404</v>
      </c>
      <c r="C4678">
        <v>-44</v>
      </c>
    </row>
    <row r="4679" spans="1:3" x14ac:dyDescent="0.25">
      <c r="A4679">
        <v>38</v>
      </c>
      <c r="B4679" t="str">
        <f>"8:58:14.069431"</f>
        <v>8:58:14.069431</v>
      </c>
      <c r="C4679">
        <v>-41</v>
      </c>
    </row>
    <row r="4680" spans="1:3" x14ac:dyDescent="0.25">
      <c r="A4680">
        <v>39</v>
      </c>
      <c r="B4680" t="str">
        <f>"8:58:14.070457"</f>
        <v>8:58:14.070457</v>
      </c>
      <c r="C4680">
        <v>-45</v>
      </c>
    </row>
    <row r="4681" spans="1:3" x14ac:dyDescent="0.25">
      <c r="A4681">
        <v>39</v>
      </c>
      <c r="B4681" t="str">
        <f>"8:58:14.070975"</f>
        <v>8:58:14.070975</v>
      </c>
      <c r="C4681">
        <v>-31</v>
      </c>
    </row>
    <row r="4682" spans="1:3" x14ac:dyDescent="0.25">
      <c r="A4682">
        <v>39</v>
      </c>
      <c r="B4682" t="str">
        <f>"8:58:14.071301"</f>
        <v>8:58:14.071301</v>
      </c>
      <c r="C4682">
        <v>-45</v>
      </c>
    </row>
    <row r="4683" spans="1:3" x14ac:dyDescent="0.25">
      <c r="A4683">
        <v>37</v>
      </c>
      <c r="B4683" t="str">
        <f>"8:58:14.428374"</f>
        <v>8:58:14.428374</v>
      </c>
      <c r="C4683">
        <v>-44</v>
      </c>
    </row>
    <row r="4684" spans="1:3" x14ac:dyDescent="0.25">
      <c r="A4684">
        <v>38</v>
      </c>
      <c r="B4684" t="str">
        <f>"8:58:14.429402"</f>
        <v>8:58:14.429402</v>
      </c>
      <c r="C4684">
        <v>-41</v>
      </c>
    </row>
    <row r="4685" spans="1:3" x14ac:dyDescent="0.25">
      <c r="A4685">
        <v>39</v>
      </c>
      <c r="B4685" t="str">
        <f>"8:58:14.430428"</f>
        <v>8:58:14.430428</v>
      </c>
      <c r="C4685">
        <v>-45</v>
      </c>
    </row>
    <row r="4686" spans="1:3" x14ac:dyDescent="0.25">
      <c r="A4686">
        <v>39</v>
      </c>
      <c r="B4686" t="str">
        <f>"8:58:14.430946"</f>
        <v>8:58:14.430946</v>
      </c>
      <c r="C4686">
        <v>-31</v>
      </c>
    </row>
    <row r="4687" spans="1:3" x14ac:dyDescent="0.25">
      <c r="A4687">
        <v>39</v>
      </c>
      <c r="B4687" t="str">
        <f>"8:58:14.431272"</f>
        <v>8:58:14.431272</v>
      </c>
      <c r="C4687">
        <v>-45</v>
      </c>
    </row>
    <row r="4688" spans="1:3" x14ac:dyDescent="0.25">
      <c r="A4688">
        <v>37</v>
      </c>
      <c r="B4688" t="str">
        <f>"8:58:14.786810"</f>
        <v>8:58:14.786810</v>
      </c>
      <c r="C4688">
        <v>-44</v>
      </c>
    </row>
    <row r="4689" spans="1:3" x14ac:dyDescent="0.25">
      <c r="A4689">
        <v>37</v>
      </c>
      <c r="B4689" t="str">
        <f>"8:58:14.787329"</f>
        <v>8:58:14.787329</v>
      </c>
      <c r="C4689">
        <v>-38</v>
      </c>
    </row>
    <row r="4690" spans="1:3" x14ac:dyDescent="0.25">
      <c r="A4690">
        <v>37</v>
      </c>
      <c r="B4690" t="str">
        <f>"8:58:14.787655"</f>
        <v>8:58:14.787655</v>
      </c>
      <c r="C4690">
        <v>-44</v>
      </c>
    </row>
    <row r="4691" spans="1:3" x14ac:dyDescent="0.25">
      <c r="A4691">
        <v>38</v>
      </c>
      <c r="B4691" t="str">
        <f>"8:58:14.788432"</f>
        <v>8:58:14.788432</v>
      </c>
      <c r="C4691">
        <v>-41</v>
      </c>
    </row>
    <row r="4692" spans="1:3" x14ac:dyDescent="0.25">
      <c r="A4692">
        <v>39</v>
      </c>
      <c r="B4692" t="str">
        <f>"8:58:14.789458"</f>
        <v>8:58:14.789458</v>
      </c>
      <c r="C4692">
        <v>-45</v>
      </c>
    </row>
    <row r="4693" spans="1:3" x14ac:dyDescent="0.25">
      <c r="A4693">
        <v>37</v>
      </c>
      <c r="B4693" t="str">
        <f>"8:58:15.138580"</f>
        <v>8:58:15.138580</v>
      </c>
      <c r="C4693">
        <v>-44</v>
      </c>
    </row>
    <row r="4694" spans="1:3" x14ac:dyDescent="0.25">
      <c r="A4694">
        <v>37</v>
      </c>
      <c r="B4694" t="str">
        <f>"8:58:15.139099"</f>
        <v>8:58:15.139099</v>
      </c>
      <c r="C4694">
        <v>-38</v>
      </c>
    </row>
    <row r="4695" spans="1:3" x14ac:dyDescent="0.25">
      <c r="A4695">
        <v>37</v>
      </c>
      <c r="B4695" t="str">
        <f>"8:58:15.139425"</f>
        <v>8:58:15.139425</v>
      </c>
      <c r="C4695">
        <v>-45</v>
      </c>
    </row>
    <row r="4696" spans="1:3" x14ac:dyDescent="0.25">
      <c r="A4696">
        <v>38</v>
      </c>
      <c r="B4696" t="str">
        <f>"8:58:15.140201"</f>
        <v>8:58:15.140201</v>
      </c>
      <c r="C4696">
        <v>-41</v>
      </c>
    </row>
    <row r="4697" spans="1:3" x14ac:dyDescent="0.25">
      <c r="A4697">
        <v>39</v>
      </c>
      <c r="B4697" t="str">
        <f>"8:58:15.141228"</f>
        <v>8:58:15.141228</v>
      </c>
      <c r="C4697">
        <v>-45</v>
      </c>
    </row>
    <row r="4698" spans="1:3" x14ac:dyDescent="0.25">
      <c r="A4698">
        <v>37</v>
      </c>
      <c r="B4698" t="str">
        <f>"8:58:15.491401"</f>
        <v>8:58:15.491401</v>
      </c>
      <c r="C4698">
        <v>-44</v>
      </c>
    </row>
    <row r="4699" spans="1:3" x14ac:dyDescent="0.25">
      <c r="A4699">
        <v>37</v>
      </c>
      <c r="B4699" t="str">
        <f>"8:58:15.491919"</f>
        <v>8:58:15.491919</v>
      </c>
      <c r="C4699">
        <v>-38</v>
      </c>
    </row>
    <row r="4700" spans="1:3" x14ac:dyDescent="0.25">
      <c r="A4700">
        <v>37</v>
      </c>
      <c r="B4700" t="str">
        <f>"8:58:15.492245"</f>
        <v>8:58:15.492245</v>
      </c>
      <c r="C4700">
        <v>-44</v>
      </c>
    </row>
    <row r="4701" spans="1:3" x14ac:dyDescent="0.25">
      <c r="A4701">
        <v>38</v>
      </c>
      <c r="B4701" t="str">
        <f>"8:58:15.493022"</f>
        <v>8:58:15.493022</v>
      </c>
      <c r="C4701">
        <v>-41</v>
      </c>
    </row>
    <row r="4702" spans="1:3" x14ac:dyDescent="0.25">
      <c r="A4702">
        <v>39</v>
      </c>
      <c r="B4702" t="str">
        <f>"8:58:15.494048"</f>
        <v>8:58:15.494048</v>
      </c>
      <c r="C4702">
        <v>-45</v>
      </c>
    </row>
    <row r="4703" spans="1:3" x14ac:dyDescent="0.25">
      <c r="A4703">
        <v>37</v>
      </c>
      <c r="B4703" t="str">
        <f>"8:58:15.845771"</f>
        <v>8:58:15.845771</v>
      </c>
      <c r="C4703">
        <v>-44</v>
      </c>
    </row>
    <row r="4704" spans="1:3" x14ac:dyDescent="0.25">
      <c r="A4704">
        <v>37</v>
      </c>
      <c r="B4704" t="str">
        <f>"8:58:15.846291"</f>
        <v>8:58:15.846291</v>
      </c>
      <c r="C4704">
        <v>-38</v>
      </c>
    </row>
    <row r="4705" spans="1:3" x14ac:dyDescent="0.25">
      <c r="A4705">
        <v>37</v>
      </c>
      <c r="B4705" t="str">
        <f>"8:58:15.846616"</f>
        <v>8:58:15.846616</v>
      </c>
      <c r="C4705">
        <v>-44</v>
      </c>
    </row>
    <row r="4706" spans="1:3" x14ac:dyDescent="0.25">
      <c r="A4706">
        <v>38</v>
      </c>
      <c r="B4706" t="str">
        <f>"8:58:15.847393"</f>
        <v>8:58:15.847393</v>
      </c>
      <c r="C4706">
        <v>-41</v>
      </c>
    </row>
    <row r="4707" spans="1:3" x14ac:dyDescent="0.25">
      <c r="A4707">
        <v>39</v>
      </c>
      <c r="B4707" t="str">
        <f>"8:58:15.848419"</f>
        <v>8:58:15.848419</v>
      </c>
      <c r="C4707">
        <v>-45</v>
      </c>
    </row>
    <row r="4708" spans="1:3" x14ac:dyDescent="0.25">
      <c r="A4708">
        <v>37</v>
      </c>
      <c r="B4708" t="str">
        <f>"8:58:16.204448"</f>
        <v>8:58:16.204448</v>
      </c>
      <c r="C4708">
        <v>-44</v>
      </c>
    </row>
    <row r="4709" spans="1:3" x14ac:dyDescent="0.25">
      <c r="A4709">
        <v>37</v>
      </c>
      <c r="B4709" t="str">
        <f>"8:58:16.204967"</f>
        <v>8:58:16.204967</v>
      </c>
      <c r="C4709">
        <v>-38</v>
      </c>
    </row>
    <row r="4710" spans="1:3" x14ac:dyDescent="0.25">
      <c r="A4710">
        <v>37</v>
      </c>
      <c r="B4710" t="str">
        <f>"8:58:16.205293"</f>
        <v>8:58:16.205293</v>
      </c>
      <c r="C4710">
        <v>-44</v>
      </c>
    </row>
    <row r="4711" spans="1:3" x14ac:dyDescent="0.25">
      <c r="A4711">
        <v>38</v>
      </c>
      <c r="B4711" t="str">
        <f>"8:58:16.206069"</f>
        <v>8:58:16.206069</v>
      </c>
      <c r="C4711">
        <v>-41</v>
      </c>
    </row>
    <row r="4712" spans="1:3" x14ac:dyDescent="0.25">
      <c r="A4712">
        <v>39</v>
      </c>
      <c r="B4712" t="str">
        <f>"8:58:16.207095"</f>
        <v>8:58:16.207095</v>
      </c>
      <c r="C4712">
        <v>-45</v>
      </c>
    </row>
    <row r="4713" spans="1:3" x14ac:dyDescent="0.25">
      <c r="A4713">
        <v>37</v>
      </c>
      <c r="B4713" t="str">
        <f>"8:58:16.563383"</f>
        <v>8:58:16.563383</v>
      </c>
      <c r="C4713">
        <v>-44</v>
      </c>
    </row>
    <row r="4714" spans="1:3" x14ac:dyDescent="0.25">
      <c r="A4714">
        <v>37</v>
      </c>
      <c r="B4714" t="str">
        <f>"8:58:16.563901"</f>
        <v>8:58:16.563901</v>
      </c>
      <c r="C4714">
        <v>-40</v>
      </c>
    </row>
    <row r="4715" spans="1:3" x14ac:dyDescent="0.25">
      <c r="A4715">
        <v>37</v>
      </c>
      <c r="B4715" t="str">
        <f>"8:58:16.564227"</f>
        <v>8:58:16.564227</v>
      </c>
      <c r="C4715">
        <v>-44</v>
      </c>
    </row>
    <row r="4716" spans="1:3" x14ac:dyDescent="0.25">
      <c r="A4716">
        <v>38</v>
      </c>
      <c r="B4716" t="str">
        <f>"8:58:16.565003"</f>
        <v>8:58:16.565003</v>
      </c>
      <c r="C4716">
        <v>-41</v>
      </c>
    </row>
    <row r="4717" spans="1:3" x14ac:dyDescent="0.25">
      <c r="A4717">
        <v>39</v>
      </c>
      <c r="B4717" t="str">
        <f>"8:58:16.566029"</f>
        <v>8:58:16.566029</v>
      </c>
      <c r="C4717">
        <v>-46</v>
      </c>
    </row>
    <row r="4718" spans="1:3" x14ac:dyDescent="0.25">
      <c r="A4718">
        <v>37</v>
      </c>
      <c r="B4718" t="str">
        <f>"8:58:16.915960"</f>
        <v>8:58:16.915960</v>
      </c>
      <c r="C4718">
        <v>-44</v>
      </c>
    </row>
    <row r="4719" spans="1:3" x14ac:dyDescent="0.25">
      <c r="A4719">
        <v>37</v>
      </c>
      <c r="B4719" t="str">
        <f>"8:58:16.916479"</f>
        <v>8:58:16.916479</v>
      </c>
      <c r="C4719">
        <v>-40</v>
      </c>
    </row>
    <row r="4720" spans="1:3" x14ac:dyDescent="0.25">
      <c r="A4720">
        <v>37</v>
      </c>
      <c r="B4720" t="str">
        <f>"8:58:16.916805"</f>
        <v>8:58:16.916805</v>
      </c>
      <c r="C4720">
        <v>-44</v>
      </c>
    </row>
    <row r="4721" spans="1:3" x14ac:dyDescent="0.25">
      <c r="A4721">
        <v>38</v>
      </c>
      <c r="B4721" t="str">
        <f>"8:58:16.917582"</f>
        <v>8:58:16.917582</v>
      </c>
      <c r="C4721">
        <v>-41</v>
      </c>
    </row>
    <row r="4722" spans="1:3" x14ac:dyDescent="0.25">
      <c r="A4722">
        <v>38</v>
      </c>
      <c r="B4722" t="str">
        <f>"8:58:16.918426"</f>
        <v>8:58:16.918426</v>
      </c>
      <c r="C4722">
        <v>-41</v>
      </c>
    </row>
    <row r="4723" spans="1:3" x14ac:dyDescent="0.25">
      <c r="A4723">
        <v>39</v>
      </c>
      <c r="B4723" t="str">
        <f>"8:58:16.919202"</f>
        <v>8:58:16.919202</v>
      </c>
      <c r="C4723">
        <v>-46</v>
      </c>
    </row>
    <row r="4724" spans="1:3" x14ac:dyDescent="0.25">
      <c r="A4724">
        <v>37</v>
      </c>
      <c r="B4724" t="str">
        <f>"8:58:17.273631"</f>
        <v>8:58:17.273631</v>
      </c>
      <c r="C4724">
        <v>-44</v>
      </c>
    </row>
    <row r="4725" spans="1:3" x14ac:dyDescent="0.25">
      <c r="A4725">
        <v>37</v>
      </c>
      <c r="B4725" t="str">
        <f>"8:58:17.274149"</f>
        <v>8:58:17.274149</v>
      </c>
      <c r="C4725">
        <v>-40</v>
      </c>
    </row>
    <row r="4726" spans="1:3" x14ac:dyDescent="0.25">
      <c r="A4726">
        <v>37</v>
      </c>
      <c r="B4726" t="str">
        <f>"8:58:17.274475"</f>
        <v>8:58:17.274475</v>
      </c>
      <c r="C4726">
        <v>-44</v>
      </c>
    </row>
    <row r="4727" spans="1:3" x14ac:dyDescent="0.25">
      <c r="A4727">
        <v>38</v>
      </c>
      <c r="B4727" t="str">
        <f>"8:58:17.275251"</f>
        <v>8:58:17.275251</v>
      </c>
      <c r="C4727">
        <v>-41</v>
      </c>
    </row>
    <row r="4728" spans="1:3" x14ac:dyDescent="0.25">
      <c r="A4728">
        <v>39</v>
      </c>
      <c r="B4728" t="str">
        <f>"8:58:17.276277"</f>
        <v>8:58:17.276277</v>
      </c>
      <c r="C4728">
        <v>-46</v>
      </c>
    </row>
    <row r="4729" spans="1:3" x14ac:dyDescent="0.25">
      <c r="A4729">
        <v>37</v>
      </c>
      <c r="B4729" t="str">
        <f>"8:58:17.629029"</f>
        <v>8:58:17.629029</v>
      </c>
      <c r="C4729">
        <v>-44</v>
      </c>
    </row>
    <row r="4730" spans="1:3" x14ac:dyDescent="0.25">
      <c r="A4730">
        <v>37</v>
      </c>
      <c r="B4730" t="str">
        <f>"8:58:17.629548"</f>
        <v>8:58:17.629548</v>
      </c>
      <c r="C4730">
        <v>-40</v>
      </c>
    </row>
    <row r="4731" spans="1:3" x14ac:dyDescent="0.25">
      <c r="A4731">
        <v>37</v>
      </c>
      <c r="B4731" t="str">
        <f>"8:58:17.629874"</f>
        <v>8:58:17.629874</v>
      </c>
      <c r="C4731">
        <v>-44</v>
      </c>
    </row>
    <row r="4732" spans="1:3" x14ac:dyDescent="0.25">
      <c r="A4732">
        <v>38</v>
      </c>
      <c r="B4732" t="str">
        <f>"8:58:17.630651"</f>
        <v>8:58:17.630651</v>
      </c>
      <c r="C4732">
        <v>-41</v>
      </c>
    </row>
    <row r="4733" spans="1:3" x14ac:dyDescent="0.25">
      <c r="A4733">
        <v>39</v>
      </c>
      <c r="B4733" t="str">
        <f>"8:58:17.631677"</f>
        <v>8:58:17.631677</v>
      </c>
      <c r="C4733">
        <v>-45</v>
      </c>
    </row>
    <row r="4734" spans="1:3" x14ac:dyDescent="0.25">
      <c r="A4734">
        <v>37</v>
      </c>
      <c r="B4734" t="str">
        <f>"8:58:17.982800"</f>
        <v>8:58:17.982800</v>
      </c>
      <c r="C4734">
        <v>-44</v>
      </c>
    </row>
    <row r="4735" spans="1:3" x14ac:dyDescent="0.25">
      <c r="A4735">
        <v>37</v>
      </c>
      <c r="B4735" t="str">
        <f>"8:58:17.983319"</f>
        <v>8:58:17.983319</v>
      </c>
      <c r="C4735">
        <v>-40</v>
      </c>
    </row>
    <row r="4736" spans="1:3" x14ac:dyDescent="0.25">
      <c r="A4736">
        <v>37</v>
      </c>
      <c r="B4736" t="str">
        <f>"8:58:17.983644"</f>
        <v>8:58:17.983644</v>
      </c>
      <c r="C4736">
        <v>-44</v>
      </c>
    </row>
    <row r="4737" spans="1:3" x14ac:dyDescent="0.25">
      <c r="A4737">
        <v>38</v>
      </c>
      <c r="B4737" t="str">
        <f>"8:58:17.984420"</f>
        <v>8:58:17.984420</v>
      </c>
      <c r="C4737">
        <v>-41</v>
      </c>
    </row>
    <row r="4738" spans="1:3" x14ac:dyDescent="0.25">
      <c r="A4738">
        <v>39</v>
      </c>
      <c r="B4738" t="str">
        <f>"8:58:17.985446"</f>
        <v>8:58:17.985446</v>
      </c>
      <c r="C4738">
        <v>-45</v>
      </c>
    </row>
    <row r="4739" spans="1:3" x14ac:dyDescent="0.25">
      <c r="A4739">
        <v>37</v>
      </c>
      <c r="B4739" t="str">
        <f>"8:58:18.342565"</f>
        <v>8:58:18.342565</v>
      </c>
      <c r="C4739">
        <v>-44</v>
      </c>
    </row>
    <row r="4740" spans="1:3" x14ac:dyDescent="0.25">
      <c r="A4740">
        <v>37</v>
      </c>
      <c r="B4740" t="str">
        <f>"8:58:18.343084"</f>
        <v>8:58:18.343084</v>
      </c>
      <c r="C4740">
        <v>-40</v>
      </c>
    </row>
    <row r="4741" spans="1:3" x14ac:dyDescent="0.25">
      <c r="A4741">
        <v>37</v>
      </c>
      <c r="B4741" t="str">
        <f>"8:58:18.343410"</f>
        <v>8:58:18.343410</v>
      </c>
      <c r="C4741">
        <v>-44</v>
      </c>
    </row>
    <row r="4742" spans="1:3" x14ac:dyDescent="0.25">
      <c r="A4742">
        <v>38</v>
      </c>
      <c r="B4742" t="str">
        <f>"8:58:18.344186"</f>
        <v>8:58:18.344186</v>
      </c>
      <c r="C4742">
        <v>-41</v>
      </c>
    </row>
    <row r="4743" spans="1:3" x14ac:dyDescent="0.25">
      <c r="A4743">
        <v>39</v>
      </c>
      <c r="B4743" t="str">
        <f>"8:58:18.345212"</f>
        <v>8:58:18.345212</v>
      </c>
      <c r="C4743">
        <v>-45</v>
      </c>
    </row>
    <row r="4744" spans="1:3" x14ac:dyDescent="0.25">
      <c r="A4744">
        <v>37</v>
      </c>
      <c r="B4744" t="str">
        <f>"8:58:18.692822"</f>
        <v>8:58:18.692822</v>
      </c>
      <c r="C4744">
        <v>-44</v>
      </c>
    </row>
    <row r="4745" spans="1:3" x14ac:dyDescent="0.25">
      <c r="A4745">
        <v>37</v>
      </c>
      <c r="B4745" t="str">
        <f>"8:58:18.693340"</f>
        <v>8:58:18.693340</v>
      </c>
      <c r="C4745">
        <v>-38</v>
      </c>
    </row>
    <row r="4746" spans="1:3" x14ac:dyDescent="0.25">
      <c r="A4746">
        <v>37</v>
      </c>
      <c r="B4746" t="str">
        <f>"8:58:18.693666"</f>
        <v>8:58:18.693666</v>
      </c>
      <c r="C4746">
        <v>-44</v>
      </c>
    </row>
    <row r="4747" spans="1:3" x14ac:dyDescent="0.25">
      <c r="A4747">
        <v>38</v>
      </c>
      <c r="B4747" t="str">
        <f>"8:58:18.694442"</f>
        <v>8:58:18.694442</v>
      </c>
      <c r="C4747">
        <v>-41</v>
      </c>
    </row>
    <row r="4748" spans="1:3" x14ac:dyDescent="0.25">
      <c r="A4748">
        <v>39</v>
      </c>
      <c r="B4748" t="str">
        <f>"8:58:18.695468"</f>
        <v>8:58:18.695468</v>
      </c>
      <c r="C4748">
        <v>-45</v>
      </c>
    </row>
    <row r="4749" spans="1:3" x14ac:dyDescent="0.25">
      <c r="A4749">
        <v>37</v>
      </c>
      <c r="B4749" t="str">
        <f>"8:58:19.051753"</f>
        <v>8:58:19.051753</v>
      </c>
      <c r="C4749">
        <v>-44</v>
      </c>
    </row>
    <row r="4750" spans="1:3" x14ac:dyDescent="0.25">
      <c r="A4750">
        <v>37</v>
      </c>
      <c r="B4750" t="str">
        <f>"8:58:19.052272"</f>
        <v>8:58:19.052272</v>
      </c>
      <c r="C4750">
        <v>-38</v>
      </c>
    </row>
    <row r="4751" spans="1:3" x14ac:dyDescent="0.25">
      <c r="A4751">
        <v>37</v>
      </c>
      <c r="B4751" t="str">
        <f>"8:58:19.052598"</f>
        <v>8:58:19.052598</v>
      </c>
      <c r="C4751">
        <v>-44</v>
      </c>
    </row>
    <row r="4752" spans="1:3" x14ac:dyDescent="0.25">
      <c r="A4752">
        <v>38</v>
      </c>
      <c r="B4752" t="str">
        <f>"8:58:19.053374"</f>
        <v>8:58:19.053374</v>
      </c>
      <c r="C4752">
        <v>-41</v>
      </c>
    </row>
    <row r="4753" spans="1:3" x14ac:dyDescent="0.25">
      <c r="A4753">
        <v>39</v>
      </c>
      <c r="B4753" t="str">
        <f>"8:58:19.054400"</f>
        <v>8:58:19.054400</v>
      </c>
      <c r="C4753">
        <v>-45</v>
      </c>
    </row>
    <row r="4754" spans="1:3" x14ac:dyDescent="0.25">
      <c r="A4754">
        <v>37</v>
      </c>
      <c r="B4754" t="str">
        <f>"8:58:19.411758"</f>
        <v>8:58:19.411758</v>
      </c>
      <c r="C4754">
        <v>-44</v>
      </c>
    </row>
    <row r="4755" spans="1:3" x14ac:dyDescent="0.25">
      <c r="A4755">
        <v>37</v>
      </c>
      <c r="B4755" t="str">
        <f>"8:58:19.412276"</f>
        <v>8:58:19.412276</v>
      </c>
      <c r="C4755">
        <v>-39</v>
      </c>
    </row>
    <row r="4756" spans="1:3" x14ac:dyDescent="0.25">
      <c r="A4756">
        <v>37</v>
      </c>
      <c r="B4756" t="str">
        <f>"8:58:19.412602"</f>
        <v>8:58:19.412602</v>
      </c>
      <c r="C4756">
        <v>-44</v>
      </c>
    </row>
    <row r="4757" spans="1:3" x14ac:dyDescent="0.25">
      <c r="A4757">
        <v>38</v>
      </c>
      <c r="B4757" t="str">
        <f>"8:58:19.413378"</f>
        <v>8:58:19.413378</v>
      </c>
      <c r="C4757">
        <v>-41</v>
      </c>
    </row>
    <row r="4758" spans="1:3" x14ac:dyDescent="0.25">
      <c r="A4758">
        <v>39</v>
      </c>
      <c r="B4758" t="str">
        <f>"8:58:19.414404"</f>
        <v>8:58:19.414404</v>
      </c>
      <c r="C4758">
        <v>-45</v>
      </c>
    </row>
    <row r="4759" spans="1:3" x14ac:dyDescent="0.25">
      <c r="A4759">
        <v>37</v>
      </c>
      <c r="B4759" t="str">
        <f>"8:58:19.762512"</f>
        <v>8:58:19.762512</v>
      </c>
      <c r="C4759">
        <v>-44</v>
      </c>
    </row>
    <row r="4760" spans="1:3" x14ac:dyDescent="0.25">
      <c r="A4760">
        <v>38</v>
      </c>
      <c r="B4760" t="str">
        <f>"8:58:19.763540"</f>
        <v>8:58:19.763540</v>
      </c>
      <c r="C4760">
        <v>-41</v>
      </c>
    </row>
    <row r="4761" spans="1:3" x14ac:dyDescent="0.25">
      <c r="A4761">
        <v>39</v>
      </c>
      <c r="B4761" t="str">
        <f>"8:58:19.764566"</f>
        <v>8:58:19.764566</v>
      </c>
      <c r="C4761">
        <v>-45</v>
      </c>
    </row>
    <row r="4762" spans="1:3" x14ac:dyDescent="0.25">
      <c r="A4762">
        <v>37</v>
      </c>
      <c r="B4762" t="str">
        <f>"8:58:20.115552"</f>
        <v>8:58:20.115552</v>
      </c>
      <c r="C4762">
        <v>-45</v>
      </c>
    </row>
    <row r="4763" spans="1:3" x14ac:dyDescent="0.25">
      <c r="A4763">
        <v>38</v>
      </c>
      <c r="B4763" t="str">
        <f>"8:58:20.116580"</f>
        <v>8:58:20.116580</v>
      </c>
      <c r="C4763">
        <v>-41</v>
      </c>
    </row>
    <row r="4764" spans="1:3" x14ac:dyDescent="0.25">
      <c r="A4764">
        <v>38</v>
      </c>
      <c r="B4764" t="str">
        <f>"8:58:20.117099"</f>
        <v>8:58:20.117099</v>
      </c>
      <c r="C4764">
        <v>-31</v>
      </c>
    </row>
    <row r="4765" spans="1:3" x14ac:dyDescent="0.25">
      <c r="A4765">
        <v>38</v>
      </c>
      <c r="B4765" t="str">
        <f>"8:58:20.117425"</f>
        <v>8:58:20.117425</v>
      </c>
      <c r="C4765">
        <v>-41</v>
      </c>
    </row>
    <row r="4766" spans="1:3" x14ac:dyDescent="0.25">
      <c r="A4766">
        <v>39</v>
      </c>
      <c r="B4766" t="str">
        <f>"8:58:20.118201"</f>
        <v>8:58:20.118201</v>
      </c>
      <c r="C4766">
        <v>-46</v>
      </c>
    </row>
    <row r="4767" spans="1:3" x14ac:dyDescent="0.25">
      <c r="A4767">
        <v>39</v>
      </c>
      <c r="B4767" t="str">
        <f>"8:58:20.119046"</f>
        <v>8:58:20.119046</v>
      </c>
      <c r="C4767">
        <v>-45</v>
      </c>
    </row>
    <row r="4768" spans="1:3" x14ac:dyDescent="0.25">
      <c r="A4768">
        <v>37</v>
      </c>
      <c r="B4768" t="str">
        <f>"8:58:20.467057"</f>
        <v>8:58:20.467057</v>
      </c>
      <c r="C4768">
        <v>-45</v>
      </c>
    </row>
    <row r="4769" spans="1:3" x14ac:dyDescent="0.25">
      <c r="A4769">
        <v>38</v>
      </c>
      <c r="B4769" t="str">
        <f>"8:58:20.468085"</f>
        <v>8:58:20.468085</v>
      </c>
      <c r="C4769">
        <v>-41</v>
      </c>
    </row>
    <row r="4770" spans="1:3" x14ac:dyDescent="0.25">
      <c r="A4770">
        <v>38</v>
      </c>
      <c r="B4770" t="str">
        <f>"8:58:20.468603"</f>
        <v>8:58:20.468603</v>
      </c>
      <c r="C4770">
        <v>-31</v>
      </c>
    </row>
    <row r="4771" spans="1:3" x14ac:dyDescent="0.25">
      <c r="A4771">
        <v>38</v>
      </c>
      <c r="B4771" t="str">
        <f>"8:58:20.468929"</f>
        <v>8:58:20.468929</v>
      </c>
      <c r="C4771">
        <v>-41</v>
      </c>
    </row>
    <row r="4772" spans="1:3" x14ac:dyDescent="0.25">
      <c r="A4772">
        <v>39</v>
      </c>
      <c r="B4772" t="str">
        <f>"8:58:20.469705"</f>
        <v>8:58:20.469705</v>
      </c>
      <c r="C4772">
        <v>-46</v>
      </c>
    </row>
    <row r="4773" spans="1:3" x14ac:dyDescent="0.25">
      <c r="A4773">
        <v>37</v>
      </c>
      <c r="B4773" t="str">
        <f>"8:58:20.826995"</f>
        <v>8:58:20.826995</v>
      </c>
      <c r="C4773">
        <v>-45</v>
      </c>
    </row>
    <row r="4774" spans="1:3" x14ac:dyDescent="0.25">
      <c r="A4774">
        <v>38</v>
      </c>
      <c r="B4774" t="str">
        <f>"8:58:20.828023"</f>
        <v>8:58:20.828023</v>
      </c>
      <c r="C4774">
        <v>-41</v>
      </c>
    </row>
    <row r="4775" spans="1:3" x14ac:dyDescent="0.25">
      <c r="A4775">
        <v>38</v>
      </c>
      <c r="B4775" t="str">
        <f>"8:58:20.828542"</f>
        <v>8:58:20.828542</v>
      </c>
      <c r="C4775">
        <v>-31</v>
      </c>
    </row>
    <row r="4776" spans="1:3" x14ac:dyDescent="0.25">
      <c r="A4776">
        <v>38</v>
      </c>
      <c r="B4776" t="str">
        <f>"8:58:20.828868"</f>
        <v>8:58:20.828868</v>
      </c>
      <c r="C4776">
        <v>-41</v>
      </c>
    </row>
    <row r="4777" spans="1:3" x14ac:dyDescent="0.25">
      <c r="A4777">
        <v>39</v>
      </c>
      <c r="B4777" t="str">
        <f>"8:58:20.829644"</f>
        <v>8:58:20.829644</v>
      </c>
      <c r="C4777">
        <v>-45</v>
      </c>
    </row>
    <row r="4778" spans="1:3" x14ac:dyDescent="0.25">
      <c r="A4778">
        <v>37</v>
      </c>
      <c r="B4778" t="str">
        <f>"8:58:21.186699"</f>
        <v>8:58:21.186699</v>
      </c>
      <c r="C4778">
        <v>-45</v>
      </c>
    </row>
    <row r="4779" spans="1:3" x14ac:dyDescent="0.25">
      <c r="A4779">
        <v>38</v>
      </c>
      <c r="B4779" t="str">
        <f>"8:58:21.187727"</f>
        <v>8:58:21.187727</v>
      </c>
      <c r="C4779">
        <v>-41</v>
      </c>
    </row>
    <row r="4780" spans="1:3" x14ac:dyDescent="0.25">
      <c r="A4780">
        <v>38</v>
      </c>
      <c r="B4780" t="str">
        <f>"8:58:21.188245"</f>
        <v>8:58:21.188245</v>
      </c>
      <c r="C4780">
        <v>-32</v>
      </c>
    </row>
    <row r="4781" spans="1:3" x14ac:dyDescent="0.25">
      <c r="A4781">
        <v>38</v>
      </c>
      <c r="B4781" t="str">
        <f>"8:58:21.188571"</f>
        <v>8:58:21.188571</v>
      </c>
      <c r="C4781">
        <v>-41</v>
      </c>
    </row>
    <row r="4782" spans="1:3" x14ac:dyDescent="0.25">
      <c r="A4782">
        <v>39</v>
      </c>
      <c r="B4782" t="str">
        <f>"8:58:21.189347"</f>
        <v>8:58:21.189347</v>
      </c>
      <c r="C4782">
        <v>-46</v>
      </c>
    </row>
    <row r="4783" spans="1:3" x14ac:dyDescent="0.25">
      <c r="A4783">
        <v>37</v>
      </c>
      <c r="B4783" t="str">
        <f>"8:58:21.541779"</f>
        <v>8:58:21.541779</v>
      </c>
      <c r="C4783">
        <v>-45</v>
      </c>
    </row>
    <row r="4784" spans="1:3" x14ac:dyDescent="0.25">
      <c r="A4784">
        <v>38</v>
      </c>
      <c r="B4784" t="str">
        <f>"8:58:21.542806"</f>
        <v>8:58:21.542806</v>
      </c>
      <c r="C4784">
        <v>-41</v>
      </c>
    </row>
    <row r="4785" spans="1:3" x14ac:dyDescent="0.25">
      <c r="A4785">
        <v>38</v>
      </c>
      <c r="B4785" t="str">
        <f>"8:58:21.543325"</f>
        <v>8:58:21.543325</v>
      </c>
      <c r="C4785">
        <v>-32</v>
      </c>
    </row>
    <row r="4786" spans="1:3" x14ac:dyDescent="0.25">
      <c r="A4786">
        <v>38</v>
      </c>
      <c r="B4786" t="str">
        <f>"8:58:21.543650"</f>
        <v>8:58:21.543650</v>
      </c>
      <c r="C4786">
        <v>-41</v>
      </c>
    </row>
    <row r="4787" spans="1:3" x14ac:dyDescent="0.25">
      <c r="A4787">
        <v>39</v>
      </c>
      <c r="B4787" t="str">
        <f>"8:58:21.544426"</f>
        <v>8:58:21.544426</v>
      </c>
      <c r="C4787">
        <v>-46</v>
      </c>
    </row>
    <row r="4788" spans="1:3" x14ac:dyDescent="0.25">
      <c r="A4788">
        <v>37</v>
      </c>
      <c r="B4788" t="str">
        <f>"8:58:21.894329"</f>
        <v>8:58:21.894329</v>
      </c>
      <c r="C4788">
        <v>-45</v>
      </c>
    </row>
    <row r="4789" spans="1:3" x14ac:dyDescent="0.25">
      <c r="A4789">
        <v>38</v>
      </c>
      <c r="B4789" t="str">
        <f>"8:58:21.895356"</f>
        <v>8:58:21.895356</v>
      </c>
      <c r="C4789">
        <v>-41</v>
      </c>
    </row>
    <row r="4790" spans="1:3" x14ac:dyDescent="0.25">
      <c r="A4790">
        <v>38</v>
      </c>
      <c r="B4790" t="str">
        <f>"8:58:21.895875"</f>
        <v>8:58:21.895875</v>
      </c>
      <c r="C4790">
        <v>-31</v>
      </c>
    </row>
    <row r="4791" spans="1:3" x14ac:dyDescent="0.25">
      <c r="A4791">
        <v>38</v>
      </c>
      <c r="B4791" t="str">
        <f>"8:58:21.896201"</f>
        <v>8:58:21.896201</v>
      </c>
      <c r="C4791">
        <v>-41</v>
      </c>
    </row>
    <row r="4792" spans="1:3" x14ac:dyDescent="0.25">
      <c r="A4792">
        <v>39</v>
      </c>
      <c r="B4792" t="str">
        <f>"8:58:21.896977"</f>
        <v>8:58:21.896977</v>
      </c>
      <c r="C4792">
        <v>-46</v>
      </c>
    </row>
    <row r="4793" spans="1:3" x14ac:dyDescent="0.25">
      <c r="A4793">
        <v>37</v>
      </c>
      <c r="B4793" t="str">
        <f>"8:58:22.245093"</f>
        <v>8:58:22.245093</v>
      </c>
      <c r="C4793">
        <v>-45</v>
      </c>
    </row>
    <row r="4794" spans="1:3" x14ac:dyDescent="0.25">
      <c r="A4794">
        <v>38</v>
      </c>
      <c r="B4794" t="str">
        <f>"8:58:22.246120"</f>
        <v>8:58:22.246120</v>
      </c>
      <c r="C4794">
        <v>-41</v>
      </c>
    </row>
    <row r="4795" spans="1:3" x14ac:dyDescent="0.25">
      <c r="A4795">
        <v>38</v>
      </c>
      <c r="B4795" t="str">
        <f>"8:58:22.246639"</f>
        <v>8:58:22.246639</v>
      </c>
      <c r="C4795">
        <v>-32</v>
      </c>
    </row>
    <row r="4796" spans="1:3" x14ac:dyDescent="0.25">
      <c r="A4796">
        <v>38</v>
      </c>
      <c r="B4796" t="str">
        <f>"8:58:22.246966"</f>
        <v>8:58:22.246966</v>
      </c>
      <c r="C4796">
        <v>-41</v>
      </c>
    </row>
    <row r="4797" spans="1:3" x14ac:dyDescent="0.25">
      <c r="A4797">
        <v>39</v>
      </c>
      <c r="B4797" t="str">
        <f>"8:58:22.247742"</f>
        <v>8:58:22.247742</v>
      </c>
      <c r="C4797">
        <v>-46</v>
      </c>
    </row>
    <row r="4798" spans="1:3" x14ac:dyDescent="0.25">
      <c r="A4798">
        <v>37</v>
      </c>
      <c r="B4798" t="str">
        <f>"8:58:22.599197"</f>
        <v>8:58:22.599197</v>
      </c>
      <c r="C4798">
        <v>-45</v>
      </c>
    </row>
    <row r="4799" spans="1:3" x14ac:dyDescent="0.25">
      <c r="A4799">
        <v>38</v>
      </c>
      <c r="B4799" t="str">
        <f>"8:58:22.600225"</f>
        <v>8:58:22.600225</v>
      </c>
      <c r="C4799">
        <v>-41</v>
      </c>
    </row>
    <row r="4800" spans="1:3" x14ac:dyDescent="0.25">
      <c r="A4800">
        <v>38</v>
      </c>
      <c r="B4800" t="str">
        <f>"8:58:22.600743"</f>
        <v>8:58:22.600743</v>
      </c>
      <c r="C4800">
        <v>-31</v>
      </c>
    </row>
    <row r="4801" spans="1:3" x14ac:dyDescent="0.25">
      <c r="A4801">
        <v>38</v>
      </c>
      <c r="B4801" t="str">
        <f>"8:58:22.601069"</f>
        <v>8:58:22.601069</v>
      </c>
      <c r="C4801">
        <v>-41</v>
      </c>
    </row>
    <row r="4802" spans="1:3" x14ac:dyDescent="0.25">
      <c r="A4802">
        <v>39</v>
      </c>
      <c r="B4802" t="str">
        <f>"8:58:22.601845"</f>
        <v>8:58:22.601845</v>
      </c>
      <c r="C4802">
        <v>-45</v>
      </c>
    </row>
    <row r="4803" spans="1:3" x14ac:dyDescent="0.25">
      <c r="A4803">
        <v>37</v>
      </c>
      <c r="B4803" t="str">
        <f>"8:58:22.949444"</f>
        <v>8:58:22.949444</v>
      </c>
      <c r="C4803">
        <v>-44</v>
      </c>
    </row>
    <row r="4804" spans="1:3" x14ac:dyDescent="0.25">
      <c r="A4804">
        <v>38</v>
      </c>
      <c r="B4804" t="str">
        <f>"8:58:22.950472"</f>
        <v>8:58:22.950472</v>
      </c>
      <c r="C4804">
        <v>-41</v>
      </c>
    </row>
    <row r="4805" spans="1:3" x14ac:dyDescent="0.25">
      <c r="A4805">
        <v>38</v>
      </c>
      <c r="B4805" t="str">
        <f>"8:58:22.950990"</f>
        <v>8:58:22.950990</v>
      </c>
      <c r="C4805">
        <v>-32</v>
      </c>
    </row>
    <row r="4806" spans="1:3" x14ac:dyDescent="0.25">
      <c r="A4806">
        <v>38</v>
      </c>
      <c r="B4806" t="str">
        <f>"8:58:22.951316"</f>
        <v>8:58:22.951316</v>
      </c>
      <c r="C4806">
        <v>-41</v>
      </c>
    </row>
    <row r="4807" spans="1:3" x14ac:dyDescent="0.25">
      <c r="A4807">
        <v>39</v>
      </c>
      <c r="B4807" t="str">
        <f>"8:58:22.952092"</f>
        <v>8:58:22.952092</v>
      </c>
      <c r="C4807">
        <v>-45</v>
      </c>
    </row>
    <row r="4808" spans="1:3" x14ac:dyDescent="0.25">
      <c r="A4808">
        <v>37</v>
      </c>
      <c r="B4808" t="str">
        <f>"8:58:23.305064"</f>
        <v>8:58:23.305064</v>
      </c>
      <c r="C4808">
        <v>-44</v>
      </c>
    </row>
    <row r="4809" spans="1:3" x14ac:dyDescent="0.25">
      <c r="A4809">
        <v>38</v>
      </c>
      <c r="B4809" t="str">
        <f>"8:58:23.306091"</f>
        <v>8:58:23.306091</v>
      </c>
      <c r="C4809">
        <v>-41</v>
      </c>
    </row>
    <row r="4810" spans="1:3" x14ac:dyDescent="0.25">
      <c r="A4810">
        <v>38</v>
      </c>
      <c r="B4810" t="str">
        <f>"8:58:23.306610"</f>
        <v>8:58:23.306610</v>
      </c>
      <c r="C4810">
        <v>-31</v>
      </c>
    </row>
    <row r="4811" spans="1:3" x14ac:dyDescent="0.25">
      <c r="A4811">
        <v>38</v>
      </c>
      <c r="B4811" t="str">
        <f>"8:58:23.306935"</f>
        <v>8:58:23.306935</v>
      </c>
      <c r="C4811">
        <v>-41</v>
      </c>
    </row>
    <row r="4812" spans="1:3" x14ac:dyDescent="0.25">
      <c r="A4812">
        <v>39</v>
      </c>
      <c r="B4812" t="str">
        <f>"8:58:23.307711"</f>
        <v>8:58:23.307711</v>
      </c>
      <c r="C4812">
        <v>-45</v>
      </c>
    </row>
    <row r="4813" spans="1:3" x14ac:dyDescent="0.25">
      <c r="A4813">
        <v>37</v>
      </c>
      <c r="B4813" t="str">
        <f>"8:58:23.659703"</f>
        <v>8:58:23.659703</v>
      </c>
      <c r="C4813">
        <v>-44</v>
      </c>
    </row>
    <row r="4814" spans="1:3" x14ac:dyDescent="0.25">
      <c r="A4814">
        <v>38</v>
      </c>
      <c r="B4814" t="str">
        <f>"8:58:23.660730"</f>
        <v>8:58:23.660730</v>
      </c>
      <c r="C4814">
        <v>-41</v>
      </c>
    </row>
    <row r="4815" spans="1:3" x14ac:dyDescent="0.25">
      <c r="A4815">
        <v>38</v>
      </c>
      <c r="B4815" t="str">
        <f>"8:58:23.661249"</f>
        <v>8:58:23.661249</v>
      </c>
      <c r="C4815">
        <v>-31</v>
      </c>
    </row>
    <row r="4816" spans="1:3" x14ac:dyDescent="0.25">
      <c r="A4816">
        <v>38</v>
      </c>
      <c r="B4816" t="str">
        <f>"8:58:23.661574"</f>
        <v>8:58:23.661574</v>
      </c>
      <c r="C4816">
        <v>-41</v>
      </c>
    </row>
    <row r="4817" spans="1:3" x14ac:dyDescent="0.25">
      <c r="A4817">
        <v>39</v>
      </c>
      <c r="B4817" t="str">
        <f>"8:58:23.662350"</f>
        <v>8:58:23.662350</v>
      </c>
      <c r="C4817">
        <v>-45</v>
      </c>
    </row>
    <row r="4818" spans="1:3" x14ac:dyDescent="0.25">
      <c r="A4818">
        <v>39</v>
      </c>
      <c r="B4818" t="str">
        <f>"8:58:23.662870"</f>
        <v>8:58:23.662870</v>
      </c>
      <c r="C4818">
        <v>-74</v>
      </c>
    </row>
    <row r="4819" spans="1:3" x14ac:dyDescent="0.25">
      <c r="A4819">
        <v>39</v>
      </c>
      <c r="B4819" t="str">
        <f>"8:58:23.663197"</f>
        <v>8:58:23.663197</v>
      </c>
      <c r="C4819">
        <v>-45</v>
      </c>
    </row>
    <row r="4820" spans="1:3" x14ac:dyDescent="0.25">
      <c r="A4820">
        <v>37</v>
      </c>
      <c r="B4820" t="str">
        <f>"8:58:24.013270"</f>
        <v>8:58:24.013270</v>
      </c>
      <c r="C4820">
        <v>-44</v>
      </c>
    </row>
    <row r="4821" spans="1:3" x14ac:dyDescent="0.25">
      <c r="A4821">
        <v>38</v>
      </c>
      <c r="B4821" t="str">
        <f>"8:58:24.014297"</f>
        <v>8:58:24.014297</v>
      </c>
      <c r="C4821">
        <v>-41</v>
      </c>
    </row>
    <row r="4822" spans="1:3" x14ac:dyDescent="0.25">
      <c r="A4822">
        <v>39</v>
      </c>
      <c r="B4822" t="str">
        <f>"8:58:24.015323"</f>
        <v>8:58:24.015323</v>
      </c>
      <c r="C4822">
        <v>-45</v>
      </c>
    </row>
    <row r="4823" spans="1:3" x14ac:dyDescent="0.25">
      <c r="A4823">
        <v>37</v>
      </c>
      <c r="B4823" t="str">
        <f>"8:58:24.367618"</f>
        <v>8:58:24.367618</v>
      </c>
      <c r="C4823">
        <v>-45</v>
      </c>
    </row>
    <row r="4824" spans="1:3" x14ac:dyDescent="0.25">
      <c r="A4824">
        <v>38</v>
      </c>
      <c r="B4824" t="str">
        <f>"8:58:24.368646"</f>
        <v>8:58:24.368646</v>
      </c>
      <c r="C4824">
        <v>-41</v>
      </c>
    </row>
    <row r="4825" spans="1:3" x14ac:dyDescent="0.25">
      <c r="A4825">
        <v>38</v>
      </c>
      <c r="B4825" t="str">
        <f>"8:58:24.369164"</f>
        <v>8:58:24.369164</v>
      </c>
      <c r="C4825">
        <v>-31</v>
      </c>
    </row>
    <row r="4826" spans="1:3" x14ac:dyDescent="0.25">
      <c r="A4826">
        <v>38</v>
      </c>
      <c r="B4826" t="str">
        <f>"8:58:24.369490"</f>
        <v>8:58:24.369490</v>
      </c>
      <c r="C4826">
        <v>-41</v>
      </c>
    </row>
    <row r="4827" spans="1:3" x14ac:dyDescent="0.25">
      <c r="A4827">
        <v>39</v>
      </c>
      <c r="B4827" t="str">
        <f>"8:58:24.370266"</f>
        <v>8:58:24.370266</v>
      </c>
      <c r="C4827">
        <v>-46</v>
      </c>
    </row>
    <row r="4828" spans="1:3" x14ac:dyDescent="0.25">
      <c r="A4828">
        <v>37</v>
      </c>
      <c r="B4828" t="str">
        <f>"8:58:24.726588"</f>
        <v>8:58:24.726588</v>
      </c>
      <c r="C4828">
        <v>-45</v>
      </c>
    </row>
    <row r="4829" spans="1:3" x14ac:dyDescent="0.25">
      <c r="A4829">
        <v>37</v>
      </c>
      <c r="B4829" t="str">
        <f>"8:58:24.727434"</f>
        <v>8:58:24.727434</v>
      </c>
      <c r="C4829">
        <v>-45</v>
      </c>
    </row>
    <row r="4830" spans="1:3" x14ac:dyDescent="0.25">
      <c r="A4830">
        <v>38</v>
      </c>
      <c r="B4830" t="str">
        <f>"8:58:24.728210"</f>
        <v>8:58:24.728210</v>
      </c>
      <c r="C4830">
        <v>-41</v>
      </c>
    </row>
    <row r="4831" spans="1:3" x14ac:dyDescent="0.25">
      <c r="A4831">
        <v>39</v>
      </c>
      <c r="B4831" t="str">
        <f>"8:58:24.729236"</f>
        <v>8:58:24.729236</v>
      </c>
      <c r="C4831">
        <v>-45</v>
      </c>
    </row>
    <row r="4832" spans="1:3" x14ac:dyDescent="0.25">
      <c r="A4832">
        <v>37</v>
      </c>
      <c r="B4832" t="str">
        <f>"8:58:25.078386"</f>
        <v>8:58:25.078386</v>
      </c>
      <c r="C4832">
        <v>-45</v>
      </c>
    </row>
    <row r="4833" spans="1:3" x14ac:dyDescent="0.25">
      <c r="A4833">
        <v>38</v>
      </c>
      <c r="B4833" t="str">
        <f>"8:58:25.079413"</f>
        <v>8:58:25.079413</v>
      </c>
      <c r="C4833">
        <v>-41</v>
      </c>
    </row>
    <row r="4834" spans="1:3" x14ac:dyDescent="0.25">
      <c r="A4834">
        <v>39</v>
      </c>
      <c r="B4834" t="str">
        <f>"8:58:25.080439"</f>
        <v>8:58:25.080439</v>
      </c>
      <c r="C4834">
        <v>-46</v>
      </c>
    </row>
    <row r="4835" spans="1:3" x14ac:dyDescent="0.25">
      <c r="A4835">
        <v>39</v>
      </c>
      <c r="B4835" t="str">
        <f>"8:58:25.080958"</f>
        <v>8:58:25.080958</v>
      </c>
      <c r="C4835">
        <v>-30</v>
      </c>
    </row>
    <row r="4836" spans="1:3" x14ac:dyDescent="0.25">
      <c r="A4836">
        <v>39</v>
      </c>
      <c r="B4836" t="str">
        <f>"8:58:25.081283"</f>
        <v>8:58:25.081283</v>
      </c>
      <c r="C4836">
        <v>-45</v>
      </c>
    </row>
    <row r="4837" spans="1:3" x14ac:dyDescent="0.25">
      <c r="A4837">
        <v>37</v>
      </c>
      <c r="B4837" t="str">
        <f>"8:58:25.429103"</f>
        <v>8:58:25.429103</v>
      </c>
      <c r="C4837">
        <v>-45</v>
      </c>
    </row>
    <row r="4838" spans="1:3" x14ac:dyDescent="0.25">
      <c r="A4838">
        <v>38</v>
      </c>
      <c r="B4838" t="str">
        <f>"8:58:25.430130"</f>
        <v>8:58:25.430130</v>
      </c>
      <c r="C4838">
        <v>-41</v>
      </c>
    </row>
    <row r="4839" spans="1:3" x14ac:dyDescent="0.25">
      <c r="A4839">
        <v>39</v>
      </c>
      <c r="B4839" t="str">
        <f>"8:58:25.431156"</f>
        <v>8:58:25.431156</v>
      </c>
      <c r="C4839">
        <v>-46</v>
      </c>
    </row>
    <row r="4840" spans="1:3" x14ac:dyDescent="0.25">
      <c r="A4840">
        <v>39</v>
      </c>
      <c r="B4840" t="str">
        <f>"8:58:25.431675"</f>
        <v>8:58:25.431675</v>
      </c>
      <c r="C4840">
        <v>-30</v>
      </c>
    </row>
    <row r="4841" spans="1:3" x14ac:dyDescent="0.25">
      <c r="A4841">
        <v>39</v>
      </c>
      <c r="B4841" t="str">
        <f>"8:58:25.432000"</f>
        <v>8:58:25.432000</v>
      </c>
      <c r="C4841">
        <v>-45</v>
      </c>
    </row>
    <row r="4842" spans="1:3" x14ac:dyDescent="0.25">
      <c r="A4842">
        <v>37</v>
      </c>
      <c r="B4842" t="str">
        <f>"8:58:25.782367"</f>
        <v>8:58:25.782367</v>
      </c>
      <c r="C4842">
        <v>-44</v>
      </c>
    </row>
    <row r="4843" spans="1:3" x14ac:dyDescent="0.25">
      <c r="A4843">
        <v>38</v>
      </c>
      <c r="B4843" t="str">
        <f>"8:58:25.783395"</f>
        <v>8:58:25.783395</v>
      </c>
      <c r="C4843">
        <v>-41</v>
      </c>
    </row>
    <row r="4844" spans="1:3" x14ac:dyDescent="0.25">
      <c r="A4844">
        <v>39</v>
      </c>
      <c r="B4844" t="str">
        <f>"8:58:25.784421"</f>
        <v>8:58:25.784421</v>
      </c>
      <c r="C4844">
        <v>-45</v>
      </c>
    </row>
    <row r="4845" spans="1:3" x14ac:dyDescent="0.25">
      <c r="A4845">
        <v>39</v>
      </c>
      <c r="B4845" t="str">
        <f>"8:58:25.784939"</f>
        <v>8:58:25.784939</v>
      </c>
      <c r="C4845">
        <v>-31</v>
      </c>
    </row>
    <row r="4846" spans="1:3" x14ac:dyDescent="0.25">
      <c r="A4846">
        <v>39</v>
      </c>
      <c r="B4846" t="str">
        <f>"8:58:25.785265"</f>
        <v>8:58:25.785265</v>
      </c>
      <c r="C4846">
        <v>-45</v>
      </c>
    </row>
    <row r="4847" spans="1:3" x14ac:dyDescent="0.25">
      <c r="A4847">
        <v>37</v>
      </c>
      <c r="B4847" t="str">
        <f>"8:58:26.140830"</f>
        <v>8:58:26.140830</v>
      </c>
      <c r="C4847">
        <v>-44</v>
      </c>
    </row>
    <row r="4848" spans="1:3" x14ac:dyDescent="0.25">
      <c r="A4848">
        <v>38</v>
      </c>
      <c r="B4848" t="str">
        <f>"8:58:26.141858"</f>
        <v>8:58:26.141858</v>
      </c>
      <c r="C4848">
        <v>-41</v>
      </c>
    </row>
    <row r="4849" spans="1:3" x14ac:dyDescent="0.25">
      <c r="A4849">
        <v>39</v>
      </c>
      <c r="B4849" t="str">
        <f>"8:58:26.142884"</f>
        <v>8:58:26.142884</v>
      </c>
      <c r="C4849">
        <v>-45</v>
      </c>
    </row>
    <row r="4850" spans="1:3" x14ac:dyDescent="0.25">
      <c r="A4850">
        <v>39</v>
      </c>
      <c r="B4850" t="str">
        <f>"8:58:26.143402"</f>
        <v>8:58:26.143402</v>
      </c>
      <c r="C4850">
        <v>-31</v>
      </c>
    </row>
    <row r="4851" spans="1:3" x14ac:dyDescent="0.25">
      <c r="A4851">
        <v>39</v>
      </c>
      <c r="B4851" t="str">
        <f>"8:58:26.143728"</f>
        <v>8:58:26.143728</v>
      </c>
      <c r="C4851">
        <v>-45</v>
      </c>
    </row>
    <row r="4852" spans="1:3" x14ac:dyDescent="0.25">
      <c r="A4852">
        <v>37</v>
      </c>
      <c r="B4852" t="str">
        <f>"8:58:26.494677"</f>
        <v>8:58:26.494677</v>
      </c>
      <c r="C4852">
        <v>-44</v>
      </c>
    </row>
    <row r="4853" spans="1:3" x14ac:dyDescent="0.25">
      <c r="A4853">
        <v>38</v>
      </c>
      <c r="B4853" t="str">
        <f>"8:58:26.495704"</f>
        <v>8:58:26.495704</v>
      </c>
      <c r="C4853">
        <v>-41</v>
      </c>
    </row>
    <row r="4854" spans="1:3" x14ac:dyDescent="0.25">
      <c r="A4854">
        <v>39</v>
      </c>
      <c r="B4854" t="str">
        <f>"8:58:26.496731"</f>
        <v>8:58:26.496731</v>
      </c>
      <c r="C4854">
        <v>-45</v>
      </c>
    </row>
    <row r="4855" spans="1:3" x14ac:dyDescent="0.25">
      <c r="A4855">
        <v>39</v>
      </c>
      <c r="B4855" t="str">
        <f>"8:58:26.497249"</f>
        <v>8:58:26.497249</v>
      </c>
      <c r="C4855">
        <v>-31</v>
      </c>
    </row>
    <row r="4856" spans="1:3" x14ac:dyDescent="0.25">
      <c r="A4856">
        <v>39</v>
      </c>
      <c r="B4856" t="str">
        <f>"8:58:26.497576"</f>
        <v>8:58:26.497576</v>
      </c>
      <c r="C4856">
        <v>-45</v>
      </c>
    </row>
    <row r="4857" spans="1:3" x14ac:dyDescent="0.25">
      <c r="A4857">
        <v>37</v>
      </c>
      <c r="B4857" t="str">
        <f>"8:58:26.851802"</f>
        <v>8:58:26.851802</v>
      </c>
      <c r="C4857">
        <v>-44</v>
      </c>
    </row>
    <row r="4858" spans="1:3" x14ac:dyDescent="0.25">
      <c r="A4858">
        <v>38</v>
      </c>
      <c r="B4858" t="str">
        <f>"8:58:26.852829"</f>
        <v>8:58:26.852829</v>
      </c>
      <c r="C4858">
        <v>-41</v>
      </c>
    </row>
    <row r="4859" spans="1:3" x14ac:dyDescent="0.25">
      <c r="A4859">
        <v>39</v>
      </c>
      <c r="B4859" t="str">
        <f>"8:58:26.853855"</f>
        <v>8:58:26.853855</v>
      </c>
      <c r="C4859">
        <v>-45</v>
      </c>
    </row>
    <row r="4860" spans="1:3" x14ac:dyDescent="0.25">
      <c r="A4860">
        <v>39</v>
      </c>
      <c r="B4860" t="str">
        <f>"8:58:26.854373"</f>
        <v>8:58:26.854373</v>
      </c>
      <c r="C4860">
        <v>-31</v>
      </c>
    </row>
    <row r="4861" spans="1:3" x14ac:dyDescent="0.25">
      <c r="A4861">
        <v>39</v>
      </c>
      <c r="B4861" t="str">
        <f>"8:58:26.854699"</f>
        <v>8:58:26.854699</v>
      </c>
      <c r="C4861">
        <v>-45</v>
      </c>
    </row>
    <row r="4862" spans="1:3" x14ac:dyDescent="0.25">
      <c r="A4862">
        <v>37</v>
      </c>
      <c r="B4862" t="str">
        <f>"8:58:27.208896"</f>
        <v>8:58:27.208896</v>
      </c>
      <c r="C4862">
        <v>-44</v>
      </c>
    </row>
    <row r="4863" spans="1:3" x14ac:dyDescent="0.25">
      <c r="A4863">
        <v>38</v>
      </c>
      <c r="B4863" t="str">
        <f>"8:58:27.209924"</f>
        <v>8:58:27.209924</v>
      </c>
      <c r="C4863">
        <v>-41</v>
      </c>
    </row>
    <row r="4864" spans="1:3" x14ac:dyDescent="0.25">
      <c r="A4864">
        <v>39</v>
      </c>
      <c r="B4864" t="str">
        <f>"8:58:27.210950"</f>
        <v>8:58:27.210950</v>
      </c>
      <c r="C4864">
        <v>-45</v>
      </c>
    </row>
    <row r="4865" spans="1:3" x14ac:dyDescent="0.25">
      <c r="A4865">
        <v>39</v>
      </c>
      <c r="B4865" t="str">
        <f>"8:58:27.211468"</f>
        <v>8:58:27.211468</v>
      </c>
      <c r="C4865">
        <v>-31</v>
      </c>
    </row>
    <row r="4866" spans="1:3" x14ac:dyDescent="0.25">
      <c r="A4866">
        <v>39</v>
      </c>
      <c r="B4866" t="str">
        <f>"8:58:27.211794"</f>
        <v>8:58:27.211794</v>
      </c>
      <c r="C4866">
        <v>-45</v>
      </c>
    </row>
    <row r="4867" spans="1:3" x14ac:dyDescent="0.25">
      <c r="A4867">
        <v>37</v>
      </c>
      <c r="B4867" t="str">
        <f>"8:58:27.568889"</f>
        <v>8:58:27.568889</v>
      </c>
      <c r="C4867">
        <v>-44</v>
      </c>
    </row>
    <row r="4868" spans="1:3" x14ac:dyDescent="0.25">
      <c r="A4868">
        <v>38</v>
      </c>
      <c r="B4868" t="str">
        <f>"8:58:27.569916"</f>
        <v>8:58:27.569916</v>
      </c>
      <c r="C4868">
        <v>-41</v>
      </c>
    </row>
    <row r="4869" spans="1:3" x14ac:dyDescent="0.25">
      <c r="A4869">
        <v>39</v>
      </c>
      <c r="B4869" t="str">
        <f>"8:58:27.570942"</f>
        <v>8:58:27.570942</v>
      </c>
      <c r="C4869">
        <v>-45</v>
      </c>
    </row>
    <row r="4870" spans="1:3" x14ac:dyDescent="0.25">
      <c r="A4870">
        <v>39</v>
      </c>
      <c r="B4870" t="str">
        <f>"8:58:27.571461"</f>
        <v>8:58:27.571461</v>
      </c>
      <c r="C4870">
        <v>-31</v>
      </c>
    </row>
    <row r="4871" spans="1:3" x14ac:dyDescent="0.25">
      <c r="A4871">
        <v>39</v>
      </c>
      <c r="B4871" t="str">
        <f>"8:58:27.571787"</f>
        <v>8:58:27.571787</v>
      </c>
      <c r="C4871">
        <v>-45</v>
      </c>
    </row>
    <row r="4872" spans="1:3" x14ac:dyDescent="0.25">
      <c r="A4872">
        <v>37</v>
      </c>
      <c r="B4872" t="str">
        <f>"8:58:27.922985"</f>
        <v>8:58:27.922985</v>
      </c>
      <c r="C4872">
        <v>-44</v>
      </c>
    </row>
    <row r="4873" spans="1:3" x14ac:dyDescent="0.25">
      <c r="A4873">
        <v>38</v>
      </c>
      <c r="B4873" t="str">
        <f>"8:58:27.924012"</f>
        <v>8:58:27.924012</v>
      </c>
      <c r="C4873">
        <v>-41</v>
      </c>
    </row>
    <row r="4874" spans="1:3" x14ac:dyDescent="0.25">
      <c r="A4874">
        <v>38</v>
      </c>
      <c r="B4874" t="str">
        <f>"8:58:27.924531"</f>
        <v>8:58:27.924531</v>
      </c>
      <c r="C4874">
        <v>-76</v>
      </c>
    </row>
    <row r="4875" spans="1:3" x14ac:dyDescent="0.25">
      <c r="A4875">
        <v>39</v>
      </c>
      <c r="B4875" t="str">
        <f>"8:58:27.925038"</f>
        <v>8:58:27.925038</v>
      </c>
      <c r="C4875">
        <v>-45</v>
      </c>
    </row>
    <row r="4876" spans="1:3" x14ac:dyDescent="0.25">
      <c r="A4876">
        <v>39</v>
      </c>
      <c r="B4876" t="str">
        <f>"8:58:27.925557"</f>
        <v>8:58:27.925557</v>
      </c>
      <c r="C4876">
        <v>-31</v>
      </c>
    </row>
    <row r="4877" spans="1:3" x14ac:dyDescent="0.25">
      <c r="A4877">
        <v>39</v>
      </c>
      <c r="B4877" t="str">
        <f>"8:58:27.925882"</f>
        <v>8:58:27.925882</v>
      </c>
      <c r="C4877">
        <v>-45</v>
      </c>
    </row>
    <row r="4878" spans="1:3" x14ac:dyDescent="0.25">
      <c r="A4878">
        <v>37</v>
      </c>
      <c r="B4878" t="str">
        <f>"8:58:28.275017"</f>
        <v>8:58:28.275017</v>
      </c>
      <c r="C4878">
        <v>-44</v>
      </c>
    </row>
    <row r="4879" spans="1:3" x14ac:dyDescent="0.25">
      <c r="A4879">
        <v>38</v>
      </c>
      <c r="B4879" t="str">
        <f>"8:58:28.276044"</f>
        <v>8:58:28.276044</v>
      </c>
      <c r="C4879">
        <v>-41</v>
      </c>
    </row>
    <row r="4880" spans="1:3" x14ac:dyDescent="0.25">
      <c r="A4880">
        <v>39</v>
      </c>
      <c r="B4880" t="str">
        <f>"8:58:28.277071"</f>
        <v>8:58:28.277071</v>
      </c>
      <c r="C4880">
        <v>-46</v>
      </c>
    </row>
    <row r="4881" spans="1:3" x14ac:dyDescent="0.25">
      <c r="A4881">
        <v>39</v>
      </c>
      <c r="B4881" t="str">
        <f>"8:58:28.277589"</f>
        <v>8:58:28.277589</v>
      </c>
      <c r="C4881">
        <v>-31</v>
      </c>
    </row>
    <row r="4882" spans="1:3" x14ac:dyDescent="0.25">
      <c r="A4882">
        <v>39</v>
      </c>
      <c r="B4882" t="str">
        <f>"8:58:28.277915"</f>
        <v>8:58:28.277915</v>
      </c>
      <c r="C4882">
        <v>-45</v>
      </c>
    </row>
    <row r="4883" spans="1:3" x14ac:dyDescent="0.25">
      <c r="A4883">
        <v>37</v>
      </c>
      <c r="B4883" t="str">
        <f>"8:58:28.630123"</f>
        <v>8:58:28.630123</v>
      </c>
      <c r="C4883">
        <v>-44</v>
      </c>
    </row>
    <row r="4884" spans="1:3" x14ac:dyDescent="0.25">
      <c r="A4884">
        <v>38</v>
      </c>
      <c r="B4884" t="str">
        <f>"8:58:28.631151"</f>
        <v>8:58:28.631151</v>
      </c>
      <c r="C4884">
        <v>-41</v>
      </c>
    </row>
    <row r="4885" spans="1:3" x14ac:dyDescent="0.25">
      <c r="A4885">
        <v>39</v>
      </c>
      <c r="B4885" t="str">
        <f>"8:58:28.632177"</f>
        <v>8:58:28.632177</v>
      </c>
      <c r="C4885">
        <v>-46</v>
      </c>
    </row>
    <row r="4886" spans="1:3" x14ac:dyDescent="0.25">
      <c r="A4886">
        <v>39</v>
      </c>
      <c r="B4886" t="str">
        <f>"8:58:28.632695"</f>
        <v>8:58:28.632695</v>
      </c>
      <c r="C4886">
        <v>-31</v>
      </c>
    </row>
    <row r="4887" spans="1:3" x14ac:dyDescent="0.25">
      <c r="A4887">
        <v>39</v>
      </c>
      <c r="B4887" t="str">
        <f>"8:58:28.633021"</f>
        <v>8:58:28.633021</v>
      </c>
      <c r="C4887">
        <v>-45</v>
      </c>
    </row>
    <row r="4888" spans="1:3" x14ac:dyDescent="0.25">
      <c r="A4888">
        <v>37</v>
      </c>
      <c r="B4888" t="str">
        <f>"8:58:28.989783"</f>
        <v>8:58:28.989783</v>
      </c>
      <c r="C4888">
        <v>-44</v>
      </c>
    </row>
    <row r="4889" spans="1:3" x14ac:dyDescent="0.25">
      <c r="A4889">
        <v>39</v>
      </c>
      <c r="B4889" t="str">
        <f>"8:58:28.991837"</f>
        <v>8:58:28.991837</v>
      </c>
      <c r="C4889">
        <v>-46</v>
      </c>
    </row>
    <row r="4890" spans="1:3" x14ac:dyDescent="0.25">
      <c r="A4890">
        <v>37</v>
      </c>
      <c r="B4890" t="str">
        <f>"8:58:29.348968"</f>
        <v>8:58:29.348968</v>
      </c>
      <c r="C4890">
        <v>-44</v>
      </c>
    </row>
    <row r="4891" spans="1:3" x14ac:dyDescent="0.25">
      <c r="A4891">
        <v>38</v>
      </c>
      <c r="B4891" t="str">
        <f>"8:58:29.349995"</f>
        <v>8:58:29.349995</v>
      </c>
      <c r="C4891">
        <v>-41</v>
      </c>
    </row>
    <row r="4892" spans="1:3" x14ac:dyDescent="0.25">
      <c r="A4892">
        <v>39</v>
      </c>
      <c r="B4892" t="str">
        <f>"8:58:29.351021"</f>
        <v>8:58:29.351021</v>
      </c>
      <c r="C4892">
        <v>-46</v>
      </c>
    </row>
    <row r="4893" spans="1:3" x14ac:dyDescent="0.25">
      <c r="A4893">
        <v>39</v>
      </c>
      <c r="B4893" t="str">
        <f>"8:58:29.351540"</f>
        <v>8:58:29.351540</v>
      </c>
      <c r="C4893">
        <v>-30</v>
      </c>
    </row>
    <row r="4894" spans="1:3" x14ac:dyDescent="0.25">
      <c r="A4894">
        <v>39</v>
      </c>
      <c r="B4894" t="str">
        <f>"8:58:29.351865"</f>
        <v>8:58:29.351865</v>
      </c>
      <c r="C4894">
        <v>-45</v>
      </c>
    </row>
    <row r="4895" spans="1:3" x14ac:dyDescent="0.25">
      <c r="A4895">
        <v>37</v>
      </c>
      <c r="B4895" t="str">
        <f>"8:58:29.704027"</f>
        <v>8:58:29.704027</v>
      </c>
      <c r="C4895">
        <v>-44</v>
      </c>
    </row>
    <row r="4896" spans="1:3" x14ac:dyDescent="0.25">
      <c r="A4896">
        <v>37</v>
      </c>
      <c r="B4896" t="str">
        <f>"8:58:29.704546"</f>
        <v>8:58:29.704546</v>
      </c>
      <c r="C4896">
        <v>-36</v>
      </c>
    </row>
    <row r="4897" spans="1:3" x14ac:dyDescent="0.25">
      <c r="A4897">
        <v>37</v>
      </c>
      <c r="B4897" t="str">
        <f>"8:58:29.704872"</f>
        <v>8:58:29.704872</v>
      </c>
      <c r="C4897">
        <v>-45</v>
      </c>
    </row>
    <row r="4898" spans="1:3" x14ac:dyDescent="0.25">
      <c r="A4898">
        <v>38</v>
      </c>
      <c r="B4898" t="str">
        <f>"8:58:29.705649"</f>
        <v>8:58:29.705649</v>
      </c>
      <c r="C4898">
        <v>-41</v>
      </c>
    </row>
    <row r="4899" spans="1:3" x14ac:dyDescent="0.25">
      <c r="A4899">
        <v>39</v>
      </c>
      <c r="B4899" t="str">
        <f>"8:58:29.706675"</f>
        <v>8:58:29.706675</v>
      </c>
      <c r="C4899">
        <v>-46</v>
      </c>
    </row>
    <row r="4900" spans="1:3" x14ac:dyDescent="0.25">
      <c r="A4900">
        <v>37</v>
      </c>
      <c r="B4900" t="str">
        <f>"8:58:30.059369"</f>
        <v>8:58:30.059369</v>
      </c>
      <c r="C4900">
        <v>-45</v>
      </c>
    </row>
    <row r="4901" spans="1:3" x14ac:dyDescent="0.25">
      <c r="A4901">
        <v>37</v>
      </c>
      <c r="B4901" t="str">
        <f>"8:58:30.059888"</f>
        <v>8:58:30.059888</v>
      </c>
      <c r="C4901">
        <v>-36</v>
      </c>
    </row>
    <row r="4902" spans="1:3" x14ac:dyDescent="0.25">
      <c r="A4902">
        <v>37</v>
      </c>
      <c r="B4902" t="str">
        <f>"8:58:30.060213"</f>
        <v>8:58:30.060213</v>
      </c>
      <c r="C4902">
        <v>-45</v>
      </c>
    </row>
    <row r="4903" spans="1:3" x14ac:dyDescent="0.25">
      <c r="A4903">
        <v>38</v>
      </c>
      <c r="B4903" t="str">
        <f>"8:58:30.060989"</f>
        <v>8:58:30.060989</v>
      </c>
      <c r="C4903">
        <v>-41</v>
      </c>
    </row>
    <row r="4904" spans="1:3" x14ac:dyDescent="0.25">
      <c r="A4904">
        <v>39</v>
      </c>
      <c r="B4904" t="str">
        <f>"8:58:30.062015"</f>
        <v>8:58:30.062015</v>
      </c>
      <c r="C4904">
        <v>-46</v>
      </c>
    </row>
    <row r="4905" spans="1:3" x14ac:dyDescent="0.25">
      <c r="A4905">
        <v>37</v>
      </c>
      <c r="B4905" t="str">
        <f>"8:58:30.409541"</f>
        <v>8:58:30.409541</v>
      </c>
      <c r="C4905">
        <v>-45</v>
      </c>
    </row>
    <row r="4906" spans="1:3" x14ac:dyDescent="0.25">
      <c r="A4906">
        <v>37</v>
      </c>
      <c r="B4906" t="str">
        <f>"8:58:30.410059"</f>
        <v>8:58:30.410059</v>
      </c>
      <c r="C4906">
        <v>-36</v>
      </c>
    </row>
    <row r="4907" spans="1:3" x14ac:dyDescent="0.25">
      <c r="A4907">
        <v>37</v>
      </c>
      <c r="B4907" t="str">
        <f>"8:58:30.410385"</f>
        <v>8:58:30.410385</v>
      </c>
      <c r="C4907">
        <v>-45</v>
      </c>
    </row>
    <row r="4908" spans="1:3" x14ac:dyDescent="0.25">
      <c r="A4908">
        <v>38</v>
      </c>
      <c r="B4908" t="str">
        <f>"8:58:30.411161"</f>
        <v>8:58:30.411161</v>
      </c>
      <c r="C4908">
        <v>-41</v>
      </c>
    </row>
    <row r="4909" spans="1:3" x14ac:dyDescent="0.25">
      <c r="A4909">
        <v>39</v>
      </c>
      <c r="B4909" t="str">
        <f>"8:58:30.412187"</f>
        <v>8:58:30.412187</v>
      </c>
      <c r="C4909">
        <v>-46</v>
      </c>
    </row>
    <row r="4910" spans="1:3" x14ac:dyDescent="0.25">
      <c r="A4910">
        <v>37</v>
      </c>
      <c r="B4910" t="str">
        <f>"8:58:30.760004"</f>
        <v>8:58:30.760004</v>
      </c>
      <c r="C4910">
        <v>-45</v>
      </c>
    </row>
    <row r="4911" spans="1:3" x14ac:dyDescent="0.25">
      <c r="A4911">
        <v>37</v>
      </c>
      <c r="B4911" t="str">
        <f>"8:58:30.760522"</f>
        <v>8:58:30.760522</v>
      </c>
      <c r="C4911">
        <v>-35</v>
      </c>
    </row>
    <row r="4912" spans="1:3" x14ac:dyDescent="0.25">
      <c r="A4912">
        <v>37</v>
      </c>
      <c r="B4912" t="str">
        <f>"8:58:30.760848"</f>
        <v>8:58:30.760848</v>
      </c>
      <c r="C4912">
        <v>-45</v>
      </c>
    </row>
    <row r="4913" spans="1:3" x14ac:dyDescent="0.25">
      <c r="A4913">
        <v>38</v>
      </c>
      <c r="B4913" t="str">
        <f>"8:58:30.761625"</f>
        <v>8:58:30.761625</v>
      </c>
      <c r="C4913">
        <v>-41</v>
      </c>
    </row>
    <row r="4914" spans="1:3" x14ac:dyDescent="0.25">
      <c r="A4914">
        <v>39</v>
      </c>
      <c r="B4914" t="str">
        <f>"8:58:30.762651"</f>
        <v>8:58:30.762651</v>
      </c>
      <c r="C4914">
        <v>-45</v>
      </c>
    </row>
    <row r="4915" spans="1:3" x14ac:dyDescent="0.25">
      <c r="A4915">
        <v>37</v>
      </c>
      <c r="B4915" t="str">
        <f>"8:58:31.113776"</f>
        <v>8:58:31.113776</v>
      </c>
      <c r="C4915">
        <v>-45</v>
      </c>
    </row>
    <row r="4916" spans="1:3" x14ac:dyDescent="0.25">
      <c r="A4916">
        <v>38</v>
      </c>
      <c r="B4916" t="str">
        <f>"8:58:31.114804"</f>
        <v>8:58:31.114804</v>
      </c>
      <c r="C4916">
        <v>-41</v>
      </c>
    </row>
    <row r="4917" spans="1:3" x14ac:dyDescent="0.25">
      <c r="A4917">
        <v>39</v>
      </c>
      <c r="B4917" t="str">
        <f>"8:58:31.115830"</f>
        <v>8:58:31.115830</v>
      </c>
      <c r="C4917">
        <v>-46</v>
      </c>
    </row>
    <row r="4918" spans="1:3" x14ac:dyDescent="0.25">
      <c r="A4918">
        <v>37</v>
      </c>
      <c r="B4918" t="str">
        <f>"8:58:31.466813"</f>
        <v>8:58:31.466813</v>
      </c>
      <c r="C4918">
        <v>-45</v>
      </c>
    </row>
    <row r="4919" spans="1:3" x14ac:dyDescent="0.25">
      <c r="A4919">
        <v>37</v>
      </c>
      <c r="B4919" t="str">
        <f>"8:58:31.467332"</f>
        <v>8:58:31.467332</v>
      </c>
      <c r="C4919">
        <v>-35</v>
      </c>
    </row>
    <row r="4920" spans="1:3" x14ac:dyDescent="0.25">
      <c r="A4920">
        <v>37</v>
      </c>
      <c r="B4920" t="str">
        <f>"8:58:31.467658"</f>
        <v>8:58:31.467658</v>
      </c>
      <c r="C4920">
        <v>-45</v>
      </c>
    </row>
    <row r="4921" spans="1:3" x14ac:dyDescent="0.25">
      <c r="A4921">
        <v>38</v>
      </c>
      <c r="B4921" t="str">
        <f>"8:58:31.468434"</f>
        <v>8:58:31.468434</v>
      </c>
      <c r="C4921">
        <v>-41</v>
      </c>
    </row>
    <row r="4922" spans="1:3" x14ac:dyDescent="0.25">
      <c r="A4922">
        <v>39</v>
      </c>
      <c r="B4922" t="str">
        <f>"8:58:31.469460"</f>
        <v>8:58:31.469460</v>
      </c>
      <c r="C4922">
        <v>-46</v>
      </c>
    </row>
    <row r="4923" spans="1:3" x14ac:dyDescent="0.25">
      <c r="A4923">
        <v>37</v>
      </c>
      <c r="B4923" t="str">
        <f>"8:58:31.818289"</f>
        <v>8:58:31.818289</v>
      </c>
      <c r="C4923">
        <v>-44</v>
      </c>
    </row>
    <row r="4924" spans="1:3" x14ac:dyDescent="0.25">
      <c r="A4924">
        <v>37</v>
      </c>
      <c r="B4924" t="str">
        <f>"8:58:31.818808"</f>
        <v>8:58:31.818808</v>
      </c>
      <c r="C4924">
        <v>-35</v>
      </c>
    </row>
    <row r="4925" spans="1:3" x14ac:dyDescent="0.25">
      <c r="A4925">
        <v>37</v>
      </c>
      <c r="B4925" t="str">
        <f>"8:58:31.819134"</f>
        <v>8:58:31.819134</v>
      </c>
      <c r="C4925">
        <v>-45</v>
      </c>
    </row>
    <row r="4926" spans="1:3" x14ac:dyDescent="0.25">
      <c r="A4926">
        <v>38</v>
      </c>
      <c r="B4926" t="str">
        <f>"8:58:31.819911"</f>
        <v>8:58:31.819911</v>
      </c>
      <c r="C4926">
        <v>-41</v>
      </c>
    </row>
    <row r="4927" spans="1:3" x14ac:dyDescent="0.25">
      <c r="A4927">
        <v>39</v>
      </c>
      <c r="B4927" t="str">
        <f>"8:58:31.820937"</f>
        <v>8:58:31.820937</v>
      </c>
      <c r="C4927">
        <v>-46</v>
      </c>
    </row>
    <row r="4928" spans="1:3" x14ac:dyDescent="0.25">
      <c r="A4928">
        <v>37</v>
      </c>
      <c r="B4928" t="str">
        <f>"8:58:32.170066"</f>
        <v>8:58:32.170066</v>
      </c>
      <c r="C4928">
        <v>-44</v>
      </c>
    </row>
    <row r="4929" spans="1:3" x14ac:dyDescent="0.25">
      <c r="A4929">
        <v>38</v>
      </c>
      <c r="B4929" t="str">
        <f>"8:58:32.171093"</f>
        <v>8:58:32.171093</v>
      </c>
      <c r="C4929">
        <v>-41</v>
      </c>
    </row>
    <row r="4930" spans="1:3" x14ac:dyDescent="0.25">
      <c r="A4930">
        <v>39</v>
      </c>
      <c r="B4930" t="str">
        <f>"8:58:32.172120"</f>
        <v>8:58:32.172120</v>
      </c>
      <c r="C4930">
        <v>-46</v>
      </c>
    </row>
    <row r="4931" spans="1:3" x14ac:dyDescent="0.25">
      <c r="A4931">
        <v>37</v>
      </c>
      <c r="B4931" t="str">
        <f>"8:58:32.522381"</f>
        <v>8:58:32.522381</v>
      </c>
      <c r="C4931">
        <v>-45</v>
      </c>
    </row>
    <row r="4932" spans="1:3" x14ac:dyDescent="0.25">
      <c r="A4932">
        <v>37</v>
      </c>
      <c r="B4932" t="str">
        <f>"8:58:32.522900"</f>
        <v>8:58:32.522900</v>
      </c>
      <c r="C4932">
        <v>-35</v>
      </c>
    </row>
    <row r="4933" spans="1:3" x14ac:dyDescent="0.25">
      <c r="A4933">
        <v>37</v>
      </c>
      <c r="B4933" t="str">
        <f>"8:58:32.523226"</f>
        <v>8:58:32.523226</v>
      </c>
      <c r="C4933">
        <v>-45</v>
      </c>
    </row>
    <row r="4934" spans="1:3" x14ac:dyDescent="0.25">
      <c r="A4934">
        <v>38</v>
      </c>
      <c r="B4934" t="str">
        <f>"8:58:32.524002"</f>
        <v>8:58:32.524002</v>
      </c>
      <c r="C4934">
        <v>-41</v>
      </c>
    </row>
    <row r="4935" spans="1:3" x14ac:dyDescent="0.25">
      <c r="A4935">
        <v>39</v>
      </c>
      <c r="B4935" t="str">
        <f>"8:58:32.525028"</f>
        <v>8:58:32.525028</v>
      </c>
      <c r="C4935">
        <v>-46</v>
      </c>
    </row>
    <row r="4936" spans="1:3" x14ac:dyDescent="0.25">
      <c r="A4936">
        <v>37</v>
      </c>
      <c r="B4936" t="str">
        <f>"8:58:32.880314"</f>
        <v>8:58:32.880314</v>
      </c>
      <c r="C4936">
        <v>-45</v>
      </c>
    </row>
    <row r="4937" spans="1:3" x14ac:dyDescent="0.25">
      <c r="A4937">
        <v>38</v>
      </c>
      <c r="B4937" t="str">
        <f>"8:58:32.881341"</f>
        <v>8:58:32.881341</v>
      </c>
      <c r="C4937">
        <v>-41</v>
      </c>
    </row>
    <row r="4938" spans="1:3" x14ac:dyDescent="0.25">
      <c r="A4938">
        <v>38</v>
      </c>
      <c r="B4938" t="str">
        <f>"8:58:32.882186"</f>
        <v>8:58:32.882186</v>
      </c>
      <c r="C4938">
        <v>-41</v>
      </c>
    </row>
    <row r="4939" spans="1:3" x14ac:dyDescent="0.25">
      <c r="A4939">
        <v>39</v>
      </c>
      <c r="B4939" t="str">
        <f>"8:58:32.882962"</f>
        <v>8:58:32.882962</v>
      </c>
      <c r="C4939">
        <v>-46</v>
      </c>
    </row>
    <row r="4940" spans="1:3" x14ac:dyDescent="0.25">
      <c r="A4940">
        <v>37</v>
      </c>
      <c r="B4940" t="str">
        <f>"8:58:33.231509"</f>
        <v>8:58:33.231509</v>
      </c>
      <c r="C4940">
        <v>-44</v>
      </c>
    </row>
    <row r="4941" spans="1:3" x14ac:dyDescent="0.25">
      <c r="A4941">
        <v>37</v>
      </c>
      <c r="B4941" t="str">
        <f>"8:58:33.232028"</f>
        <v>8:58:33.232028</v>
      </c>
      <c r="C4941">
        <v>-40</v>
      </c>
    </row>
    <row r="4942" spans="1:3" x14ac:dyDescent="0.25">
      <c r="A4942">
        <v>37</v>
      </c>
      <c r="B4942" t="str">
        <f>"8:58:33.232354"</f>
        <v>8:58:33.232354</v>
      </c>
      <c r="C4942">
        <v>-44</v>
      </c>
    </row>
    <row r="4943" spans="1:3" x14ac:dyDescent="0.25">
      <c r="A4943">
        <v>38</v>
      </c>
      <c r="B4943" t="str">
        <f>"8:58:33.233131"</f>
        <v>8:58:33.233131</v>
      </c>
      <c r="C4943">
        <v>-41</v>
      </c>
    </row>
    <row r="4944" spans="1:3" x14ac:dyDescent="0.25">
      <c r="A4944">
        <v>39</v>
      </c>
      <c r="B4944" t="str">
        <f>"8:58:33.234157"</f>
        <v>8:58:33.234157</v>
      </c>
      <c r="C4944">
        <v>-46</v>
      </c>
    </row>
    <row r="4945" spans="1:3" x14ac:dyDescent="0.25">
      <c r="A4945">
        <v>37</v>
      </c>
      <c r="B4945" t="str">
        <f>"8:58:33.590912"</f>
        <v>8:58:33.590912</v>
      </c>
      <c r="C4945">
        <v>-44</v>
      </c>
    </row>
    <row r="4946" spans="1:3" x14ac:dyDescent="0.25">
      <c r="A4946">
        <v>37</v>
      </c>
      <c r="B4946" t="str">
        <f>"8:58:33.591430"</f>
        <v>8:58:33.591430</v>
      </c>
      <c r="C4946">
        <v>-40</v>
      </c>
    </row>
    <row r="4947" spans="1:3" x14ac:dyDescent="0.25">
      <c r="A4947">
        <v>37</v>
      </c>
      <c r="B4947" t="str">
        <f>"8:58:33.591756"</f>
        <v>8:58:33.591756</v>
      </c>
      <c r="C4947">
        <v>-44</v>
      </c>
    </row>
    <row r="4948" spans="1:3" x14ac:dyDescent="0.25">
      <c r="A4948">
        <v>38</v>
      </c>
      <c r="B4948" t="str">
        <f>"8:58:33.592532"</f>
        <v>8:58:33.592532</v>
      </c>
      <c r="C4948">
        <v>-41</v>
      </c>
    </row>
    <row r="4949" spans="1:3" x14ac:dyDescent="0.25">
      <c r="A4949">
        <v>39</v>
      </c>
      <c r="B4949" t="str">
        <f>"8:58:33.593558"</f>
        <v>8:58:33.593558</v>
      </c>
      <c r="C4949">
        <v>-46</v>
      </c>
    </row>
    <row r="4950" spans="1:3" x14ac:dyDescent="0.25">
      <c r="A4950">
        <v>37</v>
      </c>
      <c r="B4950" t="str">
        <f>"8:58:33.942419"</f>
        <v>8:58:33.942419</v>
      </c>
      <c r="C4950">
        <v>-44</v>
      </c>
    </row>
    <row r="4951" spans="1:3" x14ac:dyDescent="0.25">
      <c r="A4951">
        <v>37</v>
      </c>
      <c r="B4951" t="str">
        <f>"8:58:33.942937"</f>
        <v>8:58:33.942937</v>
      </c>
      <c r="C4951">
        <v>-39</v>
      </c>
    </row>
    <row r="4952" spans="1:3" x14ac:dyDescent="0.25">
      <c r="A4952">
        <v>37</v>
      </c>
      <c r="B4952" t="str">
        <f>"8:58:33.943263"</f>
        <v>8:58:33.943263</v>
      </c>
      <c r="C4952">
        <v>-44</v>
      </c>
    </row>
    <row r="4953" spans="1:3" x14ac:dyDescent="0.25">
      <c r="A4953">
        <v>38</v>
      </c>
      <c r="B4953" t="str">
        <f>"8:58:33.944040"</f>
        <v>8:58:33.944040</v>
      </c>
      <c r="C4953">
        <v>-41</v>
      </c>
    </row>
    <row r="4954" spans="1:3" x14ac:dyDescent="0.25">
      <c r="A4954">
        <v>39</v>
      </c>
      <c r="B4954" t="str">
        <f>"8:58:33.945066"</f>
        <v>8:58:33.945066</v>
      </c>
      <c r="C4954">
        <v>-46</v>
      </c>
    </row>
    <row r="4955" spans="1:3" x14ac:dyDescent="0.25">
      <c r="A4955">
        <v>37</v>
      </c>
      <c r="B4955" t="str">
        <f>"8:58:34.295441"</f>
        <v>8:58:34.295441</v>
      </c>
      <c r="C4955">
        <v>-44</v>
      </c>
    </row>
    <row r="4956" spans="1:3" x14ac:dyDescent="0.25">
      <c r="A4956">
        <v>37</v>
      </c>
      <c r="B4956" t="str">
        <f>"8:58:34.295960"</f>
        <v>8:58:34.295960</v>
      </c>
      <c r="C4956">
        <v>-40</v>
      </c>
    </row>
    <row r="4957" spans="1:3" x14ac:dyDescent="0.25">
      <c r="A4957">
        <v>37</v>
      </c>
      <c r="B4957" t="str">
        <f>"8:58:34.296286"</f>
        <v>8:58:34.296286</v>
      </c>
      <c r="C4957">
        <v>-44</v>
      </c>
    </row>
    <row r="4958" spans="1:3" x14ac:dyDescent="0.25">
      <c r="A4958">
        <v>38</v>
      </c>
      <c r="B4958" t="str">
        <f>"8:58:34.297062"</f>
        <v>8:58:34.297062</v>
      </c>
      <c r="C4958">
        <v>-41</v>
      </c>
    </row>
    <row r="4959" spans="1:3" x14ac:dyDescent="0.25">
      <c r="A4959">
        <v>39</v>
      </c>
      <c r="B4959" t="str">
        <f>"8:58:34.298088"</f>
        <v>8:58:34.298088</v>
      </c>
      <c r="C4959">
        <v>-46</v>
      </c>
    </row>
    <row r="4960" spans="1:3" x14ac:dyDescent="0.25">
      <c r="A4960">
        <v>37</v>
      </c>
      <c r="B4960" t="str">
        <f>"8:58:34.650300"</f>
        <v>8:58:34.650300</v>
      </c>
      <c r="C4960">
        <v>-44</v>
      </c>
    </row>
    <row r="4961" spans="1:3" x14ac:dyDescent="0.25">
      <c r="A4961">
        <v>38</v>
      </c>
      <c r="B4961" t="str">
        <f>"8:58:34.651328"</f>
        <v>8:58:34.651328</v>
      </c>
      <c r="C4961">
        <v>-41</v>
      </c>
    </row>
    <row r="4962" spans="1:3" x14ac:dyDescent="0.25">
      <c r="A4962">
        <v>38</v>
      </c>
      <c r="B4962" t="str">
        <f>"8:58:34.651847"</f>
        <v>8:58:34.651847</v>
      </c>
      <c r="C4962">
        <v>-31</v>
      </c>
    </row>
    <row r="4963" spans="1:3" x14ac:dyDescent="0.25">
      <c r="A4963">
        <v>38</v>
      </c>
      <c r="B4963" t="str">
        <f>"8:58:34.652173"</f>
        <v>8:58:34.652173</v>
      </c>
      <c r="C4963">
        <v>-41</v>
      </c>
    </row>
    <row r="4964" spans="1:3" x14ac:dyDescent="0.25">
      <c r="A4964">
        <v>39</v>
      </c>
      <c r="B4964" t="str">
        <f>"8:58:34.652949"</f>
        <v>8:58:34.652949</v>
      </c>
      <c r="C4964">
        <v>-46</v>
      </c>
    </row>
    <row r="4965" spans="1:3" x14ac:dyDescent="0.25">
      <c r="A4965">
        <v>37</v>
      </c>
      <c r="B4965" t="str">
        <f>"8:58:35.008758"</f>
        <v>8:58:35.008758</v>
      </c>
      <c r="C4965">
        <v>-44</v>
      </c>
    </row>
    <row r="4966" spans="1:3" x14ac:dyDescent="0.25">
      <c r="A4966">
        <v>38</v>
      </c>
      <c r="B4966" t="str">
        <f>"8:58:35.009786"</f>
        <v>8:58:35.009786</v>
      </c>
      <c r="C4966">
        <v>-41</v>
      </c>
    </row>
    <row r="4967" spans="1:3" x14ac:dyDescent="0.25">
      <c r="A4967">
        <v>38</v>
      </c>
      <c r="B4967" t="str">
        <f>"8:58:35.010304"</f>
        <v>8:58:35.010304</v>
      </c>
      <c r="C4967">
        <v>-31</v>
      </c>
    </row>
    <row r="4968" spans="1:3" x14ac:dyDescent="0.25">
      <c r="A4968">
        <v>38</v>
      </c>
      <c r="B4968" t="str">
        <f>"8:58:35.010630"</f>
        <v>8:58:35.010630</v>
      </c>
      <c r="C4968">
        <v>-41</v>
      </c>
    </row>
    <row r="4969" spans="1:3" x14ac:dyDescent="0.25">
      <c r="A4969">
        <v>39</v>
      </c>
      <c r="B4969" t="str">
        <f>"8:58:35.011406"</f>
        <v>8:58:35.011406</v>
      </c>
      <c r="C4969">
        <v>-45</v>
      </c>
    </row>
    <row r="4970" spans="1:3" x14ac:dyDescent="0.25">
      <c r="A4970">
        <v>37</v>
      </c>
      <c r="B4970" t="str">
        <f>"8:58:35.363547"</f>
        <v>8:58:35.363547</v>
      </c>
      <c r="C4970">
        <v>-44</v>
      </c>
    </row>
    <row r="4971" spans="1:3" x14ac:dyDescent="0.25">
      <c r="A4971">
        <v>38</v>
      </c>
      <c r="B4971" t="str">
        <f>"8:58:35.364574"</f>
        <v>8:58:35.364574</v>
      </c>
      <c r="C4971">
        <v>-41</v>
      </c>
    </row>
    <row r="4972" spans="1:3" x14ac:dyDescent="0.25">
      <c r="A4972">
        <v>38</v>
      </c>
      <c r="B4972" t="str">
        <f>"8:58:35.365093"</f>
        <v>8:58:35.365093</v>
      </c>
      <c r="C4972">
        <v>-31</v>
      </c>
    </row>
    <row r="4973" spans="1:3" x14ac:dyDescent="0.25">
      <c r="A4973">
        <v>38</v>
      </c>
      <c r="B4973" t="str">
        <f>"8:58:35.365419"</f>
        <v>8:58:35.365419</v>
      </c>
      <c r="C4973">
        <v>-41</v>
      </c>
    </row>
    <row r="4974" spans="1:3" x14ac:dyDescent="0.25">
      <c r="A4974">
        <v>39</v>
      </c>
      <c r="B4974" t="str">
        <f>"8:58:35.366195"</f>
        <v>8:58:35.366195</v>
      </c>
      <c r="C4974">
        <v>-46</v>
      </c>
    </row>
    <row r="4975" spans="1:3" x14ac:dyDescent="0.25">
      <c r="A4975">
        <v>37</v>
      </c>
      <c r="B4975" t="str">
        <f>"8:58:35.723274"</f>
        <v>8:58:35.723274</v>
      </c>
      <c r="C4975">
        <v>-44</v>
      </c>
    </row>
    <row r="4976" spans="1:3" x14ac:dyDescent="0.25">
      <c r="A4976">
        <v>38</v>
      </c>
      <c r="B4976" t="str">
        <f>"8:58:35.724301"</f>
        <v>8:58:35.724301</v>
      </c>
      <c r="C4976">
        <v>-41</v>
      </c>
    </row>
    <row r="4977" spans="1:3" x14ac:dyDescent="0.25">
      <c r="A4977">
        <v>39</v>
      </c>
      <c r="B4977" t="str">
        <f>"8:58:35.725328"</f>
        <v>8:58:35.725328</v>
      </c>
      <c r="C4977">
        <v>-45</v>
      </c>
    </row>
    <row r="4978" spans="1:3" x14ac:dyDescent="0.25">
      <c r="A4978">
        <v>37</v>
      </c>
      <c r="B4978" t="str">
        <f>"8:58:36.079400"</f>
        <v>8:58:36.079400</v>
      </c>
      <c r="C4978">
        <v>-44</v>
      </c>
    </row>
    <row r="4979" spans="1:3" x14ac:dyDescent="0.25">
      <c r="A4979">
        <v>38</v>
      </c>
      <c r="B4979" t="str">
        <f>"8:58:36.080427"</f>
        <v>8:58:36.080427</v>
      </c>
      <c r="C4979">
        <v>-41</v>
      </c>
    </row>
    <row r="4980" spans="1:3" x14ac:dyDescent="0.25">
      <c r="A4980">
        <v>38</v>
      </c>
      <c r="B4980" t="str">
        <f>"8:58:36.080945"</f>
        <v>8:58:36.080945</v>
      </c>
      <c r="C4980">
        <v>-31</v>
      </c>
    </row>
    <row r="4981" spans="1:3" x14ac:dyDescent="0.25">
      <c r="A4981">
        <v>38</v>
      </c>
      <c r="B4981" t="str">
        <f>"8:58:36.081271"</f>
        <v>8:58:36.081271</v>
      </c>
      <c r="C4981">
        <v>-41</v>
      </c>
    </row>
    <row r="4982" spans="1:3" x14ac:dyDescent="0.25">
      <c r="A4982">
        <v>39</v>
      </c>
      <c r="B4982" t="str">
        <f>"8:58:36.082047"</f>
        <v>8:58:36.082047</v>
      </c>
      <c r="C4982">
        <v>-45</v>
      </c>
    </row>
    <row r="4983" spans="1:3" x14ac:dyDescent="0.25">
      <c r="A4983">
        <v>37</v>
      </c>
      <c r="B4983" t="str">
        <f>"8:58:36.434788"</f>
        <v>8:58:36.434788</v>
      </c>
      <c r="C4983">
        <v>-44</v>
      </c>
    </row>
    <row r="4984" spans="1:3" x14ac:dyDescent="0.25">
      <c r="A4984">
        <v>38</v>
      </c>
      <c r="B4984" t="str">
        <f>"8:58:36.435816"</f>
        <v>8:58:36.435816</v>
      </c>
      <c r="C4984">
        <v>-41</v>
      </c>
    </row>
    <row r="4985" spans="1:3" x14ac:dyDescent="0.25">
      <c r="A4985">
        <v>38</v>
      </c>
      <c r="B4985" t="str">
        <f>"8:58:36.436335"</f>
        <v>8:58:36.436335</v>
      </c>
      <c r="C4985">
        <v>-31</v>
      </c>
    </row>
    <row r="4986" spans="1:3" x14ac:dyDescent="0.25">
      <c r="A4986">
        <v>38</v>
      </c>
      <c r="B4986" t="str">
        <f>"8:58:36.436661"</f>
        <v>8:58:36.436661</v>
      </c>
      <c r="C4986">
        <v>-41</v>
      </c>
    </row>
    <row r="4987" spans="1:3" x14ac:dyDescent="0.25">
      <c r="A4987">
        <v>39</v>
      </c>
      <c r="B4987" t="str">
        <f>"8:58:36.437437"</f>
        <v>8:58:36.437437</v>
      </c>
      <c r="C4987">
        <v>-45</v>
      </c>
    </row>
    <row r="4988" spans="1:3" x14ac:dyDescent="0.25">
      <c r="A4988">
        <v>37</v>
      </c>
      <c r="B4988" t="str">
        <f>"8:58:36.794462"</f>
        <v>8:58:36.794462</v>
      </c>
      <c r="C4988">
        <v>-44</v>
      </c>
    </row>
    <row r="4989" spans="1:3" x14ac:dyDescent="0.25">
      <c r="A4989">
        <v>38</v>
      </c>
      <c r="B4989" t="str">
        <f>"8:58:36.795489"</f>
        <v>8:58:36.795489</v>
      </c>
      <c r="C4989">
        <v>-41</v>
      </c>
    </row>
    <row r="4990" spans="1:3" x14ac:dyDescent="0.25">
      <c r="A4990">
        <v>38</v>
      </c>
      <c r="B4990" t="str">
        <f>"8:58:36.796008"</f>
        <v>8:58:36.796008</v>
      </c>
      <c r="C4990">
        <v>-31</v>
      </c>
    </row>
    <row r="4991" spans="1:3" x14ac:dyDescent="0.25">
      <c r="A4991">
        <v>38</v>
      </c>
      <c r="B4991" t="str">
        <f>"8:58:36.796333"</f>
        <v>8:58:36.796333</v>
      </c>
      <c r="C4991">
        <v>-41</v>
      </c>
    </row>
    <row r="4992" spans="1:3" x14ac:dyDescent="0.25">
      <c r="A4992">
        <v>39</v>
      </c>
      <c r="B4992" t="str">
        <f>"8:58:36.797109"</f>
        <v>8:58:36.797109</v>
      </c>
      <c r="C4992">
        <v>-45</v>
      </c>
    </row>
    <row r="4993" spans="1:3" x14ac:dyDescent="0.25">
      <c r="A4993">
        <v>37</v>
      </c>
      <c r="B4993" t="str">
        <f>"8:58:37.147293"</f>
        <v>8:58:37.147293</v>
      </c>
      <c r="C4993">
        <v>-44</v>
      </c>
    </row>
    <row r="4994" spans="1:3" x14ac:dyDescent="0.25">
      <c r="A4994">
        <v>38</v>
      </c>
      <c r="B4994" t="str">
        <f>"8:58:37.148320"</f>
        <v>8:58:37.148320</v>
      </c>
      <c r="C4994">
        <v>-41</v>
      </c>
    </row>
    <row r="4995" spans="1:3" x14ac:dyDescent="0.25">
      <c r="A4995">
        <v>39</v>
      </c>
      <c r="B4995" t="str">
        <f>"8:58:37.149346"</f>
        <v>8:58:37.149346</v>
      </c>
      <c r="C4995">
        <v>-45</v>
      </c>
    </row>
    <row r="4996" spans="1:3" x14ac:dyDescent="0.25">
      <c r="A4996">
        <v>37</v>
      </c>
      <c r="B4996" t="str">
        <f>"8:58:37.503466"</f>
        <v>8:58:37.503466</v>
      </c>
      <c r="C4996">
        <v>-44</v>
      </c>
    </row>
    <row r="4997" spans="1:3" x14ac:dyDescent="0.25">
      <c r="A4997">
        <v>38</v>
      </c>
      <c r="B4997" t="str">
        <f>"8:58:37.504493"</f>
        <v>8:58:37.504493</v>
      </c>
      <c r="C4997">
        <v>-41</v>
      </c>
    </row>
    <row r="4998" spans="1:3" x14ac:dyDescent="0.25">
      <c r="A4998">
        <v>38</v>
      </c>
      <c r="B4998" t="str">
        <f>"8:58:37.505012"</f>
        <v>8:58:37.505012</v>
      </c>
      <c r="C4998">
        <v>-31</v>
      </c>
    </row>
    <row r="4999" spans="1:3" x14ac:dyDescent="0.25">
      <c r="A4999">
        <v>38</v>
      </c>
      <c r="B4999" t="str">
        <f>"8:58:37.505337"</f>
        <v>8:58:37.505337</v>
      </c>
      <c r="C4999">
        <v>-41</v>
      </c>
    </row>
    <row r="5000" spans="1:3" x14ac:dyDescent="0.25">
      <c r="A5000">
        <v>39</v>
      </c>
      <c r="B5000" t="str">
        <f>"8:58:37.506113"</f>
        <v>8:58:37.506113</v>
      </c>
      <c r="C5000">
        <v>-45</v>
      </c>
    </row>
    <row r="5001" spans="1:3" x14ac:dyDescent="0.25">
      <c r="A5001">
        <v>37</v>
      </c>
      <c r="B5001" t="str">
        <f>"8:58:37.853924"</f>
        <v>8:58:37.853924</v>
      </c>
      <c r="C5001">
        <v>-44</v>
      </c>
    </row>
    <row r="5002" spans="1:3" x14ac:dyDescent="0.25">
      <c r="A5002">
        <v>38</v>
      </c>
      <c r="B5002" t="str">
        <f>"8:58:37.854952"</f>
        <v>8:58:37.854952</v>
      </c>
      <c r="C5002">
        <v>-41</v>
      </c>
    </row>
    <row r="5003" spans="1:3" x14ac:dyDescent="0.25">
      <c r="A5003">
        <v>39</v>
      </c>
      <c r="B5003" t="str">
        <f>"8:58:37.855978"</f>
        <v>8:58:37.855978</v>
      </c>
      <c r="C5003">
        <v>-45</v>
      </c>
    </row>
    <row r="5004" spans="1:3" x14ac:dyDescent="0.25">
      <c r="A5004">
        <v>37</v>
      </c>
      <c r="B5004" t="str">
        <f>"8:58:38.207516"</f>
        <v>8:58:38.207516</v>
      </c>
      <c r="C5004">
        <v>-44</v>
      </c>
    </row>
    <row r="5005" spans="1:3" x14ac:dyDescent="0.25">
      <c r="A5005">
        <v>38</v>
      </c>
      <c r="B5005" t="str">
        <f>"8:58:38.208544"</f>
        <v>8:58:38.208544</v>
      </c>
      <c r="C5005">
        <v>-41</v>
      </c>
    </row>
    <row r="5006" spans="1:3" x14ac:dyDescent="0.25">
      <c r="A5006">
        <v>38</v>
      </c>
      <c r="B5006" t="str">
        <f>"8:58:38.209062"</f>
        <v>8:58:38.209062</v>
      </c>
      <c r="C5006">
        <v>-30</v>
      </c>
    </row>
    <row r="5007" spans="1:3" x14ac:dyDescent="0.25">
      <c r="A5007">
        <v>38</v>
      </c>
      <c r="B5007" t="str">
        <f>"8:58:38.209388"</f>
        <v>8:58:38.209388</v>
      </c>
      <c r="C5007">
        <v>-41</v>
      </c>
    </row>
    <row r="5008" spans="1:3" x14ac:dyDescent="0.25">
      <c r="A5008">
        <v>39</v>
      </c>
      <c r="B5008" t="str">
        <f>"8:58:38.210164"</f>
        <v>8:58:38.210164</v>
      </c>
      <c r="C5008">
        <v>-45</v>
      </c>
    </row>
    <row r="5009" spans="1:3" x14ac:dyDescent="0.25">
      <c r="A5009">
        <v>37</v>
      </c>
      <c r="B5009" t="str">
        <f>"8:58:38.567268"</f>
        <v>8:58:38.567268</v>
      </c>
      <c r="C5009">
        <v>-44</v>
      </c>
    </row>
    <row r="5010" spans="1:3" x14ac:dyDescent="0.25">
      <c r="A5010">
        <v>38</v>
      </c>
      <c r="B5010" t="str">
        <f>"8:58:38.568295"</f>
        <v>8:58:38.568295</v>
      </c>
      <c r="C5010">
        <v>-41</v>
      </c>
    </row>
    <row r="5011" spans="1:3" x14ac:dyDescent="0.25">
      <c r="A5011">
        <v>39</v>
      </c>
      <c r="B5011" t="str">
        <f>"8:58:38.569321"</f>
        <v>8:58:38.569321</v>
      </c>
      <c r="C5011">
        <v>-45</v>
      </c>
    </row>
    <row r="5012" spans="1:3" x14ac:dyDescent="0.25">
      <c r="A5012">
        <v>37</v>
      </c>
      <c r="B5012" t="str">
        <f>"8:58:38.919081"</f>
        <v>8:58:38.919081</v>
      </c>
      <c r="C5012">
        <v>-44</v>
      </c>
    </row>
    <row r="5013" spans="1:3" x14ac:dyDescent="0.25">
      <c r="A5013">
        <v>38</v>
      </c>
      <c r="B5013" t="str">
        <f>"8:58:38.920108"</f>
        <v>8:58:38.920108</v>
      </c>
      <c r="C5013">
        <v>-41</v>
      </c>
    </row>
    <row r="5014" spans="1:3" x14ac:dyDescent="0.25">
      <c r="A5014">
        <v>38</v>
      </c>
      <c r="B5014" t="str">
        <f>"8:58:38.920627"</f>
        <v>8:58:38.920627</v>
      </c>
      <c r="C5014">
        <v>-31</v>
      </c>
    </row>
    <row r="5015" spans="1:3" x14ac:dyDescent="0.25">
      <c r="A5015">
        <v>38</v>
      </c>
      <c r="B5015" t="str">
        <f>"8:58:38.920953"</f>
        <v>8:58:38.920953</v>
      </c>
      <c r="C5015">
        <v>-41</v>
      </c>
    </row>
    <row r="5016" spans="1:3" x14ac:dyDescent="0.25">
      <c r="A5016">
        <v>39</v>
      </c>
      <c r="B5016" t="str">
        <f>"8:58:38.921729"</f>
        <v>8:58:38.921729</v>
      </c>
      <c r="C5016">
        <v>-45</v>
      </c>
    </row>
    <row r="5017" spans="1:3" x14ac:dyDescent="0.25">
      <c r="A5017">
        <v>37</v>
      </c>
      <c r="B5017" t="str">
        <f>"8:58:39.274473"</f>
        <v>8:58:39.274473</v>
      </c>
      <c r="C5017">
        <v>-44</v>
      </c>
    </row>
    <row r="5018" spans="1:3" x14ac:dyDescent="0.25">
      <c r="A5018">
        <v>38</v>
      </c>
      <c r="B5018" t="str">
        <f>"8:58:39.275501"</f>
        <v>8:58:39.275501</v>
      </c>
      <c r="C5018">
        <v>-41</v>
      </c>
    </row>
    <row r="5019" spans="1:3" x14ac:dyDescent="0.25">
      <c r="A5019">
        <v>38</v>
      </c>
      <c r="B5019" t="str">
        <f>"8:58:39.276019"</f>
        <v>8:58:39.276019</v>
      </c>
      <c r="C5019">
        <v>-31</v>
      </c>
    </row>
    <row r="5020" spans="1:3" x14ac:dyDescent="0.25">
      <c r="A5020">
        <v>38</v>
      </c>
      <c r="B5020" t="str">
        <f>"8:58:39.276345"</f>
        <v>8:58:39.276345</v>
      </c>
      <c r="C5020">
        <v>-41</v>
      </c>
    </row>
    <row r="5021" spans="1:3" x14ac:dyDescent="0.25">
      <c r="A5021">
        <v>39</v>
      </c>
      <c r="B5021" t="str">
        <f>"8:58:39.277121"</f>
        <v>8:58:39.277121</v>
      </c>
      <c r="C5021">
        <v>-46</v>
      </c>
    </row>
    <row r="5022" spans="1:3" x14ac:dyDescent="0.25">
      <c r="A5022">
        <v>37</v>
      </c>
      <c r="B5022" t="str">
        <f>"8:58:39.629560"</f>
        <v>8:58:39.629560</v>
      </c>
      <c r="C5022">
        <v>-44</v>
      </c>
    </row>
    <row r="5023" spans="1:3" x14ac:dyDescent="0.25">
      <c r="A5023">
        <v>38</v>
      </c>
      <c r="B5023" t="str">
        <f>"8:58:39.630588"</f>
        <v>8:58:39.630588</v>
      </c>
      <c r="C5023">
        <v>-41</v>
      </c>
    </row>
    <row r="5024" spans="1:3" x14ac:dyDescent="0.25">
      <c r="A5024">
        <v>39</v>
      </c>
      <c r="B5024" t="str">
        <f>"8:58:39.631614"</f>
        <v>8:58:39.631614</v>
      </c>
      <c r="C5024">
        <v>-45</v>
      </c>
    </row>
    <row r="5025" spans="1:3" x14ac:dyDescent="0.25">
      <c r="A5025">
        <v>39</v>
      </c>
      <c r="B5025" t="str">
        <f>"8:58:39.632133"</f>
        <v>8:58:39.632133</v>
      </c>
      <c r="C5025">
        <v>-31</v>
      </c>
    </row>
    <row r="5026" spans="1:3" x14ac:dyDescent="0.25">
      <c r="A5026">
        <v>39</v>
      </c>
      <c r="B5026" t="str">
        <f>"8:58:39.632459"</f>
        <v>8:58:39.632459</v>
      </c>
      <c r="C5026">
        <v>-45</v>
      </c>
    </row>
    <row r="5027" spans="1:3" x14ac:dyDescent="0.25">
      <c r="A5027">
        <v>37</v>
      </c>
      <c r="B5027" t="str">
        <f>"8:58:39.983386"</f>
        <v>8:58:39.983386</v>
      </c>
      <c r="C5027">
        <v>-44</v>
      </c>
    </row>
    <row r="5028" spans="1:3" x14ac:dyDescent="0.25">
      <c r="A5028">
        <v>38</v>
      </c>
      <c r="B5028" t="str">
        <f>"8:58:39.984414"</f>
        <v>8:58:39.984414</v>
      </c>
      <c r="C5028">
        <v>-41</v>
      </c>
    </row>
    <row r="5029" spans="1:3" x14ac:dyDescent="0.25">
      <c r="A5029">
        <v>39</v>
      </c>
      <c r="B5029" t="str">
        <f>"8:58:39.985440"</f>
        <v>8:58:39.985440</v>
      </c>
      <c r="C5029">
        <v>-45</v>
      </c>
    </row>
    <row r="5030" spans="1:3" x14ac:dyDescent="0.25">
      <c r="A5030">
        <v>39</v>
      </c>
      <c r="B5030" t="str">
        <f>"8:58:39.985958"</f>
        <v>8:58:39.985958</v>
      </c>
      <c r="C5030">
        <v>-31</v>
      </c>
    </row>
    <row r="5031" spans="1:3" x14ac:dyDescent="0.25">
      <c r="A5031">
        <v>39</v>
      </c>
      <c r="B5031" t="str">
        <f>"8:58:39.986284"</f>
        <v>8:58:39.986284</v>
      </c>
      <c r="C5031">
        <v>-45</v>
      </c>
    </row>
    <row r="5032" spans="1:3" x14ac:dyDescent="0.25">
      <c r="A5032">
        <v>37</v>
      </c>
      <c r="B5032" t="str">
        <f>"8:58:40.336429"</f>
        <v>8:58:40.336429</v>
      </c>
      <c r="C5032">
        <v>-44</v>
      </c>
    </row>
    <row r="5033" spans="1:3" x14ac:dyDescent="0.25">
      <c r="A5033">
        <v>38</v>
      </c>
      <c r="B5033" t="str">
        <f>"8:58:40.337456"</f>
        <v>8:58:40.337456</v>
      </c>
      <c r="C5033">
        <v>-41</v>
      </c>
    </row>
    <row r="5034" spans="1:3" x14ac:dyDescent="0.25">
      <c r="A5034">
        <v>39</v>
      </c>
      <c r="B5034" t="str">
        <f>"8:58:40.338482"</f>
        <v>8:58:40.338482</v>
      </c>
      <c r="C5034">
        <v>-45</v>
      </c>
    </row>
    <row r="5035" spans="1:3" x14ac:dyDescent="0.25">
      <c r="A5035">
        <v>39</v>
      </c>
      <c r="B5035" t="str">
        <f>"8:58:40.339000"</f>
        <v>8:58:40.339000</v>
      </c>
      <c r="C5035">
        <v>-31</v>
      </c>
    </row>
    <row r="5036" spans="1:3" x14ac:dyDescent="0.25">
      <c r="A5036">
        <v>39</v>
      </c>
      <c r="B5036" t="str">
        <f>"8:58:40.339326"</f>
        <v>8:58:40.339326</v>
      </c>
      <c r="C5036">
        <v>-45</v>
      </c>
    </row>
    <row r="5037" spans="1:3" x14ac:dyDescent="0.25">
      <c r="A5037">
        <v>37</v>
      </c>
      <c r="B5037" t="str">
        <f>"8:58:40.687665"</f>
        <v>8:58:40.687665</v>
      </c>
      <c r="C5037">
        <v>-44</v>
      </c>
    </row>
    <row r="5038" spans="1:3" x14ac:dyDescent="0.25">
      <c r="A5038">
        <v>38</v>
      </c>
      <c r="B5038" t="str">
        <f>"8:58:40.688692"</f>
        <v>8:58:40.688692</v>
      </c>
      <c r="C5038">
        <v>-41</v>
      </c>
    </row>
    <row r="5039" spans="1:3" x14ac:dyDescent="0.25">
      <c r="A5039">
        <v>39</v>
      </c>
      <c r="B5039" t="str">
        <f>"8:58:40.689718"</f>
        <v>8:58:40.689718</v>
      </c>
      <c r="C5039">
        <v>-45</v>
      </c>
    </row>
    <row r="5040" spans="1:3" x14ac:dyDescent="0.25">
      <c r="A5040">
        <v>39</v>
      </c>
      <c r="B5040" t="str">
        <f>"8:58:40.690236"</f>
        <v>8:58:40.690236</v>
      </c>
      <c r="C5040">
        <v>-31</v>
      </c>
    </row>
    <row r="5041" spans="1:3" x14ac:dyDescent="0.25">
      <c r="A5041">
        <v>39</v>
      </c>
      <c r="B5041" t="str">
        <f>"8:58:40.690562"</f>
        <v>8:58:40.690562</v>
      </c>
      <c r="C5041">
        <v>-45</v>
      </c>
    </row>
    <row r="5042" spans="1:3" x14ac:dyDescent="0.25">
      <c r="A5042">
        <v>37</v>
      </c>
      <c r="B5042" t="str">
        <f>"8:58:41.046339"</f>
        <v>8:58:41.046339</v>
      </c>
      <c r="C5042">
        <v>-44</v>
      </c>
    </row>
    <row r="5043" spans="1:3" x14ac:dyDescent="0.25">
      <c r="A5043">
        <v>38</v>
      </c>
      <c r="B5043" t="str">
        <f>"8:58:41.047367"</f>
        <v>8:58:41.047367</v>
      </c>
      <c r="C5043">
        <v>-41</v>
      </c>
    </row>
    <row r="5044" spans="1:3" x14ac:dyDescent="0.25">
      <c r="A5044">
        <v>39</v>
      </c>
      <c r="B5044" t="str">
        <f>"8:58:41.048393"</f>
        <v>8:58:41.048393</v>
      </c>
      <c r="C5044">
        <v>-45</v>
      </c>
    </row>
    <row r="5045" spans="1:3" x14ac:dyDescent="0.25">
      <c r="A5045">
        <v>39</v>
      </c>
      <c r="B5045" t="str">
        <f>"8:58:41.048911"</f>
        <v>8:58:41.048911</v>
      </c>
      <c r="C5045">
        <v>-31</v>
      </c>
    </row>
    <row r="5046" spans="1:3" x14ac:dyDescent="0.25">
      <c r="A5046">
        <v>39</v>
      </c>
      <c r="B5046" t="str">
        <f>"8:58:41.049237"</f>
        <v>8:58:41.049237</v>
      </c>
      <c r="C5046">
        <v>-45</v>
      </c>
    </row>
    <row r="5047" spans="1:3" x14ac:dyDescent="0.25">
      <c r="A5047">
        <v>37</v>
      </c>
      <c r="B5047" t="str">
        <f>"8:58:41.402962"</f>
        <v>8:58:41.402962</v>
      </c>
      <c r="C5047">
        <v>-44</v>
      </c>
    </row>
    <row r="5048" spans="1:3" x14ac:dyDescent="0.25">
      <c r="A5048">
        <v>38</v>
      </c>
      <c r="B5048" t="str">
        <f>"8:58:41.403989"</f>
        <v>8:58:41.403989</v>
      </c>
      <c r="C5048">
        <v>-41</v>
      </c>
    </row>
    <row r="5049" spans="1:3" x14ac:dyDescent="0.25">
      <c r="A5049">
        <v>39</v>
      </c>
      <c r="B5049" t="str">
        <f>"8:58:41.405015"</f>
        <v>8:58:41.405015</v>
      </c>
      <c r="C5049">
        <v>-46</v>
      </c>
    </row>
    <row r="5050" spans="1:3" x14ac:dyDescent="0.25">
      <c r="A5050">
        <v>37</v>
      </c>
      <c r="B5050" t="str">
        <f>"8:58:41.758621"</f>
        <v>8:58:41.758621</v>
      </c>
      <c r="C5050">
        <v>-44</v>
      </c>
    </row>
    <row r="5051" spans="1:3" x14ac:dyDescent="0.25">
      <c r="A5051">
        <v>38</v>
      </c>
      <c r="B5051" t="str">
        <f>"8:58:41.759649"</f>
        <v>8:58:41.759649</v>
      </c>
      <c r="C5051">
        <v>-41</v>
      </c>
    </row>
    <row r="5052" spans="1:3" x14ac:dyDescent="0.25">
      <c r="A5052">
        <v>39</v>
      </c>
      <c r="B5052" t="str">
        <f>"8:58:41.760675"</f>
        <v>8:58:41.760675</v>
      </c>
      <c r="C5052">
        <v>-46</v>
      </c>
    </row>
    <row r="5053" spans="1:3" x14ac:dyDescent="0.25">
      <c r="A5053">
        <v>39</v>
      </c>
      <c r="B5053" t="str">
        <f>"8:58:41.761193"</f>
        <v>8:58:41.761193</v>
      </c>
      <c r="C5053">
        <v>-30</v>
      </c>
    </row>
    <row r="5054" spans="1:3" x14ac:dyDescent="0.25">
      <c r="A5054">
        <v>39</v>
      </c>
      <c r="B5054" t="str">
        <f>"8:58:41.761519"</f>
        <v>8:58:41.761519</v>
      </c>
      <c r="C5054">
        <v>-45</v>
      </c>
    </row>
    <row r="5055" spans="1:3" x14ac:dyDescent="0.25">
      <c r="A5055">
        <v>37</v>
      </c>
      <c r="B5055" t="str">
        <f>"8:58:42.108845"</f>
        <v>8:58:42.108845</v>
      </c>
      <c r="C5055">
        <v>-44</v>
      </c>
    </row>
    <row r="5056" spans="1:3" x14ac:dyDescent="0.25">
      <c r="A5056">
        <v>38</v>
      </c>
      <c r="B5056" t="str">
        <f>"8:58:42.109872"</f>
        <v>8:58:42.109872</v>
      </c>
      <c r="C5056">
        <v>-41</v>
      </c>
    </row>
    <row r="5057" spans="1:3" x14ac:dyDescent="0.25">
      <c r="A5057">
        <v>39</v>
      </c>
      <c r="B5057" t="str">
        <f>"8:58:42.110898"</f>
        <v>8:58:42.110898</v>
      </c>
      <c r="C5057">
        <v>-46</v>
      </c>
    </row>
    <row r="5058" spans="1:3" x14ac:dyDescent="0.25">
      <c r="A5058">
        <v>37</v>
      </c>
      <c r="B5058" t="str">
        <f>"8:58:42.465486"</f>
        <v>8:58:42.465486</v>
      </c>
      <c r="C5058">
        <v>-44</v>
      </c>
    </row>
    <row r="5059" spans="1:3" x14ac:dyDescent="0.25">
      <c r="A5059">
        <v>38</v>
      </c>
      <c r="B5059" t="str">
        <f>"8:58:42.466513"</f>
        <v>8:58:42.466513</v>
      </c>
      <c r="C5059">
        <v>-41</v>
      </c>
    </row>
    <row r="5060" spans="1:3" x14ac:dyDescent="0.25">
      <c r="A5060">
        <v>39</v>
      </c>
      <c r="B5060" t="str">
        <f>"8:58:42.467539"</f>
        <v>8:58:42.467539</v>
      </c>
      <c r="C5060">
        <v>-46</v>
      </c>
    </row>
    <row r="5061" spans="1:3" x14ac:dyDescent="0.25">
      <c r="A5061">
        <v>39</v>
      </c>
      <c r="B5061" t="str">
        <f>"8:58:42.468058"</f>
        <v>8:58:42.468058</v>
      </c>
      <c r="C5061">
        <v>-30</v>
      </c>
    </row>
    <row r="5062" spans="1:3" x14ac:dyDescent="0.25">
      <c r="A5062">
        <v>39</v>
      </c>
      <c r="B5062" t="str">
        <f>"8:58:42.468383"</f>
        <v>8:58:42.468383</v>
      </c>
      <c r="C5062">
        <v>-45</v>
      </c>
    </row>
    <row r="5063" spans="1:3" x14ac:dyDescent="0.25">
      <c r="A5063">
        <v>37</v>
      </c>
      <c r="B5063" t="str">
        <f>"8:58:42.824223"</f>
        <v>8:58:42.824223</v>
      </c>
      <c r="C5063">
        <v>-44</v>
      </c>
    </row>
    <row r="5064" spans="1:3" x14ac:dyDescent="0.25">
      <c r="A5064">
        <v>38</v>
      </c>
      <c r="B5064" t="str">
        <f>"8:58:42.825250"</f>
        <v>8:58:42.825250</v>
      </c>
      <c r="C5064">
        <v>-41</v>
      </c>
    </row>
    <row r="5065" spans="1:3" x14ac:dyDescent="0.25">
      <c r="A5065">
        <v>39</v>
      </c>
      <c r="B5065" t="str">
        <f>"8:58:42.826276"</f>
        <v>8:58:42.826276</v>
      </c>
      <c r="C5065">
        <v>-46</v>
      </c>
    </row>
    <row r="5066" spans="1:3" x14ac:dyDescent="0.25">
      <c r="A5066">
        <v>39</v>
      </c>
      <c r="B5066" t="str">
        <f>"8:58:42.826794"</f>
        <v>8:58:42.826794</v>
      </c>
      <c r="C5066">
        <v>-30</v>
      </c>
    </row>
    <row r="5067" spans="1:3" x14ac:dyDescent="0.25">
      <c r="A5067">
        <v>39</v>
      </c>
      <c r="B5067" t="str">
        <f>"8:58:42.827120"</f>
        <v>8:58:42.827120</v>
      </c>
      <c r="C5067">
        <v>-45</v>
      </c>
    </row>
    <row r="5068" spans="1:3" x14ac:dyDescent="0.25">
      <c r="A5068">
        <v>37</v>
      </c>
      <c r="B5068" t="str">
        <f>"8:58:43.183698"</f>
        <v>8:58:43.183698</v>
      </c>
      <c r="C5068">
        <v>-44</v>
      </c>
    </row>
    <row r="5069" spans="1:3" x14ac:dyDescent="0.25">
      <c r="A5069">
        <v>38</v>
      </c>
      <c r="B5069" t="str">
        <f>"8:58:43.184725"</f>
        <v>8:58:43.184725</v>
      </c>
      <c r="C5069">
        <v>-41</v>
      </c>
    </row>
    <row r="5070" spans="1:3" x14ac:dyDescent="0.25">
      <c r="A5070">
        <v>39</v>
      </c>
      <c r="B5070" t="str">
        <f>"8:58:43.185751"</f>
        <v>8:58:43.185751</v>
      </c>
      <c r="C5070">
        <v>-46</v>
      </c>
    </row>
    <row r="5071" spans="1:3" x14ac:dyDescent="0.25">
      <c r="A5071">
        <v>39</v>
      </c>
      <c r="B5071" t="str">
        <f>"8:58:43.186269"</f>
        <v>8:58:43.186269</v>
      </c>
      <c r="C5071">
        <v>-30</v>
      </c>
    </row>
    <row r="5072" spans="1:3" x14ac:dyDescent="0.25">
      <c r="A5072">
        <v>39</v>
      </c>
      <c r="B5072" t="str">
        <f>"8:58:43.186595"</f>
        <v>8:58:43.186595</v>
      </c>
      <c r="C5072">
        <v>-45</v>
      </c>
    </row>
    <row r="5073" spans="1:3" x14ac:dyDescent="0.25">
      <c r="A5073">
        <v>37</v>
      </c>
      <c r="B5073" t="str">
        <f>"8:58:43.541894"</f>
        <v>8:58:43.541894</v>
      </c>
      <c r="C5073">
        <v>-44</v>
      </c>
    </row>
    <row r="5074" spans="1:3" x14ac:dyDescent="0.25">
      <c r="A5074">
        <v>38</v>
      </c>
      <c r="B5074" t="str">
        <f>"8:58:43.542921"</f>
        <v>8:58:43.542921</v>
      </c>
      <c r="C5074">
        <v>-41</v>
      </c>
    </row>
    <row r="5075" spans="1:3" x14ac:dyDescent="0.25">
      <c r="A5075">
        <v>39</v>
      </c>
      <c r="B5075" t="str">
        <f>"8:58:43.543947"</f>
        <v>8:58:43.543947</v>
      </c>
      <c r="C5075">
        <v>-45</v>
      </c>
    </row>
    <row r="5076" spans="1:3" x14ac:dyDescent="0.25">
      <c r="A5076">
        <v>39</v>
      </c>
      <c r="B5076" t="str">
        <f>"8:58:43.544465"</f>
        <v>8:58:43.544465</v>
      </c>
      <c r="C5076">
        <v>-30</v>
      </c>
    </row>
    <row r="5077" spans="1:3" x14ac:dyDescent="0.25">
      <c r="A5077">
        <v>39</v>
      </c>
      <c r="B5077" t="str">
        <f>"8:58:43.544792"</f>
        <v>8:58:43.544792</v>
      </c>
      <c r="C5077">
        <v>-45</v>
      </c>
    </row>
    <row r="5078" spans="1:3" x14ac:dyDescent="0.25">
      <c r="A5078">
        <v>37</v>
      </c>
      <c r="B5078" t="str">
        <f>"8:58:43.894202"</f>
        <v>8:58:43.894202</v>
      </c>
      <c r="C5078">
        <v>-44</v>
      </c>
    </row>
    <row r="5079" spans="1:3" x14ac:dyDescent="0.25">
      <c r="A5079">
        <v>38</v>
      </c>
      <c r="B5079" t="str">
        <f>"8:58:43.895229"</f>
        <v>8:58:43.895229</v>
      </c>
      <c r="C5079">
        <v>-41</v>
      </c>
    </row>
    <row r="5080" spans="1:3" x14ac:dyDescent="0.25">
      <c r="A5080">
        <v>39</v>
      </c>
      <c r="B5080" t="str">
        <f>"8:58:43.896255"</f>
        <v>8:58:43.896255</v>
      </c>
      <c r="C5080">
        <v>-45</v>
      </c>
    </row>
    <row r="5081" spans="1:3" x14ac:dyDescent="0.25">
      <c r="A5081">
        <v>39</v>
      </c>
      <c r="B5081" t="str">
        <f>"8:58:43.896774"</f>
        <v>8:58:43.896774</v>
      </c>
      <c r="C5081">
        <v>-31</v>
      </c>
    </row>
    <row r="5082" spans="1:3" x14ac:dyDescent="0.25">
      <c r="A5082">
        <v>39</v>
      </c>
      <c r="B5082" t="str">
        <f>"8:58:43.897099"</f>
        <v>8:58:43.897099</v>
      </c>
      <c r="C5082">
        <v>-45</v>
      </c>
    </row>
    <row r="5083" spans="1:3" x14ac:dyDescent="0.25">
      <c r="A5083">
        <v>37</v>
      </c>
      <c r="B5083" t="str">
        <f>"8:58:44.253672"</f>
        <v>8:58:44.253672</v>
      </c>
      <c r="C5083">
        <v>-44</v>
      </c>
    </row>
    <row r="5084" spans="1:3" x14ac:dyDescent="0.25">
      <c r="A5084">
        <v>38</v>
      </c>
      <c r="B5084" t="str">
        <f>"8:58:44.254700"</f>
        <v>8:58:44.254700</v>
      </c>
      <c r="C5084">
        <v>-41</v>
      </c>
    </row>
    <row r="5085" spans="1:3" x14ac:dyDescent="0.25">
      <c r="A5085">
        <v>39</v>
      </c>
      <c r="B5085" t="str">
        <f>"8:58:44.255726"</f>
        <v>8:58:44.255726</v>
      </c>
      <c r="C5085">
        <v>-45</v>
      </c>
    </row>
    <row r="5086" spans="1:3" x14ac:dyDescent="0.25">
      <c r="A5086">
        <v>39</v>
      </c>
      <c r="B5086" t="str">
        <f>"8:58:44.256244"</f>
        <v>8:58:44.256244</v>
      </c>
      <c r="C5086">
        <v>-31</v>
      </c>
    </row>
    <row r="5087" spans="1:3" x14ac:dyDescent="0.25">
      <c r="A5087">
        <v>39</v>
      </c>
      <c r="B5087" t="str">
        <f>"8:58:44.256570"</f>
        <v>8:58:44.256570</v>
      </c>
      <c r="C5087">
        <v>-45</v>
      </c>
    </row>
    <row r="5088" spans="1:3" x14ac:dyDescent="0.25">
      <c r="A5088">
        <v>37</v>
      </c>
      <c r="B5088" t="str">
        <f>"8:58:44.607479"</f>
        <v>8:58:44.607479</v>
      </c>
      <c r="C5088">
        <v>-44</v>
      </c>
    </row>
    <row r="5089" spans="1:3" x14ac:dyDescent="0.25">
      <c r="A5089">
        <v>37</v>
      </c>
      <c r="B5089" t="str">
        <f>"8:58:44.607998"</f>
        <v>8:58:44.607998</v>
      </c>
      <c r="C5089">
        <v>-39</v>
      </c>
    </row>
    <row r="5090" spans="1:3" x14ac:dyDescent="0.25">
      <c r="A5090">
        <v>37</v>
      </c>
      <c r="B5090" t="str">
        <f>"8:58:44.608324"</f>
        <v>8:58:44.608324</v>
      </c>
      <c r="C5090">
        <v>-44</v>
      </c>
    </row>
    <row r="5091" spans="1:3" x14ac:dyDescent="0.25">
      <c r="A5091">
        <v>38</v>
      </c>
      <c r="B5091" t="str">
        <f>"8:58:44.609100"</f>
        <v>8:58:44.609100</v>
      </c>
      <c r="C5091">
        <v>-41</v>
      </c>
    </row>
    <row r="5092" spans="1:3" x14ac:dyDescent="0.25">
      <c r="A5092">
        <v>39</v>
      </c>
      <c r="B5092" t="str">
        <f>"8:58:44.610126"</f>
        <v>8:58:44.610126</v>
      </c>
      <c r="C5092">
        <v>-45</v>
      </c>
    </row>
    <row r="5093" spans="1:3" x14ac:dyDescent="0.25">
      <c r="A5093">
        <v>37</v>
      </c>
      <c r="B5093" t="str">
        <f>"8:58:44.960010"</f>
        <v>8:58:44.960010</v>
      </c>
      <c r="C5093">
        <v>-44</v>
      </c>
    </row>
    <row r="5094" spans="1:3" x14ac:dyDescent="0.25">
      <c r="A5094">
        <v>37</v>
      </c>
      <c r="B5094" t="str">
        <f>"8:58:44.960528"</f>
        <v>8:58:44.960528</v>
      </c>
      <c r="C5094">
        <v>-39</v>
      </c>
    </row>
    <row r="5095" spans="1:3" x14ac:dyDescent="0.25">
      <c r="A5095">
        <v>37</v>
      </c>
      <c r="B5095" t="str">
        <f>"8:58:44.960854"</f>
        <v>8:58:44.960854</v>
      </c>
      <c r="C5095">
        <v>-44</v>
      </c>
    </row>
    <row r="5096" spans="1:3" x14ac:dyDescent="0.25">
      <c r="A5096">
        <v>38</v>
      </c>
      <c r="B5096" t="str">
        <f>"8:58:44.961630"</f>
        <v>8:58:44.961630</v>
      </c>
      <c r="C5096">
        <v>-41</v>
      </c>
    </row>
    <row r="5097" spans="1:3" x14ac:dyDescent="0.25">
      <c r="A5097">
        <v>39</v>
      </c>
      <c r="B5097" t="str">
        <f>"8:58:44.962656"</f>
        <v>8:58:44.962656</v>
      </c>
      <c r="C5097">
        <v>-45</v>
      </c>
    </row>
    <row r="5098" spans="1:3" x14ac:dyDescent="0.25">
      <c r="A5098">
        <v>37</v>
      </c>
      <c r="B5098" t="str">
        <f>"8:58:45.314810"</f>
        <v>8:58:45.314810</v>
      </c>
      <c r="C5098">
        <v>-44</v>
      </c>
    </row>
    <row r="5099" spans="1:3" x14ac:dyDescent="0.25">
      <c r="A5099">
        <v>37</v>
      </c>
      <c r="B5099" t="str">
        <f>"8:58:45.315328"</f>
        <v>8:58:45.315328</v>
      </c>
      <c r="C5099">
        <v>-40</v>
      </c>
    </row>
    <row r="5100" spans="1:3" x14ac:dyDescent="0.25">
      <c r="A5100">
        <v>37</v>
      </c>
      <c r="B5100" t="str">
        <f>"8:58:45.315654"</f>
        <v>8:58:45.315654</v>
      </c>
      <c r="C5100">
        <v>-44</v>
      </c>
    </row>
    <row r="5101" spans="1:3" x14ac:dyDescent="0.25">
      <c r="A5101">
        <v>38</v>
      </c>
      <c r="B5101" t="str">
        <f>"8:58:45.316430"</f>
        <v>8:58:45.316430</v>
      </c>
      <c r="C5101">
        <v>-42</v>
      </c>
    </row>
    <row r="5102" spans="1:3" x14ac:dyDescent="0.25">
      <c r="A5102">
        <v>39</v>
      </c>
      <c r="B5102" t="str">
        <f>"8:58:45.317457"</f>
        <v>8:58:45.317457</v>
      </c>
      <c r="C5102">
        <v>-46</v>
      </c>
    </row>
    <row r="5103" spans="1:3" x14ac:dyDescent="0.25">
      <c r="A5103">
        <v>37</v>
      </c>
      <c r="B5103" t="str">
        <f>"8:58:45.665772"</f>
        <v>8:58:45.665772</v>
      </c>
      <c r="C5103">
        <v>-44</v>
      </c>
    </row>
    <row r="5104" spans="1:3" x14ac:dyDescent="0.25">
      <c r="A5104">
        <v>37</v>
      </c>
      <c r="B5104" t="str">
        <f>"8:58:45.666292"</f>
        <v>8:58:45.666292</v>
      </c>
      <c r="C5104">
        <v>-40</v>
      </c>
    </row>
    <row r="5105" spans="1:3" x14ac:dyDescent="0.25">
      <c r="A5105">
        <v>37</v>
      </c>
      <c r="B5105" t="str">
        <f>"8:58:45.666618"</f>
        <v>8:58:45.666618</v>
      </c>
      <c r="C5105">
        <v>-44</v>
      </c>
    </row>
    <row r="5106" spans="1:3" x14ac:dyDescent="0.25">
      <c r="A5106">
        <v>38</v>
      </c>
      <c r="B5106" t="str">
        <f>"8:58:45.667394"</f>
        <v>8:58:45.667394</v>
      </c>
      <c r="C5106">
        <v>-41</v>
      </c>
    </row>
    <row r="5107" spans="1:3" x14ac:dyDescent="0.25">
      <c r="A5107">
        <v>39</v>
      </c>
      <c r="B5107" t="str">
        <f>"8:58:45.668420"</f>
        <v>8:58:45.668420</v>
      </c>
      <c r="C5107">
        <v>-46</v>
      </c>
    </row>
    <row r="5108" spans="1:3" x14ac:dyDescent="0.25">
      <c r="A5108">
        <v>37</v>
      </c>
      <c r="B5108" t="str">
        <f>"8:58:46.024234"</f>
        <v>8:58:46.024234</v>
      </c>
      <c r="C5108">
        <v>-44</v>
      </c>
    </row>
    <row r="5109" spans="1:3" x14ac:dyDescent="0.25">
      <c r="A5109">
        <v>37</v>
      </c>
      <c r="B5109" t="str">
        <f>"8:58:46.024753"</f>
        <v>8:58:46.024753</v>
      </c>
      <c r="C5109">
        <v>-40</v>
      </c>
    </row>
    <row r="5110" spans="1:3" x14ac:dyDescent="0.25">
      <c r="A5110">
        <v>37</v>
      </c>
      <c r="B5110" t="str">
        <f>"8:58:46.025079"</f>
        <v>8:58:46.025079</v>
      </c>
      <c r="C5110">
        <v>-44</v>
      </c>
    </row>
    <row r="5111" spans="1:3" x14ac:dyDescent="0.25">
      <c r="A5111">
        <v>38</v>
      </c>
      <c r="B5111" t="str">
        <f>"8:58:46.025855"</f>
        <v>8:58:46.025855</v>
      </c>
      <c r="C5111">
        <v>-41</v>
      </c>
    </row>
    <row r="5112" spans="1:3" x14ac:dyDescent="0.25">
      <c r="A5112">
        <v>39</v>
      </c>
      <c r="B5112" t="str">
        <f>"8:58:46.026881"</f>
        <v>8:58:46.026881</v>
      </c>
      <c r="C5112">
        <v>-46</v>
      </c>
    </row>
    <row r="5113" spans="1:3" x14ac:dyDescent="0.25">
      <c r="A5113">
        <v>37</v>
      </c>
      <c r="B5113" t="str">
        <f>"8:58:46.384213"</f>
        <v>8:58:46.384213</v>
      </c>
      <c r="C5113">
        <v>-44</v>
      </c>
    </row>
    <row r="5114" spans="1:3" x14ac:dyDescent="0.25">
      <c r="A5114">
        <v>37</v>
      </c>
      <c r="B5114" t="str">
        <f>"8:58:46.384732"</f>
        <v>8:58:46.384732</v>
      </c>
      <c r="C5114">
        <v>-40</v>
      </c>
    </row>
    <row r="5115" spans="1:3" x14ac:dyDescent="0.25">
      <c r="A5115">
        <v>37</v>
      </c>
      <c r="B5115" t="str">
        <f>"8:58:46.385057"</f>
        <v>8:58:46.385057</v>
      </c>
      <c r="C5115">
        <v>-44</v>
      </c>
    </row>
    <row r="5116" spans="1:3" x14ac:dyDescent="0.25">
      <c r="A5116">
        <v>38</v>
      </c>
      <c r="B5116" t="str">
        <f>"8:58:46.385834"</f>
        <v>8:58:46.385834</v>
      </c>
      <c r="C5116">
        <v>-41</v>
      </c>
    </row>
    <row r="5117" spans="1:3" x14ac:dyDescent="0.25">
      <c r="A5117">
        <v>39</v>
      </c>
      <c r="B5117" t="str">
        <f>"8:58:46.386860"</f>
        <v>8:58:46.386860</v>
      </c>
      <c r="C5117">
        <v>-46</v>
      </c>
    </row>
    <row r="5118" spans="1:3" x14ac:dyDescent="0.25">
      <c r="A5118">
        <v>37</v>
      </c>
      <c r="B5118" t="str">
        <f>"8:58:46.740591"</f>
        <v>8:58:46.740591</v>
      </c>
      <c r="C5118">
        <v>-44</v>
      </c>
    </row>
    <row r="5119" spans="1:3" x14ac:dyDescent="0.25">
      <c r="A5119">
        <v>37</v>
      </c>
      <c r="B5119" t="str">
        <f>"8:58:46.741109"</f>
        <v>8:58:46.741109</v>
      </c>
      <c r="C5119">
        <v>-40</v>
      </c>
    </row>
    <row r="5120" spans="1:3" x14ac:dyDescent="0.25">
      <c r="A5120">
        <v>37</v>
      </c>
      <c r="B5120" t="str">
        <f>"8:58:46.741435"</f>
        <v>8:58:46.741435</v>
      </c>
      <c r="C5120">
        <v>-44</v>
      </c>
    </row>
    <row r="5121" spans="1:3" x14ac:dyDescent="0.25">
      <c r="A5121">
        <v>38</v>
      </c>
      <c r="B5121" t="str">
        <f>"8:58:46.742211"</f>
        <v>8:58:46.742211</v>
      </c>
      <c r="C5121">
        <v>-41</v>
      </c>
    </row>
    <row r="5122" spans="1:3" x14ac:dyDescent="0.25">
      <c r="A5122">
        <v>39</v>
      </c>
      <c r="B5122" t="str">
        <f>"8:58:46.743237"</f>
        <v>8:58:46.743237</v>
      </c>
      <c r="C5122">
        <v>-45</v>
      </c>
    </row>
    <row r="5123" spans="1:3" x14ac:dyDescent="0.25">
      <c r="A5123">
        <v>37</v>
      </c>
      <c r="B5123" t="str">
        <f>"8:58:47.100593"</f>
        <v>8:58:47.100593</v>
      </c>
      <c r="C5123">
        <v>-44</v>
      </c>
    </row>
    <row r="5124" spans="1:3" x14ac:dyDescent="0.25">
      <c r="A5124">
        <v>37</v>
      </c>
      <c r="B5124" t="str">
        <f>"8:58:47.101111"</f>
        <v>8:58:47.101111</v>
      </c>
      <c r="C5124">
        <v>-40</v>
      </c>
    </row>
    <row r="5125" spans="1:3" x14ac:dyDescent="0.25">
      <c r="A5125">
        <v>37</v>
      </c>
      <c r="B5125" t="str">
        <f>"8:58:47.101437"</f>
        <v>8:58:47.101437</v>
      </c>
      <c r="C5125">
        <v>-44</v>
      </c>
    </row>
    <row r="5126" spans="1:3" x14ac:dyDescent="0.25">
      <c r="A5126">
        <v>38</v>
      </c>
      <c r="B5126" t="str">
        <f>"8:58:47.102213"</f>
        <v>8:58:47.102213</v>
      </c>
      <c r="C5126">
        <v>-41</v>
      </c>
    </row>
    <row r="5127" spans="1:3" x14ac:dyDescent="0.25">
      <c r="A5127">
        <v>39</v>
      </c>
      <c r="B5127" t="str">
        <f>"8:58:47.103239"</f>
        <v>8:58:47.103239</v>
      </c>
      <c r="C5127">
        <v>-45</v>
      </c>
    </row>
    <row r="5128" spans="1:3" x14ac:dyDescent="0.25">
      <c r="A5128">
        <v>37</v>
      </c>
      <c r="B5128" t="str">
        <f>"8:58:47.457968"</f>
        <v>8:58:47.457968</v>
      </c>
      <c r="C5128">
        <v>-44</v>
      </c>
    </row>
    <row r="5129" spans="1:3" x14ac:dyDescent="0.25">
      <c r="A5129">
        <v>37</v>
      </c>
      <c r="B5129" t="str">
        <f>"8:58:47.458486"</f>
        <v>8:58:47.458486</v>
      </c>
      <c r="C5129">
        <v>-40</v>
      </c>
    </row>
    <row r="5130" spans="1:3" x14ac:dyDescent="0.25">
      <c r="A5130">
        <v>37</v>
      </c>
      <c r="B5130" t="str">
        <f>"8:58:47.458813"</f>
        <v>8:58:47.458813</v>
      </c>
      <c r="C5130">
        <v>-44</v>
      </c>
    </row>
    <row r="5131" spans="1:3" x14ac:dyDescent="0.25">
      <c r="A5131">
        <v>38</v>
      </c>
      <c r="B5131" t="str">
        <f>"8:58:47.459589"</f>
        <v>8:58:47.459589</v>
      </c>
      <c r="C5131">
        <v>-41</v>
      </c>
    </row>
    <row r="5132" spans="1:3" x14ac:dyDescent="0.25">
      <c r="A5132">
        <v>39</v>
      </c>
      <c r="B5132" t="str">
        <f>"8:58:47.460615"</f>
        <v>8:58:47.460615</v>
      </c>
      <c r="C5132">
        <v>-45</v>
      </c>
    </row>
    <row r="5133" spans="1:3" x14ac:dyDescent="0.25">
      <c r="A5133">
        <v>37</v>
      </c>
      <c r="B5133" t="str">
        <f>"8:58:47.813022"</f>
        <v>8:58:47.813022</v>
      </c>
      <c r="C5133">
        <v>-44</v>
      </c>
    </row>
    <row r="5134" spans="1:3" x14ac:dyDescent="0.25">
      <c r="A5134">
        <v>37</v>
      </c>
      <c r="B5134" t="str">
        <f>"8:58:47.813542"</f>
        <v>8:58:47.813542</v>
      </c>
      <c r="C5134">
        <v>-39</v>
      </c>
    </row>
    <row r="5135" spans="1:3" x14ac:dyDescent="0.25">
      <c r="A5135">
        <v>37</v>
      </c>
      <c r="B5135" t="str">
        <f>"8:58:47.813867"</f>
        <v>8:58:47.813867</v>
      </c>
      <c r="C5135">
        <v>-44</v>
      </c>
    </row>
    <row r="5136" spans="1:3" x14ac:dyDescent="0.25">
      <c r="A5136">
        <v>38</v>
      </c>
      <c r="B5136" t="str">
        <f>"8:58:47.814644"</f>
        <v>8:58:47.814644</v>
      </c>
      <c r="C5136">
        <v>-41</v>
      </c>
    </row>
    <row r="5137" spans="1:3" x14ac:dyDescent="0.25">
      <c r="A5137">
        <v>39</v>
      </c>
      <c r="B5137" t="str">
        <f>"8:58:47.815670"</f>
        <v>8:58:47.815670</v>
      </c>
      <c r="C5137">
        <v>-45</v>
      </c>
    </row>
    <row r="5138" spans="1:3" x14ac:dyDescent="0.25">
      <c r="A5138">
        <v>37</v>
      </c>
      <c r="B5138" t="str">
        <f>"8:58:48.165546"</f>
        <v>8:58:48.165546</v>
      </c>
      <c r="C5138">
        <v>-44</v>
      </c>
    </row>
    <row r="5139" spans="1:3" x14ac:dyDescent="0.25">
      <c r="A5139">
        <v>38</v>
      </c>
      <c r="B5139" t="str">
        <f>"8:58:48.166573"</f>
        <v>8:58:48.166573</v>
      </c>
      <c r="C5139">
        <v>-41</v>
      </c>
    </row>
    <row r="5140" spans="1:3" x14ac:dyDescent="0.25">
      <c r="A5140">
        <v>39</v>
      </c>
      <c r="B5140" t="str">
        <f>"8:58:48.167599"</f>
        <v>8:58:48.167599</v>
      </c>
      <c r="C5140">
        <v>-45</v>
      </c>
    </row>
    <row r="5141" spans="1:3" x14ac:dyDescent="0.25">
      <c r="A5141">
        <v>39</v>
      </c>
      <c r="B5141" t="str">
        <f>"8:58:48.168117"</f>
        <v>8:58:48.168117</v>
      </c>
      <c r="C5141">
        <v>-86</v>
      </c>
    </row>
    <row r="5142" spans="1:3" x14ac:dyDescent="0.25">
      <c r="A5142">
        <v>37</v>
      </c>
      <c r="B5142" t="str">
        <f>"8:58:48.518321"</f>
        <v>8:58:48.518321</v>
      </c>
      <c r="C5142">
        <v>-44</v>
      </c>
    </row>
    <row r="5143" spans="1:3" x14ac:dyDescent="0.25">
      <c r="A5143">
        <v>37</v>
      </c>
      <c r="B5143" t="str">
        <f>"8:58:48.518839"</f>
        <v>8:58:48.518839</v>
      </c>
      <c r="C5143">
        <v>-39</v>
      </c>
    </row>
    <row r="5144" spans="1:3" x14ac:dyDescent="0.25">
      <c r="A5144">
        <v>37</v>
      </c>
      <c r="B5144" t="str">
        <f>"8:58:48.519165"</f>
        <v>8:58:48.519165</v>
      </c>
      <c r="C5144">
        <v>-44</v>
      </c>
    </row>
    <row r="5145" spans="1:3" x14ac:dyDescent="0.25">
      <c r="A5145">
        <v>38</v>
      </c>
      <c r="B5145" t="str">
        <f>"8:58:48.519941"</f>
        <v>8:58:48.519941</v>
      </c>
      <c r="C5145">
        <v>-41</v>
      </c>
    </row>
    <row r="5146" spans="1:3" x14ac:dyDescent="0.25">
      <c r="A5146">
        <v>39</v>
      </c>
      <c r="B5146" t="str">
        <f>"8:58:48.520967"</f>
        <v>8:58:48.520967</v>
      </c>
      <c r="C5146">
        <v>-45</v>
      </c>
    </row>
    <row r="5147" spans="1:3" x14ac:dyDescent="0.25">
      <c r="A5147">
        <v>37</v>
      </c>
      <c r="B5147" t="str">
        <f>"8:58:48.869049"</f>
        <v>8:58:48.869049</v>
      </c>
      <c r="C5147">
        <v>-44</v>
      </c>
    </row>
    <row r="5148" spans="1:3" x14ac:dyDescent="0.25">
      <c r="A5148">
        <v>37</v>
      </c>
      <c r="B5148" t="str">
        <f>"8:58:48.869567"</f>
        <v>8:58:48.869567</v>
      </c>
      <c r="C5148">
        <v>-40</v>
      </c>
    </row>
    <row r="5149" spans="1:3" x14ac:dyDescent="0.25">
      <c r="A5149">
        <v>37</v>
      </c>
      <c r="B5149" t="str">
        <f>"8:58:48.869893"</f>
        <v>8:58:48.869893</v>
      </c>
      <c r="C5149">
        <v>-44</v>
      </c>
    </row>
    <row r="5150" spans="1:3" x14ac:dyDescent="0.25">
      <c r="A5150">
        <v>38</v>
      </c>
      <c r="B5150" t="str">
        <f>"8:58:48.870669"</f>
        <v>8:58:48.870669</v>
      </c>
      <c r="C5150">
        <v>-41</v>
      </c>
    </row>
    <row r="5151" spans="1:3" x14ac:dyDescent="0.25">
      <c r="A5151">
        <v>39</v>
      </c>
      <c r="B5151" t="str">
        <f>"8:58:48.871695"</f>
        <v>8:58:48.871695</v>
      </c>
      <c r="C5151">
        <v>-45</v>
      </c>
    </row>
    <row r="5152" spans="1:3" x14ac:dyDescent="0.25">
      <c r="A5152">
        <v>37</v>
      </c>
      <c r="B5152" t="str">
        <f>"8:58:49.223606"</f>
        <v>8:58:49.223606</v>
      </c>
      <c r="C5152">
        <v>-44</v>
      </c>
    </row>
    <row r="5153" spans="1:3" x14ac:dyDescent="0.25">
      <c r="A5153">
        <v>37</v>
      </c>
      <c r="B5153" t="str">
        <f>"8:58:49.224124"</f>
        <v>8:58:49.224124</v>
      </c>
      <c r="C5153">
        <v>-41</v>
      </c>
    </row>
    <row r="5154" spans="1:3" x14ac:dyDescent="0.25">
      <c r="A5154">
        <v>37</v>
      </c>
      <c r="B5154" t="str">
        <f>"8:58:49.224450"</f>
        <v>8:58:49.224450</v>
      </c>
      <c r="C5154">
        <v>-44</v>
      </c>
    </row>
    <row r="5155" spans="1:3" x14ac:dyDescent="0.25">
      <c r="A5155">
        <v>38</v>
      </c>
      <c r="B5155" t="str">
        <f>"8:58:49.225226"</f>
        <v>8:58:49.225226</v>
      </c>
      <c r="C5155">
        <v>-41</v>
      </c>
    </row>
    <row r="5156" spans="1:3" x14ac:dyDescent="0.25">
      <c r="A5156">
        <v>39</v>
      </c>
      <c r="B5156" t="str">
        <f>"8:58:49.226252"</f>
        <v>8:58:49.226252</v>
      </c>
      <c r="C5156">
        <v>-45</v>
      </c>
    </row>
    <row r="5157" spans="1:3" x14ac:dyDescent="0.25">
      <c r="A5157">
        <v>37</v>
      </c>
      <c r="B5157" t="str">
        <f>"8:58:49.578980"</f>
        <v>8:58:49.578980</v>
      </c>
      <c r="C5157">
        <v>-44</v>
      </c>
    </row>
    <row r="5158" spans="1:3" x14ac:dyDescent="0.25">
      <c r="A5158">
        <v>38</v>
      </c>
      <c r="B5158" t="str">
        <f>"8:58:49.580007"</f>
        <v>8:58:49.580007</v>
      </c>
      <c r="C5158">
        <v>-41</v>
      </c>
    </row>
    <row r="5159" spans="1:3" x14ac:dyDescent="0.25">
      <c r="A5159">
        <v>38</v>
      </c>
      <c r="B5159" t="str">
        <f>"8:58:49.580525"</f>
        <v>8:58:49.580525</v>
      </c>
      <c r="C5159">
        <v>-32</v>
      </c>
    </row>
    <row r="5160" spans="1:3" x14ac:dyDescent="0.25">
      <c r="A5160">
        <v>38</v>
      </c>
      <c r="B5160" t="str">
        <f>"8:58:49.580851"</f>
        <v>8:58:49.580851</v>
      </c>
      <c r="C5160">
        <v>-41</v>
      </c>
    </row>
    <row r="5161" spans="1:3" x14ac:dyDescent="0.25">
      <c r="A5161">
        <v>39</v>
      </c>
      <c r="B5161" t="str">
        <f>"8:58:49.581627"</f>
        <v>8:58:49.581627</v>
      </c>
      <c r="C5161">
        <v>-45</v>
      </c>
    </row>
    <row r="5162" spans="1:3" x14ac:dyDescent="0.25">
      <c r="A5162">
        <v>37</v>
      </c>
      <c r="B5162" t="str">
        <f>"8:58:49.936910"</f>
        <v>8:58:49.936910</v>
      </c>
      <c r="C5162">
        <v>-44</v>
      </c>
    </row>
    <row r="5163" spans="1:3" x14ac:dyDescent="0.25">
      <c r="A5163">
        <v>38</v>
      </c>
      <c r="B5163" t="str">
        <f>"8:58:49.937937"</f>
        <v>8:58:49.937937</v>
      </c>
      <c r="C5163">
        <v>-41</v>
      </c>
    </row>
    <row r="5164" spans="1:3" x14ac:dyDescent="0.25">
      <c r="A5164">
        <v>39</v>
      </c>
      <c r="B5164" t="str">
        <f>"8:58:49.938963"</f>
        <v>8:58:49.938963</v>
      </c>
      <c r="C5164">
        <v>-45</v>
      </c>
    </row>
    <row r="5165" spans="1:3" x14ac:dyDescent="0.25">
      <c r="A5165">
        <v>37</v>
      </c>
      <c r="B5165" t="str">
        <f>"8:58:50.295557"</f>
        <v>8:58:50.295557</v>
      </c>
      <c r="C5165">
        <v>-44</v>
      </c>
    </row>
    <row r="5166" spans="1:3" x14ac:dyDescent="0.25">
      <c r="A5166">
        <v>38</v>
      </c>
      <c r="B5166" t="str">
        <f>"8:58:50.296585"</f>
        <v>8:58:50.296585</v>
      </c>
      <c r="C5166">
        <v>-41</v>
      </c>
    </row>
    <row r="5167" spans="1:3" x14ac:dyDescent="0.25">
      <c r="A5167">
        <v>38</v>
      </c>
      <c r="B5167" t="str">
        <f>"8:58:50.297103"</f>
        <v>8:58:50.297103</v>
      </c>
      <c r="C5167">
        <v>-32</v>
      </c>
    </row>
    <row r="5168" spans="1:3" x14ac:dyDescent="0.25">
      <c r="A5168">
        <v>38</v>
      </c>
      <c r="B5168" t="str">
        <f>"8:58:50.297430"</f>
        <v>8:58:50.297430</v>
      </c>
      <c r="C5168">
        <v>-41</v>
      </c>
    </row>
    <row r="5169" spans="1:3" x14ac:dyDescent="0.25">
      <c r="A5169">
        <v>39</v>
      </c>
      <c r="B5169" t="str">
        <f>"8:58:50.298206"</f>
        <v>8:58:50.298206</v>
      </c>
      <c r="C5169">
        <v>-45</v>
      </c>
    </row>
    <row r="5170" spans="1:3" x14ac:dyDescent="0.25">
      <c r="A5170">
        <v>37</v>
      </c>
      <c r="B5170" t="str">
        <f>"8:58:50.649605"</f>
        <v>8:58:50.649605</v>
      </c>
      <c r="C5170">
        <v>-45</v>
      </c>
    </row>
    <row r="5171" spans="1:3" x14ac:dyDescent="0.25">
      <c r="A5171">
        <v>38</v>
      </c>
      <c r="B5171" t="str">
        <f>"8:58:50.650632"</f>
        <v>8:58:50.650632</v>
      </c>
      <c r="C5171">
        <v>-41</v>
      </c>
    </row>
    <row r="5172" spans="1:3" x14ac:dyDescent="0.25">
      <c r="A5172">
        <v>39</v>
      </c>
      <c r="B5172" t="str">
        <f>"8:58:50.651658"</f>
        <v>8:58:50.651658</v>
      </c>
      <c r="C5172">
        <v>-46</v>
      </c>
    </row>
    <row r="5173" spans="1:3" x14ac:dyDescent="0.25">
      <c r="A5173">
        <v>37</v>
      </c>
      <c r="B5173" t="str">
        <f>"8:58:51.003720"</f>
        <v>8:58:51.003720</v>
      </c>
      <c r="C5173">
        <v>-44</v>
      </c>
    </row>
    <row r="5174" spans="1:3" x14ac:dyDescent="0.25">
      <c r="A5174">
        <v>38</v>
      </c>
      <c r="B5174" t="str">
        <f>"8:58:51.004747"</f>
        <v>8:58:51.004747</v>
      </c>
      <c r="C5174">
        <v>-41</v>
      </c>
    </row>
    <row r="5175" spans="1:3" x14ac:dyDescent="0.25">
      <c r="A5175">
        <v>38</v>
      </c>
      <c r="B5175" t="str">
        <f>"8:58:51.005266"</f>
        <v>8:58:51.005266</v>
      </c>
      <c r="C5175">
        <v>-32</v>
      </c>
    </row>
    <row r="5176" spans="1:3" x14ac:dyDescent="0.25">
      <c r="A5176">
        <v>38</v>
      </c>
      <c r="B5176" t="str">
        <f>"8:58:51.005592"</f>
        <v>8:58:51.005592</v>
      </c>
      <c r="C5176">
        <v>-41</v>
      </c>
    </row>
    <row r="5177" spans="1:3" x14ac:dyDescent="0.25">
      <c r="A5177">
        <v>39</v>
      </c>
      <c r="B5177" t="str">
        <f>"8:58:51.006368"</f>
        <v>8:58:51.006368</v>
      </c>
      <c r="C5177">
        <v>-46</v>
      </c>
    </row>
    <row r="5178" spans="1:3" x14ac:dyDescent="0.25">
      <c r="A5178">
        <v>37</v>
      </c>
      <c r="B5178" t="str">
        <f>"8:58:51.360332"</f>
        <v>8:58:51.360332</v>
      </c>
      <c r="C5178">
        <v>-44</v>
      </c>
    </row>
    <row r="5179" spans="1:3" x14ac:dyDescent="0.25">
      <c r="A5179">
        <v>38</v>
      </c>
      <c r="B5179" t="str">
        <f>"8:58:51.361359"</f>
        <v>8:58:51.361359</v>
      </c>
      <c r="C5179">
        <v>-41</v>
      </c>
    </row>
    <row r="5180" spans="1:3" x14ac:dyDescent="0.25">
      <c r="A5180">
        <v>38</v>
      </c>
      <c r="B5180" t="str">
        <f>"8:58:51.361878"</f>
        <v>8:58:51.361878</v>
      </c>
      <c r="C5180">
        <v>-32</v>
      </c>
    </row>
    <row r="5181" spans="1:3" x14ac:dyDescent="0.25">
      <c r="A5181">
        <v>38</v>
      </c>
      <c r="B5181" t="str">
        <f>"8:58:51.362203"</f>
        <v>8:58:51.362203</v>
      </c>
      <c r="C5181">
        <v>-41</v>
      </c>
    </row>
    <row r="5182" spans="1:3" x14ac:dyDescent="0.25">
      <c r="A5182">
        <v>39</v>
      </c>
      <c r="B5182" t="str">
        <f>"8:58:51.362979"</f>
        <v>8:58:51.362979</v>
      </c>
      <c r="C5182">
        <v>-46</v>
      </c>
    </row>
    <row r="5183" spans="1:3" x14ac:dyDescent="0.25">
      <c r="A5183">
        <v>37</v>
      </c>
      <c r="B5183" t="str">
        <f>"8:58:51.717771"</f>
        <v>8:58:51.717771</v>
      </c>
      <c r="C5183">
        <v>-45</v>
      </c>
    </row>
    <row r="5184" spans="1:3" x14ac:dyDescent="0.25">
      <c r="A5184">
        <v>38</v>
      </c>
      <c r="B5184" t="str">
        <f>"8:58:51.718798"</f>
        <v>8:58:51.718798</v>
      </c>
      <c r="C5184">
        <v>-41</v>
      </c>
    </row>
    <row r="5185" spans="1:3" x14ac:dyDescent="0.25">
      <c r="A5185">
        <v>38</v>
      </c>
      <c r="B5185" t="str">
        <f>"8:58:51.719317"</f>
        <v>8:58:51.719317</v>
      </c>
      <c r="C5185">
        <v>-32</v>
      </c>
    </row>
    <row r="5186" spans="1:3" x14ac:dyDescent="0.25">
      <c r="A5186">
        <v>38</v>
      </c>
      <c r="B5186" t="str">
        <f>"8:58:51.719642"</f>
        <v>8:58:51.719642</v>
      </c>
      <c r="C5186">
        <v>-41</v>
      </c>
    </row>
    <row r="5187" spans="1:3" x14ac:dyDescent="0.25">
      <c r="A5187">
        <v>39</v>
      </c>
      <c r="B5187" t="str">
        <f>"8:58:51.720418"</f>
        <v>8:58:51.720418</v>
      </c>
      <c r="C5187">
        <v>-46</v>
      </c>
    </row>
    <row r="5188" spans="1:3" x14ac:dyDescent="0.25">
      <c r="A5188">
        <v>37</v>
      </c>
      <c r="B5188" t="str">
        <f>"8:58:52.068046"</f>
        <v>8:58:52.068046</v>
      </c>
      <c r="C5188">
        <v>-45</v>
      </c>
    </row>
    <row r="5189" spans="1:3" x14ac:dyDescent="0.25">
      <c r="A5189">
        <v>38</v>
      </c>
      <c r="B5189" t="str">
        <f>"8:58:52.069074"</f>
        <v>8:58:52.069074</v>
      </c>
      <c r="C5189">
        <v>-41</v>
      </c>
    </row>
    <row r="5190" spans="1:3" x14ac:dyDescent="0.25">
      <c r="A5190">
        <v>38</v>
      </c>
      <c r="B5190" t="str">
        <f>"8:58:52.069592"</f>
        <v>8:58:52.069592</v>
      </c>
      <c r="C5190">
        <v>-32</v>
      </c>
    </row>
    <row r="5191" spans="1:3" x14ac:dyDescent="0.25">
      <c r="A5191">
        <v>38</v>
      </c>
      <c r="B5191" t="str">
        <f>"8:58:52.069918"</f>
        <v>8:58:52.069918</v>
      </c>
      <c r="C5191">
        <v>-41</v>
      </c>
    </row>
    <row r="5192" spans="1:3" x14ac:dyDescent="0.25">
      <c r="A5192">
        <v>39</v>
      </c>
      <c r="B5192" t="str">
        <f>"8:58:52.070694"</f>
        <v>8:58:52.070694</v>
      </c>
      <c r="C5192">
        <v>-46</v>
      </c>
    </row>
    <row r="5193" spans="1:3" x14ac:dyDescent="0.25">
      <c r="A5193">
        <v>37</v>
      </c>
      <c r="B5193" t="str">
        <f>"8:58:52.427523"</f>
        <v>8:58:52.427523</v>
      </c>
      <c r="C5193">
        <v>-44</v>
      </c>
    </row>
    <row r="5194" spans="1:3" x14ac:dyDescent="0.25">
      <c r="A5194">
        <v>38</v>
      </c>
      <c r="B5194" t="str">
        <f>"8:58:52.428550"</f>
        <v>8:58:52.428550</v>
      </c>
      <c r="C5194">
        <v>-41</v>
      </c>
    </row>
    <row r="5195" spans="1:3" x14ac:dyDescent="0.25">
      <c r="A5195">
        <v>39</v>
      </c>
      <c r="B5195" t="str">
        <f>"8:58:52.429576"</f>
        <v>8:58:52.429576</v>
      </c>
      <c r="C5195">
        <v>-46</v>
      </c>
    </row>
    <row r="5196" spans="1:3" x14ac:dyDescent="0.25">
      <c r="A5196">
        <v>37</v>
      </c>
      <c r="B5196" t="str">
        <f>"8:58:52.783680"</f>
        <v>8:58:52.783680</v>
      </c>
      <c r="C5196">
        <v>-45</v>
      </c>
    </row>
    <row r="5197" spans="1:3" x14ac:dyDescent="0.25">
      <c r="A5197">
        <v>38</v>
      </c>
      <c r="B5197" t="str">
        <f>"8:58:52.784841"</f>
        <v>8:58:52.784841</v>
      </c>
      <c r="C5197">
        <v>-41</v>
      </c>
    </row>
    <row r="5198" spans="1:3" x14ac:dyDescent="0.25">
      <c r="A5198">
        <v>38</v>
      </c>
      <c r="B5198" t="str">
        <f>"8:58:52.785359"</f>
        <v>8:58:52.785359</v>
      </c>
      <c r="C5198">
        <v>-32</v>
      </c>
    </row>
    <row r="5199" spans="1:3" x14ac:dyDescent="0.25">
      <c r="A5199">
        <v>38</v>
      </c>
      <c r="B5199" t="str">
        <f>"8:58:52.785685"</f>
        <v>8:58:52.785685</v>
      </c>
      <c r="C5199">
        <v>-41</v>
      </c>
    </row>
    <row r="5200" spans="1:3" x14ac:dyDescent="0.25">
      <c r="A5200">
        <v>39</v>
      </c>
      <c r="B5200" t="str">
        <f>"8:58:52.786461"</f>
        <v>8:58:52.786461</v>
      </c>
      <c r="C5200">
        <v>-46</v>
      </c>
    </row>
    <row r="5201" spans="1:3" x14ac:dyDescent="0.25">
      <c r="A5201">
        <v>37</v>
      </c>
      <c r="B5201" t="str">
        <f>"8:58:53.134400"</f>
        <v>8:58:53.134400</v>
      </c>
      <c r="C5201">
        <v>-45</v>
      </c>
    </row>
    <row r="5202" spans="1:3" x14ac:dyDescent="0.25">
      <c r="A5202">
        <v>38</v>
      </c>
      <c r="B5202" t="str">
        <f>"8:58:53.135427"</f>
        <v>8:58:53.135427</v>
      </c>
      <c r="C5202">
        <v>-41</v>
      </c>
    </row>
    <row r="5203" spans="1:3" x14ac:dyDescent="0.25">
      <c r="A5203">
        <v>38</v>
      </c>
      <c r="B5203" t="str">
        <f>"8:58:53.135945"</f>
        <v>8:58:53.135945</v>
      </c>
      <c r="C5203">
        <v>-32</v>
      </c>
    </row>
    <row r="5204" spans="1:3" x14ac:dyDescent="0.25">
      <c r="A5204">
        <v>38</v>
      </c>
      <c r="B5204" t="str">
        <f>"8:58:53.136271"</f>
        <v>8:58:53.136271</v>
      </c>
      <c r="C5204">
        <v>-41</v>
      </c>
    </row>
    <row r="5205" spans="1:3" x14ac:dyDescent="0.25">
      <c r="A5205">
        <v>39</v>
      </c>
      <c r="B5205" t="str">
        <f>"8:58:53.137047"</f>
        <v>8:58:53.137047</v>
      </c>
      <c r="C5205">
        <v>-46</v>
      </c>
    </row>
    <row r="5206" spans="1:3" x14ac:dyDescent="0.25">
      <c r="A5206">
        <v>37</v>
      </c>
      <c r="B5206" t="str">
        <f>"8:58:53.489787"</f>
        <v>8:58:53.489787</v>
      </c>
      <c r="C5206">
        <v>-45</v>
      </c>
    </row>
    <row r="5207" spans="1:3" x14ac:dyDescent="0.25">
      <c r="A5207">
        <v>38</v>
      </c>
      <c r="B5207" t="str">
        <f>"8:58:53.490814"</f>
        <v>8:58:53.490814</v>
      </c>
      <c r="C5207">
        <v>-41</v>
      </c>
    </row>
    <row r="5208" spans="1:3" x14ac:dyDescent="0.25">
      <c r="A5208">
        <v>38</v>
      </c>
      <c r="B5208" t="str">
        <f>"8:58:53.491333"</f>
        <v>8:58:53.491333</v>
      </c>
      <c r="C5208">
        <v>-32</v>
      </c>
    </row>
    <row r="5209" spans="1:3" x14ac:dyDescent="0.25">
      <c r="A5209">
        <v>38</v>
      </c>
      <c r="B5209" t="str">
        <f>"8:58:53.491659"</f>
        <v>8:58:53.491659</v>
      </c>
      <c r="C5209">
        <v>-41</v>
      </c>
    </row>
    <row r="5210" spans="1:3" x14ac:dyDescent="0.25">
      <c r="A5210">
        <v>39</v>
      </c>
      <c r="B5210" t="str">
        <f>"8:58:53.492435"</f>
        <v>8:58:53.492435</v>
      </c>
      <c r="C5210">
        <v>-46</v>
      </c>
    </row>
    <row r="5211" spans="1:3" x14ac:dyDescent="0.25">
      <c r="A5211">
        <v>37</v>
      </c>
      <c r="B5211" t="str">
        <f>"8:58:53.846410"</f>
        <v>8:58:53.846410</v>
      </c>
      <c r="C5211">
        <v>-44</v>
      </c>
    </row>
    <row r="5212" spans="1:3" x14ac:dyDescent="0.25">
      <c r="A5212">
        <v>38</v>
      </c>
      <c r="B5212" t="str">
        <f>"8:58:53.847437"</f>
        <v>8:58:53.847437</v>
      </c>
      <c r="C5212">
        <v>-41</v>
      </c>
    </row>
    <row r="5213" spans="1:3" x14ac:dyDescent="0.25">
      <c r="A5213">
        <v>38</v>
      </c>
      <c r="B5213" t="str">
        <f>"8:58:53.847955"</f>
        <v>8:58:53.847955</v>
      </c>
      <c r="C5213">
        <v>-32</v>
      </c>
    </row>
    <row r="5214" spans="1:3" x14ac:dyDescent="0.25">
      <c r="A5214">
        <v>38</v>
      </c>
      <c r="B5214" t="str">
        <f>"8:58:53.848281"</f>
        <v>8:58:53.848281</v>
      </c>
      <c r="C5214">
        <v>-41</v>
      </c>
    </row>
    <row r="5215" spans="1:3" x14ac:dyDescent="0.25">
      <c r="A5215">
        <v>39</v>
      </c>
      <c r="B5215" t="str">
        <f>"8:58:53.849057"</f>
        <v>8:58:53.849057</v>
      </c>
      <c r="C5215">
        <v>-46</v>
      </c>
    </row>
    <row r="5216" spans="1:3" x14ac:dyDescent="0.25">
      <c r="A5216">
        <v>37</v>
      </c>
      <c r="B5216" t="str">
        <f>"8:58:54.201304"</f>
        <v>8:58:54.201304</v>
      </c>
      <c r="C5216">
        <v>-44</v>
      </c>
    </row>
    <row r="5217" spans="1:3" x14ac:dyDescent="0.25">
      <c r="A5217">
        <v>38</v>
      </c>
      <c r="B5217" t="str">
        <f>"8:58:54.202332"</f>
        <v>8:58:54.202332</v>
      </c>
      <c r="C5217">
        <v>-41</v>
      </c>
    </row>
    <row r="5218" spans="1:3" x14ac:dyDescent="0.25">
      <c r="A5218">
        <v>38</v>
      </c>
      <c r="B5218" t="str">
        <f>"8:58:54.202850"</f>
        <v>8:58:54.202850</v>
      </c>
      <c r="C5218">
        <v>-32</v>
      </c>
    </row>
    <row r="5219" spans="1:3" x14ac:dyDescent="0.25">
      <c r="A5219">
        <v>38</v>
      </c>
      <c r="B5219" t="str">
        <f>"8:58:54.203176"</f>
        <v>8:58:54.203176</v>
      </c>
      <c r="C5219">
        <v>-41</v>
      </c>
    </row>
    <row r="5220" spans="1:3" x14ac:dyDescent="0.25">
      <c r="A5220">
        <v>39</v>
      </c>
      <c r="B5220" t="str">
        <f>"8:58:54.203952"</f>
        <v>8:58:54.203952</v>
      </c>
      <c r="C5220">
        <v>-45</v>
      </c>
    </row>
    <row r="5221" spans="1:3" x14ac:dyDescent="0.25">
      <c r="A5221">
        <v>37</v>
      </c>
      <c r="B5221" t="str">
        <f>"8:58:54.551491"</f>
        <v>8:58:54.551491</v>
      </c>
      <c r="C5221">
        <v>-44</v>
      </c>
    </row>
    <row r="5222" spans="1:3" x14ac:dyDescent="0.25">
      <c r="A5222">
        <v>38</v>
      </c>
      <c r="B5222" t="str">
        <f>"8:58:54.552518"</f>
        <v>8:58:54.552518</v>
      </c>
      <c r="C5222">
        <v>-41</v>
      </c>
    </row>
    <row r="5223" spans="1:3" x14ac:dyDescent="0.25">
      <c r="A5223">
        <v>39</v>
      </c>
      <c r="B5223" t="str">
        <f>"8:58:54.553544"</f>
        <v>8:58:54.553544</v>
      </c>
      <c r="C5223">
        <v>-46</v>
      </c>
    </row>
    <row r="5224" spans="1:3" x14ac:dyDescent="0.25">
      <c r="A5224">
        <v>39</v>
      </c>
      <c r="B5224" t="str">
        <f>"8:58:54.554063"</f>
        <v>8:58:54.554063</v>
      </c>
      <c r="C5224">
        <v>-30</v>
      </c>
    </row>
    <row r="5225" spans="1:3" x14ac:dyDescent="0.25">
      <c r="A5225">
        <v>39</v>
      </c>
      <c r="B5225" t="str">
        <f>"8:58:54.554388"</f>
        <v>8:58:54.554388</v>
      </c>
      <c r="C5225">
        <v>-45</v>
      </c>
    </row>
    <row r="5226" spans="1:3" x14ac:dyDescent="0.25">
      <c r="A5226">
        <v>37</v>
      </c>
      <c r="B5226" t="str">
        <f>"8:58:54.902252"</f>
        <v>8:58:54.902252</v>
      </c>
      <c r="C5226">
        <v>-44</v>
      </c>
    </row>
    <row r="5227" spans="1:3" x14ac:dyDescent="0.25">
      <c r="A5227">
        <v>37</v>
      </c>
      <c r="B5227" t="str">
        <f>"8:58:54.902772"</f>
        <v>8:58:54.902772</v>
      </c>
      <c r="C5227">
        <v>-83</v>
      </c>
    </row>
    <row r="5228" spans="1:3" x14ac:dyDescent="0.25">
      <c r="A5228">
        <v>37</v>
      </c>
      <c r="B5228" t="str">
        <f>"8:58:54.903098"</f>
        <v>8:58:54.903098</v>
      </c>
      <c r="C5228">
        <v>-44</v>
      </c>
    </row>
    <row r="5229" spans="1:3" x14ac:dyDescent="0.25">
      <c r="A5229">
        <v>38</v>
      </c>
      <c r="B5229" t="str">
        <f>"8:58:54.903874"</f>
        <v>8:58:54.903874</v>
      </c>
      <c r="C5229">
        <v>-41</v>
      </c>
    </row>
    <row r="5230" spans="1:3" x14ac:dyDescent="0.25">
      <c r="A5230">
        <v>39</v>
      </c>
      <c r="B5230" t="str">
        <f>"8:58:54.904900"</f>
        <v>8:58:54.904900</v>
      </c>
      <c r="C5230">
        <v>-45</v>
      </c>
    </row>
    <row r="5231" spans="1:3" x14ac:dyDescent="0.25">
      <c r="A5231">
        <v>39</v>
      </c>
      <c r="B5231" t="str">
        <f>"8:58:54.905418"</f>
        <v>8:58:54.905418</v>
      </c>
      <c r="C5231">
        <v>-31</v>
      </c>
    </row>
    <row r="5232" spans="1:3" x14ac:dyDescent="0.25">
      <c r="A5232">
        <v>39</v>
      </c>
      <c r="B5232" t="str">
        <f>"8:58:54.905744"</f>
        <v>8:58:54.905744</v>
      </c>
      <c r="C5232">
        <v>-45</v>
      </c>
    </row>
    <row r="5233" spans="1:3" x14ac:dyDescent="0.25">
      <c r="A5233">
        <v>37</v>
      </c>
      <c r="B5233" t="str">
        <f>"8:58:55.258663"</f>
        <v>8:58:55.258663</v>
      </c>
      <c r="C5233">
        <v>-44</v>
      </c>
    </row>
    <row r="5234" spans="1:3" x14ac:dyDescent="0.25">
      <c r="A5234">
        <v>38</v>
      </c>
      <c r="B5234" t="str">
        <f>"8:58:55.259690"</f>
        <v>8:58:55.259690</v>
      </c>
      <c r="C5234">
        <v>-41</v>
      </c>
    </row>
    <row r="5235" spans="1:3" x14ac:dyDescent="0.25">
      <c r="A5235">
        <v>39</v>
      </c>
      <c r="B5235" t="str">
        <f>"8:58:55.260716"</f>
        <v>8:58:55.260716</v>
      </c>
      <c r="C5235">
        <v>-45</v>
      </c>
    </row>
    <row r="5236" spans="1:3" x14ac:dyDescent="0.25">
      <c r="A5236">
        <v>39</v>
      </c>
      <c r="B5236" t="str">
        <f>"8:58:55.261235"</f>
        <v>8:58:55.261235</v>
      </c>
      <c r="C5236">
        <v>-31</v>
      </c>
    </row>
    <row r="5237" spans="1:3" x14ac:dyDescent="0.25">
      <c r="A5237">
        <v>39</v>
      </c>
      <c r="B5237" t="str">
        <f>"8:58:55.261561"</f>
        <v>8:58:55.261561</v>
      </c>
      <c r="C5237">
        <v>-45</v>
      </c>
    </row>
    <row r="5238" spans="1:3" x14ac:dyDescent="0.25">
      <c r="A5238">
        <v>37</v>
      </c>
      <c r="B5238" t="str">
        <f>"8:58:55.608930"</f>
        <v>8:58:55.608930</v>
      </c>
      <c r="C5238">
        <v>-44</v>
      </c>
    </row>
    <row r="5239" spans="1:3" x14ac:dyDescent="0.25">
      <c r="A5239">
        <v>38</v>
      </c>
      <c r="B5239" t="str">
        <f>"8:58:55.609958"</f>
        <v>8:58:55.609958</v>
      </c>
      <c r="C5239">
        <v>-41</v>
      </c>
    </row>
    <row r="5240" spans="1:3" x14ac:dyDescent="0.25">
      <c r="A5240">
        <v>39</v>
      </c>
      <c r="B5240" t="str">
        <f>"8:58:55.610984"</f>
        <v>8:58:55.610984</v>
      </c>
      <c r="C5240">
        <v>-45</v>
      </c>
    </row>
    <row r="5241" spans="1:3" x14ac:dyDescent="0.25">
      <c r="A5241">
        <v>39</v>
      </c>
      <c r="B5241" t="str">
        <f>"8:58:55.611502"</f>
        <v>8:58:55.611502</v>
      </c>
      <c r="C5241">
        <v>-31</v>
      </c>
    </row>
    <row r="5242" spans="1:3" x14ac:dyDescent="0.25">
      <c r="A5242">
        <v>39</v>
      </c>
      <c r="B5242" t="str">
        <f>"8:58:55.611828"</f>
        <v>8:58:55.611828</v>
      </c>
      <c r="C5242">
        <v>-45</v>
      </c>
    </row>
    <row r="5243" spans="1:3" x14ac:dyDescent="0.25">
      <c r="A5243">
        <v>37</v>
      </c>
      <c r="B5243" t="str">
        <f>"8:58:55.961710"</f>
        <v>8:58:55.961710</v>
      </c>
      <c r="C5243">
        <v>-44</v>
      </c>
    </row>
    <row r="5244" spans="1:3" x14ac:dyDescent="0.25">
      <c r="A5244">
        <v>38</v>
      </c>
      <c r="B5244" t="str">
        <f>"8:58:55.962737"</f>
        <v>8:58:55.962737</v>
      </c>
      <c r="C5244">
        <v>-41</v>
      </c>
    </row>
    <row r="5245" spans="1:3" x14ac:dyDescent="0.25">
      <c r="A5245">
        <v>39</v>
      </c>
      <c r="B5245" t="str">
        <f>"8:58:55.963763"</f>
        <v>8:58:55.963763</v>
      </c>
      <c r="C5245">
        <v>-46</v>
      </c>
    </row>
    <row r="5246" spans="1:3" x14ac:dyDescent="0.25">
      <c r="A5246">
        <v>39</v>
      </c>
      <c r="B5246" t="str">
        <f>"8:58:55.964281"</f>
        <v>8:58:55.964281</v>
      </c>
      <c r="C5246">
        <v>-31</v>
      </c>
    </row>
    <row r="5247" spans="1:3" x14ac:dyDescent="0.25">
      <c r="A5247">
        <v>39</v>
      </c>
      <c r="B5247" t="str">
        <f>"8:58:55.964607"</f>
        <v>8:58:55.964607</v>
      </c>
      <c r="C5247">
        <v>-45</v>
      </c>
    </row>
    <row r="5248" spans="1:3" x14ac:dyDescent="0.25">
      <c r="A5248">
        <v>37</v>
      </c>
      <c r="B5248" t="str">
        <f>"8:58:56.312188"</f>
        <v>8:58:56.312188</v>
      </c>
      <c r="C5248">
        <v>-44</v>
      </c>
    </row>
    <row r="5249" spans="1:3" x14ac:dyDescent="0.25">
      <c r="A5249">
        <v>38</v>
      </c>
      <c r="B5249" t="str">
        <f>"8:58:56.313215"</f>
        <v>8:58:56.313215</v>
      </c>
      <c r="C5249">
        <v>-41</v>
      </c>
    </row>
    <row r="5250" spans="1:3" x14ac:dyDescent="0.25">
      <c r="A5250">
        <v>39</v>
      </c>
      <c r="B5250" t="str">
        <f>"8:58:56.314241"</f>
        <v>8:58:56.314241</v>
      </c>
      <c r="C5250">
        <v>-46</v>
      </c>
    </row>
    <row r="5251" spans="1:3" x14ac:dyDescent="0.25">
      <c r="A5251">
        <v>37</v>
      </c>
      <c r="B5251" t="str">
        <f>"8:58:56.662954"</f>
        <v>8:58:56.662954</v>
      </c>
      <c r="C5251">
        <v>-44</v>
      </c>
    </row>
    <row r="5252" spans="1:3" x14ac:dyDescent="0.25">
      <c r="A5252">
        <v>38</v>
      </c>
      <c r="B5252" t="str">
        <f>"8:58:56.663982"</f>
        <v>8:58:56.663982</v>
      </c>
      <c r="C5252">
        <v>-41</v>
      </c>
    </row>
    <row r="5253" spans="1:3" x14ac:dyDescent="0.25">
      <c r="A5253">
        <v>39</v>
      </c>
      <c r="B5253" t="str">
        <f>"8:58:56.665008"</f>
        <v>8:58:56.665008</v>
      </c>
      <c r="C5253">
        <v>-46</v>
      </c>
    </row>
    <row r="5254" spans="1:3" x14ac:dyDescent="0.25">
      <c r="A5254">
        <v>39</v>
      </c>
      <c r="B5254" t="str">
        <f>"8:58:56.665526"</f>
        <v>8:58:56.665526</v>
      </c>
      <c r="C5254">
        <v>-31</v>
      </c>
    </row>
    <row r="5255" spans="1:3" x14ac:dyDescent="0.25">
      <c r="A5255">
        <v>39</v>
      </c>
      <c r="B5255" t="str">
        <f>"8:58:56.665852"</f>
        <v>8:58:56.665852</v>
      </c>
      <c r="C5255">
        <v>-45</v>
      </c>
    </row>
    <row r="5256" spans="1:3" x14ac:dyDescent="0.25">
      <c r="A5256">
        <v>37</v>
      </c>
      <c r="B5256" t="str">
        <f>"8:58:57.014738"</f>
        <v>8:58:57.014738</v>
      </c>
      <c r="C5256">
        <v>-44</v>
      </c>
    </row>
    <row r="5257" spans="1:3" x14ac:dyDescent="0.25">
      <c r="A5257">
        <v>38</v>
      </c>
      <c r="B5257" t="str">
        <f>"8:58:57.015765"</f>
        <v>8:58:57.015765</v>
      </c>
      <c r="C5257">
        <v>-41</v>
      </c>
    </row>
    <row r="5258" spans="1:3" x14ac:dyDescent="0.25">
      <c r="A5258">
        <v>39</v>
      </c>
      <c r="B5258" t="str">
        <f>"8:58:57.016791"</f>
        <v>8:58:57.016791</v>
      </c>
      <c r="C5258">
        <v>-46</v>
      </c>
    </row>
    <row r="5259" spans="1:3" x14ac:dyDescent="0.25">
      <c r="A5259">
        <v>39</v>
      </c>
      <c r="B5259" t="str">
        <f>"8:58:57.017310"</f>
        <v>8:58:57.017310</v>
      </c>
      <c r="C5259">
        <v>-31</v>
      </c>
    </row>
    <row r="5260" spans="1:3" x14ac:dyDescent="0.25">
      <c r="A5260">
        <v>39</v>
      </c>
      <c r="B5260" t="str">
        <f>"8:58:57.017635"</f>
        <v>8:58:57.017635</v>
      </c>
      <c r="C5260">
        <v>-45</v>
      </c>
    </row>
    <row r="5261" spans="1:3" x14ac:dyDescent="0.25">
      <c r="A5261">
        <v>37</v>
      </c>
      <c r="B5261" t="str">
        <f>"8:58:57.367528"</f>
        <v>8:58:57.367528</v>
      </c>
      <c r="C5261">
        <v>-44</v>
      </c>
    </row>
    <row r="5262" spans="1:3" x14ac:dyDescent="0.25">
      <c r="A5262">
        <v>38</v>
      </c>
      <c r="B5262" t="str">
        <f>"8:58:57.368555"</f>
        <v>8:58:57.368555</v>
      </c>
      <c r="C5262">
        <v>-41</v>
      </c>
    </row>
    <row r="5263" spans="1:3" x14ac:dyDescent="0.25">
      <c r="A5263">
        <v>39</v>
      </c>
      <c r="B5263" t="str">
        <f>"8:58:57.369582"</f>
        <v>8:58:57.369582</v>
      </c>
      <c r="C5263">
        <v>-46</v>
      </c>
    </row>
    <row r="5264" spans="1:3" x14ac:dyDescent="0.25">
      <c r="A5264">
        <v>37</v>
      </c>
      <c r="B5264" t="str">
        <f>"8:58:57.717958"</f>
        <v>8:58:57.717958</v>
      </c>
      <c r="C5264">
        <v>-44</v>
      </c>
    </row>
    <row r="5265" spans="1:3" x14ac:dyDescent="0.25">
      <c r="A5265">
        <v>38</v>
      </c>
      <c r="B5265" t="str">
        <f>"8:58:57.718985"</f>
        <v>8:58:57.718985</v>
      </c>
      <c r="C5265">
        <v>-41</v>
      </c>
    </row>
    <row r="5266" spans="1:3" x14ac:dyDescent="0.25">
      <c r="A5266">
        <v>39</v>
      </c>
      <c r="B5266" t="str">
        <f>"8:58:57.720011"</f>
        <v>8:58:57.720011</v>
      </c>
      <c r="C5266">
        <v>-46</v>
      </c>
    </row>
    <row r="5267" spans="1:3" x14ac:dyDescent="0.25">
      <c r="A5267">
        <v>39</v>
      </c>
      <c r="B5267" t="str">
        <f>"8:58:57.720530"</f>
        <v>8:58:57.720530</v>
      </c>
      <c r="C5267">
        <v>-31</v>
      </c>
    </row>
    <row r="5268" spans="1:3" x14ac:dyDescent="0.25">
      <c r="A5268">
        <v>39</v>
      </c>
      <c r="B5268" t="str">
        <f>"8:58:57.720856"</f>
        <v>8:58:57.720856</v>
      </c>
      <c r="C5268">
        <v>-45</v>
      </c>
    </row>
    <row r="5269" spans="1:3" x14ac:dyDescent="0.25">
      <c r="A5269">
        <v>37</v>
      </c>
      <c r="B5269" t="str">
        <f>"8:58:58.071547"</f>
        <v>8:58:58.071547</v>
      </c>
      <c r="C5269">
        <v>-44</v>
      </c>
    </row>
    <row r="5270" spans="1:3" x14ac:dyDescent="0.25">
      <c r="A5270">
        <v>38</v>
      </c>
      <c r="B5270" t="str">
        <f>"8:58:58.072574"</f>
        <v>8:58:58.072574</v>
      </c>
      <c r="C5270">
        <v>-41</v>
      </c>
    </row>
    <row r="5271" spans="1:3" x14ac:dyDescent="0.25">
      <c r="A5271">
        <v>39</v>
      </c>
      <c r="B5271" t="str">
        <f>"8:58:58.073734"</f>
        <v>8:58:58.073734</v>
      </c>
      <c r="C5271">
        <v>-46</v>
      </c>
    </row>
    <row r="5272" spans="1:3" x14ac:dyDescent="0.25">
      <c r="A5272">
        <v>39</v>
      </c>
      <c r="B5272" t="str">
        <f>"8:58:58.074253"</f>
        <v>8:58:58.074253</v>
      </c>
      <c r="C5272">
        <v>-31</v>
      </c>
    </row>
    <row r="5273" spans="1:3" x14ac:dyDescent="0.25">
      <c r="A5273">
        <v>39</v>
      </c>
      <c r="B5273" t="str">
        <f>"8:58:58.074579"</f>
        <v>8:58:58.074579</v>
      </c>
      <c r="C5273">
        <v>-45</v>
      </c>
    </row>
    <row r="5274" spans="1:3" x14ac:dyDescent="0.25">
      <c r="A5274">
        <v>37</v>
      </c>
      <c r="B5274" t="str">
        <f>"8:58:58.424385"</f>
        <v>8:58:58.424385</v>
      </c>
      <c r="C5274">
        <v>-44</v>
      </c>
    </row>
    <row r="5275" spans="1:3" x14ac:dyDescent="0.25">
      <c r="A5275">
        <v>38</v>
      </c>
      <c r="B5275" t="str">
        <f>"8:58:58.425412"</f>
        <v>8:58:58.425412</v>
      </c>
      <c r="C5275">
        <v>-41</v>
      </c>
    </row>
    <row r="5276" spans="1:3" x14ac:dyDescent="0.25">
      <c r="A5276">
        <v>39</v>
      </c>
      <c r="B5276" t="str">
        <f>"8:58:58.426438"</f>
        <v>8:58:58.426438</v>
      </c>
      <c r="C5276">
        <v>-46</v>
      </c>
    </row>
    <row r="5277" spans="1:3" x14ac:dyDescent="0.25">
      <c r="A5277">
        <v>37</v>
      </c>
      <c r="B5277" t="str">
        <f>"8:58:58.783053"</f>
        <v>8:58:58.783053</v>
      </c>
      <c r="C5277">
        <v>-44</v>
      </c>
    </row>
    <row r="5278" spans="1:3" x14ac:dyDescent="0.25">
      <c r="A5278">
        <v>38</v>
      </c>
      <c r="B5278" t="str">
        <f>"8:58:58.784080"</f>
        <v>8:58:58.784080</v>
      </c>
      <c r="C5278">
        <v>-41</v>
      </c>
    </row>
    <row r="5279" spans="1:3" x14ac:dyDescent="0.25">
      <c r="A5279">
        <v>39</v>
      </c>
      <c r="B5279" t="str">
        <f>"8:58:58.785106"</f>
        <v>8:58:58.785106</v>
      </c>
      <c r="C5279">
        <v>-46</v>
      </c>
    </row>
    <row r="5280" spans="1:3" x14ac:dyDescent="0.25">
      <c r="A5280">
        <v>39</v>
      </c>
      <c r="B5280" t="str">
        <f>"8:58:58.785624"</f>
        <v>8:58:58.785624</v>
      </c>
      <c r="C5280">
        <v>-31</v>
      </c>
    </row>
    <row r="5281" spans="1:3" x14ac:dyDescent="0.25">
      <c r="A5281">
        <v>39</v>
      </c>
      <c r="B5281" t="str">
        <f>"8:58:58.785950"</f>
        <v>8:58:58.785950</v>
      </c>
      <c r="C5281">
        <v>-45</v>
      </c>
    </row>
    <row r="5282" spans="1:3" x14ac:dyDescent="0.25">
      <c r="A5282">
        <v>37</v>
      </c>
      <c r="B5282" t="str">
        <f>"8:58:59.138975"</f>
        <v>8:58:59.138975</v>
      </c>
      <c r="C5282">
        <v>-44</v>
      </c>
    </row>
    <row r="5283" spans="1:3" x14ac:dyDescent="0.25">
      <c r="A5283">
        <v>38</v>
      </c>
      <c r="B5283" t="str">
        <f>"8:58:59.140002"</f>
        <v>8:58:59.140002</v>
      </c>
      <c r="C5283">
        <v>-41</v>
      </c>
    </row>
    <row r="5284" spans="1:3" x14ac:dyDescent="0.25">
      <c r="A5284">
        <v>39</v>
      </c>
      <c r="B5284" t="str">
        <f>"8:58:59.141028"</f>
        <v>8:58:59.141028</v>
      </c>
      <c r="C5284">
        <v>-46</v>
      </c>
    </row>
    <row r="5285" spans="1:3" x14ac:dyDescent="0.25">
      <c r="A5285">
        <v>37</v>
      </c>
      <c r="B5285" t="str">
        <f>"8:58:59.496674"</f>
        <v>8:58:59.496674</v>
      </c>
      <c r="C5285">
        <v>-44</v>
      </c>
    </row>
    <row r="5286" spans="1:3" x14ac:dyDescent="0.25">
      <c r="A5286">
        <v>38</v>
      </c>
      <c r="B5286" t="str">
        <f>"8:58:59.497701"</f>
        <v>8:58:59.497701</v>
      </c>
      <c r="C5286">
        <v>-41</v>
      </c>
    </row>
    <row r="5287" spans="1:3" x14ac:dyDescent="0.25">
      <c r="A5287">
        <v>39</v>
      </c>
      <c r="B5287" t="str">
        <f>"8:58:59.498727"</f>
        <v>8:58:59.498727</v>
      </c>
      <c r="C5287">
        <v>-46</v>
      </c>
    </row>
    <row r="5288" spans="1:3" x14ac:dyDescent="0.25">
      <c r="A5288">
        <v>37</v>
      </c>
      <c r="B5288" t="str">
        <f>"8:58:59.850739"</f>
        <v>8:58:59.850739</v>
      </c>
      <c r="C5288">
        <v>-44</v>
      </c>
    </row>
    <row r="5289" spans="1:3" x14ac:dyDescent="0.25">
      <c r="A5289">
        <v>38</v>
      </c>
      <c r="B5289" t="str">
        <f>"8:58:59.851766"</f>
        <v>8:58:59.851766</v>
      </c>
      <c r="C5289">
        <v>-41</v>
      </c>
    </row>
    <row r="5290" spans="1:3" x14ac:dyDescent="0.25">
      <c r="A5290">
        <v>39</v>
      </c>
      <c r="B5290" t="str">
        <f>"8:58:59.852792"</f>
        <v>8:58:59.852792</v>
      </c>
      <c r="C5290">
        <v>-46</v>
      </c>
    </row>
    <row r="5291" spans="1:3" x14ac:dyDescent="0.25">
      <c r="A5291">
        <v>37</v>
      </c>
      <c r="B5291" t="str">
        <f>"8:59:00.209957"</f>
        <v>8:59:00.209957</v>
      </c>
      <c r="C5291">
        <v>-44</v>
      </c>
    </row>
    <row r="5292" spans="1:3" x14ac:dyDescent="0.25">
      <c r="A5292">
        <v>37</v>
      </c>
      <c r="B5292" t="str">
        <f>"8:59:00.210476"</f>
        <v>8:59:00.210476</v>
      </c>
      <c r="C5292">
        <v>-40</v>
      </c>
    </row>
    <row r="5293" spans="1:3" x14ac:dyDescent="0.25">
      <c r="A5293">
        <v>37</v>
      </c>
      <c r="B5293" t="str">
        <f>"8:59:00.210802"</f>
        <v>8:59:00.210802</v>
      </c>
      <c r="C5293">
        <v>-44</v>
      </c>
    </row>
    <row r="5294" spans="1:3" x14ac:dyDescent="0.25">
      <c r="A5294">
        <v>38</v>
      </c>
      <c r="B5294" t="str">
        <f>"8:59:00.211578"</f>
        <v>8:59:00.211578</v>
      </c>
      <c r="C5294">
        <v>-41</v>
      </c>
    </row>
    <row r="5295" spans="1:3" x14ac:dyDescent="0.25">
      <c r="A5295">
        <v>39</v>
      </c>
      <c r="B5295" t="str">
        <f>"8:59:00.212604"</f>
        <v>8:59:00.212604</v>
      </c>
      <c r="C5295">
        <v>-46</v>
      </c>
    </row>
    <row r="5296" spans="1:3" x14ac:dyDescent="0.25">
      <c r="A5296">
        <v>37</v>
      </c>
      <c r="B5296" t="str">
        <f>"8:59:00.562035"</f>
        <v>8:59:00.562035</v>
      </c>
      <c r="C5296">
        <v>-44</v>
      </c>
    </row>
    <row r="5297" spans="1:3" x14ac:dyDescent="0.25">
      <c r="A5297">
        <v>39</v>
      </c>
      <c r="B5297" t="str">
        <f>"8:59:00.564089"</f>
        <v>8:59:00.564089</v>
      </c>
      <c r="C5297">
        <v>-46</v>
      </c>
    </row>
    <row r="5298" spans="1:3" x14ac:dyDescent="0.25">
      <c r="A5298">
        <v>37</v>
      </c>
      <c r="B5298" t="str">
        <f>"8:59:00.916580"</f>
        <v>8:59:00.916580</v>
      </c>
      <c r="C5298">
        <v>-45</v>
      </c>
    </row>
    <row r="5299" spans="1:3" x14ac:dyDescent="0.25">
      <c r="A5299">
        <v>37</v>
      </c>
      <c r="B5299" t="str">
        <f>"8:59:00.917098"</f>
        <v>8:59:00.917098</v>
      </c>
      <c r="C5299">
        <v>-37</v>
      </c>
    </row>
    <row r="5300" spans="1:3" x14ac:dyDescent="0.25">
      <c r="A5300">
        <v>37</v>
      </c>
      <c r="B5300" t="str">
        <f>"8:59:00.917424"</f>
        <v>8:59:00.917424</v>
      </c>
      <c r="C5300">
        <v>-45</v>
      </c>
    </row>
    <row r="5301" spans="1:3" x14ac:dyDescent="0.25">
      <c r="A5301">
        <v>38</v>
      </c>
      <c r="B5301" t="str">
        <f>"8:59:00.918201"</f>
        <v>8:59:00.918201</v>
      </c>
      <c r="C5301">
        <v>-41</v>
      </c>
    </row>
    <row r="5302" spans="1:3" x14ac:dyDescent="0.25">
      <c r="A5302">
        <v>39</v>
      </c>
      <c r="B5302" t="str">
        <f>"8:59:00.919227"</f>
        <v>8:59:00.919227</v>
      </c>
      <c r="C5302">
        <v>-46</v>
      </c>
    </row>
    <row r="5303" spans="1:3" x14ac:dyDescent="0.25">
      <c r="A5303">
        <v>37</v>
      </c>
      <c r="B5303" t="str">
        <f>"8:59:01.267607"</f>
        <v>8:59:01.267607</v>
      </c>
      <c r="C5303">
        <v>-45</v>
      </c>
    </row>
    <row r="5304" spans="1:3" x14ac:dyDescent="0.25">
      <c r="A5304">
        <v>37</v>
      </c>
      <c r="B5304" t="str">
        <f>"8:59:01.268126"</f>
        <v>8:59:01.268126</v>
      </c>
      <c r="C5304">
        <v>-37</v>
      </c>
    </row>
    <row r="5305" spans="1:3" x14ac:dyDescent="0.25">
      <c r="A5305">
        <v>37</v>
      </c>
      <c r="B5305" t="str">
        <f>"8:59:01.268451"</f>
        <v>8:59:01.268451</v>
      </c>
      <c r="C5305">
        <v>-45</v>
      </c>
    </row>
    <row r="5306" spans="1:3" x14ac:dyDescent="0.25">
      <c r="A5306">
        <v>38</v>
      </c>
      <c r="B5306" t="str">
        <f>"8:59:01.269227"</f>
        <v>8:59:01.269227</v>
      </c>
      <c r="C5306">
        <v>-41</v>
      </c>
    </row>
    <row r="5307" spans="1:3" x14ac:dyDescent="0.25">
      <c r="A5307">
        <v>39</v>
      </c>
      <c r="B5307" t="str">
        <f>"8:59:01.270254"</f>
        <v>8:59:01.270254</v>
      </c>
      <c r="C5307">
        <v>-46</v>
      </c>
    </row>
    <row r="5308" spans="1:3" x14ac:dyDescent="0.25">
      <c r="A5308">
        <v>37</v>
      </c>
      <c r="B5308" t="str">
        <f>"8:59:01.624986"</f>
        <v>8:59:01.624986</v>
      </c>
      <c r="C5308">
        <v>-45</v>
      </c>
    </row>
    <row r="5309" spans="1:3" x14ac:dyDescent="0.25">
      <c r="A5309">
        <v>38</v>
      </c>
      <c r="B5309" t="str">
        <f>"8:59:01.626013"</f>
        <v>8:59:01.626013</v>
      </c>
      <c r="C5309">
        <v>-41</v>
      </c>
    </row>
    <row r="5310" spans="1:3" x14ac:dyDescent="0.25">
      <c r="A5310">
        <v>39</v>
      </c>
      <c r="B5310" t="str">
        <f>"8:59:01.627039"</f>
        <v>8:59:01.627039</v>
      </c>
      <c r="C5310">
        <v>-45</v>
      </c>
    </row>
    <row r="5311" spans="1:3" x14ac:dyDescent="0.25">
      <c r="A5311">
        <v>37</v>
      </c>
      <c r="B5311" t="str">
        <f>"8:59:01.984440"</f>
        <v>8:59:01.984440</v>
      </c>
      <c r="C5311">
        <v>-45</v>
      </c>
    </row>
    <row r="5312" spans="1:3" x14ac:dyDescent="0.25">
      <c r="A5312">
        <v>37</v>
      </c>
      <c r="B5312" t="str">
        <f>"8:59:01.984958"</f>
        <v>8:59:01.984958</v>
      </c>
      <c r="C5312">
        <v>-37</v>
      </c>
    </row>
    <row r="5313" spans="1:3" x14ac:dyDescent="0.25">
      <c r="A5313">
        <v>37</v>
      </c>
      <c r="B5313" t="str">
        <f>"8:59:01.985284"</f>
        <v>8:59:01.985284</v>
      </c>
      <c r="C5313">
        <v>-45</v>
      </c>
    </row>
    <row r="5314" spans="1:3" x14ac:dyDescent="0.25">
      <c r="A5314">
        <v>38</v>
      </c>
      <c r="B5314" t="str">
        <f>"8:59:01.986060"</f>
        <v>8:59:01.986060</v>
      </c>
      <c r="C5314">
        <v>-41</v>
      </c>
    </row>
    <row r="5315" spans="1:3" x14ac:dyDescent="0.25">
      <c r="A5315">
        <v>39</v>
      </c>
      <c r="B5315" t="str">
        <f>"8:59:01.987087"</f>
        <v>8:59:01.987087</v>
      </c>
      <c r="C5315">
        <v>-46</v>
      </c>
    </row>
    <row r="5316" spans="1:3" x14ac:dyDescent="0.25">
      <c r="A5316">
        <v>37</v>
      </c>
      <c r="B5316" t="str">
        <f>"8:59:02.335415"</f>
        <v>8:59:02.335415</v>
      </c>
      <c r="C5316">
        <v>-44</v>
      </c>
    </row>
    <row r="5317" spans="1:3" x14ac:dyDescent="0.25">
      <c r="A5317">
        <v>37</v>
      </c>
      <c r="B5317" t="str">
        <f>"8:59:02.335934"</f>
        <v>8:59:02.335934</v>
      </c>
      <c r="C5317">
        <v>-37</v>
      </c>
    </row>
    <row r="5318" spans="1:3" x14ac:dyDescent="0.25">
      <c r="A5318">
        <v>37</v>
      </c>
      <c r="B5318" t="str">
        <f>"8:59:02.336260"</f>
        <v>8:59:02.336260</v>
      </c>
      <c r="C5318">
        <v>-45</v>
      </c>
    </row>
    <row r="5319" spans="1:3" x14ac:dyDescent="0.25">
      <c r="A5319">
        <v>38</v>
      </c>
      <c r="B5319" t="str">
        <f>"8:59:02.337036"</f>
        <v>8:59:02.337036</v>
      </c>
      <c r="C5319">
        <v>-41</v>
      </c>
    </row>
    <row r="5320" spans="1:3" x14ac:dyDescent="0.25">
      <c r="A5320">
        <v>39</v>
      </c>
      <c r="B5320" t="str">
        <f>"8:59:02.338062"</f>
        <v>8:59:02.338062</v>
      </c>
      <c r="C5320">
        <v>-46</v>
      </c>
    </row>
    <row r="5321" spans="1:3" x14ac:dyDescent="0.25">
      <c r="A5321">
        <v>37</v>
      </c>
      <c r="B5321" t="str">
        <f>"8:59:02.692025"</f>
        <v>8:59:02.692025</v>
      </c>
      <c r="C5321">
        <v>-45</v>
      </c>
    </row>
    <row r="5322" spans="1:3" x14ac:dyDescent="0.25">
      <c r="A5322">
        <v>37</v>
      </c>
      <c r="B5322" t="str">
        <f>"8:59:02.692544"</f>
        <v>8:59:02.692544</v>
      </c>
      <c r="C5322">
        <v>-37</v>
      </c>
    </row>
    <row r="5323" spans="1:3" x14ac:dyDescent="0.25">
      <c r="A5323">
        <v>37</v>
      </c>
      <c r="B5323" t="str">
        <f>"8:59:02.692870"</f>
        <v>8:59:02.692870</v>
      </c>
      <c r="C5323">
        <v>-45</v>
      </c>
    </row>
    <row r="5324" spans="1:3" x14ac:dyDescent="0.25">
      <c r="A5324">
        <v>38</v>
      </c>
      <c r="B5324" t="str">
        <f>"8:59:02.693647"</f>
        <v>8:59:02.693647</v>
      </c>
      <c r="C5324">
        <v>-41</v>
      </c>
    </row>
    <row r="5325" spans="1:3" x14ac:dyDescent="0.25">
      <c r="A5325">
        <v>39</v>
      </c>
      <c r="B5325" t="str">
        <f>"8:59:02.694673"</f>
        <v>8:59:02.694673</v>
      </c>
      <c r="C5325">
        <v>-46</v>
      </c>
    </row>
    <row r="5326" spans="1:3" x14ac:dyDescent="0.25">
      <c r="A5326">
        <v>37</v>
      </c>
      <c r="B5326" t="str">
        <f>"8:59:03.048152"</f>
        <v>8:59:03.048152</v>
      </c>
      <c r="C5326">
        <v>-44</v>
      </c>
    </row>
    <row r="5327" spans="1:3" x14ac:dyDescent="0.25">
      <c r="A5327">
        <v>38</v>
      </c>
      <c r="B5327" t="str">
        <f>"8:59:03.049179"</f>
        <v>8:59:03.049179</v>
      </c>
      <c r="C5327">
        <v>-41</v>
      </c>
    </row>
    <row r="5328" spans="1:3" x14ac:dyDescent="0.25">
      <c r="A5328">
        <v>39</v>
      </c>
      <c r="B5328" t="str">
        <f>"8:59:03.050205"</f>
        <v>8:59:03.050205</v>
      </c>
      <c r="C5328">
        <v>-46</v>
      </c>
    </row>
    <row r="5329" spans="1:3" x14ac:dyDescent="0.25">
      <c r="A5329">
        <v>37</v>
      </c>
      <c r="B5329" t="str">
        <f>"8:59:03.401516"</f>
        <v>8:59:03.401516</v>
      </c>
      <c r="C5329">
        <v>-44</v>
      </c>
    </row>
    <row r="5330" spans="1:3" x14ac:dyDescent="0.25">
      <c r="A5330">
        <v>37</v>
      </c>
      <c r="B5330" t="str">
        <f>"8:59:03.402035"</f>
        <v>8:59:03.402035</v>
      </c>
      <c r="C5330">
        <v>-37</v>
      </c>
    </row>
    <row r="5331" spans="1:3" x14ac:dyDescent="0.25">
      <c r="A5331">
        <v>37</v>
      </c>
      <c r="B5331" t="str">
        <f>"8:59:03.402361"</f>
        <v>8:59:03.402361</v>
      </c>
      <c r="C5331">
        <v>-45</v>
      </c>
    </row>
    <row r="5332" spans="1:3" x14ac:dyDescent="0.25">
      <c r="A5332">
        <v>38</v>
      </c>
      <c r="B5332" t="str">
        <f>"8:59:03.403137"</f>
        <v>8:59:03.403137</v>
      </c>
      <c r="C5332">
        <v>-41</v>
      </c>
    </row>
    <row r="5333" spans="1:3" x14ac:dyDescent="0.25">
      <c r="A5333">
        <v>39</v>
      </c>
      <c r="B5333" t="str">
        <f>"8:59:03.404163"</f>
        <v>8:59:03.404163</v>
      </c>
      <c r="C5333">
        <v>-46</v>
      </c>
    </row>
    <row r="5334" spans="1:3" x14ac:dyDescent="0.25">
      <c r="A5334">
        <v>37</v>
      </c>
      <c r="B5334" t="str">
        <f>"8:59:03.760957"</f>
        <v>8:59:03.760957</v>
      </c>
      <c r="C5334">
        <v>-44</v>
      </c>
    </row>
    <row r="5335" spans="1:3" x14ac:dyDescent="0.25">
      <c r="A5335">
        <v>37</v>
      </c>
      <c r="B5335" t="str">
        <f>"8:59:03.761476"</f>
        <v>8:59:03.761476</v>
      </c>
      <c r="C5335">
        <v>-37</v>
      </c>
    </row>
    <row r="5336" spans="1:3" x14ac:dyDescent="0.25">
      <c r="A5336">
        <v>37</v>
      </c>
      <c r="B5336" t="str">
        <f>"8:59:03.761802"</f>
        <v>8:59:03.761802</v>
      </c>
      <c r="C5336">
        <v>-45</v>
      </c>
    </row>
    <row r="5337" spans="1:3" x14ac:dyDescent="0.25">
      <c r="A5337">
        <v>38</v>
      </c>
      <c r="B5337" t="str">
        <f>"8:59:03.762579"</f>
        <v>8:59:03.762579</v>
      </c>
      <c r="C5337">
        <v>-41</v>
      </c>
    </row>
    <row r="5338" spans="1:3" x14ac:dyDescent="0.25">
      <c r="A5338">
        <v>39</v>
      </c>
      <c r="B5338" t="str">
        <f>"8:59:03.763605"</f>
        <v>8:59:03.763605</v>
      </c>
      <c r="C5338">
        <v>-46</v>
      </c>
    </row>
    <row r="5339" spans="1:3" x14ac:dyDescent="0.25">
      <c r="A5339">
        <v>37</v>
      </c>
      <c r="B5339" t="str">
        <f>"8:59:04.112223"</f>
        <v>8:59:04.112223</v>
      </c>
      <c r="C5339">
        <v>-44</v>
      </c>
    </row>
    <row r="5340" spans="1:3" x14ac:dyDescent="0.25">
      <c r="A5340">
        <v>37</v>
      </c>
      <c r="B5340" t="str">
        <f>"8:59:04.112742"</f>
        <v>8:59:04.112742</v>
      </c>
      <c r="C5340">
        <v>-37</v>
      </c>
    </row>
    <row r="5341" spans="1:3" x14ac:dyDescent="0.25">
      <c r="A5341">
        <v>37</v>
      </c>
      <c r="B5341" t="str">
        <f>"8:59:04.113068"</f>
        <v>8:59:04.113068</v>
      </c>
      <c r="C5341">
        <v>-45</v>
      </c>
    </row>
    <row r="5342" spans="1:3" x14ac:dyDescent="0.25">
      <c r="A5342">
        <v>38</v>
      </c>
      <c r="B5342" t="str">
        <f>"8:59:04.113845"</f>
        <v>8:59:04.113845</v>
      </c>
      <c r="C5342">
        <v>-41</v>
      </c>
    </row>
    <row r="5343" spans="1:3" x14ac:dyDescent="0.25">
      <c r="A5343">
        <v>39</v>
      </c>
      <c r="B5343" t="str">
        <f>"8:59:04.114871"</f>
        <v>8:59:04.114871</v>
      </c>
      <c r="C5343">
        <v>-46</v>
      </c>
    </row>
    <row r="5344" spans="1:3" x14ac:dyDescent="0.25">
      <c r="A5344">
        <v>37</v>
      </c>
      <c r="B5344" t="str">
        <f>"8:59:04.469152"</f>
        <v>8:59:04.469152</v>
      </c>
      <c r="C5344">
        <v>-45</v>
      </c>
    </row>
    <row r="5345" spans="1:3" x14ac:dyDescent="0.25">
      <c r="A5345">
        <v>38</v>
      </c>
      <c r="B5345" t="str">
        <f>"8:59:04.470180"</f>
        <v>8:59:04.470180</v>
      </c>
      <c r="C5345">
        <v>-41</v>
      </c>
    </row>
    <row r="5346" spans="1:3" x14ac:dyDescent="0.25">
      <c r="A5346">
        <v>38</v>
      </c>
      <c r="B5346" t="str">
        <f>"8:59:04.470699"</f>
        <v>8:59:04.470699</v>
      </c>
      <c r="C5346">
        <v>-32</v>
      </c>
    </row>
    <row r="5347" spans="1:3" x14ac:dyDescent="0.25">
      <c r="A5347">
        <v>38</v>
      </c>
      <c r="B5347" t="str">
        <f>"8:59:04.471025"</f>
        <v>8:59:04.471025</v>
      </c>
      <c r="C5347">
        <v>-41</v>
      </c>
    </row>
    <row r="5348" spans="1:3" x14ac:dyDescent="0.25">
      <c r="A5348">
        <v>39</v>
      </c>
      <c r="B5348" t="str">
        <f>"8:59:04.471801"</f>
        <v>8:59:04.471801</v>
      </c>
      <c r="C5348">
        <v>-46</v>
      </c>
    </row>
    <row r="5349" spans="1:3" x14ac:dyDescent="0.25">
      <c r="A5349">
        <v>37</v>
      </c>
      <c r="B5349" t="str">
        <f>"8:59:04.819380"</f>
        <v>8:59:04.819380</v>
      </c>
      <c r="C5349">
        <v>-44</v>
      </c>
    </row>
    <row r="5350" spans="1:3" x14ac:dyDescent="0.25">
      <c r="A5350">
        <v>38</v>
      </c>
      <c r="B5350" t="str">
        <f>"8:59:04.820408"</f>
        <v>8:59:04.820408</v>
      </c>
      <c r="C5350">
        <v>-41</v>
      </c>
    </row>
    <row r="5351" spans="1:3" x14ac:dyDescent="0.25">
      <c r="A5351">
        <v>38</v>
      </c>
      <c r="B5351" t="str">
        <f>"8:59:04.820926"</f>
        <v>8:59:04.820926</v>
      </c>
      <c r="C5351">
        <v>-32</v>
      </c>
    </row>
    <row r="5352" spans="1:3" x14ac:dyDescent="0.25">
      <c r="A5352">
        <v>38</v>
      </c>
      <c r="B5352" t="str">
        <f>"8:59:04.821252"</f>
        <v>8:59:04.821252</v>
      </c>
      <c r="C5352">
        <v>-41</v>
      </c>
    </row>
    <row r="5353" spans="1:3" x14ac:dyDescent="0.25">
      <c r="A5353">
        <v>39</v>
      </c>
      <c r="B5353" t="str">
        <f>"8:59:04.822028"</f>
        <v>8:59:04.822028</v>
      </c>
      <c r="C5353">
        <v>-46</v>
      </c>
    </row>
    <row r="5354" spans="1:3" x14ac:dyDescent="0.25">
      <c r="A5354">
        <v>37</v>
      </c>
      <c r="B5354" t="str">
        <f>"8:59:05.174215"</f>
        <v>8:59:05.174215</v>
      </c>
      <c r="C5354">
        <v>-44</v>
      </c>
    </row>
    <row r="5355" spans="1:3" x14ac:dyDescent="0.25">
      <c r="A5355">
        <v>38</v>
      </c>
      <c r="B5355" t="str">
        <f>"8:59:05.175242"</f>
        <v>8:59:05.175242</v>
      </c>
      <c r="C5355">
        <v>-41</v>
      </c>
    </row>
    <row r="5356" spans="1:3" x14ac:dyDescent="0.25">
      <c r="A5356">
        <v>38</v>
      </c>
      <c r="B5356" t="str">
        <f>"8:59:05.175761"</f>
        <v>8:59:05.175761</v>
      </c>
      <c r="C5356">
        <v>-31</v>
      </c>
    </row>
    <row r="5357" spans="1:3" x14ac:dyDescent="0.25">
      <c r="A5357">
        <v>38</v>
      </c>
      <c r="B5357" t="str">
        <f>"8:59:05.176087"</f>
        <v>8:59:05.176087</v>
      </c>
      <c r="C5357">
        <v>-41</v>
      </c>
    </row>
    <row r="5358" spans="1:3" x14ac:dyDescent="0.25">
      <c r="A5358">
        <v>39</v>
      </c>
      <c r="B5358" t="str">
        <f>"8:59:05.176863"</f>
        <v>8:59:05.176863</v>
      </c>
      <c r="C5358">
        <v>-46</v>
      </c>
    </row>
    <row r="5359" spans="1:3" x14ac:dyDescent="0.25">
      <c r="A5359">
        <v>37</v>
      </c>
      <c r="B5359" t="str">
        <f>"8:59:05.524695"</f>
        <v>8:59:05.524695</v>
      </c>
      <c r="C5359">
        <v>-44</v>
      </c>
    </row>
    <row r="5360" spans="1:3" x14ac:dyDescent="0.25">
      <c r="A5360">
        <v>38</v>
      </c>
      <c r="B5360" t="str">
        <f>"8:59:05.525722"</f>
        <v>8:59:05.525722</v>
      </c>
      <c r="C5360">
        <v>-41</v>
      </c>
    </row>
    <row r="5361" spans="1:3" x14ac:dyDescent="0.25">
      <c r="A5361">
        <v>38</v>
      </c>
      <c r="B5361" t="str">
        <f>"8:59:05.526241"</f>
        <v>8:59:05.526241</v>
      </c>
      <c r="C5361">
        <v>-31</v>
      </c>
    </row>
    <row r="5362" spans="1:3" x14ac:dyDescent="0.25">
      <c r="A5362">
        <v>38</v>
      </c>
      <c r="B5362" t="str">
        <f>"8:59:05.526567"</f>
        <v>8:59:05.526567</v>
      </c>
      <c r="C5362">
        <v>-41</v>
      </c>
    </row>
    <row r="5363" spans="1:3" x14ac:dyDescent="0.25">
      <c r="A5363">
        <v>39</v>
      </c>
      <c r="B5363" t="str">
        <f>"8:59:05.527343"</f>
        <v>8:59:05.527343</v>
      </c>
      <c r="C5363">
        <v>-46</v>
      </c>
    </row>
    <row r="5364" spans="1:3" x14ac:dyDescent="0.25">
      <c r="A5364">
        <v>37</v>
      </c>
      <c r="B5364" t="str">
        <f>"8:59:05.880087"</f>
        <v>8:59:05.880087</v>
      </c>
      <c r="C5364">
        <v>-45</v>
      </c>
    </row>
    <row r="5365" spans="1:3" x14ac:dyDescent="0.25">
      <c r="A5365">
        <v>38</v>
      </c>
      <c r="B5365" t="str">
        <f>"8:59:05.881114"</f>
        <v>8:59:05.881114</v>
      </c>
      <c r="C5365">
        <v>-41</v>
      </c>
    </row>
    <row r="5366" spans="1:3" x14ac:dyDescent="0.25">
      <c r="A5366">
        <v>38</v>
      </c>
      <c r="B5366" t="str">
        <f>"8:59:05.881632"</f>
        <v>8:59:05.881632</v>
      </c>
      <c r="C5366">
        <v>-32</v>
      </c>
    </row>
    <row r="5367" spans="1:3" x14ac:dyDescent="0.25">
      <c r="A5367">
        <v>38</v>
      </c>
      <c r="B5367" t="str">
        <f>"8:59:05.881958"</f>
        <v>8:59:05.881958</v>
      </c>
      <c r="C5367">
        <v>-41</v>
      </c>
    </row>
    <row r="5368" spans="1:3" x14ac:dyDescent="0.25">
      <c r="A5368">
        <v>39</v>
      </c>
      <c r="B5368" t="str">
        <f>"8:59:05.882734"</f>
        <v>8:59:05.882734</v>
      </c>
      <c r="C5368">
        <v>-46</v>
      </c>
    </row>
    <row r="5369" spans="1:3" x14ac:dyDescent="0.25">
      <c r="A5369">
        <v>37</v>
      </c>
      <c r="B5369" t="str">
        <f>"8:59:06.240022"</f>
        <v>8:59:06.240022</v>
      </c>
      <c r="C5369">
        <v>-44</v>
      </c>
    </row>
    <row r="5370" spans="1:3" x14ac:dyDescent="0.25">
      <c r="A5370">
        <v>38</v>
      </c>
      <c r="B5370" t="str">
        <f>"8:59:06.241050"</f>
        <v>8:59:06.241050</v>
      </c>
      <c r="C5370">
        <v>-41</v>
      </c>
    </row>
    <row r="5371" spans="1:3" x14ac:dyDescent="0.25">
      <c r="A5371">
        <v>38</v>
      </c>
      <c r="B5371" t="str">
        <f>"8:59:06.241569"</f>
        <v>8:59:06.241569</v>
      </c>
      <c r="C5371">
        <v>-32</v>
      </c>
    </row>
    <row r="5372" spans="1:3" x14ac:dyDescent="0.25">
      <c r="A5372">
        <v>38</v>
      </c>
      <c r="B5372" t="str">
        <f>"8:59:06.241895"</f>
        <v>8:59:06.241895</v>
      </c>
      <c r="C5372">
        <v>-41</v>
      </c>
    </row>
    <row r="5373" spans="1:3" x14ac:dyDescent="0.25">
      <c r="A5373">
        <v>39</v>
      </c>
      <c r="B5373" t="str">
        <f>"8:59:06.242671"</f>
        <v>8:59:06.242671</v>
      </c>
      <c r="C5373">
        <v>-46</v>
      </c>
    </row>
    <row r="5374" spans="1:3" x14ac:dyDescent="0.25">
      <c r="A5374">
        <v>37</v>
      </c>
      <c r="B5374" t="str">
        <f>"8:59:06.590215"</f>
        <v>8:59:06.590215</v>
      </c>
      <c r="C5374">
        <v>-44</v>
      </c>
    </row>
    <row r="5375" spans="1:3" x14ac:dyDescent="0.25">
      <c r="A5375">
        <v>38</v>
      </c>
      <c r="B5375" t="str">
        <f>"8:59:06.591243"</f>
        <v>8:59:06.591243</v>
      </c>
      <c r="C5375">
        <v>-41</v>
      </c>
    </row>
    <row r="5376" spans="1:3" x14ac:dyDescent="0.25">
      <c r="A5376">
        <v>38</v>
      </c>
      <c r="B5376" t="str">
        <f>"8:59:06.591761"</f>
        <v>8:59:06.591761</v>
      </c>
      <c r="C5376">
        <v>-32</v>
      </c>
    </row>
    <row r="5377" spans="1:3" x14ac:dyDescent="0.25">
      <c r="A5377">
        <v>38</v>
      </c>
      <c r="B5377" t="str">
        <f>"8:59:06.592087"</f>
        <v>8:59:06.592087</v>
      </c>
      <c r="C5377">
        <v>-42</v>
      </c>
    </row>
    <row r="5378" spans="1:3" x14ac:dyDescent="0.25">
      <c r="A5378">
        <v>39</v>
      </c>
      <c r="B5378" t="str">
        <f>"8:59:06.592863"</f>
        <v>8:59:06.592863</v>
      </c>
      <c r="C5378">
        <v>-45</v>
      </c>
    </row>
    <row r="5379" spans="1:3" x14ac:dyDescent="0.25">
      <c r="A5379">
        <v>37</v>
      </c>
      <c r="B5379" t="str">
        <f>"8:59:06.946138"</f>
        <v>8:59:06.946138</v>
      </c>
      <c r="C5379">
        <v>-44</v>
      </c>
    </row>
    <row r="5380" spans="1:3" x14ac:dyDescent="0.25">
      <c r="A5380">
        <v>38</v>
      </c>
      <c r="B5380" t="str">
        <f>"8:59:06.947165"</f>
        <v>8:59:06.947165</v>
      </c>
      <c r="C5380">
        <v>-41</v>
      </c>
    </row>
    <row r="5381" spans="1:3" x14ac:dyDescent="0.25">
      <c r="A5381">
        <v>38</v>
      </c>
      <c r="B5381" t="str">
        <f>"8:59:06.947684"</f>
        <v>8:59:06.947684</v>
      </c>
      <c r="C5381">
        <v>-32</v>
      </c>
    </row>
    <row r="5382" spans="1:3" x14ac:dyDescent="0.25">
      <c r="A5382">
        <v>38</v>
      </c>
      <c r="B5382" t="str">
        <f>"8:59:06.948009"</f>
        <v>8:59:06.948009</v>
      </c>
      <c r="C5382">
        <v>-41</v>
      </c>
    </row>
    <row r="5383" spans="1:3" x14ac:dyDescent="0.25">
      <c r="A5383">
        <v>39</v>
      </c>
      <c r="B5383" t="str">
        <f>"8:59:06.948785"</f>
        <v>8:59:06.948785</v>
      </c>
      <c r="C5383">
        <v>-46</v>
      </c>
    </row>
    <row r="5384" spans="1:3" x14ac:dyDescent="0.25">
      <c r="A5384">
        <v>39</v>
      </c>
      <c r="B5384" t="str">
        <f>"8:59:06.949304"</f>
        <v>8:59:06.949304</v>
      </c>
      <c r="C5384">
        <v>-88</v>
      </c>
    </row>
    <row r="5385" spans="1:3" x14ac:dyDescent="0.25">
      <c r="A5385">
        <v>39</v>
      </c>
      <c r="B5385" t="str">
        <f>"8:59:06.949629"</f>
        <v>8:59:06.949629</v>
      </c>
      <c r="C5385">
        <v>-45</v>
      </c>
    </row>
    <row r="5386" spans="1:3" x14ac:dyDescent="0.25">
      <c r="A5386">
        <v>37</v>
      </c>
      <c r="B5386" t="str">
        <f>"8:59:07.296587"</f>
        <v>8:59:07.296587</v>
      </c>
      <c r="C5386">
        <v>-44</v>
      </c>
    </row>
    <row r="5387" spans="1:3" x14ac:dyDescent="0.25">
      <c r="A5387">
        <v>38</v>
      </c>
      <c r="B5387" t="str">
        <f>"8:59:07.297615"</f>
        <v>8:59:07.297615</v>
      </c>
      <c r="C5387">
        <v>-41</v>
      </c>
    </row>
    <row r="5388" spans="1:3" x14ac:dyDescent="0.25">
      <c r="A5388">
        <v>38</v>
      </c>
      <c r="B5388" t="str">
        <f>"8:59:07.298133"</f>
        <v>8:59:07.298133</v>
      </c>
      <c r="C5388">
        <v>-32</v>
      </c>
    </row>
    <row r="5389" spans="1:3" x14ac:dyDescent="0.25">
      <c r="A5389">
        <v>38</v>
      </c>
      <c r="B5389" t="str">
        <f>"8:59:07.298459"</f>
        <v>8:59:07.298459</v>
      </c>
      <c r="C5389">
        <v>-41</v>
      </c>
    </row>
    <row r="5390" spans="1:3" x14ac:dyDescent="0.25">
      <c r="A5390">
        <v>39</v>
      </c>
      <c r="B5390" t="str">
        <f>"8:59:07.299235"</f>
        <v>8:59:07.299235</v>
      </c>
      <c r="C5390">
        <v>-46</v>
      </c>
    </row>
    <row r="5391" spans="1:3" x14ac:dyDescent="0.25">
      <c r="A5391">
        <v>37</v>
      </c>
      <c r="B5391" t="str">
        <f>"8:59:07.653995"</f>
        <v>8:59:07.653995</v>
      </c>
      <c r="C5391">
        <v>-44</v>
      </c>
    </row>
    <row r="5392" spans="1:3" x14ac:dyDescent="0.25">
      <c r="A5392">
        <v>38</v>
      </c>
      <c r="B5392" t="str">
        <f>"8:59:07.655023"</f>
        <v>8:59:07.655023</v>
      </c>
      <c r="C5392">
        <v>-41</v>
      </c>
    </row>
    <row r="5393" spans="1:3" x14ac:dyDescent="0.25">
      <c r="A5393">
        <v>38</v>
      </c>
      <c r="B5393" t="str">
        <f>"8:59:07.655541"</f>
        <v>8:59:07.655541</v>
      </c>
      <c r="C5393">
        <v>-31</v>
      </c>
    </row>
    <row r="5394" spans="1:3" x14ac:dyDescent="0.25">
      <c r="A5394">
        <v>38</v>
      </c>
      <c r="B5394" t="str">
        <f>"8:59:07.655867"</f>
        <v>8:59:07.655867</v>
      </c>
      <c r="C5394">
        <v>-41</v>
      </c>
    </row>
    <row r="5395" spans="1:3" x14ac:dyDescent="0.25">
      <c r="A5395">
        <v>39</v>
      </c>
      <c r="B5395" t="str">
        <f>"8:59:07.656643"</f>
        <v>8:59:07.656643</v>
      </c>
      <c r="C5395">
        <v>-45</v>
      </c>
    </row>
    <row r="5396" spans="1:3" x14ac:dyDescent="0.25">
      <c r="A5396">
        <v>37</v>
      </c>
      <c r="B5396" t="str">
        <f>"8:59:08.004239"</f>
        <v>8:59:08.004239</v>
      </c>
      <c r="C5396">
        <v>-44</v>
      </c>
    </row>
    <row r="5397" spans="1:3" x14ac:dyDescent="0.25">
      <c r="A5397">
        <v>38</v>
      </c>
      <c r="B5397" t="str">
        <f>"8:59:08.005266"</f>
        <v>8:59:08.005266</v>
      </c>
      <c r="C5397">
        <v>-41</v>
      </c>
    </row>
    <row r="5398" spans="1:3" x14ac:dyDescent="0.25">
      <c r="A5398">
        <v>39</v>
      </c>
      <c r="B5398" t="str">
        <f>"8:59:08.006292"</f>
        <v>8:59:08.006292</v>
      </c>
      <c r="C5398">
        <v>-46</v>
      </c>
    </row>
    <row r="5399" spans="1:3" x14ac:dyDescent="0.25">
      <c r="A5399">
        <v>37</v>
      </c>
      <c r="B5399" t="str">
        <f>"8:59:08.363152"</f>
        <v>8:59:08.363152</v>
      </c>
      <c r="C5399">
        <v>-44</v>
      </c>
    </row>
    <row r="5400" spans="1:3" x14ac:dyDescent="0.25">
      <c r="A5400">
        <v>38</v>
      </c>
      <c r="B5400" t="str">
        <f>"8:59:08.364179"</f>
        <v>8:59:08.364179</v>
      </c>
      <c r="C5400">
        <v>-41</v>
      </c>
    </row>
    <row r="5401" spans="1:3" x14ac:dyDescent="0.25">
      <c r="A5401">
        <v>38</v>
      </c>
      <c r="B5401" t="str">
        <f>"8:59:08.364697"</f>
        <v>8:59:08.364697</v>
      </c>
      <c r="C5401">
        <v>-32</v>
      </c>
    </row>
    <row r="5402" spans="1:3" x14ac:dyDescent="0.25">
      <c r="A5402">
        <v>38</v>
      </c>
      <c r="B5402" t="str">
        <f>"8:59:08.365023"</f>
        <v>8:59:08.365023</v>
      </c>
      <c r="C5402">
        <v>-41</v>
      </c>
    </row>
    <row r="5403" spans="1:3" x14ac:dyDescent="0.25">
      <c r="A5403">
        <v>39</v>
      </c>
      <c r="B5403" t="str">
        <f>"8:59:08.365799"</f>
        <v>8:59:08.365799</v>
      </c>
      <c r="C5403">
        <v>-46</v>
      </c>
    </row>
    <row r="5404" spans="1:3" x14ac:dyDescent="0.25">
      <c r="A5404">
        <v>37</v>
      </c>
      <c r="B5404" t="str">
        <f>"8:59:08.715963"</f>
        <v>8:59:08.715963</v>
      </c>
      <c r="C5404">
        <v>-44</v>
      </c>
    </row>
    <row r="5405" spans="1:3" x14ac:dyDescent="0.25">
      <c r="A5405">
        <v>38</v>
      </c>
      <c r="B5405" t="str">
        <f>"8:59:08.716990"</f>
        <v>8:59:08.716990</v>
      </c>
      <c r="C5405">
        <v>-41</v>
      </c>
    </row>
    <row r="5406" spans="1:3" x14ac:dyDescent="0.25">
      <c r="A5406">
        <v>38</v>
      </c>
      <c r="B5406" t="str">
        <f>"8:59:08.717508"</f>
        <v>8:59:08.717508</v>
      </c>
      <c r="C5406">
        <v>-32</v>
      </c>
    </row>
    <row r="5407" spans="1:3" x14ac:dyDescent="0.25">
      <c r="A5407">
        <v>38</v>
      </c>
      <c r="B5407" t="str">
        <f>"8:59:08.717834"</f>
        <v>8:59:08.717834</v>
      </c>
      <c r="C5407">
        <v>-41</v>
      </c>
    </row>
    <row r="5408" spans="1:3" x14ac:dyDescent="0.25">
      <c r="A5408">
        <v>39</v>
      </c>
      <c r="B5408" t="str">
        <f>"8:59:08.718610"</f>
        <v>8:59:08.718610</v>
      </c>
      <c r="C5408">
        <v>-46</v>
      </c>
    </row>
    <row r="5409" spans="1:3" x14ac:dyDescent="0.25">
      <c r="A5409">
        <v>37</v>
      </c>
      <c r="B5409" t="str">
        <f>"8:59:09.073355"</f>
        <v>8:59:09.073355</v>
      </c>
      <c r="C5409">
        <v>-44</v>
      </c>
    </row>
    <row r="5410" spans="1:3" x14ac:dyDescent="0.25">
      <c r="A5410">
        <v>38</v>
      </c>
      <c r="B5410" t="str">
        <f>"8:59:09.074382"</f>
        <v>8:59:09.074382</v>
      </c>
      <c r="C5410">
        <v>-41</v>
      </c>
    </row>
    <row r="5411" spans="1:3" x14ac:dyDescent="0.25">
      <c r="A5411">
        <v>38</v>
      </c>
      <c r="B5411" t="str">
        <f>"8:59:09.074901"</f>
        <v>8:59:09.074901</v>
      </c>
      <c r="C5411">
        <v>-32</v>
      </c>
    </row>
    <row r="5412" spans="1:3" x14ac:dyDescent="0.25">
      <c r="A5412">
        <v>38</v>
      </c>
      <c r="B5412" t="str">
        <f>"8:59:09.075226"</f>
        <v>8:59:09.075226</v>
      </c>
      <c r="C5412">
        <v>-41</v>
      </c>
    </row>
    <row r="5413" spans="1:3" x14ac:dyDescent="0.25">
      <c r="A5413">
        <v>39</v>
      </c>
      <c r="B5413" t="str">
        <f>"8:59:09.076002"</f>
        <v>8:59:09.076002</v>
      </c>
      <c r="C5413">
        <v>-46</v>
      </c>
    </row>
    <row r="5414" spans="1:3" x14ac:dyDescent="0.25">
      <c r="A5414">
        <v>37</v>
      </c>
      <c r="B5414" t="str">
        <f>"8:59:09.426903"</f>
        <v>8:59:09.426903</v>
      </c>
      <c r="C5414">
        <v>-44</v>
      </c>
    </row>
    <row r="5415" spans="1:3" x14ac:dyDescent="0.25">
      <c r="A5415">
        <v>38</v>
      </c>
      <c r="B5415" t="str">
        <f>"8:59:09.427930"</f>
        <v>8:59:09.427930</v>
      </c>
      <c r="C5415">
        <v>-41</v>
      </c>
    </row>
    <row r="5416" spans="1:3" x14ac:dyDescent="0.25">
      <c r="A5416">
        <v>38</v>
      </c>
      <c r="B5416" t="str">
        <f>"8:59:09.428449"</f>
        <v>8:59:09.428449</v>
      </c>
      <c r="C5416">
        <v>-31</v>
      </c>
    </row>
    <row r="5417" spans="1:3" x14ac:dyDescent="0.25">
      <c r="A5417">
        <v>38</v>
      </c>
      <c r="B5417" t="str">
        <f>"8:59:09.428774"</f>
        <v>8:59:09.428774</v>
      </c>
      <c r="C5417">
        <v>-41</v>
      </c>
    </row>
    <row r="5418" spans="1:3" x14ac:dyDescent="0.25">
      <c r="A5418">
        <v>39</v>
      </c>
      <c r="B5418" t="str">
        <f>"8:59:09.429550"</f>
        <v>8:59:09.429550</v>
      </c>
      <c r="C5418">
        <v>-46</v>
      </c>
    </row>
    <row r="5419" spans="1:3" x14ac:dyDescent="0.25">
      <c r="A5419">
        <v>37</v>
      </c>
      <c r="B5419" t="str">
        <f>"8:59:09.778419"</f>
        <v>8:59:09.778419</v>
      </c>
      <c r="C5419">
        <v>-44</v>
      </c>
    </row>
    <row r="5420" spans="1:3" x14ac:dyDescent="0.25">
      <c r="A5420">
        <v>38</v>
      </c>
      <c r="B5420" t="str">
        <f>"8:59:09.779447"</f>
        <v>8:59:09.779447</v>
      </c>
      <c r="C5420">
        <v>-41</v>
      </c>
    </row>
    <row r="5421" spans="1:3" x14ac:dyDescent="0.25">
      <c r="A5421">
        <v>39</v>
      </c>
      <c r="B5421" t="str">
        <f>"8:59:09.780473"</f>
        <v>8:59:09.780473</v>
      </c>
      <c r="C5421">
        <v>-46</v>
      </c>
    </row>
    <row r="5422" spans="1:3" x14ac:dyDescent="0.25">
      <c r="A5422">
        <v>37</v>
      </c>
      <c r="B5422" t="str">
        <f>"8:59:10.135875"</f>
        <v>8:59:10.135875</v>
      </c>
      <c r="C5422">
        <v>-44</v>
      </c>
    </row>
    <row r="5423" spans="1:3" x14ac:dyDescent="0.25">
      <c r="A5423">
        <v>37</v>
      </c>
      <c r="B5423" t="str">
        <f>"8:59:10.136720"</f>
        <v>8:59:10.136720</v>
      </c>
      <c r="C5423">
        <v>-44</v>
      </c>
    </row>
    <row r="5424" spans="1:3" x14ac:dyDescent="0.25">
      <c r="A5424">
        <v>38</v>
      </c>
      <c r="B5424" t="str">
        <f>"8:59:10.137496"</f>
        <v>8:59:10.137496</v>
      </c>
      <c r="C5424">
        <v>-41</v>
      </c>
    </row>
    <row r="5425" spans="1:3" x14ac:dyDescent="0.25">
      <c r="A5425">
        <v>39</v>
      </c>
      <c r="B5425" t="str">
        <f>"8:59:10.138522"</f>
        <v>8:59:10.138522</v>
      </c>
      <c r="C5425">
        <v>-45</v>
      </c>
    </row>
    <row r="5426" spans="1:3" x14ac:dyDescent="0.25">
      <c r="A5426">
        <v>39</v>
      </c>
      <c r="B5426" t="str">
        <f>"8:59:10.139041"</f>
        <v>8:59:10.139041</v>
      </c>
      <c r="C5426">
        <v>-31</v>
      </c>
    </row>
    <row r="5427" spans="1:3" x14ac:dyDescent="0.25">
      <c r="A5427">
        <v>39</v>
      </c>
      <c r="B5427" t="str">
        <f>"8:59:10.139367"</f>
        <v>8:59:10.139367</v>
      </c>
      <c r="C5427">
        <v>-45</v>
      </c>
    </row>
    <row r="5428" spans="1:3" x14ac:dyDescent="0.25">
      <c r="A5428">
        <v>37</v>
      </c>
      <c r="B5428" t="str">
        <f>"8:59:10.495823"</f>
        <v>8:59:10.495823</v>
      </c>
      <c r="C5428">
        <v>-44</v>
      </c>
    </row>
    <row r="5429" spans="1:3" x14ac:dyDescent="0.25">
      <c r="A5429">
        <v>38</v>
      </c>
      <c r="B5429" t="str">
        <f>"8:59:10.496851"</f>
        <v>8:59:10.496851</v>
      </c>
      <c r="C5429">
        <v>-41</v>
      </c>
    </row>
    <row r="5430" spans="1:3" x14ac:dyDescent="0.25">
      <c r="A5430">
        <v>39</v>
      </c>
      <c r="B5430" t="str">
        <f>"8:59:10.497877"</f>
        <v>8:59:10.497877</v>
      </c>
      <c r="C5430">
        <v>-46</v>
      </c>
    </row>
    <row r="5431" spans="1:3" x14ac:dyDescent="0.25">
      <c r="A5431">
        <v>39</v>
      </c>
      <c r="B5431" t="str">
        <f>"8:59:10.498395"</f>
        <v>8:59:10.498395</v>
      </c>
      <c r="C5431">
        <v>-31</v>
      </c>
    </row>
    <row r="5432" spans="1:3" x14ac:dyDescent="0.25">
      <c r="A5432">
        <v>39</v>
      </c>
      <c r="B5432" t="str">
        <f>"8:59:10.498721"</f>
        <v>8:59:10.498721</v>
      </c>
      <c r="C5432">
        <v>-45</v>
      </c>
    </row>
    <row r="5433" spans="1:3" x14ac:dyDescent="0.25">
      <c r="A5433">
        <v>37</v>
      </c>
      <c r="B5433" t="str">
        <f>"8:59:10.848359"</f>
        <v>8:59:10.848359</v>
      </c>
      <c r="C5433">
        <v>-44</v>
      </c>
    </row>
    <row r="5434" spans="1:3" x14ac:dyDescent="0.25">
      <c r="A5434">
        <v>38</v>
      </c>
      <c r="B5434" t="str">
        <f>"8:59:10.849386"</f>
        <v>8:59:10.849386</v>
      </c>
      <c r="C5434">
        <v>-41</v>
      </c>
    </row>
    <row r="5435" spans="1:3" x14ac:dyDescent="0.25">
      <c r="A5435">
        <v>39</v>
      </c>
      <c r="B5435" t="str">
        <f>"8:59:10.850412"</f>
        <v>8:59:10.850412</v>
      </c>
      <c r="C5435">
        <v>-46</v>
      </c>
    </row>
    <row r="5436" spans="1:3" x14ac:dyDescent="0.25">
      <c r="A5436">
        <v>39</v>
      </c>
      <c r="B5436" t="str">
        <f>"8:59:10.850930"</f>
        <v>8:59:10.850930</v>
      </c>
      <c r="C5436">
        <v>-32</v>
      </c>
    </row>
    <row r="5437" spans="1:3" x14ac:dyDescent="0.25">
      <c r="A5437">
        <v>39</v>
      </c>
      <c r="B5437" t="str">
        <f>"8:59:10.851256"</f>
        <v>8:59:10.851256</v>
      </c>
      <c r="C5437">
        <v>-45</v>
      </c>
    </row>
    <row r="5438" spans="1:3" x14ac:dyDescent="0.25">
      <c r="A5438">
        <v>37</v>
      </c>
      <c r="B5438" t="str">
        <f>"8:59:11.205293"</f>
        <v>8:59:11.205293</v>
      </c>
      <c r="C5438">
        <v>-44</v>
      </c>
    </row>
    <row r="5439" spans="1:3" x14ac:dyDescent="0.25">
      <c r="A5439">
        <v>38</v>
      </c>
      <c r="B5439" t="str">
        <f>"8:59:11.206321"</f>
        <v>8:59:11.206321</v>
      </c>
      <c r="C5439">
        <v>-41</v>
      </c>
    </row>
    <row r="5440" spans="1:3" x14ac:dyDescent="0.25">
      <c r="A5440">
        <v>39</v>
      </c>
      <c r="B5440" t="str">
        <f>"8:59:11.207347"</f>
        <v>8:59:11.207347</v>
      </c>
      <c r="C5440">
        <v>-46</v>
      </c>
    </row>
    <row r="5441" spans="1:3" x14ac:dyDescent="0.25">
      <c r="A5441">
        <v>39</v>
      </c>
      <c r="B5441" t="str">
        <f>"8:59:11.207865"</f>
        <v>8:59:11.207865</v>
      </c>
      <c r="C5441">
        <v>-31</v>
      </c>
    </row>
    <row r="5442" spans="1:3" x14ac:dyDescent="0.25">
      <c r="A5442">
        <v>39</v>
      </c>
      <c r="B5442" t="str">
        <f>"8:59:11.208191"</f>
        <v>8:59:11.208191</v>
      </c>
      <c r="C5442">
        <v>-45</v>
      </c>
    </row>
    <row r="5443" spans="1:3" x14ac:dyDescent="0.25">
      <c r="A5443">
        <v>37</v>
      </c>
      <c r="B5443" t="str">
        <f>"8:59:11.565275"</f>
        <v>8:59:11.565275</v>
      </c>
      <c r="C5443">
        <v>-44</v>
      </c>
    </row>
    <row r="5444" spans="1:3" x14ac:dyDescent="0.25">
      <c r="A5444">
        <v>38</v>
      </c>
      <c r="B5444" t="str">
        <f>"8:59:11.566303"</f>
        <v>8:59:11.566303</v>
      </c>
      <c r="C5444">
        <v>-41</v>
      </c>
    </row>
    <row r="5445" spans="1:3" x14ac:dyDescent="0.25">
      <c r="A5445">
        <v>39</v>
      </c>
      <c r="B5445" t="str">
        <f>"8:59:11.567329"</f>
        <v>8:59:11.567329</v>
      </c>
      <c r="C5445">
        <v>-46</v>
      </c>
    </row>
    <row r="5446" spans="1:3" x14ac:dyDescent="0.25">
      <c r="A5446">
        <v>39</v>
      </c>
      <c r="B5446" t="str">
        <f>"8:59:11.567847"</f>
        <v>8:59:11.567847</v>
      </c>
      <c r="C5446">
        <v>-31</v>
      </c>
    </row>
    <row r="5447" spans="1:3" x14ac:dyDescent="0.25">
      <c r="A5447">
        <v>39</v>
      </c>
      <c r="B5447" t="str">
        <f>"8:59:11.568173"</f>
        <v>8:59:11.568173</v>
      </c>
      <c r="C5447">
        <v>-45</v>
      </c>
    </row>
    <row r="5448" spans="1:3" x14ac:dyDescent="0.25">
      <c r="A5448">
        <v>37</v>
      </c>
      <c r="B5448" t="str">
        <f>"8:59:11.917100"</f>
        <v>8:59:11.917100</v>
      </c>
      <c r="C5448">
        <v>-44</v>
      </c>
    </row>
    <row r="5449" spans="1:3" x14ac:dyDescent="0.25">
      <c r="A5449">
        <v>38</v>
      </c>
      <c r="B5449" t="str">
        <f>"8:59:11.918127"</f>
        <v>8:59:11.918127</v>
      </c>
      <c r="C5449">
        <v>-41</v>
      </c>
    </row>
    <row r="5450" spans="1:3" x14ac:dyDescent="0.25">
      <c r="A5450">
        <v>39</v>
      </c>
      <c r="B5450" t="str">
        <f>"8:59:11.919153"</f>
        <v>8:59:11.919153</v>
      </c>
      <c r="C5450">
        <v>-46</v>
      </c>
    </row>
    <row r="5451" spans="1:3" x14ac:dyDescent="0.25">
      <c r="A5451">
        <v>37</v>
      </c>
      <c r="B5451" t="str">
        <f>"8:59:12.274551"</f>
        <v>8:59:12.274551</v>
      </c>
      <c r="C5451">
        <v>-44</v>
      </c>
    </row>
    <row r="5452" spans="1:3" x14ac:dyDescent="0.25">
      <c r="A5452">
        <v>38</v>
      </c>
      <c r="B5452" t="str">
        <f>"8:59:12.275578"</f>
        <v>8:59:12.275578</v>
      </c>
      <c r="C5452">
        <v>-41</v>
      </c>
    </row>
    <row r="5453" spans="1:3" x14ac:dyDescent="0.25">
      <c r="A5453">
        <v>39</v>
      </c>
      <c r="B5453" t="str">
        <f>"8:59:12.276604"</f>
        <v>8:59:12.276604</v>
      </c>
      <c r="C5453">
        <v>-45</v>
      </c>
    </row>
    <row r="5454" spans="1:3" x14ac:dyDescent="0.25">
      <c r="A5454">
        <v>39</v>
      </c>
      <c r="B5454" t="str">
        <f>"8:59:12.277123"</f>
        <v>8:59:12.277123</v>
      </c>
      <c r="C5454">
        <v>-31</v>
      </c>
    </row>
    <row r="5455" spans="1:3" x14ac:dyDescent="0.25">
      <c r="A5455">
        <v>39</v>
      </c>
      <c r="B5455" t="str">
        <f>"8:59:12.277449"</f>
        <v>8:59:12.277449</v>
      </c>
      <c r="C5455">
        <v>-45</v>
      </c>
    </row>
    <row r="5456" spans="1:3" x14ac:dyDescent="0.25">
      <c r="A5456">
        <v>37</v>
      </c>
      <c r="B5456" t="str">
        <f>"8:59:12.632736"</f>
        <v>8:59:12.632736</v>
      </c>
      <c r="C5456">
        <v>-44</v>
      </c>
    </row>
    <row r="5457" spans="1:3" x14ac:dyDescent="0.25">
      <c r="A5457">
        <v>38</v>
      </c>
      <c r="B5457" t="str">
        <f>"8:59:12.633764"</f>
        <v>8:59:12.633764</v>
      </c>
      <c r="C5457">
        <v>-41</v>
      </c>
    </row>
    <row r="5458" spans="1:3" x14ac:dyDescent="0.25">
      <c r="A5458">
        <v>37</v>
      </c>
      <c r="B5458" t="str">
        <f>"8:59:12.988069"</f>
        <v>8:59:12.988069</v>
      </c>
      <c r="C5458">
        <v>-44</v>
      </c>
    </row>
    <row r="5459" spans="1:3" x14ac:dyDescent="0.25">
      <c r="A5459">
        <v>38</v>
      </c>
      <c r="B5459" t="str">
        <f>"8:59:12.989097"</f>
        <v>8:59:12.989097</v>
      </c>
      <c r="C5459">
        <v>-41</v>
      </c>
    </row>
    <row r="5460" spans="1:3" x14ac:dyDescent="0.25">
      <c r="A5460">
        <v>39</v>
      </c>
      <c r="B5460" t="str">
        <f>"8:59:12.990123"</f>
        <v>8:59:12.990123</v>
      </c>
      <c r="C5460">
        <v>-45</v>
      </c>
    </row>
    <row r="5461" spans="1:3" x14ac:dyDescent="0.25">
      <c r="A5461">
        <v>39</v>
      </c>
      <c r="B5461" t="str">
        <f>"8:59:12.990641"</f>
        <v>8:59:12.990641</v>
      </c>
      <c r="C5461">
        <v>-31</v>
      </c>
    </row>
    <row r="5462" spans="1:3" x14ac:dyDescent="0.25">
      <c r="A5462">
        <v>39</v>
      </c>
      <c r="B5462" t="str">
        <f>"8:59:12.990967"</f>
        <v>8:59:12.990967</v>
      </c>
      <c r="C5462">
        <v>-45</v>
      </c>
    </row>
    <row r="5463" spans="1:3" x14ac:dyDescent="0.25">
      <c r="A5463">
        <v>37</v>
      </c>
      <c r="B5463" t="str">
        <f>"8:59:13.344220"</f>
        <v>8:59:13.344220</v>
      </c>
      <c r="C5463">
        <v>-44</v>
      </c>
    </row>
    <row r="5464" spans="1:3" x14ac:dyDescent="0.25">
      <c r="A5464">
        <v>38</v>
      </c>
      <c r="B5464" t="str">
        <f>"8:59:13.345247"</f>
        <v>8:59:13.345247</v>
      </c>
      <c r="C5464">
        <v>-41</v>
      </c>
    </row>
    <row r="5465" spans="1:3" x14ac:dyDescent="0.25">
      <c r="A5465">
        <v>39</v>
      </c>
      <c r="B5465" t="str">
        <f>"8:59:13.346273"</f>
        <v>8:59:13.346273</v>
      </c>
      <c r="C5465">
        <v>-46</v>
      </c>
    </row>
    <row r="5466" spans="1:3" x14ac:dyDescent="0.25">
      <c r="A5466">
        <v>37</v>
      </c>
      <c r="B5466" t="str">
        <f>"8:59:13.703212"</f>
        <v>8:59:13.703212</v>
      </c>
      <c r="C5466">
        <v>-44</v>
      </c>
    </row>
    <row r="5467" spans="1:3" x14ac:dyDescent="0.25">
      <c r="A5467">
        <v>38</v>
      </c>
      <c r="B5467" t="str">
        <f>"8:59:13.704239"</f>
        <v>8:59:13.704239</v>
      </c>
      <c r="C5467">
        <v>-41</v>
      </c>
    </row>
    <row r="5468" spans="1:3" x14ac:dyDescent="0.25">
      <c r="A5468">
        <v>39</v>
      </c>
      <c r="B5468" t="str">
        <f>"8:59:13.705265"</f>
        <v>8:59:13.705265</v>
      </c>
      <c r="C5468">
        <v>-45</v>
      </c>
    </row>
    <row r="5469" spans="1:3" x14ac:dyDescent="0.25">
      <c r="A5469">
        <v>39</v>
      </c>
      <c r="B5469" t="str">
        <f>"8:59:13.705783"</f>
        <v>8:59:13.705783</v>
      </c>
      <c r="C5469">
        <v>-31</v>
      </c>
    </row>
    <row r="5470" spans="1:3" x14ac:dyDescent="0.25">
      <c r="A5470">
        <v>39</v>
      </c>
      <c r="B5470" t="str">
        <f>"8:59:13.706109"</f>
        <v>8:59:13.706109</v>
      </c>
      <c r="C5470">
        <v>-45</v>
      </c>
    </row>
    <row r="5471" spans="1:3" x14ac:dyDescent="0.25">
      <c r="A5471">
        <v>37</v>
      </c>
      <c r="B5471" t="str">
        <f>"8:59:14.058352"</f>
        <v>8:59:14.058352</v>
      </c>
      <c r="C5471">
        <v>-44</v>
      </c>
    </row>
    <row r="5472" spans="1:3" x14ac:dyDescent="0.25">
      <c r="A5472">
        <v>38</v>
      </c>
      <c r="B5472" t="str">
        <f>"8:59:14.059379"</f>
        <v>8:59:14.059379</v>
      </c>
      <c r="C5472">
        <v>-41</v>
      </c>
    </row>
    <row r="5473" spans="1:3" x14ac:dyDescent="0.25">
      <c r="A5473">
        <v>39</v>
      </c>
      <c r="B5473" t="str">
        <f>"8:59:14.060405"</f>
        <v>8:59:14.060405</v>
      </c>
      <c r="C5473">
        <v>-46</v>
      </c>
    </row>
    <row r="5474" spans="1:3" x14ac:dyDescent="0.25">
      <c r="A5474">
        <v>37</v>
      </c>
      <c r="B5474" t="str">
        <f>"8:59:14.418064"</f>
        <v>8:59:14.418064</v>
      </c>
      <c r="C5474">
        <v>-44</v>
      </c>
    </row>
    <row r="5475" spans="1:3" x14ac:dyDescent="0.25">
      <c r="A5475">
        <v>38</v>
      </c>
      <c r="B5475" t="str">
        <f>"8:59:14.419091"</f>
        <v>8:59:14.419091</v>
      </c>
      <c r="C5475">
        <v>-41</v>
      </c>
    </row>
    <row r="5476" spans="1:3" x14ac:dyDescent="0.25">
      <c r="A5476">
        <v>39</v>
      </c>
      <c r="B5476" t="str">
        <f>"8:59:14.420117"</f>
        <v>8:59:14.420117</v>
      </c>
      <c r="C5476">
        <v>-46</v>
      </c>
    </row>
    <row r="5477" spans="1:3" x14ac:dyDescent="0.25">
      <c r="A5477">
        <v>39</v>
      </c>
      <c r="B5477" t="str">
        <f>"8:59:14.420635"</f>
        <v>8:59:14.420635</v>
      </c>
      <c r="C5477">
        <v>-31</v>
      </c>
    </row>
    <row r="5478" spans="1:3" x14ac:dyDescent="0.25">
      <c r="A5478">
        <v>39</v>
      </c>
      <c r="B5478" t="str">
        <f>"8:59:14.420961"</f>
        <v>8:59:14.420961</v>
      </c>
      <c r="C5478">
        <v>-45</v>
      </c>
    </row>
    <row r="5479" spans="1:3" x14ac:dyDescent="0.25">
      <c r="A5479">
        <v>37</v>
      </c>
      <c r="B5479" t="str">
        <f>"8:59:14.775220"</f>
        <v>8:59:14.775220</v>
      </c>
      <c r="C5479">
        <v>-44</v>
      </c>
    </row>
    <row r="5480" spans="1:3" x14ac:dyDescent="0.25">
      <c r="A5480">
        <v>37</v>
      </c>
      <c r="B5480" t="str">
        <f>"8:59:14.775738"</f>
        <v>8:59:14.775738</v>
      </c>
      <c r="C5480">
        <v>-38</v>
      </c>
    </row>
    <row r="5481" spans="1:3" x14ac:dyDescent="0.25">
      <c r="A5481">
        <v>37</v>
      </c>
      <c r="B5481" t="str">
        <f>"8:59:14.776064"</f>
        <v>8:59:14.776064</v>
      </c>
      <c r="C5481">
        <v>-44</v>
      </c>
    </row>
    <row r="5482" spans="1:3" x14ac:dyDescent="0.25">
      <c r="A5482">
        <v>38</v>
      </c>
      <c r="B5482" t="str">
        <f>"8:59:14.776840"</f>
        <v>8:59:14.776840</v>
      </c>
      <c r="C5482">
        <v>-41</v>
      </c>
    </row>
    <row r="5483" spans="1:3" x14ac:dyDescent="0.25">
      <c r="A5483">
        <v>39</v>
      </c>
      <c r="B5483" t="str">
        <f>"8:59:14.777866"</f>
        <v>8:59:14.777866</v>
      </c>
      <c r="C5483">
        <v>-45</v>
      </c>
    </row>
    <row r="5484" spans="1:3" x14ac:dyDescent="0.25">
      <c r="A5484">
        <v>37</v>
      </c>
      <c r="B5484" t="str">
        <f>"8:59:15.129598"</f>
        <v>8:59:15.129598</v>
      </c>
      <c r="C5484">
        <v>-44</v>
      </c>
    </row>
    <row r="5485" spans="1:3" x14ac:dyDescent="0.25">
      <c r="A5485">
        <v>37</v>
      </c>
      <c r="B5485" t="str">
        <f>"8:59:15.130117"</f>
        <v>8:59:15.130117</v>
      </c>
      <c r="C5485">
        <v>-39</v>
      </c>
    </row>
    <row r="5486" spans="1:3" x14ac:dyDescent="0.25">
      <c r="A5486">
        <v>37</v>
      </c>
      <c r="B5486" t="str">
        <f>"8:59:15.130444"</f>
        <v>8:59:15.130444</v>
      </c>
      <c r="C5486">
        <v>-44</v>
      </c>
    </row>
    <row r="5487" spans="1:3" x14ac:dyDescent="0.25">
      <c r="A5487">
        <v>38</v>
      </c>
      <c r="B5487" t="str">
        <f>"8:59:15.131220"</f>
        <v>8:59:15.131220</v>
      </c>
      <c r="C5487">
        <v>-41</v>
      </c>
    </row>
    <row r="5488" spans="1:3" x14ac:dyDescent="0.25">
      <c r="A5488">
        <v>39</v>
      </c>
      <c r="B5488" t="str">
        <f>"8:59:15.132246"</f>
        <v>8:59:15.132246</v>
      </c>
      <c r="C5488">
        <v>-46</v>
      </c>
    </row>
    <row r="5489" spans="1:3" x14ac:dyDescent="0.25">
      <c r="A5489">
        <v>37</v>
      </c>
      <c r="B5489" t="str">
        <f>"8:59:15.481667"</f>
        <v>8:59:15.481667</v>
      </c>
      <c r="C5489">
        <v>-44</v>
      </c>
    </row>
    <row r="5490" spans="1:3" x14ac:dyDescent="0.25">
      <c r="A5490">
        <v>37</v>
      </c>
      <c r="B5490" t="str">
        <f>"8:59:15.482186"</f>
        <v>8:59:15.482186</v>
      </c>
      <c r="C5490">
        <v>-39</v>
      </c>
    </row>
    <row r="5491" spans="1:3" x14ac:dyDescent="0.25">
      <c r="A5491">
        <v>37</v>
      </c>
      <c r="B5491" t="str">
        <f>"8:59:15.482511"</f>
        <v>8:59:15.482511</v>
      </c>
      <c r="C5491">
        <v>-44</v>
      </c>
    </row>
    <row r="5492" spans="1:3" x14ac:dyDescent="0.25">
      <c r="A5492">
        <v>38</v>
      </c>
      <c r="B5492" t="str">
        <f>"8:59:15.483288"</f>
        <v>8:59:15.483288</v>
      </c>
      <c r="C5492">
        <v>-41</v>
      </c>
    </row>
    <row r="5493" spans="1:3" x14ac:dyDescent="0.25">
      <c r="A5493">
        <v>39</v>
      </c>
      <c r="B5493" t="str">
        <f>"8:59:15.484314"</f>
        <v>8:59:15.484314</v>
      </c>
      <c r="C5493">
        <v>-46</v>
      </c>
    </row>
    <row r="5494" spans="1:3" x14ac:dyDescent="0.25">
      <c r="A5494">
        <v>37</v>
      </c>
      <c r="B5494" t="str">
        <f>"8:59:15.839536"</f>
        <v>8:59:15.839536</v>
      </c>
      <c r="C5494">
        <v>-44</v>
      </c>
    </row>
    <row r="5495" spans="1:3" x14ac:dyDescent="0.25">
      <c r="A5495">
        <v>37</v>
      </c>
      <c r="B5495" t="str">
        <f>"8:59:15.840055"</f>
        <v>8:59:15.840055</v>
      </c>
      <c r="C5495">
        <v>-39</v>
      </c>
    </row>
    <row r="5496" spans="1:3" x14ac:dyDescent="0.25">
      <c r="A5496">
        <v>37</v>
      </c>
      <c r="B5496" t="str">
        <f>"8:59:15.840381"</f>
        <v>8:59:15.840381</v>
      </c>
      <c r="C5496">
        <v>-44</v>
      </c>
    </row>
    <row r="5497" spans="1:3" x14ac:dyDescent="0.25">
      <c r="A5497">
        <v>38</v>
      </c>
      <c r="B5497" t="str">
        <f>"8:59:15.841157"</f>
        <v>8:59:15.841157</v>
      </c>
      <c r="C5497">
        <v>-41</v>
      </c>
    </row>
    <row r="5498" spans="1:3" x14ac:dyDescent="0.25">
      <c r="A5498">
        <v>39</v>
      </c>
      <c r="B5498" t="str">
        <f>"8:59:15.842183"</f>
        <v>8:59:15.842183</v>
      </c>
      <c r="C5498">
        <v>-46</v>
      </c>
    </row>
    <row r="5499" spans="1:3" x14ac:dyDescent="0.25">
      <c r="A5499">
        <v>37</v>
      </c>
      <c r="B5499" t="str">
        <f>"8:59:16.193812"</f>
        <v>8:59:16.193812</v>
      </c>
      <c r="C5499">
        <v>-44</v>
      </c>
    </row>
    <row r="5500" spans="1:3" x14ac:dyDescent="0.25">
      <c r="A5500">
        <v>38</v>
      </c>
      <c r="B5500" t="str">
        <f>"8:59:16.194840"</f>
        <v>8:59:16.194840</v>
      </c>
      <c r="C5500">
        <v>-41</v>
      </c>
    </row>
    <row r="5501" spans="1:3" x14ac:dyDescent="0.25">
      <c r="A5501">
        <v>39</v>
      </c>
      <c r="B5501" t="str">
        <f>"8:59:16.195866"</f>
        <v>8:59:16.195866</v>
      </c>
      <c r="C5501">
        <v>-45</v>
      </c>
    </row>
    <row r="5502" spans="1:3" x14ac:dyDescent="0.25">
      <c r="A5502">
        <v>37</v>
      </c>
      <c r="B5502" t="str">
        <f>"8:59:16.547899"</f>
        <v>8:59:16.547899</v>
      </c>
      <c r="C5502">
        <v>-44</v>
      </c>
    </row>
    <row r="5503" spans="1:3" x14ac:dyDescent="0.25">
      <c r="A5503">
        <v>38</v>
      </c>
      <c r="B5503" t="str">
        <f>"8:59:16.548926"</f>
        <v>8:59:16.548926</v>
      </c>
      <c r="C5503">
        <v>-41</v>
      </c>
    </row>
    <row r="5504" spans="1:3" x14ac:dyDescent="0.25">
      <c r="A5504">
        <v>39</v>
      </c>
      <c r="B5504" t="str">
        <f>"8:59:16.549953"</f>
        <v>8:59:16.549953</v>
      </c>
      <c r="C5504">
        <v>-45</v>
      </c>
    </row>
    <row r="5505" spans="1:3" x14ac:dyDescent="0.25">
      <c r="A5505">
        <v>37</v>
      </c>
      <c r="B5505" t="str">
        <f>"8:59:16.900966"</f>
        <v>8:59:16.900966</v>
      </c>
      <c r="C5505">
        <v>-44</v>
      </c>
    </row>
    <row r="5506" spans="1:3" x14ac:dyDescent="0.25">
      <c r="A5506">
        <v>37</v>
      </c>
      <c r="B5506" t="str">
        <f>"8:59:16.901484"</f>
        <v>8:59:16.901484</v>
      </c>
      <c r="C5506">
        <v>-40</v>
      </c>
    </row>
    <row r="5507" spans="1:3" x14ac:dyDescent="0.25">
      <c r="A5507">
        <v>37</v>
      </c>
      <c r="B5507" t="str">
        <f>"8:59:16.901810"</f>
        <v>8:59:16.901810</v>
      </c>
      <c r="C5507">
        <v>-44</v>
      </c>
    </row>
    <row r="5508" spans="1:3" x14ac:dyDescent="0.25">
      <c r="A5508">
        <v>38</v>
      </c>
      <c r="B5508" t="str">
        <f>"8:59:16.902586"</f>
        <v>8:59:16.902586</v>
      </c>
      <c r="C5508">
        <v>-41</v>
      </c>
    </row>
    <row r="5509" spans="1:3" x14ac:dyDescent="0.25">
      <c r="A5509">
        <v>39</v>
      </c>
      <c r="B5509" t="str">
        <f>"8:59:16.903612"</f>
        <v>8:59:16.903612</v>
      </c>
      <c r="C5509">
        <v>-45</v>
      </c>
    </row>
    <row r="5510" spans="1:3" x14ac:dyDescent="0.25">
      <c r="A5510">
        <v>37</v>
      </c>
      <c r="B5510" t="str">
        <f>"8:59:17.251400"</f>
        <v>8:59:17.251400</v>
      </c>
      <c r="C5510">
        <v>-44</v>
      </c>
    </row>
    <row r="5511" spans="1:3" x14ac:dyDescent="0.25">
      <c r="A5511">
        <v>37</v>
      </c>
      <c r="B5511" t="str">
        <f>"8:59:17.251919"</f>
        <v>8:59:17.251919</v>
      </c>
      <c r="C5511">
        <v>-40</v>
      </c>
    </row>
    <row r="5512" spans="1:3" x14ac:dyDescent="0.25">
      <c r="A5512">
        <v>37</v>
      </c>
      <c r="B5512" t="str">
        <f>"8:59:17.252244"</f>
        <v>8:59:17.252244</v>
      </c>
      <c r="C5512">
        <v>-44</v>
      </c>
    </row>
    <row r="5513" spans="1:3" x14ac:dyDescent="0.25">
      <c r="A5513">
        <v>38</v>
      </c>
      <c r="B5513" t="str">
        <f>"8:59:17.253021"</f>
        <v>8:59:17.253021</v>
      </c>
      <c r="C5513">
        <v>-41</v>
      </c>
    </row>
    <row r="5514" spans="1:3" x14ac:dyDescent="0.25">
      <c r="A5514">
        <v>39</v>
      </c>
      <c r="B5514" t="str">
        <f>"8:59:17.254047"</f>
        <v>8:59:17.254047</v>
      </c>
      <c r="C5514">
        <v>-45</v>
      </c>
    </row>
    <row r="5515" spans="1:3" x14ac:dyDescent="0.25">
      <c r="A5515">
        <v>37</v>
      </c>
      <c r="B5515" t="str">
        <f>"8:59:17.607499"</f>
        <v>8:59:17.607499</v>
      </c>
      <c r="C5515">
        <v>-44</v>
      </c>
    </row>
    <row r="5516" spans="1:3" x14ac:dyDescent="0.25">
      <c r="A5516">
        <v>38</v>
      </c>
      <c r="B5516" t="str">
        <f>"8:59:17.608526"</f>
        <v>8:59:17.608526</v>
      </c>
      <c r="C5516">
        <v>-41</v>
      </c>
    </row>
    <row r="5517" spans="1:3" x14ac:dyDescent="0.25">
      <c r="A5517">
        <v>39</v>
      </c>
      <c r="B5517" t="str">
        <f>"8:59:17.609552"</f>
        <v>8:59:17.609552</v>
      </c>
      <c r="C5517">
        <v>-45</v>
      </c>
    </row>
    <row r="5518" spans="1:3" x14ac:dyDescent="0.25">
      <c r="A5518">
        <v>37</v>
      </c>
      <c r="B5518" t="str">
        <f>"8:59:17.962032"</f>
        <v>8:59:17.962032</v>
      </c>
      <c r="C5518">
        <v>-44</v>
      </c>
    </row>
    <row r="5519" spans="1:3" x14ac:dyDescent="0.25">
      <c r="A5519">
        <v>37</v>
      </c>
      <c r="B5519" t="str">
        <f>"8:59:17.962551"</f>
        <v>8:59:17.962551</v>
      </c>
      <c r="C5519">
        <v>-40</v>
      </c>
    </row>
    <row r="5520" spans="1:3" x14ac:dyDescent="0.25">
      <c r="A5520">
        <v>37</v>
      </c>
      <c r="B5520" t="str">
        <f>"8:59:17.962877"</f>
        <v>8:59:17.962877</v>
      </c>
      <c r="C5520">
        <v>-44</v>
      </c>
    </row>
    <row r="5521" spans="1:3" x14ac:dyDescent="0.25">
      <c r="A5521">
        <v>38</v>
      </c>
      <c r="B5521" t="str">
        <f>"8:59:17.963654"</f>
        <v>8:59:17.963654</v>
      </c>
      <c r="C5521">
        <v>-41</v>
      </c>
    </row>
    <row r="5522" spans="1:3" x14ac:dyDescent="0.25">
      <c r="A5522">
        <v>39</v>
      </c>
      <c r="B5522" t="str">
        <f>"8:59:17.964680"</f>
        <v>8:59:17.964680</v>
      </c>
      <c r="C5522">
        <v>-46</v>
      </c>
    </row>
    <row r="5523" spans="1:3" x14ac:dyDescent="0.25">
      <c r="A5523">
        <v>37</v>
      </c>
      <c r="B5523" t="str">
        <f>"8:59:18.313813"</f>
        <v>8:59:18.313813</v>
      </c>
      <c r="C5523">
        <v>-44</v>
      </c>
    </row>
    <row r="5524" spans="1:3" x14ac:dyDescent="0.25">
      <c r="A5524">
        <v>37</v>
      </c>
      <c r="B5524" t="str">
        <f>"8:59:18.314332"</f>
        <v>8:59:18.314332</v>
      </c>
      <c r="C5524">
        <v>-40</v>
      </c>
    </row>
    <row r="5525" spans="1:3" x14ac:dyDescent="0.25">
      <c r="A5525">
        <v>37</v>
      </c>
      <c r="B5525" t="str">
        <f>"8:59:18.314658"</f>
        <v>8:59:18.314658</v>
      </c>
      <c r="C5525">
        <v>-44</v>
      </c>
    </row>
    <row r="5526" spans="1:3" x14ac:dyDescent="0.25">
      <c r="A5526">
        <v>38</v>
      </c>
      <c r="B5526" t="str">
        <f>"8:59:18.315434"</f>
        <v>8:59:18.315434</v>
      </c>
      <c r="C5526">
        <v>-41</v>
      </c>
    </row>
    <row r="5527" spans="1:3" x14ac:dyDescent="0.25">
      <c r="A5527">
        <v>39</v>
      </c>
      <c r="B5527" t="str">
        <f>"8:59:18.316460"</f>
        <v>8:59:18.316460</v>
      </c>
      <c r="C5527">
        <v>-46</v>
      </c>
    </row>
    <row r="5528" spans="1:3" x14ac:dyDescent="0.25">
      <c r="A5528">
        <v>37</v>
      </c>
      <c r="B5528" t="str">
        <f>"8:59:18.664779"</f>
        <v>8:59:18.664779</v>
      </c>
      <c r="C5528">
        <v>-44</v>
      </c>
    </row>
    <row r="5529" spans="1:3" x14ac:dyDescent="0.25">
      <c r="A5529">
        <v>38</v>
      </c>
      <c r="B5529" t="str">
        <f>"8:59:18.665806"</f>
        <v>8:59:18.665806</v>
      </c>
      <c r="C5529">
        <v>-41</v>
      </c>
    </row>
    <row r="5530" spans="1:3" x14ac:dyDescent="0.25">
      <c r="A5530">
        <v>39</v>
      </c>
      <c r="B5530" t="str">
        <f>"8:59:18.666832"</f>
        <v>8:59:18.666832</v>
      </c>
      <c r="C5530">
        <v>-46</v>
      </c>
    </row>
    <row r="5531" spans="1:3" x14ac:dyDescent="0.25">
      <c r="A5531">
        <v>37</v>
      </c>
      <c r="B5531" t="str">
        <f>"8:59:19.016522"</f>
        <v>8:59:19.016522</v>
      </c>
      <c r="C5531">
        <v>-44</v>
      </c>
    </row>
    <row r="5532" spans="1:3" x14ac:dyDescent="0.25">
      <c r="A5532">
        <v>37</v>
      </c>
      <c r="B5532" t="str">
        <f>"8:59:19.017041"</f>
        <v>8:59:19.017041</v>
      </c>
      <c r="C5532">
        <v>-39</v>
      </c>
    </row>
    <row r="5533" spans="1:3" x14ac:dyDescent="0.25">
      <c r="A5533">
        <v>37</v>
      </c>
      <c r="B5533" t="str">
        <f>"8:59:19.017366"</f>
        <v>8:59:19.017366</v>
      </c>
      <c r="C5533">
        <v>-44</v>
      </c>
    </row>
    <row r="5534" spans="1:3" x14ac:dyDescent="0.25">
      <c r="A5534">
        <v>38</v>
      </c>
      <c r="B5534" t="str">
        <f>"8:59:19.018143"</f>
        <v>8:59:19.018143</v>
      </c>
      <c r="C5534">
        <v>-41</v>
      </c>
    </row>
    <row r="5535" spans="1:3" x14ac:dyDescent="0.25">
      <c r="A5535">
        <v>39</v>
      </c>
      <c r="B5535" t="str">
        <f>"8:59:19.019169"</f>
        <v>8:59:19.019169</v>
      </c>
      <c r="C5535">
        <v>-45</v>
      </c>
    </row>
    <row r="5536" spans="1:3" x14ac:dyDescent="0.25">
      <c r="A5536">
        <v>37</v>
      </c>
      <c r="B5536" t="str">
        <f>"8:59:19.376206"</f>
        <v>8:59:19.376206</v>
      </c>
      <c r="C5536">
        <v>-44</v>
      </c>
    </row>
    <row r="5537" spans="1:3" x14ac:dyDescent="0.25">
      <c r="A5537">
        <v>37</v>
      </c>
      <c r="B5537" t="str">
        <f>"8:59:19.376725"</f>
        <v>8:59:19.376725</v>
      </c>
      <c r="C5537">
        <v>-41</v>
      </c>
    </row>
    <row r="5538" spans="1:3" x14ac:dyDescent="0.25">
      <c r="A5538">
        <v>37</v>
      </c>
      <c r="B5538" t="str">
        <f>"8:59:19.377051"</f>
        <v>8:59:19.377051</v>
      </c>
      <c r="C5538">
        <v>-44</v>
      </c>
    </row>
    <row r="5539" spans="1:3" x14ac:dyDescent="0.25">
      <c r="A5539">
        <v>38</v>
      </c>
      <c r="B5539" t="str">
        <f>"8:59:19.377827"</f>
        <v>8:59:19.377827</v>
      </c>
      <c r="C5539">
        <v>-41</v>
      </c>
    </row>
    <row r="5540" spans="1:3" x14ac:dyDescent="0.25">
      <c r="A5540">
        <v>39</v>
      </c>
      <c r="B5540" t="str">
        <f>"8:59:19.378854"</f>
        <v>8:59:19.378854</v>
      </c>
      <c r="C5540">
        <v>-46</v>
      </c>
    </row>
    <row r="5541" spans="1:3" x14ac:dyDescent="0.25">
      <c r="A5541">
        <v>37</v>
      </c>
      <c r="B5541" t="str">
        <f>"8:59:19.726901"</f>
        <v>8:59:19.726901</v>
      </c>
      <c r="C5541">
        <v>-44</v>
      </c>
    </row>
    <row r="5542" spans="1:3" x14ac:dyDescent="0.25">
      <c r="A5542">
        <v>38</v>
      </c>
      <c r="B5542" t="str">
        <f>"8:59:19.727928"</f>
        <v>8:59:19.727928</v>
      </c>
      <c r="C5542">
        <v>-41</v>
      </c>
    </row>
    <row r="5543" spans="1:3" x14ac:dyDescent="0.25">
      <c r="A5543">
        <v>38</v>
      </c>
      <c r="B5543" t="str">
        <f>"8:59:19.728447"</f>
        <v>8:59:19.728447</v>
      </c>
      <c r="C5543">
        <v>-32</v>
      </c>
    </row>
    <row r="5544" spans="1:3" x14ac:dyDescent="0.25">
      <c r="A5544">
        <v>38</v>
      </c>
      <c r="B5544" t="str">
        <f>"8:59:19.728772"</f>
        <v>8:59:19.728772</v>
      </c>
      <c r="C5544">
        <v>-41</v>
      </c>
    </row>
    <row r="5545" spans="1:3" x14ac:dyDescent="0.25">
      <c r="A5545">
        <v>39</v>
      </c>
      <c r="B5545" t="str">
        <f>"8:59:19.729548"</f>
        <v>8:59:19.729548</v>
      </c>
      <c r="C5545">
        <v>-45</v>
      </c>
    </row>
    <row r="5546" spans="1:3" x14ac:dyDescent="0.25">
      <c r="A5546">
        <v>37</v>
      </c>
      <c r="B5546" t="str">
        <f>"8:59:20.077865"</f>
        <v>8:59:20.077865</v>
      </c>
      <c r="C5546">
        <v>-44</v>
      </c>
    </row>
    <row r="5547" spans="1:3" x14ac:dyDescent="0.25">
      <c r="A5547">
        <v>38</v>
      </c>
      <c r="B5547" t="str">
        <f>"8:59:20.078893"</f>
        <v>8:59:20.078893</v>
      </c>
      <c r="C5547">
        <v>-41</v>
      </c>
    </row>
    <row r="5548" spans="1:3" x14ac:dyDescent="0.25">
      <c r="A5548">
        <v>38</v>
      </c>
      <c r="B5548" t="str">
        <f>"8:59:20.079411"</f>
        <v>8:59:20.079411</v>
      </c>
      <c r="C5548">
        <v>-31</v>
      </c>
    </row>
    <row r="5549" spans="1:3" x14ac:dyDescent="0.25">
      <c r="A5549">
        <v>38</v>
      </c>
      <c r="B5549" t="str">
        <f>"8:59:20.079737"</f>
        <v>8:59:20.079737</v>
      </c>
      <c r="C5549">
        <v>-41</v>
      </c>
    </row>
    <row r="5550" spans="1:3" x14ac:dyDescent="0.25">
      <c r="A5550">
        <v>39</v>
      </c>
      <c r="B5550" t="str">
        <f>"8:59:20.080513"</f>
        <v>8:59:20.080513</v>
      </c>
      <c r="C5550">
        <v>-46</v>
      </c>
    </row>
    <row r="5551" spans="1:3" x14ac:dyDescent="0.25">
      <c r="A5551">
        <v>37</v>
      </c>
      <c r="B5551" t="str">
        <f>"8:59:20.428646"</f>
        <v>8:59:20.428646</v>
      </c>
      <c r="C5551">
        <v>-44</v>
      </c>
    </row>
    <row r="5552" spans="1:3" x14ac:dyDescent="0.25">
      <c r="A5552">
        <v>38</v>
      </c>
      <c r="B5552" t="str">
        <f>"8:59:20.429674"</f>
        <v>8:59:20.429674</v>
      </c>
      <c r="C5552">
        <v>-41</v>
      </c>
    </row>
    <row r="5553" spans="1:3" x14ac:dyDescent="0.25">
      <c r="A5553">
        <v>38</v>
      </c>
      <c r="B5553" t="str">
        <f>"8:59:20.430192"</f>
        <v>8:59:20.430192</v>
      </c>
      <c r="C5553">
        <v>-31</v>
      </c>
    </row>
    <row r="5554" spans="1:3" x14ac:dyDescent="0.25">
      <c r="A5554">
        <v>38</v>
      </c>
      <c r="B5554" t="str">
        <f>"8:59:20.430518"</f>
        <v>8:59:20.430518</v>
      </c>
      <c r="C5554">
        <v>-41</v>
      </c>
    </row>
    <row r="5555" spans="1:3" x14ac:dyDescent="0.25">
      <c r="A5555">
        <v>39</v>
      </c>
      <c r="B5555" t="str">
        <f>"8:59:20.431294"</f>
        <v>8:59:20.431294</v>
      </c>
      <c r="C5555">
        <v>-46</v>
      </c>
    </row>
    <row r="5556" spans="1:3" x14ac:dyDescent="0.25">
      <c r="A5556">
        <v>37</v>
      </c>
      <c r="B5556" t="str">
        <f>"8:59:20.779849"</f>
        <v>8:59:20.779849</v>
      </c>
      <c r="C5556">
        <v>-44</v>
      </c>
    </row>
    <row r="5557" spans="1:3" x14ac:dyDescent="0.25">
      <c r="A5557">
        <v>38</v>
      </c>
      <c r="B5557" t="str">
        <f>"8:59:20.780876"</f>
        <v>8:59:20.780876</v>
      </c>
      <c r="C5557">
        <v>-41</v>
      </c>
    </row>
    <row r="5558" spans="1:3" x14ac:dyDescent="0.25">
      <c r="A5558">
        <v>38</v>
      </c>
      <c r="B5558" t="str">
        <f>"8:59:20.781394"</f>
        <v>8:59:20.781394</v>
      </c>
      <c r="C5558">
        <v>-31</v>
      </c>
    </row>
    <row r="5559" spans="1:3" x14ac:dyDescent="0.25">
      <c r="A5559">
        <v>38</v>
      </c>
      <c r="B5559" t="str">
        <f>"8:59:20.781720"</f>
        <v>8:59:20.781720</v>
      </c>
      <c r="C5559">
        <v>-41</v>
      </c>
    </row>
    <row r="5560" spans="1:3" x14ac:dyDescent="0.25">
      <c r="A5560">
        <v>39</v>
      </c>
      <c r="B5560" t="str">
        <f>"8:59:20.782496"</f>
        <v>8:59:20.782496</v>
      </c>
      <c r="C5560">
        <v>-46</v>
      </c>
    </row>
    <row r="5561" spans="1:3" x14ac:dyDescent="0.25">
      <c r="A5561">
        <v>37</v>
      </c>
      <c r="B5561" t="str">
        <f>"8:59:21.134183"</f>
        <v>8:59:21.134183</v>
      </c>
      <c r="C5561">
        <v>-44</v>
      </c>
    </row>
    <row r="5562" spans="1:3" x14ac:dyDescent="0.25">
      <c r="A5562">
        <v>38</v>
      </c>
      <c r="B5562" t="str">
        <f>"8:59:21.135211"</f>
        <v>8:59:21.135211</v>
      </c>
      <c r="C5562">
        <v>-41</v>
      </c>
    </row>
    <row r="5563" spans="1:3" x14ac:dyDescent="0.25">
      <c r="A5563">
        <v>38</v>
      </c>
      <c r="B5563" t="str">
        <f>"8:59:21.135730"</f>
        <v>8:59:21.135730</v>
      </c>
      <c r="C5563">
        <v>-31</v>
      </c>
    </row>
    <row r="5564" spans="1:3" x14ac:dyDescent="0.25">
      <c r="A5564">
        <v>38</v>
      </c>
      <c r="B5564" t="str">
        <f>"8:59:21.136055"</f>
        <v>8:59:21.136055</v>
      </c>
      <c r="C5564">
        <v>-41</v>
      </c>
    </row>
    <row r="5565" spans="1:3" x14ac:dyDescent="0.25">
      <c r="A5565">
        <v>39</v>
      </c>
      <c r="B5565" t="str">
        <f>"8:59:21.136831"</f>
        <v>8:59:21.136831</v>
      </c>
      <c r="C5565">
        <v>-45</v>
      </c>
    </row>
    <row r="5566" spans="1:3" x14ac:dyDescent="0.25">
      <c r="A5566">
        <v>37</v>
      </c>
      <c r="B5566" t="str">
        <f>"8:59:21.490563"</f>
        <v>8:59:21.490563</v>
      </c>
      <c r="C5566">
        <v>-44</v>
      </c>
    </row>
    <row r="5567" spans="1:3" x14ac:dyDescent="0.25">
      <c r="A5567">
        <v>38</v>
      </c>
      <c r="B5567" t="str">
        <f>"8:59:21.491590"</f>
        <v>8:59:21.491590</v>
      </c>
      <c r="C5567">
        <v>-41</v>
      </c>
    </row>
    <row r="5568" spans="1:3" x14ac:dyDescent="0.25">
      <c r="A5568">
        <v>38</v>
      </c>
      <c r="B5568" t="str">
        <f>"8:59:21.492109"</f>
        <v>8:59:21.492109</v>
      </c>
      <c r="C5568">
        <v>-31</v>
      </c>
    </row>
    <row r="5569" spans="1:3" x14ac:dyDescent="0.25">
      <c r="A5569">
        <v>38</v>
      </c>
      <c r="B5569" t="str">
        <f>"8:59:21.492434"</f>
        <v>8:59:21.492434</v>
      </c>
      <c r="C5569">
        <v>-41</v>
      </c>
    </row>
    <row r="5570" spans="1:3" x14ac:dyDescent="0.25">
      <c r="A5570">
        <v>39</v>
      </c>
      <c r="B5570" t="str">
        <f>"8:59:21.493210"</f>
        <v>8:59:21.493210</v>
      </c>
      <c r="C5570">
        <v>-45</v>
      </c>
    </row>
    <row r="5571" spans="1:3" x14ac:dyDescent="0.25">
      <c r="A5571">
        <v>39</v>
      </c>
      <c r="B5571" t="str">
        <f>"8:59:21.494056"</f>
        <v>8:59:21.494056</v>
      </c>
      <c r="C5571">
        <v>-45</v>
      </c>
    </row>
    <row r="5572" spans="1:3" x14ac:dyDescent="0.25">
      <c r="A5572">
        <v>37</v>
      </c>
      <c r="B5572" t="str">
        <f>"8:59:21.841762"</f>
        <v>8:59:21.841762</v>
      </c>
      <c r="C5572">
        <v>-44</v>
      </c>
    </row>
    <row r="5573" spans="1:3" x14ac:dyDescent="0.25">
      <c r="A5573">
        <v>38</v>
      </c>
      <c r="B5573" t="str">
        <f>"8:59:21.842789"</f>
        <v>8:59:21.842789</v>
      </c>
      <c r="C5573">
        <v>-41</v>
      </c>
    </row>
    <row r="5574" spans="1:3" x14ac:dyDescent="0.25">
      <c r="A5574">
        <v>38</v>
      </c>
      <c r="B5574" t="str">
        <f>"8:59:21.843308"</f>
        <v>8:59:21.843308</v>
      </c>
      <c r="C5574">
        <v>-31</v>
      </c>
    </row>
    <row r="5575" spans="1:3" x14ac:dyDescent="0.25">
      <c r="A5575">
        <v>38</v>
      </c>
      <c r="B5575" t="str">
        <f>"8:59:21.843634"</f>
        <v>8:59:21.843634</v>
      </c>
      <c r="C5575">
        <v>-41</v>
      </c>
    </row>
    <row r="5576" spans="1:3" x14ac:dyDescent="0.25">
      <c r="A5576">
        <v>39</v>
      </c>
      <c r="B5576" t="str">
        <f>"8:59:21.844410"</f>
        <v>8:59:21.844410</v>
      </c>
      <c r="C5576">
        <v>-45</v>
      </c>
    </row>
    <row r="5577" spans="1:3" x14ac:dyDescent="0.25">
      <c r="A5577">
        <v>37</v>
      </c>
      <c r="B5577" t="str">
        <f>"8:59:22.194243"</f>
        <v>8:59:22.194243</v>
      </c>
      <c r="C5577">
        <v>-44</v>
      </c>
    </row>
    <row r="5578" spans="1:3" x14ac:dyDescent="0.25">
      <c r="A5578">
        <v>38</v>
      </c>
      <c r="B5578" t="str">
        <f>"8:59:22.195270"</f>
        <v>8:59:22.195270</v>
      </c>
      <c r="C5578">
        <v>-41</v>
      </c>
    </row>
    <row r="5579" spans="1:3" x14ac:dyDescent="0.25">
      <c r="A5579">
        <v>38</v>
      </c>
      <c r="B5579" t="str">
        <f>"8:59:22.195788"</f>
        <v>8:59:22.195788</v>
      </c>
      <c r="C5579">
        <v>-31</v>
      </c>
    </row>
    <row r="5580" spans="1:3" x14ac:dyDescent="0.25">
      <c r="A5580">
        <v>38</v>
      </c>
      <c r="B5580" t="str">
        <f>"8:59:22.196114"</f>
        <v>8:59:22.196114</v>
      </c>
      <c r="C5580">
        <v>-41</v>
      </c>
    </row>
    <row r="5581" spans="1:3" x14ac:dyDescent="0.25">
      <c r="A5581">
        <v>39</v>
      </c>
      <c r="B5581" t="str">
        <f>"8:59:22.196890"</f>
        <v>8:59:22.196890</v>
      </c>
      <c r="C5581">
        <v>-45</v>
      </c>
    </row>
    <row r="5582" spans="1:3" x14ac:dyDescent="0.25">
      <c r="A5582">
        <v>37</v>
      </c>
      <c r="B5582" t="str">
        <f>"8:59:22.549044"</f>
        <v>8:59:22.549044</v>
      </c>
      <c r="C5582">
        <v>-44</v>
      </c>
    </row>
    <row r="5583" spans="1:3" x14ac:dyDescent="0.25">
      <c r="A5583">
        <v>38</v>
      </c>
      <c r="B5583" t="str">
        <f>"8:59:22.550072"</f>
        <v>8:59:22.550072</v>
      </c>
      <c r="C5583">
        <v>-41</v>
      </c>
    </row>
    <row r="5584" spans="1:3" x14ac:dyDescent="0.25">
      <c r="A5584">
        <v>38</v>
      </c>
      <c r="B5584" t="str">
        <f>"8:59:22.550590"</f>
        <v>8:59:22.550590</v>
      </c>
      <c r="C5584">
        <v>-31</v>
      </c>
    </row>
    <row r="5585" spans="1:3" x14ac:dyDescent="0.25">
      <c r="A5585">
        <v>38</v>
      </c>
      <c r="B5585" t="str">
        <f>"8:59:22.550916"</f>
        <v>8:59:22.550916</v>
      </c>
      <c r="C5585">
        <v>-41</v>
      </c>
    </row>
    <row r="5586" spans="1:3" x14ac:dyDescent="0.25">
      <c r="A5586">
        <v>39</v>
      </c>
      <c r="B5586" t="str">
        <f>"8:59:22.551692"</f>
        <v>8:59:22.551692</v>
      </c>
      <c r="C5586">
        <v>-46</v>
      </c>
    </row>
    <row r="5587" spans="1:3" x14ac:dyDescent="0.25">
      <c r="A5587">
        <v>37</v>
      </c>
      <c r="B5587" t="str">
        <f>"8:59:22.906664"</f>
        <v>8:59:22.906664</v>
      </c>
      <c r="C5587">
        <v>-44</v>
      </c>
    </row>
    <row r="5588" spans="1:3" x14ac:dyDescent="0.25">
      <c r="A5588">
        <v>37</v>
      </c>
      <c r="B5588" t="str">
        <f>"8:59:22.907184"</f>
        <v>8:59:22.907184</v>
      </c>
      <c r="C5588">
        <v>-84</v>
      </c>
    </row>
    <row r="5589" spans="1:3" x14ac:dyDescent="0.25">
      <c r="A5589">
        <v>37</v>
      </c>
      <c r="B5589" t="str">
        <f>"8:59:22.907510"</f>
        <v>8:59:22.907510</v>
      </c>
      <c r="C5589">
        <v>-44</v>
      </c>
    </row>
    <row r="5590" spans="1:3" x14ac:dyDescent="0.25">
      <c r="A5590">
        <v>38</v>
      </c>
      <c r="B5590" t="str">
        <f>"8:59:22.908286"</f>
        <v>8:59:22.908286</v>
      </c>
      <c r="C5590">
        <v>-41</v>
      </c>
    </row>
    <row r="5591" spans="1:3" x14ac:dyDescent="0.25">
      <c r="A5591">
        <v>38</v>
      </c>
      <c r="B5591" t="str">
        <f>"8:59:22.908804"</f>
        <v>8:59:22.908804</v>
      </c>
      <c r="C5591">
        <v>-31</v>
      </c>
    </row>
    <row r="5592" spans="1:3" x14ac:dyDescent="0.25">
      <c r="A5592">
        <v>38</v>
      </c>
      <c r="B5592" t="str">
        <f>"8:59:22.909130"</f>
        <v>8:59:22.909130</v>
      </c>
      <c r="C5592">
        <v>-41</v>
      </c>
    </row>
    <row r="5593" spans="1:3" x14ac:dyDescent="0.25">
      <c r="A5593">
        <v>39</v>
      </c>
      <c r="B5593" t="str">
        <f>"8:59:22.909906"</f>
        <v>8:59:22.909906</v>
      </c>
      <c r="C5593">
        <v>-46</v>
      </c>
    </row>
    <row r="5594" spans="1:3" x14ac:dyDescent="0.25">
      <c r="A5594">
        <v>37</v>
      </c>
      <c r="B5594" t="str">
        <f>"8:59:23.259724"</f>
        <v>8:59:23.259724</v>
      </c>
      <c r="C5594">
        <v>-44</v>
      </c>
    </row>
    <row r="5595" spans="1:3" x14ac:dyDescent="0.25">
      <c r="A5595">
        <v>38</v>
      </c>
      <c r="B5595" t="str">
        <f>"8:59:23.260751"</f>
        <v>8:59:23.260751</v>
      </c>
      <c r="C5595">
        <v>-41</v>
      </c>
    </row>
    <row r="5596" spans="1:3" x14ac:dyDescent="0.25">
      <c r="A5596">
        <v>38</v>
      </c>
      <c r="B5596" t="str">
        <f>"8:59:23.261270"</f>
        <v>8:59:23.261270</v>
      </c>
      <c r="C5596">
        <v>-31</v>
      </c>
    </row>
    <row r="5597" spans="1:3" x14ac:dyDescent="0.25">
      <c r="A5597">
        <v>38</v>
      </c>
      <c r="B5597" t="str">
        <f>"8:59:23.261595"</f>
        <v>8:59:23.261595</v>
      </c>
      <c r="C5597">
        <v>-41</v>
      </c>
    </row>
    <row r="5598" spans="1:3" x14ac:dyDescent="0.25">
      <c r="A5598">
        <v>39</v>
      </c>
      <c r="B5598" t="str">
        <f>"8:59:23.262371"</f>
        <v>8:59:23.262371</v>
      </c>
      <c r="C5598">
        <v>-46</v>
      </c>
    </row>
    <row r="5599" spans="1:3" x14ac:dyDescent="0.25">
      <c r="A5599">
        <v>37</v>
      </c>
      <c r="B5599" t="str">
        <f>"8:59:23.616323"</f>
        <v>8:59:23.616323</v>
      </c>
      <c r="C5599">
        <v>-44</v>
      </c>
    </row>
    <row r="5600" spans="1:3" x14ac:dyDescent="0.25">
      <c r="A5600">
        <v>38</v>
      </c>
      <c r="B5600" t="str">
        <f>"8:59:23.617351"</f>
        <v>8:59:23.617351</v>
      </c>
      <c r="C5600">
        <v>-41</v>
      </c>
    </row>
    <row r="5601" spans="1:3" x14ac:dyDescent="0.25">
      <c r="A5601">
        <v>38</v>
      </c>
      <c r="B5601" t="str">
        <f>"8:59:23.617869"</f>
        <v>8:59:23.617869</v>
      </c>
      <c r="C5601">
        <v>-31</v>
      </c>
    </row>
    <row r="5602" spans="1:3" x14ac:dyDescent="0.25">
      <c r="A5602">
        <v>38</v>
      </c>
      <c r="B5602" t="str">
        <f>"8:59:23.618195"</f>
        <v>8:59:23.618195</v>
      </c>
      <c r="C5602">
        <v>-41</v>
      </c>
    </row>
    <row r="5603" spans="1:3" x14ac:dyDescent="0.25">
      <c r="A5603">
        <v>39</v>
      </c>
      <c r="B5603" t="str">
        <f>"8:59:23.618971"</f>
        <v>8:59:23.618971</v>
      </c>
      <c r="C5603">
        <v>-46</v>
      </c>
    </row>
    <row r="5604" spans="1:3" x14ac:dyDescent="0.25">
      <c r="A5604">
        <v>37</v>
      </c>
      <c r="B5604" t="str">
        <f>"8:59:23.971930"</f>
        <v>8:59:23.971930</v>
      </c>
      <c r="C5604">
        <v>-44</v>
      </c>
    </row>
    <row r="5605" spans="1:3" x14ac:dyDescent="0.25">
      <c r="A5605">
        <v>38</v>
      </c>
      <c r="B5605" t="str">
        <f>"8:59:23.972957"</f>
        <v>8:59:23.972957</v>
      </c>
      <c r="C5605">
        <v>-41</v>
      </c>
    </row>
    <row r="5606" spans="1:3" x14ac:dyDescent="0.25">
      <c r="A5606">
        <v>38</v>
      </c>
      <c r="B5606" t="str">
        <f>"8:59:23.973475"</f>
        <v>8:59:23.973475</v>
      </c>
      <c r="C5606">
        <v>-31</v>
      </c>
    </row>
    <row r="5607" spans="1:3" x14ac:dyDescent="0.25">
      <c r="A5607">
        <v>38</v>
      </c>
      <c r="B5607" t="str">
        <f>"8:59:23.973801"</f>
        <v>8:59:23.973801</v>
      </c>
      <c r="C5607">
        <v>-41</v>
      </c>
    </row>
    <row r="5608" spans="1:3" x14ac:dyDescent="0.25">
      <c r="A5608">
        <v>39</v>
      </c>
      <c r="B5608" t="str">
        <f>"8:59:23.974577"</f>
        <v>8:59:23.974577</v>
      </c>
      <c r="C5608">
        <v>-45</v>
      </c>
    </row>
    <row r="5609" spans="1:3" x14ac:dyDescent="0.25">
      <c r="A5609">
        <v>37</v>
      </c>
      <c r="B5609" t="str">
        <f>"8:59:24.326977"</f>
        <v>8:59:24.326977</v>
      </c>
      <c r="C5609">
        <v>-44</v>
      </c>
    </row>
    <row r="5610" spans="1:3" x14ac:dyDescent="0.25">
      <c r="A5610">
        <v>38</v>
      </c>
      <c r="B5610" t="str">
        <f>"8:59:24.328004"</f>
        <v>8:59:24.328004</v>
      </c>
      <c r="C5610">
        <v>-41</v>
      </c>
    </row>
    <row r="5611" spans="1:3" x14ac:dyDescent="0.25">
      <c r="A5611">
        <v>39</v>
      </c>
      <c r="B5611" t="str">
        <f>"8:59:24.329030"</f>
        <v>8:59:24.329030</v>
      </c>
      <c r="C5611">
        <v>-46</v>
      </c>
    </row>
    <row r="5612" spans="1:3" x14ac:dyDescent="0.25">
      <c r="A5612">
        <v>37</v>
      </c>
      <c r="B5612" t="str">
        <f>"8:59:24.679523"</f>
        <v>8:59:24.679523</v>
      </c>
      <c r="C5612">
        <v>-44</v>
      </c>
    </row>
    <row r="5613" spans="1:3" x14ac:dyDescent="0.25">
      <c r="A5613">
        <v>38</v>
      </c>
      <c r="B5613" t="str">
        <f>"8:59:24.680550"</f>
        <v>8:59:24.680550</v>
      </c>
      <c r="C5613">
        <v>-41</v>
      </c>
    </row>
    <row r="5614" spans="1:3" x14ac:dyDescent="0.25">
      <c r="A5614">
        <v>39</v>
      </c>
      <c r="B5614" t="str">
        <f>"8:59:24.681576"</f>
        <v>8:59:24.681576</v>
      </c>
      <c r="C5614">
        <v>-46</v>
      </c>
    </row>
    <row r="5615" spans="1:3" x14ac:dyDescent="0.25">
      <c r="A5615">
        <v>39</v>
      </c>
      <c r="B5615" t="str">
        <f>"8:59:24.682094"</f>
        <v>8:59:24.682094</v>
      </c>
      <c r="C5615">
        <v>-31</v>
      </c>
    </row>
    <row r="5616" spans="1:3" x14ac:dyDescent="0.25">
      <c r="A5616">
        <v>39</v>
      </c>
      <c r="B5616" t="str">
        <f>"8:59:24.682420"</f>
        <v>8:59:24.682420</v>
      </c>
      <c r="C5616">
        <v>-45</v>
      </c>
    </row>
    <row r="5617" spans="1:3" x14ac:dyDescent="0.25">
      <c r="A5617">
        <v>37</v>
      </c>
      <c r="B5617" t="str">
        <f>"8:59:25.038499"</f>
        <v>8:59:25.038499</v>
      </c>
      <c r="C5617">
        <v>-44</v>
      </c>
    </row>
    <row r="5618" spans="1:3" x14ac:dyDescent="0.25">
      <c r="A5618">
        <v>38</v>
      </c>
      <c r="B5618" t="str">
        <f>"8:59:25.039526"</f>
        <v>8:59:25.039526</v>
      </c>
      <c r="C5618">
        <v>-41</v>
      </c>
    </row>
    <row r="5619" spans="1:3" x14ac:dyDescent="0.25">
      <c r="A5619">
        <v>39</v>
      </c>
      <c r="B5619" t="str">
        <f>"8:59:25.040552"</f>
        <v>8:59:25.040552</v>
      </c>
      <c r="C5619">
        <v>-45</v>
      </c>
    </row>
    <row r="5620" spans="1:3" x14ac:dyDescent="0.25">
      <c r="A5620">
        <v>39</v>
      </c>
      <c r="B5620" t="str">
        <f>"8:59:25.041070"</f>
        <v>8:59:25.041070</v>
      </c>
      <c r="C5620">
        <v>-31</v>
      </c>
    </row>
    <row r="5621" spans="1:3" x14ac:dyDescent="0.25">
      <c r="A5621">
        <v>39</v>
      </c>
      <c r="B5621" t="str">
        <f>"8:59:25.041396"</f>
        <v>8:59:25.041396</v>
      </c>
      <c r="C5621">
        <v>-45</v>
      </c>
    </row>
    <row r="5622" spans="1:3" x14ac:dyDescent="0.25">
      <c r="A5622">
        <v>37</v>
      </c>
      <c r="B5622" t="str">
        <f>"8:59:25.390737"</f>
        <v>8:59:25.390737</v>
      </c>
      <c r="C5622">
        <v>-44</v>
      </c>
    </row>
    <row r="5623" spans="1:3" x14ac:dyDescent="0.25">
      <c r="A5623">
        <v>38</v>
      </c>
      <c r="B5623" t="str">
        <f>"8:59:25.391764"</f>
        <v>8:59:25.391764</v>
      </c>
      <c r="C5623">
        <v>-41</v>
      </c>
    </row>
    <row r="5624" spans="1:3" x14ac:dyDescent="0.25">
      <c r="A5624">
        <v>39</v>
      </c>
      <c r="B5624" t="str">
        <f>"8:59:25.392790"</f>
        <v>8:59:25.392790</v>
      </c>
      <c r="C5624">
        <v>-45</v>
      </c>
    </row>
    <row r="5625" spans="1:3" x14ac:dyDescent="0.25">
      <c r="A5625">
        <v>39</v>
      </c>
      <c r="B5625" t="str">
        <f>"8:59:25.393309"</f>
        <v>8:59:25.393309</v>
      </c>
      <c r="C5625">
        <v>-31</v>
      </c>
    </row>
    <row r="5626" spans="1:3" x14ac:dyDescent="0.25">
      <c r="A5626">
        <v>39</v>
      </c>
      <c r="B5626" t="str">
        <f>"8:59:25.393635"</f>
        <v>8:59:25.393635</v>
      </c>
      <c r="C5626">
        <v>-45</v>
      </c>
    </row>
    <row r="5627" spans="1:3" x14ac:dyDescent="0.25">
      <c r="A5627">
        <v>37</v>
      </c>
      <c r="B5627" t="str">
        <f>"8:59:25.750472"</f>
        <v>8:59:25.750472</v>
      </c>
      <c r="C5627">
        <v>-44</v>
      </c>
    </row>
    <row r="5628" spans="1:3" x14ac:dyDescent="0.25">
      <c r="A5628">
        <v>38</v>
      </c>
      <c r="B5628" t="str">
        <f>"8:59:25.751499"</f>
        <v>8:59:25.751499</v>
      </c>
      <c r="C5628">
        <v>-41</v>
      </c>
    </row>
    <row r="5629" spans="1:3" x14ac:dyDescent="0.25">
      <c r="A5629">
        <v>39</v>
      </c>
      <c r="B5629" t="str">
        <f>"8:59:25.752525"</f>
        <v>8:59:25.752525</v>
      </c>
      <c r="C5629">
        <v>-45</v>
      </c>
    </row>
    <row r="5630" spans="1:3" x14ac:dyDescent="0.25">
      <c r="A5630">
        <v>39</v>
      </c>
      <c r="B5630" t="str">
        <f>"8:59:25.753043"</f>
        <v>8:59:25.753043</v>
      </c>
      <c r="C5630">
        <v>-31</v>
      </c>
    </row>
    <row r="5631" spans="1:3" x14ac:dyDescent="0.25">
      <c r="A5631">
        <v>39</v>
      </c>
      <c r="B5631" t="str">
        <f>"8:59:25.753369"</f>
        <v>8:59:25.753369</v>
      </c>
      <c r="C5631">
        <v>-45</v>
      </c>
    </row>
    <row r="5632" spans="1:3" x14ac:dyDescent="0.25">
      <c r="A5632">
        <v>37</v>
      </c>
      <c r="B5632" t="str">
        <f>"8:59:26.110143"</f>
        <v>8:59:26.110143</v>
      </c>
      <c r="C5632">
        <v>-44</v>
      </c>
    </row>
    <row r="5633" spans="1:3" x14ac:dyDescent="0.25">
      <c r="A5633">
        <v>38</v>
      </c>
      <c r="B5633" t="str">
        <f>"8:59:26.111170"</f>
        <v>8:59:26.111170</v>
      </c>
      <c r="C5633">
        <v>-41</v>
      </c>
    </row>
    <row r="5634" spans="1:3" x14ac:dyDescent="0.25">
      <c r="A5634">
        <v>39</v>
      </c>
      <c r="B5634" t="str">
        <f>"8:59:26.112196"</f>
        <v>8:59:26.112196</v>
      </c>
      <c r="C5634">
        <v>-46</v>
      </c>
    </row>
    <row r="5635" spans="1:3" x14ac:dyDescent="0.25">
      <c r="A5635">
        <v>39</v>
      </c>
      <c r="B5635" t="str">
        <f>"8:59:26.112715"</f>
        <v>8:59:26.112715</v>
      </c>
      <c r="C5635">
        <v>-31</v>
      </c>
    </row>
    <row r="5636" spans="1:3" x14ac:dyDescent="0.25">
      <c r="A5636">
        <v>39</v>
      </c>
      <c r="B5636" t="str">
        <f>"8:59:26.113040"</f>
        <v>8:59:26.113040</v>
      </c>
      <c r="C5636">
        <v>-45</v>
      </c>
    </row>
    <row r="5637" spans="1:3" x14ac:dyDescent="0.25">
      <c r="A5637">
        <v>37</v>
      </c>
      <c r="B5637" t="str">
        <f>"8:59:26.467020"</f>
        <v>8:59:26.467020</v>
      </c>
      <c r="C5637">
        <v>-44</v>
      </c>
    </row>
    <row r="5638" spans="1:3" x14ac:dyDescent="0.25">
      <c r="A5638">
        <v>38</v>
      </c>
      <c r="B5638" t="str">
        <f>"8:59:26.468047"</f>
        <v>8:59:26.468047</v>
      </c>
      <c r="C5638">
        <v>-41</v>
      </c>
    </row>
    <row r="5639" spans="1:3" x14ac:dyDescent="0.25">
      <c r="A5639">
        <v>39</v>
      </c>
      <c r="B5639" t="str">
        <f>"8:59:26.469073"</f>
        <v>8:59:26.469073</v>
      </c>
      <c r="C5639">
        <v>-45</v>
      </c>
    </row>
    <row r="5640" spans="1:3" x14ac:dyDescent="0.25">
      <c r="A5640">
        <v>39</v>
      </c>
      <c r="B5640" t="str">
        <f>"8:59:26.469591"</f>
        <v>8:59:26.469591</v>
      </c>
      <c r="C5640">
        <v>-31</v>
      </c>
    </row>
    <row r="5641" spans="1:3" x14ac:dyDescent="0.25">
      <c r="A5641">
        <v>39</v>
      </c>
      <c r="B5641" t="str">
        <f>"8:59:26.469917"</f>
        <v>8:59:26.469917</v>
      </c>
      <c r="C5641">
        <v>-45</v>
      </c>
    </row>
    <row r="5642" spans="1:3" x14ac:dyDescent="0.25">
      <c r="A5642">
        <v>37</v>
      </c>
      <c r="B5642" t="str">
        <f>"8:59:26.820360"</f>
        <v>8:59:26.820360</v>
      </c>
      <c r="C5642">
        <v>-44</v>
      </c>
    </row>
    <row r="5643" spans="1:3" x14ac:dyDescent="0.25">
      <c r="A5643">
        <v>38</v>
      </c>
      <c r="B5643" t="str">
        <f>"8:59:26.821388"</f>
        <v>8:59:26.821388</v>
      </c>
      <c r="C5643">
        <v>-41</v>
      </c>
    </row>
    <row r="5644" spans="1:3" x14ac:dyDescent="0.25">
      <c r="A5644">
        <v>39</v>
      </c>
      <c r="B5644" t="str">
        <f>"8:59:26.822549"</f>
        <v>8:59:26.822549</v>
      </c>
      <c r="C5644">
        <v>-46</v>
      </c>
    </row>
    <row r="5645" spans="1:3" x14ac:dyDescent="0.25">
      <c r="A5645">
        <v>39</v>
      </c>
      <c r="B5645" t="str">
        <f>"8:59:26.823067"</f>
        <v>8:59:26.823067</v>
      </c>
      <c r="C5645">
        <v>-31</v>
      </c>
    </row>
    <row r="5646" spans="1:3" x14ac:dyDescent="0.25">
      <c r="A5646">
        <v>39</v>
      </c>
      <c r="B5646" t="str">
        <f>"8:59:26.823394"</f>
        <v>8:59:26.823394</v>
      </c>
      <c r="C5646">
        <v>-45</v>
      </c>
    </row>
    <row r="5647" spans="1:3" x14ac:dyDescent="0.25">
      <c r="A5647">
        <v>37</v>
      </c>
      <c r="B5647" t="str">
        <f>"8:59:27.177730"</f>
        <v>8:59:27.177730</v>
      </c>
      <c r="C5647">
        <v>-44</v>
      </c>
    </row>
    <row r="5648" spans="1:3" x14ac:dyDescent="0.25">
      <c r="A5648">
        <v>38</v>
      </c>
      <c r="B5648" t="str">
        <f>"8:59:27.178757"</f>
        <v>8:59:27.178757</v>
      </c>
      <c r="C5648">
        <v>-41</v>
      </c>
    </row>
    <row r="5649" spans="1:3" x14ac:dyDescent="0.25">
      <c r="A5649">
        <v>39</v>
      </c>
      <c r="B5649" t="str">
        <f>"8:59:27.179783"</f>
        <v>8:59:27.179783</v>
      </c>
      <c r="C5649">
        <v>-45</v>
      </c>
    </row>
    <row r="5650" spans="1:3" x14ac:dyDescent="0.25">
      <c r="A5650">
        <v>39</v>
      </c>
      <c r="B5650" t="str">
        <f>"8:59:27.180302"</f>
        <v>8:59:27.180302</v>
      </c>
      <c r="C5650">
        <v>-31</v>
      </c>
    </row>
    <row r="5651" spans="1:3" x14ac:dyDescent="0.25">
      <c r="A5651">
        <v>39</v>
      </c>
      <c r="B5651" t="str">
        <f>"8:59:27.180628"</f>
        <v>8:59:27.180628</v>
      </c>
      <c r="C5651">
        <v>-45</v>
      </c>
    </row>
    <row r="5652" spans="1:3" x14ac:dyDescent="0.25">
      <c r="A5652">
        <v>37</v>
      </c>
      <c r="B5652" t="str">
        <f>"8:59:27.537690"</f>
        <v>8:59:27.537690</v>
      </c>
      <c r="C5652">
        <v>-44</v>
      </c>
    </row>
    <row r="5653" spans="1:3" x14ac:dyDescent="0.25">
      <c r="A5653">
        <v>38</v>
      </c>
      <c r="B5653" t="str">
        <f>"8:59:27.538718"</f>
        <v>8:59:27.538718</v>
      </c>
      <c r="C5653">
        <v>-41</v>
      </c>
    </row>
    <row r="5654" spans="1:3" x14ac:dyDescent="0.25">
      <c r="A5654">
        <v>39</v>
      </c>
      <c r="B5654" t="str">
        <f>"8:59:27.539744"</f>
        <v>8:59:27.539744</v>
      </c>
      <c r="C5654">
        <v>-45</v>
      </c>
    </row>
    <row r="5655" spans="1:3" x14ac:dyDescent="0.25">
      <c r="A5655">
        <v>39</v>
      </c>
      <c r="B5655" t="str">
        <f>"8:59:27.540262"</f>
        <v>8:59:27.540262</v>
      </c>
      <c r="C5655">
        <v>-31</v>
      </c>
    </row>
    <row r="5656" spans="1:3" x14ac:dyDescent="0.25">
      <c r="A5656">
        <v>39</v>
      </c>
      <c r="B5656" t="str">
        <f>"8:59:27.540588"</f>
        <v>8:59:27.540588</v>
      </c>
      <c r="C5656">
        <v>-45</v>
      </c>
    </row>
    <row r="5657" spans="1:3" x14ac:dyDescent="0.25">
      <c r="A5657">
        <v>37</v>
      </c>
      <c r="B5657" t="str">
        <f>"8:59:27.889937"</f>
        <v>8:59:27.889937</v>
      </c>
      <c r="C5657">
        <v>-44</v>
      </c>
    </row>
    <row r="5658" spans="1:3" x14ac:dyDescent="0.25">
      <c r="A5658">
        <v>37</v>
      </c>
      <c r="B5658" t="str">
        <f>"8:59:27.890783"</f>
        <v>8:59:27.890783</v>
      </c>
      <c r="C5658">
        <v>-44</v>
      </c>
    </row>
    <row r="5659" spans="1:3" x14ac:dyDescent="0.25">
      <c r="A5659">
        <v>38</v>
      </c>
      <c r="B5659" t="str">
        <f>"8:59:27.891560"</f>
        <v>8:59:27.891560</v>
      </c>
      <c r="C5659">
        <v>-41</v>
      </c>
    </row>
    <row r="5660" spans="1:3" x14ac:dyDescent="0.25">
      <c r="A5660">
        <v>39</v>
      </c>
      <c r="B5660" t="str">
        <f>"8:59:27.892586"</f>
        <v>8:59:27.892586</v>
      </c>
      <c r="C5660">
        <v>-46</v>
      </c>
    </row>
    <row r="5661" spans="1:3" x14ac:dyDescent="0.25">
      <c r="A5661">
        <v>39</v>
      </c>
      <c r="B5661" t="str">
        <f>"8:59:27.893104"</f>
        <v>8:59:27.893104</v>
      </c>
      <c r="C5661">
        <v>-30</v>
      </c>
    </row>
    <row r="5662" spans="1:3" x14ac:dyDescent="0.25">
      <c r="A5662">
        <v>39</v>
      </c>
      <c r="B5662" t="str">
        <f>"8:59:27.893430"</f>
        <v>8:59:27.893430</v>
      </c>
      <c r="C5662">
        <v>-45</v>
      </c>
    </row>
    <row r="5663" spans="1:3" x14ac:dyDescent="0.25">
      <c r="A5663">
        <v>37</v>
      </c>
      <c r="B5663" t="str">
        <f>"8:59:28.242679"</f>
        <v>8:59:28.242679</v>
      </c>
      <c r="C5663">
        <v>-44</v>
      </c>
    </row>
    <row r="5664" spans="1:3" x14ac:dyDescent="0.25">
      <c r="A5664">
        <v>38</v>
      </c>
      <c r="B5664" t="str">
        <f>"8:59:28.243706"</f>
        <v>8:59:28.243706</v>
      </c>
      <c r="C5664">
        <v>-41</v>
      </c>
    </row>
    <row r="5665" spans="1:3" x14ac:dyDescent="0.25">
      <c r="A5665">
        <v>39</v>
      </c>
      <c r="B5665" t="str">
        <f>"8:59:28.244732"</f>
        <v>8:59:28.244732</v>
      </c>
      <c r="C5665">
        <v>-46</v>
      </c>
    </row>
    <row r="5666" spans="1:3" x14ac:dyDescent="0.25">
      <c r="A5666">
        <v>39</v>
      </c>
      <c r="B5666" t="str">
        <f>"8:59:28.245250"</f>
        <v>8:59:28.245250</v>
      </c>
      <c r="C5666">
        <v>-30</v>
      </c>
    </row>
    <row r="5667" spans="1:3" x14ac:dyDescent="0.25">
      <c r="A5667">
        <v>39</v>
      </c>
      <c r="B5667" t="str">
        <f>"8:59:28.245576"</f>
        <v>8:59:28.245576</v>
      </c>
      <c r="C5667">
        <v>-45</v>
      </c>
    </row>
    <row r="5668" spans="1:3" x14ac:dyDescent="0.25">
      <c r="A5668">
        <v>37</v>
      </c>
      <c r="B5668" t="str">
        <f>"8:59:28.594946"</f>
        <v>8:59:28.594946</v>
      </c>
      <c r="C5668">
        <v>-44</v>
      </c>
    </row>
    <row r="5669" spans="1:3" x14ac:dyDescent="0.25">
      <c r="A5669">
        <v>38</v>
      </c>
      <c r="B5669" t="str">
        <f>"8:59:28.595973"</f>
        <v>8:59:28.595973</v>
      </c>
      <c r="C5669">
        <v>-41</v>
      </c>
    </row>
    <row r="5670" spans="1:3" x14ac:dyDescent="0.25">
      <c r="A5670">
        <v>39</v>
      </c>
      <c r="B5670" t="str">
        <f>"8:59:28.596999"</f>
        <v>8:59:28.596999</v>
      </c>
      <c r="C5670">
        <v>-46</v>
      </c>
    </row>
    <row r="5671" spans="1:3" x14ac:dyDescent="0.25">
      <c r="A5671">
        <v>39</v>
      </c>
      <c r="B5671" t="str">
        <f>"8:59:28.597518"</f>
        <v>8:59:28.597518</v>
      </c>
      <c r="C5671">
        <v>-30</v>
      </c>
    </row>
    <row r="5672" spans="1:3" x14ac:dyDescent="0.25">
      <c r="A5672">
        <v>39</v>
      </c>
      <c r="B5672" t="str">
        <f>"8:59:28.597843"</f>
        <v>8:59:28.597843</v>
      </c>
      <c r="C5672">
        <v>-45</v>
      </c>
    </row>
    <row r="5673" spans="1:3" x14ac:dyDescent="0.25">
      <c r="A5673">
        <v>37</v>
      </c>
      <c r="B5673" t="str">
        <f>"8:59:28.953102"</f>
        <v>8:59:28.953102</v>
      </c>
      <c r="C5673">
        <v>-44</v>
      </c>
    </row>
    <row r="5674" spans="1:3" x14ac:dyDescent="0.25">
      <c r="A5674">
        <v>38</v>
      </c>
      <c r="B5674" t="str">
        <f>"8:59:28.954129"</f>
        <v>8:59:28.954129</v>
      </c>
      <c r="C5674">
        <v>-41</v>
      </c>
    </row>
    <row r="5675" spans="1:3" x14ac:dyDescent="0.25">
      <c r="A5675">
        <v>39</v>
      </c>
      <c r="B5675" t="str">
        <f>"8:59:28.955155"</f>
        <v>8:59:28.955155</v>
      </c>
      <c r="C5675">
        <v>-46</v>
      </c>
    </row>
    <row r="5676" spans="1:3" x14ac:dyDescent="0.25">
      <c r="A5676">
        <v>39</v>
      </c>
      <c r="B5676" t="str">
        <f>"8:59:28.955674"</f>
        <v>8:59:28.955674</v>
      </c>
      <c r="C5676">
        <v>-31</v>
      </c>
    </row>
    <row r="5677" spans="1:3" x14ac:dyDescent="0.25">
      <c r="A5677">
        <v>39</v>
      </c>
      <c r="B5677" t="str">
        <f>"8:59:28.955999"</f>
        <v>8:59:28.955999</v>
      </c>
      <c r="C5677">
        <v>-45</v>
      </c>
    </row>
    <row r="5678" spans="1:3" x14ac:dyDescent="0.25">
      <c r="A5678">
        <v>37</v>
      </c>
      <c r="B5678" t="str">
        <f>"8:59:29.309950"</f>
        <v>8:59:29.309950</v>
      </c>
      <c r="C5678">
        <v>-44</v>
      </c>
    </row>
    <row r="5679" spans="1:3" x14ac:dyDescent="0.25">
      <c r="A5679">
        <v>38</v>
      </c>
      <c r="B5679" t="str">
        <f>"8:59:29.310978"</f>
        <v>8:59:29.310978</v>
      </c>
      <c r="C5679">
        <v>-41</v>
      </c>
    </row>
    <row r="5680" spans="1:3" x14ac:dyDescent="0.25">
      <c r="A5680">
        <v>39</v>
      </c>
      <c r="B5680" t="str">
        <f>"8:59:29.312004"</f>
        <v>8:59:29.312004</v>
      </c>
      <c r="C5680">
        <v>-46</v>
      </c>
    </row>
    <row r="5681" spans="1:3" x14ac:dyDescent="0.25">
      <c r="A5681">
        <v>39</v>
      </c>
      <c r="B5681" t="str">
        <f>"8:59:29.312522"</f>
        <v>8:59:29.312522</v>
      </c>
      <c r="C5681">
        <v>-31</v>
      </c>
    </row>
    <row r="5682" spans="1:3" x14ac:dyDescent="0.25">
      <c r="A5682">
        <v>39</v>
      </c>
      <c r="B5682" t="str">
        <f>"8:59:29.312848"</f>
        <v>8:59:29.312848</v>
      </c>
      <c r="C5682">
        <v>-45</v>
      </c>
    </row>
    <row r="5683" spans="1:3" x14ac:dyDescent="0.25">
      <c r="A5683">
        <v>37</v>
      </c>
      <c r="B5683" t="str">
        <f>"8:59:29.667631"</f>
        <v>8:59:29.667631</v>
      </c>
      <c r="C5683">
        <v>-44</v>
      </c>
    </row>
    <row r="5684" spans="1:3" x14ac:dyDescent="0.25">
      <c r="A5684">
        <v>37</v>
      </c>
      <c r="B5684" t="str">
        <f>"8:59:29.668149"</f>
        <v>8:59:29.668149</v>
      </c>
      <c r="C5684">
        <v>-39</v>
      </c>
    </row>
    <row r="5685" spans="1:3" x14ac:dyDescent="0.25">
      <c r="A5685">
        <v>37</v>
      </c>
      <c r="B5685" t="str">
        <f>"8:59:29.668475"</f>
        <v>8:59:29.668475</v>
      </c>
      <c r="C5685">
        <v>-44</v>
      </c>
    </row>
    <row r="5686" spans="1:3" x14ac:dyDescent="0.25">
      <c r="A5686">
        <v>38</v>
      </c>
      <c r="B5686" t="str">
        <f>"8:59:29.669251"</f>
        <v>8:59:29.669251</v>
      </c>
      <c r="C5686">
        <v>-41</v>
      </c>
    </row>
    <row r="5687" spans="1:3" x14ac:dyDescent="0.25">
      <c r="A5687">
        <v>39</v>
      </c>
      <c r="B5687" t="str">
        <f>"8:59:29.670277"</f>
        <v>8:59:29.670277</v>
      </c>
      <c r="C5687">
        <v>-46</v>
      </c>
    </row>
    <row r="5688" spans="1:3" x14ac:dyDescent="0.25">
      <c r="A5688">
        <v>37</v>
      </c>
      <c r="B5688" t="str">
        <f>"8:59:30.026040"</f>
        <v>8:59:30.026040</v>
      </c>
      <c r="C5688">
        <v>-44</v>
      </c>
    </row>
    <row r="5689" spans="1:3" x14ac:dyDescent="0.25">
      <c r="A5689">
        <v>37</v>
      </c>
      <c r="B5689" t="str">
        <f>"8:59:30.026559"</f>
        <v>8:59:30.026559</v>
      </c>
      <c r="C5689">
        <v>-39</v>
      </c>
    </row>
    <row r="5690" spans="1:3" x14ac:dyDescent="0.25">
      <c r="A5690">
        <v>37</v>
      </c>
      <c r="B5690" t="str">
        <f>"8:59:30.026885"</f>
        <v>8:59:30.026885</v>
      </c>
      <c r="C5690">
        <v>-44</v>
      </c>
    </row>
    <row r="5691" spans="1:3" x14ac:dyDescent="0.25">
      <c r="A5691">
        <v>38</v>
      </c>
      <c r="B5691" t="str">
        <f>"8:59:30.027662"</f>
        <v>8:59:30.027662</v>
      </c>
      <c r="C5691">
        <v>-41</v>
      </c>
    </row>
    <row r="5692" spans="1:3" x14ac:dyDescent="0.25">
      <c r="A5692">
        <v>39</v>
      </c>
      <c r="B5692" t="str">
        <f>"8:59:30.028688"</f>
        <v>8:59:30.028688</v>
      </c>
      <c r="C5692">
        <v>-46</v>
      </c>
    </row>
    <row r="5693" spans="1:3" x14ac:dyDescent="0.25">
      <c r="A5693">
        <v>37</v>
      </c>
      <c r="B5693" t="str">
        <f>"8:59:30.383959"</f>
        <v>8:59:30.383959</v>
      </c>
      <c r="C5693">
        <v>-44</v>
      </c>
    </row>
    <row r="5694" spans="1:3" x14ac:dyDescent="0.25">
      <c r="A5694">
        <v>37</v>
      </c>
      <c r="B5694" t="str">
        <f>"8:59:30.384477"</f>
        <v>8:59:30.384477</v>
      </c>
      <c r="C5694">
        <v>-39</v>
      </c>
    </row>
    <row r="5695" spans="1:3" x14ac:dyDescent="0.25">
      <c r="A5695">
        <v>37</v>
      </c>
      <c r="B5695" t="str">
        <f>"8:59:30.384803"</f>
        <v>8:59:30.384803</v>
      </c>
      <c r="C5695">
        <v>-44</v>
      </c>
    </row>
    <row r="5696" spans="1:3" x14ac:dyDescent="0.25">
      <c r="A5696">
        <v>38</v>
      </c>
      <c r="B5696" t="str">
        <f>"8:59:30.385579"</f>
        <v>8:59:30.385579</v>
      </c>
      <c r="C5696">
        <v>-41</v>
      </c>
    </row>
    <row r="5697" spans="1:3" x14ac:dyDescent="0.25">
      <c r="A5697">
        <v>39</v>
      </c>
      <c r="B5697" t="str">
        <f>"8:59:30.386605"</f>
        <v>8:59:30.386605</v>
      </c>
      <c r="C5697">
        <v>-46</v>
      </c>
    </row>
    <row r="5698" spans="1:3" x14ac:dyDescent="0.25">
      <c r="A5698">
        <v>37</v>
      </c>
      <c r="B5698" t="str">
        <f>"8:59:30.741129"</f>
        <v>8:59:30.741129</v>
      </c>
      <c r="C5698">
        <v>-44</v>
      </c>
    </row>
    <row r="5699" spans="1:3" x14ac:dyDescent="0.25">
      <c r="A5699">
        <v>37</v>
      </c>
      <c r="B5699" t="str">
        <f>"8:59:30.741648"</f>
        <v>8:59:30.741648</v>
      </c>
      <c r="C5699">
        <v>-39</v>
      </c>
    </row>
    <row r="5700" spans="1:3" x14ac:dyDescent="0.25">
      <c r="A5700">
        <v>37</v>
      </c>
      <c r="B5700" t="str">
        <f>"8:59:30.741973"</f>
        <v>8:59:30.741973</v>
      </c>
      <c r="C5700">
        <v>-44</v>
      </c>
    </row>
    <row r="5701" spans="1:3" x14ac:dyDescent="0.25">
      <c r="A5701">
        <v>38</v>
      </c>
      <c r="B5701" t="str">
        <f>"8:59:30.742750"</f>
        <v>8:59:30.742750</v>
      </c>
      <c r="C5701">
        <v>-41</v>
      </c>
    </row>
    <row r="5702" spans="1:3" x14ac:dyDescent="0.25">
      <c r="A5702">
        <v>39</v>
      </c>
      <c r="B5702" t="str">
        <f>"8:59:30.743776"</f>
        <v>8:59:30.743776</v>
      </c>
      <c r="C5702">
        <v>-46</v>
      </c>
    </row>
    <row r="5703" spans="1:3" x14ac:dyDescent="0.25">
      <c r="A5703">
        <v>37</v>
      </c>
      <c r="B5703" t="str">
        <f>"8:59:31.094652"</f>
        <v>8:59:31.094652</v>
      </c>
      <c r="C5703">
        <v>-44</v>
      </c>
    </row>
    <row r="5704" spans="1:3" x14ac:dyDescent="0.25">
      <c r="A5704">
        <v>37</v>
      </c>
      <c r="B5704" t="str">
        <f>"8:59:31.095171"</f>
        <v>8:59:31.095171</v>
      </c>
      <c r="C5704">
        <v>-40</v>
      </c>
    </row>
    <row r="5705" spans="1:3" x14ac:dyDescent="0.25">
      <c r="A5705">
        <v>37</v>
      </c>
      <c r="B5705" t="str">
        <f>"8:59:31.095497"</f>
        <v>8:59:31.095497</v>
      </c>
      <c r="C5705">
        <v>-44</v>
      </c>
    </row>
    <row r="5706" spans="1:3" x14ac:dyDescent="0.25">
      <c r="A5706">
        <v>38</v>
      </c>
      <c r="B5706" t="str">
        <f>"8:59:31.096273"</f>
        <v>8:59:31.096273</v>
      </c>
      <c r="C5706">
        <v>-41</v>
      </c>
    </row>
    <row r="5707" spans="1:3" x14ac:dyDescent="0.25">
      <c r="A5707">
        <v>39</v>
      </c>
      <c r="B5707" t="str">
        <f>"8:59:31.097299"</f>
        <v>8:59:31.097299</v>
      </c>
      <c r="C5707">
        <v>-46</v>
      </c>
    </row>
    <row r="5708" spans="1:3" x14ac:dyDescent="0.25">
      <c r="A5708">
        <v>37</v>
      </c>
      <c r="B5708" t="str">
        <f>"8:59:31.447181"</f>
        <v>8:59:31.447181</v>
      </c>
      <c r="C5708">
        <v>-44</v>
      </c>
    </row>
    <row r="5709" spans="1:3" x14ac:dyDescent="0.25">
      <c r="A5709">
        <v>37</v>
      </c>
      <c r="B5709" t="str">
        <f>"8:59:31.447700"</f>
        <v>8:59:31.447700</v>
      </c>
      <c r="C5709">
        <v>-40</v>
      </c>
    </row>
    <row r="5710" spans="1:3" x14ac:dyDescent="0.25">
      <c r="A5710">
        <v>37</v>
      </c>
      <c r="B5710" t="str">
        <f>"8:59:31.448026"</f>
        <v>8:59:31.448026</v>
      </c>
      <c r="C5710">
        <v>-44</v>
      </c>
    </row>
    <row r="5711" spans="1:3" x14ac:dyDescent="0.25">
      <c r="A5711">
        <v>38</v>
      </c>
      <c r="B5711" t="str">
        <f>"8:59:31.448802"</f>
        <v>8:59:31.448802</v>
      </c>
      <c r="C5711">
        <v>-41</v>
      </c>
    </row>
    <row r="5712" spans="1:3" x14ac:dyDescent="0.25">
      <c r="A5712">
        <v>39</v>
      </c>
      <c r="B5712" t="str">
        <f>"8:59:31.449828"</f>
        <v>8:59:31.449828</v>
      </c>
      <c r="C5712">
        <v>-46</v>
      </c>
    </row>
    <row r="5713" spans="1:3" x14ac:dyDescent="0.25">
      <c r="A5713">
        <v>37</v>
      </c>
      <c r="B5713" t="str">
        <f>"8:59:31.799727"</f>
        <v>8:59:31.799727</v>
      </c>
      <c r="C5713">
        <v>-44</v>
      </c>
    </row>
    <row r="5714" spans="1:3" x14ac:dyDescent="0.25">
      <c r="A5714">
        <v>37</v>
      </c>
      <c r="B5714" t="str">
        <f>"8:59:31.800246"</f>
        <v>8:59:31.800246</v>
      </c>
      <c r="C5714">
        <v>-39</v>
      </c>
    </row>
    <row r="5715" spans="1:3" x14ac:dyDescent="0.25">
      <c r="A5715">
        <v>37</v>
      </c>
      <c r="B5715" t="str">
        <f>"8:59:31.800572"</f>
        <v>8:59:31.800572</v>
      </c>
      <c r="C5715">
        <v>-44</v>
      </c>
    </row>
    <row r="5716" spans="1:3" x14ac:dyDescent="0.25">
      <c r="A5716">
        <v>38</v>
      </c>
      <c r="B5716" t="str">
        <f>"8:59:31.801349"</f>
        <v>8:59:31.801349</v>
      </c>
      <c r="C5716">
        <v>-41</v>
      </c>
    </row>
    <row r="5717" spans="1:3" x14ac:dyDescent="0.25">
      <c r="A5717">
        <v>39</v>
      </c>
      <c r="B5717" t="str">
        <f>"8:59:31.802375"</f>
        <v>8:59:31.802375</v>
      </c>
      <c r="C5717">
        <v>-45</v>
      </c>
    </row>
    <row r="5718" spans="1:3" x14ac:dyDescent="0.25">
      <c r="A5718">
        <v>37</v>
      </c>
      <c r="B5718" t="str">
        <f>"8:59:32.157941"</f>
        <v>8:59:32.157941</v>
      </c>
      <c r="C5718">
        <v>-44</v>
      </c>
    </row>
    <row r="5719" spans="1:3" x14ac:dyDescent="0.25">
      <c r="A5719">
        <v>37</v>
      </c>
      <c r="B5719" t="str">
        <f>"8:59:32.158460"</f>
        <v>8:59:32.158460</v>
      </c>
      <c r="C5719">
        <v>-39</v>
      </c>
    </row>
    <row r="5720" spans="1:3" x14ac:dyDescent="0.25">
      <c r="A5720">
        <v>37</v>
      </c>
      <c r="B5720" t="str">
        <f>"8:59:32.158786"</f>
        <v>8:59:32.158786</v>
      </c>
      <c r="C5720">
        <v>-44</v>
      </c>
    </row>
    <row r="5721" spans="1:3" x14ac:dyDescent="0.25">
      <c r="A5721">
        <v>38</v>
      </c>
      <c r="B5721" t="str">
        <f>"8:59:32.159562"</f>
        <v>8:59:32.159562</v>
      </c>
      <c r="C5721">
        <v>-41</v>
      </c>
    </row>
    <row r="5722" spans="1:3" x14ac:dyDescent="0.25">
      <c r="A5722">
        <v>39</v>
      </c>
      <c r="B5722" t="str">
        <f>"8:59:32.160589"</f>
        <v>8:59:32.160589</v>
      </c>
      <c r="C5722">
        <v>-45</v>
      </c>
    </row>
    <row r="5723" spans="1:3" x14ac:dyDescent="0.25">
      <c r="A5723">
        <v>37</v>
      </c>
      <c r="B5723" t="str">
        <f>"8:59:32.508722"</f>
        <v>8:59:32.508722</v>
      </c>
      <c r="C5723">
        <v>-44</v>
      </c>
    </row>
    <row r="5724" spans="1:3" x14ac:dyDescent="0.25">
      <c r="A5724">
        <v>37</v>
      </c>
      <c r="B5724" t="str">
        <f>"8:59:32.509240"</f>
        <v>8:59:32.509240</v>
      </c>
      <c r="C5724">
        <v>-39</v>
      </c>
    </row>
    <row r="5725" spans="1:3" x14ac:dyDescent="0.25">
      <c r="A5725">
        <v>37</v>
      </c>
      <c r="B5725" t="str">
        <f>"8:59:32.509566"</f>
        <v>8:59:32.509566</v>
      </c>
      <c r="C5725">
        <v>-44</v>
      </c>
    </row>
    <row r="5726" spans="1:3" x14ac:dyDescent="0.25">
      <c r="A5726">
        <v>38</v>
      </c>
      <c r="B5726" t="str">
        <f>"8:59:32.510342"</f>
        <v>8:59:32.510342</v>
      </c>
      <c r="C5726">
        <v>-41</v>
      </c>
    </row>
    <row r="5727" spans="1:3" x14ac:dyDescent="0.25">
      <c r="A5727">
        <v>39</v>
      </c>
      <c r="B5727" t="str">
        <f>"8:59:32.511368"</f>
        <v>8:59:32.511368</v>
      </c>
      <c r="C5727">
        <v>-45</v>
      </c>
    </row>
    <row r="5728" spans="1:3" x14ac:dyDescent="0.25">
      <c r="A5728">
        <v>37</v>
      </c>
      <c r="B5728" t="str">
        <f>"8:59:32.866108"</f>
        <v>8:59:32.866108</v>
      </c>
      <c r="C5728">
        <v>-44</v>
      </c>
    </row>
    <row r="5729" spans="1:3" x14ac:dyDescent="0.25">
      <c r="A5729">
        <v>37</v>
      </c>
      <c r="B5729" t="str">
        <f>"8:59:32.866626"</f>
        <v>8:59:32.866626</v>
      </c>
      <c r="C5729">
        <v>-40</v>
      </c>
    </row>
    <row r="5730" spans="1:3" x14ac:dyDescent="0.25">
      <c r="A5730">
        <v>37</v>
      </c>
      <c r="B5730" t="str">
        <f>"8:59:32.866952"</f>
        <v>8:59:32.866952</v>
      </c>
      <c r="C5730">
        <v>-44</v>
      </c>
    </row>
    <row r="5731" spans="1:3" x14ac:dyDescent="0.25">
      <c r="A5731">
        <v>38</v>
      </c>
      <c r="B5731" t="str">
        <f>"8:59:32.867728"</f>
        <v>8:59:32.867728</v>
      </c>
      <c r="C5731">
        <v>-41</v>
      </c>
    </row>
    <row r="5732" spans="1:3" x14ac:dyDescent="0.25">
      <c r="A5732">
        <v>39</v>
      </c>
      <c r="B5732" t="str">
        <f>"8:59:32.868754"</f>
        <v>8:59:32.868754</v>
      </c>
      <c r="C5732">
        <v>-46</v>
      </c>
    </row>
    <row r="5733" spans="1:3" x14ac:dyDescent="0.25">
      <c r="A5733">
        <v>37</v>
      </c>
      <c r="B5733" t="str">
        <f>"8:59:33.220432"</f>
        <v>8:59:33.220432</v>
      </c>
      <c r="C5733">
        <v>-44</v>
      </c>
    </row>
    <row r="5734" spans="1:3" x14ac:dyDescent="0.25">
      <c r="A5734">
        <v>37</v>
      </c>
      <c r="B5734" t="str">
        <f>"8:59:33.220950"</f>
        <v>8:59:33.220950</v>
      </c>
      <c r="C5734">
        <v>-40</v>
      </c>
    </row>
    <row r="5735" spans="1:3" x14ac:dyDescent="0.25">
      <c r="A5735">
        <v>37</v>
      </c>
      <c r="B5735" t="str">
        <f>"8:59:33.221276"</f>
        <v>8:59:33.221276</v>
      </c>
      <c r="C5735">
        <v>-44</v>
      </c>
    </row>
    <row r="5736" spans="1:3" x14ac:dyDescent="0.25">
      <c r="A5736">
        <v>38</v>
      </c>
      <c r="B5736" t="str">
        <f>"8:59:33.222053"</f>
        <v>8:59:33.222053</v>
      </c>
      <c r="C5736">
        <v>-41</v>
      </c>
    </row>
    <row r="5737" spans="1:3" x14ac:dyDescent="0.25">
      <c r="A5737">
        <v>39</v>
      </c>
      <c r="B5737" t="str">
        <f>"8:59:33.223079"</f>
        <v>8:59:33.223079</v>
      </c>
      <c r="C5737">
        <v>-46</v>
      </c>
    </row>
    <row r="5738" spans="1:3" x14ac:dyDescent="0.25">
      <c r="A5738">
        <v>37</v>
      </c>
      <c r="B5738" t="str">
        <f>"8:59:33.576851"</f>
        <v>8:59:33.576851</v>
      </c>
      <c r="C5738">
        <v>-44</v>
      </c>
    </row>
    <row r="5739" spans="1:3" x14ac:dyDescent="0.25">
      <c r="A5739">
        <v>37</v>
      </c>
      <c r="B5739" t="str">
        <f>"8:59:33.577370"</f>
        <v>8:59:33.577370</v>
      </c>
      <c r="C5739">
        <v>-39</v>
      </c>
    </row>
    <row r="5740" spans="1:3" x14ac:dyDescent="0.25">
      <c r="A5740">
        <v>37</v>
      </c>
      <c r="B5740" t="str">
        <f>"8:59:33.577696"</f>
        <v>8:59:33.577696</v>
      </c>
      <c r="C5740">
        <v>-44</v>
      </c>
    </row>
    <row r="5741" spans="1:3" x14ac:dyDescent="0.25">
      <c r="A5741">
        <v>38</v>
      </c>
      <c r="B5741" t="str">
        <f>"8:59:33.578472"</f>
        <v>8:59:33.578472</v>
      </c>
      <c r="C5741">
        <v>-41</v>
      </c>
    </row>
    <row r="5742" spans="1:3" x14ac:dyDescent="0.25">
      <c r="A5742">
        <v>39</v>
      </c>
      <c r="B5742" t="str">
        <f>"8:59:33.579498"</f>
        <v>8:59:33.579498</v>
      </c>
      <c r="C5742">
        <v>-46</v>
      </c>
    </row>
    <row r="5743" spans="1:3" x14ac:dyDescent="0.25">
      <c r="A5743">
        <v>37</v>
      </c>
      <c r="B5743" t="str">
        <f>"8:59:33.935043"</f>
        <v>8:59:33.935043</v>
      </c>
      <c r="C5743">
        <v>-44</v>
      </c>
    </row>
    <row r="5744" spans="1:3" x14ac:dyDescent="0.25">
      <c r="A5744">
        <v>37</v>
      </c>
      <c r="B5744" t="str">
        <f>"8:59:33.935561"</f>
        <v>8:59:33.935561</v>
      </c>
      <c r="C5744">
        <v>-38</v>
      </c>
    </row>
    <row r="5745" spans="1:3" x14ac:dyDescent="0.25">
      <c r="A5745">
        <v>37</v>
      </c>
      <c r="B5745" t="str">
        <f>"8:59:33.935887"</f>
        <v>8:59:33.935887</v>
      </c>
      <c r="C5745">
        <v>-44</v>
      </c>
    </row>
    <row r="5746" spans="1:3" x14ac:dyDescent="0.25">
      <c r="A5746">
        <v>38</v>
      </c>
      <c r="B5746" t="str">
        <f>"8:59:33.936663"</f>
        <v>8:59:33.936663</v>
      </c>
      <c r="C5746">
        <v>-41</v>
      </c>
    </row>
    <row r="5747" spans="1:3" x14ac:dyDescent="0.25">
      <c r="A5747">
        <v>39</v>
      </c>
      <c r="B5747" t="str">
        <f>"8:59:33.937689"</f>
        <v>8:59:33.937689</v>
      </c>
      <c r="C5747">
        <v>-46</v>
      </c>
    </row>
    <row r="5748" spans="1:3" x14ac:dyDescent="0.25">
      <c r="A5748">
        <v>37</v>
      </c>
      <c r="B5748" t="str">
        <f>"8:59:34.290164"</f>
        <v>8:59:34.290164</v>
      </c>
      <c r="C5748">
        <v>-44</v>
      </c>
    </row>
    <row r="5749" spans="1:3" x14ac:dyDescent="0.25">
      <c r="A5749">
        <v>37</v>
      </c>
      <c r="B5749" t="str">
        <f>"8:59:34.290682"</f>
        <v>8:59:34.290682</v>
      </c>
      <c r="C5749">
        <v>-39</v>
      </c>
    </row>
    <row r="5750" spans="1:3" x14ac:dyDescent="0.25">
      <c r="A5750">
        <v>37</v>
      </c>
      <c r="B5750" t="str">
        <f>"8:59:34.291008"</f>
        <v>8:59:34.291008</v>
      </c>
      <c r="C5750">
        <v>-44</v>
      </c>
    </row>
    <row r="5751" spans="1:3" x14ac:dyDescent="0.25">
      <c r="A5751">
        <v>38</v>
      </c>
      <c r="B5751" t="str">
        <f>"8:59:34.291784"</f>
        <v>8:59:34.291784</v>
      </c>
      <c r="C5751">
        <v>-41</v>
      </c>
    </row>
    <row r="5752" spans="1:3" x14ac:dyDescent="0.25">
      <c r="A5752">
        <v>39</v>
      </c>
      <c r="B5752" t="str">
        <f>"8:59:34.292810"</f>
        <v>8:59:34.292810</v>
      </c>
      <c r="C5752">
        <v>-46</v>
      </c>
    </row>
    <row r="5753" spans="1:3" x14ac:dyDescent="0.25">
      <c r="A5753">
        <v>37</v>
      </c>
      <c r="B5753" t="str">
        <f>"8:59:34.645515"</f>
        <v>8:59:34.645515</v>
      </c>
      <c r="C5753">
        <v>-44</v>
      </c>
    </row>
    <row r="5754" spans="1:3" x14ac:dyDescent="0.25">
      <c r="A5754">
        <v>38</v>
      </c>
      <c r="B5754" t="str">
        <f>"8:59:34.646543"</f>
        <v>8:59:34.646543</v>
      </c>
      <c r="C5754">
        <v>-42</v>
      </c>
    </row>
    <row r="5755" spans="1:3" x14ac:dyDescent="0.25">
      <c r="A5755">
        <v>38</v>
      </c>
      <c r="B5755" t="str">
        <f>"8:59:34.647061"</f>
        <v>8:59:34.647061</v>
      </c>
      <c r="C5755">
        <v>-31</v>
      </c>
    </row>
    <row r="5756" spans="1:3" x14ac:dyDescent="0.25">
      <c r="A5756">
        <v>38</v>
      </c>
      <c r="B5756" t="str">
        <f>"8:59:34.647387"</f>
        <v>8:59:34.647387</v>
      </c>
      <c r="C5756">
        <v>-41</v>
      </c>
    </row>
    <row r="5757" spans="1:3" x14ac:dyDescent="0.25">
      <c r="A5757">
        <v>39</v>
      </c>
      <c r="B5757" t="str">
        <f>"8:59:34.648163"</f>
        <v>8:59:34.648163</v>
      </c>
      <c r="C5757">
        <v>-46</v>
      </c>
    </row>
    <row r="5758" spans="1:3" x14ac:dyDescent="0.25">
      <c r="A5758">
        <v>37</v>
      </c>
      <c r="B5758" t="str">
        <f>"8:59:34.996258"</f>
        <v>8:59:34.996258</v>
      </c>
      <c r="C5758">
        <v>-44</v>
      </c>
    </row>
    <row r="5759" spans="1:3" x14ac:dyDescent="0.25">
      <c r="A5759">
        <v>38</v>
      </c>
      <c r="B5759" t="str">
        <f>"8:59:34.997285"</f>
        <v>8:59:34.997285</v>
      </c>
      <c r="C5759">
        <v>-41</v>
      </c>
    </row>
    <row r="5760" spans="1:3" x14ac:dyDescent="0.25">
      <c r="A5760">
        <v>38</v>
      </c>
      <c r="B5760" t="str">
        <f>"8:59:34.997804"</f>
        <v>8:59:34.997804</v>
      </c>
      <c r="C5760">
        <v>-31</v>
      </c>
    </row>
    <row r="5761" spans="1:3" x14ac:dyDescent="0.25">
      <c r="A5761">
        <v>38</v>
      </c>
      <c r="B5761" t="str">
        <f>"8:59:34.998130"</f>
        <v>8:59:34.998130</v>
      </c>
      <c r="C5761">
        <v>-41</v>
      </c>
    </row>
    <row r="5762" spans="1:3" x14ac:dyDescent="0.25">
      <c r="A5762">
        <v>39</v>
      </c>
      <c r="B5762" t="str">
        <f>"8:59:34.998906"</f>
        <v>8:59:34.998906</v>
      </c>
      <c r="C5762">
        <v>-46</v>
      </c>
    </row>
    <row r="5763" spans="1:3" x14ac:dyDescent="0.25">
      <c r="A5763">
        <v>37</v>
      </c>
      <c r="B5763" t="str">
        <f>"8:59:35.346481"</f>
        <v>8:59:35.346481</v>
      </c>
      <c r="C5763">
        <v>-44</v>
      </c>
    </row>
    <row r="5764" spans="1:3" x14ac:dyDescent="0.25">
      <c r="A5764">
        <v>38</v>
      </c>
      <c r="B5764" t="str">
        <f>"8:59:35.347508"</f>
        <v>8:59:35.347508</v>
      </c>
      <c r="C5764">
        <v>-41</v>
      </c>
    </row>
    <row r="5765" spans="1:3" x14ac:dyDescent="0.25">
      <c r="A5765">
        <v>39</v>
      </c>
      <c r="B5765" t="str">
        <f>"8:59:35.348573"</f>
        <v>8:59:35.348573</v>
      </c>
      <c r="C5765">
        <v>-46</v>
      </c>
    </row>
    <row r="5766" spans="1:3" x14ac:dyDescent="0.25">
      <c r="A5766">
        <v>37</v>
      </c>
      <c r="B5766" t="str">
        <f>"8:59:35.703352"</f>
        <v>8:59:35.703352</v>
      </c>
      <c r="C5766">
        <v>-44</v>
      </c>
    </row>
    <row r="5767" spans="1:3" x14ac:dyDescent="0.25">
      <c r="A5767">
        <v>38</v>
      </c>
      <c r="B5767" t="str">
        <f>"8:59:35.704380"</f>
        <v>8:59:35.704380</v>
      </c>
      <c r="C5767">
        <v>-41</v>
      </c>
    </row>
    <row r="5768" spans="1:3" x14ac:dyDescent="0.25">
      <c r="A5768">
        <v>39</v>
      </c>
      <c r="B5768" t="str">
        <f>"8:59:35.705406"</f>
        <v>8:59:35.705406</v>
      </c>
      <c r="C5768">
        <v>-46</v>
      </c>
    </row>
    <row r="5769" spans="1:3" x14ac:dyDescent="0.25">
      <c r="A5769">
        <v>37</v>
      </c>
      <c r="B5769" t="str">
        <f>"8:59:36.056372"</f>
        <v>8:59:36.056372</v>
      </c>
      <c r="C5769">
        <v>-45</v>
      </c>
    </row>
    <row r="5770" spans="1:3" x14ac:dyDescent="0.25">
      <c r="A5770">
        <v>38</v>
      </c>
      <c r="B5770" t="str">
        <f>"8:59:36.057399"</f>
        <v>8:59:36.057399</v>
      </c>
      <c r="C5770">
        <v>-41</v>
      </c>
    </row>
    <row r="5771" spans="1:3" x14ac:dyDescent="0.25">
      <c r="A5771">
        <v>39</v>
      </c>
      <c r="B5771" t="str">
        <f>"8:59:36.058425"</f>
        <v>8:59:36.058425</v>
      </c>
      <c r="C5771">
        <v>-46</v>
      </c>
    </row>
    <row r="5772" spans="1:3" x14ac:dyDescent="0.25">
      <c r="A5772">
        <v>37</v>
      </c>
      <c r="B5772" t="str">
        <f>"8:59:36.408410"</f>
        <v>8:59:36.408410</v>
      </c>
      <c r="C5772">
        <v>-44</v>
      </c>
    </row>
    <row r="5773" spans="1:3" x14ac:dyDescent="0.25">
      <c r="A5773">
        <v>38</v>
      </c>
      <c r="B5773" t="str">
        <f>"8:59:36.409438"</f>
        <v>8:59:36.409438</v>
      </c>
      <c r="C5773">
        <v>-41</v>
      </c>
    </row>
    <row r="5774" spans="1:3" x14ac:dyDescent="0.25">
      <c r="A5774">
        <v>39</v>
      </c>
      <c r="B5774" t="str">
        <f>"8:59:36.410464"</f>
        <v>8:59:36.410464</v>
      </c>
      <c r="C5774">
        <v>-46</v>
      </c>
    </row>
    <row r="5775" spans="1:3" x14ac:dyDescent="0.25">
      <c r="A5775">
        <v>37</v>
      </c>
      <c r="B5775" t="str">
        <f>"8:59:36.766038"</f>
        <v>8:59:36.766038</v>
      </c>
      <c r="C5775">
        <v>-45</v>
      </c>
    </row>
    <row r="5776" spans="1:3" x14ac:dyDescent="0.25">
      <c r="A5776">
        <v>38</v>
      </c>
      <c r="B5776" t="str">
        <f>"8:59:36.767065"</f>
        <v>8:59:36.767065</v>
      </c>
      <c r="C5776">
        <v>-41</v>
      </c>
    </row>
    <row r="5777" spans="1:3" x14ac:dyDescent="0.25">
      <c r="A5777">
        <v>38</v>
      </c>
      <c r="B5777" t="str">
        <f>"8:59:36.767584"</f>
        <v>8:59:36.767584</v>
      </c>
      <c r="C5777">
        <v>-31</v>
      </c>
    </row>
    <row r="5778" spans="1:3" x14ac:dyDescent="0.25">
      <c r="A5778">
        <v>38</v>
      </c>
      <c r="B5778" t="str">
        <f>"8:59:36.767910"</f>
        <v>8:59:36.767910</v>
      </c>
      <c r="C5778">
        <v>-41</v>
      </c>
    </row>
    <row r="5779" spans="1:3" x14ac:dyDescent="0.25">
      <c r="A5779">
        <v>39</v>
      </c>
      <c r="B5779" t="str">
        <f>"8:59:36.768686"</f>
        <v>8:59:36.768686</v>
      </c>
      <c r="C5779">
        <v>-46</v>
      </c>
    </row>
    <row r="5780" spans="1:3" x14ac:dyDescent="0.25">
      <c r="A5780">
        <v>37</v>
      </c>
      <c r="B5780" t="str">
        <f>"8:59:37.125013"</f>
        <v>8:59:37.125013</v>
      </c>
      <c r="C5780">
        <v>-44</v>
      </c>
    </row>
    <row r="5781" spans="1:3" x14ac:dyDescent="0.25">
      <c r="A5781">
        <v>38</v>
      </c>
      <c r="B5781" t="str">
        <f>"8:59:37.126040"</f>
        <v>8:59:37.126040</v>
      </c>
      <c r="C5781">
        <v>-41</v>
      </c>
    </row>
    <row r="5782" spans="1:3" x14ac:dyDescent="0.25">
      <c r="A5782">
        <v>38</v>
      </c>
      <c r="B5782" t="str">
        <f>"8:59:37.126559"</f>
        <v>8:59:37.126559</v>
      </c>
      <c r="C5782">
        <v>-31</v>
      </c>
    </row>
    <row r="5783" spans="1:3" x14ac:dyDescent="0.25">
      <c r="A5783">
        <v>38</v>
      </c>
      <c r="B5783" t="str">
        <f>"8:59:37.126884"</f>
        <v>8:59:37.126884</v>
      </c>
      <c r="C5783">
        <v>-41</v>
      </c>
    </row>
    <row r="5784" spans="1:3" x14ac:dyDescent="0.25">
      <c r="A5784">
        <v>39</v>
      </c>
      <c r="B5784" t="str">
        <f>"8:59:37.127660"</f>
        <v>8:59:37.127660</v>
      </c>
      <c r="C5784">
        <v>-46</v>
      </c>
    </row>
    <row r="5785" spans="1:3" x14ac:dyDescent="0.25">
      <c r="A5785">
        <v>37</v>
      </c>
      <c r="B5785" t="str">
        <f>"8:59:37.478098"</f>
        <v>8:59:37.478098</v>
      </c>
      <c r="C5785">
        <v>-44</v>
      </c>
    </row>
    <row r="5786" spans="1:3" x14ac:dyDescent="0.25">
      <c r="A5786">
        <v>38</v>
      </c>
      <c r="B5786" t="str">
        <f>"8:59:37.479125"</f>
        <v>8:59:37.479125</v>
      </c>
      <c r="C5786">
        <v>-41</v>
      </c>
    </row>
    <row r="5787" spans="1:3" x14ac:dyDescent="0.25">
      <c r="A5787">
        <v>38</v>
      </c>
      <c r="B5787" t="str">
        <f>"8:59:37.479644"</f>
        <v>8:59:37.479644</v>
      </c>
      <c r="C5787">
        <v>-31</v>
      </c>
    </row>
    <row r="5788" spans="1:3" x14ac:dyDescent="0.25">
      <c r="A5788">
        <v>38</v>
      </c>
      <c r="B5788" t="str">
        <f>"8:59:37.479970"</f>
        <v>8:59:37.479970</v>
      </c>
      <c r="C5788">
        <v>-41</v>
      </c>
    </row>
    <row r="5789" spans="1:3" x14ac:dyDescent="0.25">
      <c r="A5789">
        <v>39</v>
      </c>
      <c r="B5789" t="str">
        <f>"8:59:37.480745"</f>
        <v>8:59:37.480745</v>
      </c>
      <c r="C5789">
        <v>-46</v>
      </c>
    </row>
    <row r="5790" spans="1:3" x14ac:dyDescent="0.25">
      <c r="A5790">
        <v>37</v>
      </c>
      <c r="B5790" t="str">
        <f>"8:59:37.832205"</f>
        <v>8:59:37.832205</v>
      </c>
      <c r="C5790">
        <v>-45</v>
      </c>
    </row>
    <row r="5791" spans="1:3" x14ac:dyDescent="0.25">
      <c r="A5791">
        <v>38</v>
      </c>
      <c r="B5791" t="str">
        <f>"8:59:37.833232"</f>
        <v>8:59:37.833232</v>
      </c>
      <c r="C5791">
        <v>-41</v>
      </c>
    </row>
    <row r="5792" spans="1:3" x14ac:dyDescent="0.25">
      <c r="A5792">
        <v>38</v>
      </c>
      <c r="B5792" t="str">
        <f>"8:59:37.833751"</f>
        <v>8:59:37.833751</v>
      </c>
      <c r="C5792">
        <v>-31</v>
      </c>
    </row>
    <row r="5793" spans="1:3" x14ac:dyDescent="0.25">
      <c r="A5793">
        <v>38</v>
      </c>
      <c r="B5793" t="str">
        <f>"8:59:37.834077"</f>
        <v>8:59:37.834077</v>
      </c>
      <c r="C5793">
        <v>-41</v>
      </c>
    </row>
    <row r="5794" spans="1:3" x14ac:dyDescent="0.25">
      <c r="A5794">
        <v>39</v>
      </c>
      <c r="B5794" t="str">
        <f>"8:59:37.834853"</f>
        <v>8:59:37.834853</v>
      </c>
      <c r="C5794">
        <v>-46</v>
      </c>
    </row>
    <row r="5795" spans="1:3" x14ac:dyDescent="0.25">
      <c r="A5795">
        <v>37</v>
      </c>
      <c r="B5795" t="str">
        <f>"8:59:38.188121"</f>
        <v>8:59:38.188121</v>
      </c>
      <c r="C5795">
        <v>-44</v>
      </c>
    </row>
    <row r="5796" spans="1:3" x14ac:dyDescent="0.25">
      <c r="A5796">
        <v>37</v>
      </c>
      <c r="B5796" t="str">
        <f>"8:59:38.188640"</f>
        <v>8:59:38.188640</v>
      </c>
      <c r="C5796">
        <v>-84</v>
      </c>
    </row>
    <row r="5797" spans="1:3" x14ac:dyDescent="0.25">
      <c r="A5797">
        <v>37</v>
      </c>
      <c r="B5797" t="str">
        <f>"8:59:38.188966"</f>
        <v>8:59:38.188966</v>
      </c>
      <c r="C5797">
        <v>-44</v>
      </c>
    </row>
    <row r="5798" spans="1:3" x14ac:dyDescent="0.25">
      <c r="A5798">
        <v>38</v>
      </c>
      <c r="B5798" t="str">
        <f>"8:59:38.189742"</f>
        <v>8:59:38.189742</v>
      </c>
      <c r="C5798">
        <v>-41</v>
      </c>
    </row>
    <row r="5799" spans="1:3" x14ac:dyDescent="0.25">
      <c r="A5799">
        <v>38</v>
      </c>
      <c r="B5799" t="str">
        <f>"8:59:38.190261"</f>
        <v>8:59:38.190261</v>
      </c>
      <c r="C5799">
        <v>-31</v>
      </c>
    </row>
    <row r="5800" spans="1:3" x14ac:dyDescent="0.25">
      <c r="A5800">
        <v>38</v>
      </c>
      <c r="B5800" t="str">
        <f>"8:59:38.190588"</f>
        <v>8:59:38.190588</v>
      </c>
      <c r="C5800">
        <v>-41</v>
      </c>
    </row>
    <row r="5801" spans="1:3" x14ac:dyDescent="0.25">
      <c r="A5801">
        <v>39</v>
      </c>
      <c r="B5801" t="str">
        <f>"8:59:38.191364"</f>
        <v>8:59:38.191364</v>
      </c>
      <c r="C5801">
        <v>-46</v>
      </c>
    </row>
    <row r="5802" spans="1:3" x14ac:dyDescent="0.25">
      <c r="A5802">
        <v>37</v>
      </c>
      <c r="B5802" t="str">
        <f>"8:59:38.547622"</f>
        <v>8:59:38.547622</v>
      </c>
      <c r="C5802">
        <v>-44</v>
      </c>
    </row>
    <row r="5803" spans="1:3" x14ac:dyDescent="0.25">
      <c r="A5803">
        <v>38</v>
      </c>
      <c r="B5803" t="str">
        <f>"8:59:38.548650"</f>
        <v>8:59:38.548650</v>
      </c>
      <c r="C5803">
        <v>-41</v>
      </c>
    </row>
    <row r="5804" spans="1:3" x14ac:dyDescent="0.25">
      <c r="A5804">
        <v>38</v>
      </c>
      <c r="B5804" t="str">
        <f>"8:59:38.549168"</f>
        <v>8:59:38.549168</v>
      </c>
      <c r="C5804">
        <v>-31</v>
      </c>
    </row>
    <row r="5805" spans="1:3" x14ac:dyDescent="0.25">
      <c r="A5805">
        <v>38</v>
      </c>
      <c r="B5805" t="str">
        <f>"8:59:38.549495"</f>
        <v>8:59:38.549495</v>
      </c>
      <c r="C5805">
        <v>-41</v>
      </c>
    </row>
    <row r="5806" spans="1:3" x14ac:dyDescent="0.25">
      <c r="A5806">
        <v>39</v>
      </c>
      <c r="B5806" t="str">
        <f>"8:59:38.550271"</f>
        <v>8:59:38.550271</v>
      </c>
      <c r="C5806">
        <v>-45</v>
      </c>
    </row>
    <row r="5807" spans="1:3" x14ac:dyDescent="0.25">
      <c r="A5807">
        <v>39</v>
      </c>
      <c r="B5807" t="str">
        <f>"8:59:38.550790"</f>
        <v>8:59:38.550790</v>
      </c>
      <c r="C5807">
        <v>-75</v>
      </c>
    </row>
    <row r="5808" spans="1:3" x14ac:dyDescent="0.25">
      <c r="A5808">
        <v>39</v>
      </c>
      <c r="B5808" t="str">
        <f>"8:59:38.551116"</f>
        <v>8:59:38.551116</v>
      </c>
      <c r="C5808">
        <v>-45</v>
      </c>
    </row>
    <row r="5809" spans="1:3" x14ac:dyDescent="0.25">
      <c r="A5809">
        <v>37</v>
      </c>
      <c r="B5809" t="str">
        <f>"8:59:38.898166"</f>
        <v>8:59:38.898166</v>
      </c>
      <c r="C5809">
        <v>-44</v>
      </c>
    </row>
    <row r="5810" spans="1:3" x14ac:dyDescent="0.25">
      <c r="A5810">
        <v>38</v>
      </c>
      <c r="B5810" t="str">
        <f>"8:59:38.899193"</f>
        <v>8:59:38.899193</v>
      </c>
      <c r="C5810">
        <v>-41</v>
      </c>
    </row>
    <row r="5811" spans="1:3" x14ac:dyDescent="0.25">
      <c r="A5811">
        <v>38</v>
      </c>
      <c r="B5811" t="str">
        <f>"8:59:38.899712"</f>
        <v>8:59:38.899712</v>
      </c>
      <c r="C5811">
        <v>-31</v>
      </c>
    </row>
    <row r="5812" spans="1:3" x14ac:dyDescent="0.25">
      <c r="A5812">
        <v>38</v>
      </c>
      <c r="B5812" t="str">
        <f>"8:59:38.900037"</f>
        <v>8:59:38.900037</v>
      </c>
      <c r="C5812">
        <v>-41</v>
      </c>
    </row>
    <row r="5813" spans="1:3" x14ac:dyDescent="0.25">
      <c r="A5813">
        <v>39</v>
      </c>
      <c r="B5813" t="str">
        <f>"8:59:38.900813"</f>
        <v>8:59:38.900813</v>
      </c>
      <c r="C5813">
        <v>-45</v>
      </c>
    </row>
    <row r="5814" spans="1:3" x14ac:dyDescent="0.25">
      <c r="A5814">
        <v>37</v>
      </c>
      <c r="B5814" t="str">
        <f>"8:59:39.250487"</f>
        <v>8:59:39.250487</v>
      </c>
      <c r="C5814">
        <v>-44</v>
      </c>
    </row>
    <row r="5815" spans="1:3" x14ac:dyDescent="0.25">
      <c r="A5815">
        <v>38</v>
      </c>
      <c r="B5815" t="str">
        <f>"8:59:39.251514"</f>
        <v>8:59:39.251514</v>
      </c>
      <c r="C5815">
        <v>-41</v>
      </c>
    </row>
    <row r="5816" spans="1:3" x14ac:dyDescent="0.25">
      <c r="A5816">
        <v>38</v>
      </c>
      <c r="B5816" t="str">
        <f>"8:59:39.252033"</f>
        <v>8:59:39.252033</v>
      </c>
      <c r="C5816">
        <v>-31</v>
      </c>
    </row>
    <row r="5817" spans="1:3" x14ac:dyDescent="0.25">
      <c r="A5817">
        <v>38</v>
      </c>
      <c r="B5817" t="str">
        <f>"8:59:39.252359"</f>
        <v>8:59:39.252359</v>
      </c>
      <c r="C5817">
        <v>-41</v>
      </c>
    </row>
    <row r="5818" spans="1:3" x14ac:dyDescent="0.25">
      <c r="A5818">
        <v>39</v>
      </c>
      <c r="B5818" t="str">
        <f>"8:59:39.253135"</f>
        <v>8:59:39.253135</v>
      </c>
      <c r="C5818">
        <v>-46</v>
      </c>
    </row>
    <row r="5819" spans="1:3" x14ac:dyDescent="0.25">
      <c r="A5819">
        <v>37</v>
      </c>
      <c r="B5819" t="str">
        <f>"8:59:39.609160"</f>
        <v>8:59:39.609160</v>
      </c>
      <c r="C5819">
        <v>-44</v>
      </c>
    </row>
    <row r="5820" spans="1:3" x14ac:dyDescent="0.25">
      <c r="A5820">
        <v>37</v>
      </c>
      <c r="B5820" t="str">
        <f>"8:59:39.609678"</f>
        <v>8:59:39.609678</v>
      </c>
      <c r="C5820">
        <v>-80</v>
      </c>
    </row>
    <row r="5821" spans="1:3" x14ac:dyDescent="0.25">
      <c r="A5821">
        <v>37</v>
      </c>
      <c r="B5821" t="str">
        <f>"8:59:39.610004"</f>
        <v>8:59:39.610004</v>
      </c>
      <c r="C5821">
        <v>-44</v>
      </c>
    </row>
    <row r="5822" spans="1:3" x14ac:dyDescent="0.25">
      <c r="A5822">
        <v>38</v>
      </c>
      <c r="B5822" t="str">
        <f>"8:59:39.610780"</f>
        <v>8:59:39.610780</v>
      </c>
      <c r="C5822">
        <v>-41</v>
      </c>
    </row>
    <row r="5823" spans="1:3" x14ac:dyDescent="0.25">
      <c r="A5823">
        <v>39</v>
      </c>
      <c r="B5823" t="str">
        <f>"8:59:39.611806"</f>
        <v>8:59:39.611806</v>
      </c>
      <c r="C5823">
        <v>-46</v>
      </c>
    </row>
    <row r="5824" spans="1:3" x14ac:dyDescent="0.25">
      <c r="A5824">
        <v>39</v>
      </c>
      <c r="B5824" t="str">
        <f>"8:59:39.612325"</f>
        <v>8:59:39.612325</v>
      </c>
      <c r="C5824">
        <v>-31</v>
      </c>
    </row>
    <row r="5825" spans="1:3" x14ac:dyDescent="0.25">
      <c r="A5825">
        <v>39</v>
      </c>
      <c r="B5825" t="str">
        <f>"8:59:39.612651"</f>
        <v>8:59:39.612651</v>
      </c>
      <c r="C5825">
        <v>-45</v>
      </c>
    </row>
    <row r="5826" spans="1:3" x14ac:dyDescent="0.25">
      <c r="A5826">
        <v>37</v>
      </c>
      <c r="B5826" t="str">
        <f>"8:59:39.966565"</f>
        <v>8:59:39.966565</v>
      </c>
      <c r="C5826">
        <v>-44</v>
      </c>
    </row>
    <row r="5827" spans="1:3" x14ac:dyDescent="0.25">
      <c r="A5827">
        <v>38</v>
      </c>
      <c r="B5827" t="str">
        <f>"8:59:39.967593"</f>
        <v>8:59:39.967593</v>
      </c>
      <c r="C5827">
        <v>-41</v>
      </c>
    </row>
    <row r="5828" spans="1:3" x14ac:dyDescent="0.25">
      <c r="A5828">
        <v>39</v>
      </c>
      <c r="B5828" t="str">
        <f>"8:59:39.968619"</f>
        <v>8:59:39.968619</v>
      </c>
      <c r="C5828">
        <v>-45</v>
      </c>
    </row>
    <row r="5829" spans="1:3" x14ac:dyDescent="0.25">
      <c r="A5829">
        <v>39</v>
      </c>
      <c r="B5829" t="str">
        <f>"8:59:39.969137"</f>
        <v>8:59:39.969137</v>
      </c>
      <c r="C5829">
        <v>-31</v>
      </c>
    </row>
    <row r="5830" spans="1:3" x14ac:dyDescent="0.25">
      <c r="A5830">
        <v>39</v>
      </c>
      <c r="B5830" t="str">
        <f>"8:59:39.969463"</f>
        <v>8:59:39.969463</v>
      </c>
      <c r="C5830">
        <v>-45</v>
      </c>
    </row>
    <row r="5831" spans="1:3" x14ac:dyDescent="0.25">
      <c r="A5831">
        <v>37</v>
      </c>
      <c r="B5831" t="str">
        <f>"8:59:40.325817"</f>
        <v>8:59:40.325817</v>
      </c>
      <c r="C5831">
        <v>-44</v>
      </c>
    </row>
    <row r="5832" spans="1:3" x14ac:dyDescent="0.25">
      <c r="A5832">
        <v>38</v>
      </c>
      <c r="B5832" t="str">
        <f>"8:59:40.326845"</f>
        <v>8:59:40.326845</v>
      </c>
      <c r="C5832">
        <v>-41</v>
      </c>
    </row>
    <row r="5833" spans="1:3" x14ac:dyDescent="0.25">
      <c r="A5833">
        <v>39</v>
      </c>
      <c r="B5833" t="str">
        <f>"8:59:40.327871"</f>
        <v>8:59:40.327871</v>
      </c>
      <c r="C5833">
        <v>-46</v>
      </c>
    </row>
    <row r="5834" spans="1:3" x14ac:dyDescent="0.25">
      <c r="A5834">
        <v>39</v>
      </c>
      <c r="B5834" t="str">
        <f>"8:59:40.328389"</f>
        <v>8:59:40.328389</v>
      </c>
      <c r="C5834">
        <v>-31</v>
      </c>
    </row>
    <row r="5835" spans="1:3" x14ac:dyDescent="0.25">
      <c r="A5835">
        <v>39</v>
      </c>
      <c r="B5835" t="str">
        <f>"8:59:40.328715"</f>
        <v>8:59:40.328715</v>
      </c>
      <c r="C5835">
        <v>-45</v>
      </c>
    </row>
    <row r="5836" spans="1:3" x14ac:dyDescent="0.25">
      <c r="A5836">
        <v>37</v>
      </c>
      <c r="B5836" t="str">
        <f>"8:59:40.685023"</f>
        <v>8:59:40.685023</v>
      </c>
      <c r="C5836">
        <v>-44</v>
      </c>
    </row>
    <row r="5837" spans="1:3" x14ac:dyDescent="0.25">
      <c r="A5837">
        <v>38</v>
      </c>
      <c r="B5837" t="str">
        <f>"8:59:40.686050"</f>
        <v>8:59:40.686050</v>
      </c>
      <c r="C5837">
        <v>-41</v>
      </c>
    </row>
    <row r="5838" spans="1:3" x14ac:dyDescent="0.25">
      <c r="A5838">
        <v>39</v>
      </c>
      <c r="B5838" t="str">
        <f>"8:59:40.687077"</f>
        <v>8:59:40.687077</v>
      </c>
      <c r="C5838">
        <v>-46</v>
      </c>
    </row>
    <row r="5839" spans="1:3" x14ac:dyDescent="0.25">
      <c r="A5839">
        <v>39</v>
      </c>
      <c r="B5839" t="str">
        <f>"8:59:40.687595"</f>
        <v>8:59:40.687595</v>
      </c>
      <c r="C5839">
        <v>-31</v>
      </c>
    </row>
    <row r="5840" spans="1:3" x14ac:dyDescent="0.25">
      <c r="A5840">
        <v>39</v>
      </c>
      <c r="B5840" t="str">
        <f>"8:59:40.687922"</f>
        <v>8:59:40.687922</v>
      </c>
      <c r="C5840">
        <v>-45</v>
      </c>
    </row>
    <row r="5841" spans="1:3" x14ac:dyDescent="0.25">
      <c r="A5841">
        <v>37</v>
      </c>
      <c r="B5841" t="str">
        <f>"8:59:41.040682"</f>
        <v>8:59:41.040682</v>
      </c>
      <c r="C5841">
        <v>-44</v>
      </c>
    </row>
    <row r="5842" spans="1:3" x14ac:dyDescent="0.25">
      <c r="A5842">
        <v>38</v>
      </c>
      <c r="B5842" t="str">
        <f>"8:59:41.041710"</f>
        <v>8:59:41.041710</v>
      </c>
      <c r="C5842">
        <v>-41</v>
      </c>
    </row>
    <row r="5843" spans="1:3" x14ac:dyDescent="0.25">
      <c r="A5843">
        <v>39</v>
      </c>
      <c r="B5843" t="str">
        <f>"8:59:41.042736"</f>
        <v>8:59:41.042736</v>
      </c>
      <c r="C5843">
        <v>-46</v>
      </c>
    </row>
    <row r="5844" spans="1:3" x14ac:dyDescent="0.25">
      <c r="A5844">
        <v>39</v>
      </c>
      <c r="B5844" t="str">
        <f>"8:59:41.043254"</f>
        <v>8:59:41.043254</v>
      </c>
      <c r="C5844">
        <v>-31</v>
      </c>
    </row>
    <row r="5845" spans="1:3" x14ac:dyDescent="0.25">
      <c r="A5845">
        <v>39</v>
      </c>
      <c r="B5845" t="str">
        <f>"8:59:41.043580"</f>
        <v>8:59:41.043580</v>
      </c>
      <c r="C5845">
        <v>-45</v>
      </c>
    </row>
    <row r="5846" spans="1:3" x14ac:dyDescent="0.25">
      <c r="A5846">
        <v>37</v>
      </c>
      <c r="B5846" t="str">
        <f>"8:59:41.398647"</f>
        <v>8:59:41.398647</v>
      </c>
      <c r="C5846">
        <v>-44</v>
      </c>
    </row>
    <row r="5847" spans="1:3" x14ac:dyDescent="0.25">
      <c r="A5847">
        <v>38</v>
      </c>
      <c r="B5847" t="str">
        <f>"8:59:41.399674"</f>
        <v>8:59:41.399674</v>
      </c>
      <c r="C5847">
        <v>-41</v>
      </c>
    </row>
    <row r="5848" spans="1:3" x14ac:dyDescent="0.25">
      <c r="A5848">
        <v>39</v>
      </c>
      <c r="B5848" t="str">
        <f>"8:59:41.400700"</f>
        <v>8:59:41.400700</v>
      </c>
      <c r="C5848">
        <v>-46</v>
      </c>
    </row>
    <row r="5849" spans="1:3" x14ac:dyDescent="0.25">
      <c r="A5849">
        <v>37</v>
      </c>
      <c r="B5849" t="str">
        <f>"8:59:41.757890"</f>
        <v>8:59:41.757890</v>
      </c>
      <c r="C5849">
        <v>-44</v>
      </c>
    </row>
    <row r="5850" spans="1:3" x14ac:dyDescent="0.25">
      <c r="A5850">
        <v>38</v>
      </c>
      <c r="B5850" t="str">
        <f>"8:59:41.758917"</f>
        <v>8:59:41.758917</v>
      </c>
      <c r="C5850">
        <v>-41</v>
      </c>
    </row>
    <row r="5851" spans="1:3" x14ac:dyDescent="0.25">
      <c r="A5851">
        <v>39</v>
      </c>
      <c r="B5851" t="str">
        <f>"8:59:41.759943"</f>
        <v>8:59:41.759943</v>
      </c>
      <c r="C5851">
        <v>-46</v>
      </c>
    </row>
    <row r="5852" spans="1:3" x14ac:dyDescent="0.25">
      <c r="A5852">
        <v>39</v>
      </c>
      <c r="B5852" t="str">
        <f>"8:59:41.760462"</f>
        <v>8:59:41.760462</v>
      </c>
      <c r="C5852">
        <v>-31</v>
      </c>
    </row>
    <row r="5853" spans="1:3" x14ac:dyDescent="0.25">
      <c r="A5853">
        <v>39</v>
      </c>
      <c r="B5853" t="str">
        <f>"8:59:41.760787"</f>
        <v>8:59:41.760787</v>
      </c>
      <c r="C5853">
        <v>-45</v>
      </c>
    </row>
    <row r="5854" spans="1:3" x14ac:dyDescent="0.25">
      <c r="A5854">
        <v>37</v>
      </c>
      <c r="B5854" t="str">
        <f>"8:59:42.109204"</f>
        <v>8:59:42.109204</v>
      </c>
      <c r="C5854">
        <v>-44</v>
      </c>
    </row>
    <row r="5855" spans="1:3" x14ac:dyDescent="0.25">
      <c r="A5855">
        <v>38</v>
      </c>
      <c r="B5855" t="str">
        <f>"8:59:42.110231"</f>
        <v>8:59:42.110231</v>
      </c>
      <c r="C5855">
        <v>-41</v>
      </c>
    </row>
    <row r="5856" spans="1:3" x14ac:dyDescent="0.25">
      <c r="A5856">
        <v>39</v>
      </c>
      <c r="B5856" t="str">
        <f>"8:59:42.111257"</f>
        <v>8:59:42.111257</v>
      </c>
      <c r="C5856">
        <v>-46</v>
      </c>
    </row>
    <row r="5857" spans="1:3" x14ac:dyDescent="0.25">
      <c r="A5857">
        <v>39</v>
      </c>
      <c r="B5857" t="str">
        <f>"8:59:42.111776"</f>
        <v>8:59:42.111776</v>
      </c>
      <c r="C5857">
        <v>-31</v>
      </c>
    </row>
    <row r="5858" spans="1:3" x14ac:dyDescent="0.25">
      <c r="A5858">
        <v>39</v>
      </c>
      <c r="B5858" t="str">
        <f>"8:59:42.112101"</f>
        <v>8:59:42.112101</v>
      </c>
      <c r="C5858">
        <v>-45</v>
      </c>
    </row>
    <row r="5859" spans="1:3" x14ac:dyDescent="0.25">
      <c r="A5859">
        <v>37</v>
      </c>
      <c r="B5859" t="str">
        <f>"8:59:42.465095"</f>
        <v>8:59:42.465095</v>
      </c>
      <c r="C5859">
        <v>-44</v>
      </c>
    </row>
    <row r="5860" spans="1:3" x14ac:dyDescent="0.25">
      <c r="A5860">
        <v>38</v>
      </c>
      <c r="B5860" t="str">
        <f>"8:59:42.466122"</f>
        <v>8:59:42.466122</v>
      </c>
      <c r="C5860">
        <v>-41</v>
      </c>
    </row>
    <row r="5861" spans="1:3" x14ac:dyDescent="0.25">
      <c r="A5861">
        <v>39</v>
      </c>
      <c r="B5861" t="str">
        <f>"8:59:42.467148"</f>
        <v>8:59:42.467148</v>
      </c>
      <c r="C5861">
        <v>-46</v>
      </c>
    </row>
    <row r="5862" spans="1:3" x14ac:dyDescent="0.25">
      <c r="A5862">
        <v>39</v>
      </c>
      <c r="B5862" t="str">
        <f>"8:59:42.467667"</f>
        <v>8:59:42.467667</v>
      </c>
      <c r="C5862">
        <v>-31</v>
      </c>
    </row>
    <row r="5863" spans="1:3" x14ac:dyDescent="0.25">
      <c r="A5863">
        <v>39</v>
      </c>
      <c r="B5863" t="str">
        <f>"8:59:42.467992"</f>
        <v>8:59:42.467992</v>
      </c>
      <c r="C5863">
        <v>-45</v>
      </c>
    </row>
    <row r="5864" spans="1:3" x14ac:dyDescent="0.25">
      <c r="A5864">
        <v>37</v>
      </c>
      <c r="B5864" t="str">
        <f>"8:59:42.817358"</f>
        <v>8:59:42.817358</v>
      </c>
      <c r="C5864">
        <v>-44</v>
      </c>
    </row>
    <row r="5865" spans="1:3" x14ac:dyDescent="0.25">
      <c r="A5865">
        <v>38</v>
      </c>
      <c r="B5865" t="str">
        <f>"8:59:42.818386"</f>
        <v>8:59:42.818386</v>
      </c>
      <c r="C5865">
        <v>-41</v>
      </c>
    </row>
    <row r="5866" spans="1:3" x14ac:dyDescent="0.25">
      <c r="A5866">
        <v>39</v>
      </c>
      <c r="B5866" t="str">
        <f>"8:59:42.819412"</f>
        <v>8:59:42.819412</v>
      </c>
      <c r="C5866">
        <v>-45</v>
      </c>
    </row>
    <row r="5867" spans="1:3" x14ac:dyDescent="0.25">
      <c r="A5867">
        <v>39</v>
      </c>
      <c r="B5867" t="str">
        <f>"8:59:42.819930"</f>
        <v>8:59:42.819930</v>
      </c>
      <c r="C5867">
        <v>-31</v>
      </c>
    </row>
    <row r="5868" spans="1:3" x14ac:dyDescent="0.25">
      <c r="A5868">
        <v>39</v>
      </c>
      <c r="B5868" t="str">
        <f>"8:59:42.820256"</f>
        <v>8:59:42.820256</v>
      </c>
      <c r="C5868">
        <v>-45</v>
      </c>
    </row>
    <row r="5869" spans="1:3" x14ac:dyDescent="0.25">
      <c r="A5869">
        <v>37</v>
      </c>
      <c r="B5869" t="str">
        <f>"8:59:43.171206"</f>
        <v>8:59:43.171206</v>
      </c>
      <c r="C5869">
        <v>-44</v>
      </c>
    </row>
    <row r="5870" spans="1:3" x14ac:dyDescent="0.25">
      <c r="A5870">
        <v>38</v>
      </c>
      <c r="B5870" t="str">
        <f>"8:59:43.172233"</f>
        <v>8:59:43.172233</v>
      </c>
      <c r="C5870">
        <v>-41</v>
      </c>
    </row>
    <row r="5871" spans="1:3" x14ac:dyDescent="0.25">
      <c r="A5871">
        <v>39</v>
      </c>
      <c r="B5871" t="str">
        <f>"8:59:43.173259"</f>
        <v>8:59:43.173259</v>
      </c>
      <c r="C5871">
        <v>-45</v>
      </c>
    </row>
    <row r="5872" spans="1:3" x14ac:dyDescent="0.25">
      <c r="A5872">
        <v>39</v>
      </c>
      <c r="B5872" t="str">
        <f>"8:59:43.173778"</f>
        <v>8:59:43.173778</v>
      </c>
      <c r="C5872">
        <v>-31</v>
      </c>
    </row>
    <row r="5873" spans="1:3" x14ac:dyDescent="0.25">
      <c r="A5873">
        <v>39</v>
      </c>
      <c r="B5873" t="str">
        <f>"8:59:43.174104"</f>
        <v>8:59:43.174104</v>
      </c>
      <c r="C5873">
        <v>-45</v>
      </c>
    </row>
    <row r="5874" spans="1:3" x14ac:dyDescent="0.25">
      <c r="A5874">
        <v>37</v>
      </c>
      <c r="B5874" t="str">
        <f>"8:59:43.526298"</f>
        <v>8:59:43.526298</v>
      </c>
      <c r="C5874">
        <v>-44</v>
      </c>
    </row>
    <row r="5875" spans="1:3" x14ac:dyDescent="0.25">
      <c r="A5875">
        <v>38</v>
      </c>
      <c r="B5875" t="str">
        <f>"8:59:43.527326"</f>
        <v>8:59:43.527326</v>
      </c>
      <c r="C5875">
        <v>-41</v>
      </c>
    </row>
    <row r="5876" spans="1:3" x14ac:dyDescent="0.25">
      <c r="A5876">
        <v>39</v>
      </c>
      <c r="B5876" t="str">
        <f>"8:59:43.528352"</f>
        <v>8:59:43.528352</v>
      </c>
      <c r="C5876">
        <v>-46</v>
      </c>
    </row>
    <row r="5877" spans="1:3" x14ac:dyDescent="0.25">
      <c r="A5877">
        <v>37</v>
      </c>
      <c r="B5877" t="str">
        <f>"8:59:43.886318"</f>
        <v>8:59:43.886318</v>
      </c>
      <c r="C5877">
        <v>-44</v>
      </c>
    </row>
    <row r="5878" spans="1:3" x14ac:dyDescent="0.25">
      <c r="A5878">
        <v>38</v>
      </c>
      <c r="B5878" t="str">
        <f>"8:59:43.887345"</f>
        <v>8:59:43.887345</v>
      </c>
      <c r="C5878">
        <v>-41</v>
      </c>
    </row>
    <row r="5879" spans="1:3" x14ac:dyDescent="0.25">
      <c r="A5879">
        <v>39</v>
      </c>
      <c r="B5879" t="str">
        <f>"8:59:43.888371"</f>
        <v>8:59:43.888371</v>
      </c>
      <c r="C5879">
        <v>-46</v>
      </c>
    </row>
    <row r="5880" spans="1:3" x14ac:dyDescent="0.25">
      <c r="A5880">
        <v>39</v>
      </c>
      <c r="B5880" t="str">
        <f>"8:59:43.888889"</f>
        <v>8:59:43.888889</v>
      </c>
      <c r="C5880">
        <v>-31</v>
      </c>
    </row>
    <row r="5881" spans="1:3" x14ac:dyDescent="0.25">
      <c r="A5881">
        <v>39</v>
      </c>
      <c r="B5881" t="str">
        <f>"8:59:43.889215"</f>
        <v>8:59:43.889215</v>
      </c>
      <c r="C5881">
        <v>-45</v>
      </c>
    </row>
    <row r="5882" spans="1:3" x14ac:dyDescent="0.25">
      <c r="A5882">
        <v>37</v>
      </c>
      <c r="B5882" t="str">
        <f>"8:59:44.237865"</f>
        <v>8:59:44.237865</v>
      </c>
      <c r="C5882">
        <v>-44</v>
      </c>
    </row>
    <row r="5883" spans="1:3" x14ac:dyDescent="0.25">
      <c r="A5883">
        <v>38</v>
      </c>
      <c r="B5883" t="str">
        <f>"8:59:44.238892"</f>
        <v>8:59:44.238892</v>
      </c>
      <c r="C5883">
        <v>-41</v>
      </c>
    </row>
    <row r="5884" spans="1:3" x14ac:dyDescent="0.25">
      <c r="A5884">
        <v>39</v>
      </c>
      <c r="B5884" t="str">
        <f>"8:59:44.239918"</f>
        <v>8:59:44.239918</v>
      </c>
      <c r="C5884">
        <v>-46</v>
      </c>
    </row>
    <row r="5885" spans="1:3" x14ac:dyDescent="0.25">
      <c r="A5885">
        <v>39</v>
      </c>
      <c r="B5885" t="str">
        <f>"8:59:44.240437"</f>
        <v>8:59:44.240437</v>
      </c>
      <c r="C5885">
        <v>-31</v>
      </c>
    </row>
    <row r="5886" spans="1:3" x14ac:dyDescent="0.25">
      <c r="A5886">
        <v>39</v>
      </c>
      <c r="B5886" t="str">
        <f>"8:59:44.240763"</f>
        <v>8:59:44.240763</v>
      </c>
      <c r="C5886">
        <v>-45</v>
      </c>
    </row>
    <row r="5887" spans="1:3" x14ac:dyDescent="0.25">
      <c r="A5887">
        <v>37</v>
      </c>
      <c r="B5887" t="str">
        <f>"8:59:44.592751"</f>
        <v>8:59:44.592751</v>
      </c>
      <c r="C5887">
        <v>-44</v>
      </c>
    </row>
    <row r="5888" spans="1:3" x14ac:dyDescent="0.25">
      <c r="A5888">
        <v>37</v>
      </c>
      <c r="B5888" t="str">
        <f>"8:59:44.593270"</f>
        <v>8:59:44.593270</v>
      </c>
      <c r="C5888">
        <v>-39</v>
      </c>
    </row>
    <row r="5889" spans="1:3" x14ac:dyDescent="0.25">
      <c r="A5889">
        <v>37</v>
      </c>
      <c r="B5889" t="str">
        <f>"8:59:44.593596"</f>
        <v>8:59:44.593596</v>
      </c>
      <c r="C5889">
        <v>-44</v>
      </c>
    </row>
    <row r="5890" spans="1:3" x14ac:dyDescent="0.25">
      <c r="A5890">
        <v>38</v>
      </c>
      <c r="B5890" t="str">
        <f>"8:59:44.594373"</f>
        <v>8:59:44.594373</v>
      </c>
      <c r="C5890">
        <v>-41</v>
      </c>
    </row>
    <row r="5891" spans="1:3" x14ac:dyDescent="0.25">
      <c r="A5891">
        <v>39</v>
      </c>
      <c r="B5891" t="str">
        <f>"8:59:44.595399"</f>
        <v>8:59:44.595399</v>
      </c>
      <c r="C5891">
        <v>-45</v>
      </c>
    </row>
    <row r="5892" spans="1:3" x14ac:dyDescent="0.25">
      <c r="A5892">
        <v>37</v>
      </c>
      <c r="B5892" t="str">
        <f>"8:59:44.943766"</f>
        <v>8:59:44.943766</v>
      </c>
      <c r="C5892">
        <v>-44</v>
      </c>
    </row>
    <row r="5893" spans="1:3" x14ac:dyDescent="0.25">
      <c r="A5893">
        <v>37</v>
      </c>
      <c r="B5893" t="str">
        <f>"8:59:44.944285"</f>
        <v>8:59:44.944285</v>
      </c>
      <c r="C5893">
        <v>-39</v>
      </c>
    </row>
    <row r="5894" spans="1:3" x14ac:dyDescent="0.25">
      <c r="A5894">
        <v>37</v>
      </c>
      <c r="B5894" t="str">
        <f>"8:59:44.944612"</f>
        <v>8:59:44.944612</v>
      </c>
      <c r="C5894">
        <v>-44</v>
      </c>
    </row>
    <row r="5895" spans="1:3" x14ac:dyDescent="0.25">
      <c r="A5895">
        <v>38</v>
      </c>
      <c r="B5895" t="str">
        <f>"8:59:44.945388"</f>
        <v>8:59:44.945388</v>
      </c>
      <c r="C5895">
        <v>-41</v>
      </c>
    </row>
    <row r="5896" spans="1:3" x14ac:dyDescent="0.25">
      <c r="A5896">
        <v>39</v>
      </c>
      <c r="B5896" t="str">
        <f>"8:59:44.946414"</f>
        <v>8:59:44.946414</v>
      </c>
      <c r="C5896">
        <v>-46</v>
      </c>
    </row>
    <row r="5897" spans="1:3" x14ac:dyDescent="0.25">
      <c r="A5897">
        <v>37</v>
      </c>
      <c r="B5897" t="str">
        <f>"8:59:45.303216"</f>
        <v>8:59:45.303216</v>
      </c>
      <c r="C5897">
        <v>-44</v>
      </c>
    </row>
    <row r="5898" spans="1:3" x14ac:dyDescent="0.25">
      <c r="A5898">
        <v>37</v>
      </c>
      <c r="B5898" t="str">
        <f>"8:59:45.303735"</f>
        <v>8:59:45.303735</v>
      </c>
      <c r="C5898">
        <v>-38</v>
      </c>
    </row>
    <row r="5899" spans="1:3" x14ac:dyDescent="0.25">
      <c r="A5899">
        <v>37</v>
      </c>
      <c r="B5899" t="str">
        <f>"8:59:45.304060"</f>
        <v>8:59:45.304060</v>
      </c>
      <c r="C5899">
        <v>-44</v>
      </c>
    </row>
    <row r="5900" spans="1:3" x14ac:dyDescent="0.25">
      <c r="A5900">
        <v>38</v>
      </c>
      <c r="B5900" t="str">
        <f>"8:59:45.304837"</f>
        <v>8:59:45.304837</v>
      </c>
      <c r="C5900">
        <v>-41</v>
      </c>
    </row>
    <row r="5901" spans="1:3" x14ac:dyDescent="0.25">
      <c r="A5901">
        <v>39</v>
      </c>
      <c r="B5901" t="str">
        <f>"8:59:45.305863"</f>
        <v>8:59:45.305863</v>
      </c>
      <c r="C5901">
        <v>-45</v>
      </c>
    </row>
    <row r="5902" spans="1:3" x14ac:dyDescent="0.25">
      <c r="A5902">
        <v>37</v>
      </c>
      <c r="B5902" t="str">
        <f>"8:59:45.661909"</f>
        <v>8:59:45.661909</v>
      </c>
      <c r="C5902">
        <v>-44</v>
      </c>
    </row>
    <row r="5903" spans="1:3" x14ac:dyDescent="0.25">
      <c r="A5903">
        <v>37</v>
      </c>
      <c r="B5903" t="str">
        <f>"8:59:45.662428"</f>
        <v>8:59:45.662428</v>
      </c>
      <c r="C5903">
        <v>-38</v>
      </c>
    </row>
    <row r="5904" spans="1:3" x14ac:dyDescent="0.25">
      <c r="A5904">
        <v>37</v>
      </c>
      <c r="B5904" t="str">
        <f>"8:59:45.662754"</f>
        <v>8:59:45.662754</v>
      </c>
      <c r="C5904">
        <v>-44</v>
      </c>
    </row>
    <row r="5905" spans="1:3" x14ac:dyDescent="0.25">
      <c r="A5905">
        <v>38</v>
      </c>
      <c r="B5905" t="str">
        <f>"8:59:45.663531"</f>
        <v>8:59:45.663531</v>
      </c>
      <c r="C5905">
        <v>-41</v>
      </c>
    </row>
    <row r="5906" spans="1:3" x14ac:dyDescent="0.25">
      <c r="A5906">
        <v>39</v>
      </c>
      <c r="B5906" t="str">
        <f>"8:59:45.664557"</f>
        <v>8:59:45.664557</v>
      </c>
      <c r="C5906">
        <v>-45</v>
      </c>
    </row>
    <row r="5907" spans="1:3" x14ac:dyDescent="0.25">
      <c r="A5907">
        <v>37</v>
      </c>
      <c r="B5907" t="str">
        <f>"8:59:46.016741"</f>
        <v>8:59:46.016741</v>
      </c>
      <c r="C5907">
        <v>-44</v>
      </c>
    </row>
    <row r="5908" spans="1:3" x14ac:dyDescent="0.25">
      <c r="A5908">
        <v>37</v>
      </c>
      <c r="B5908" t="str">
        <f>"8:59:46.017260"</f>
        <v>8:59:46.017260</v>
      </c>
      <c r="C5908">
        <v>-38</v>
      </c>
    </row>
    <row r="5909" spans="1:3" x14ac:dyDescent="0.25">
      <c r="A5909">
        <v>37</v>
      </c>
      <c r="B5909" t="str">
        <f>"8:59:46.017586"</f>
        <v>8:59:46.017586</v>
      </c>
      <c r="C5909">
        <v>-44</v>
      </c>
    </row>
    <row r="5910" spans="1:3" x14ac:dyDescent="0.25">
      <c r="A5910">
        <v>38</v>
      </c>
      <c r="B5910" t="str">
        <f>"8:59:46.018362"</f>
        <v>8:59:46.018362</v>
      </c>
      <c r="C5910">
        <v>-41</v>
      </c>
    </row>
    <row r="5911" spans="1:3" x14ac:dyDescent="0.25">
      <c r="A5911">
        <v>39</v>
      </c>
      <c r="B5911" t="str">
        <f>"8:59:46.019388"</f>
        <v>8:59:46.019388</v>
      </c>
      <c r="C5911">
        <v>-46</v>
      </c>
    </row>
    <row r="5912" spans="1:3" x14ac:dyDescent="0.25">
      <c r="A5912">
        <v>37</v>
      </c>
      <c r="B5912" t="str">
        <f>"8:59:46.376176"</f>
        <v>8:59:46.376176</v>
      </c>
      <c r="C5912">
        <v>-44</v>
      </c>
    </row>
    <row r="5913" spans="1:3" x14ac:dyDescent="0.25">
      <c r="A5913">
        <v>37</v>
      </c>
      <c r="B5913" t="str">
        <f>"8:59:46.376695"</f>
        <v>8:59:46.376695</v>
      </c>
      <c r="C5913">
        <v>-39</v>
      </c>
    </row>
    <row r="5914" spans="1:3" x14ac:dyDescent="0.25">
      <c r="A5914">
        <v>37</v>
      </c>
      <c r="B5914" t="str">
        <f>"8:59:46.377020"</f>
        <v>8:59:46.377020</v>
      </c>
      <c r="C5914">
        <v>-44</v>
      </c>
    </row>
    <row r="5915" spans="1:3" x14ac:dyDescent="0.25">
      <c r="A5915">
        <v>38</v>
      </c>
      <c r="B5915" t="str">
        <f>"8:59:46.377797"</f>
        <v>8:59:46.377797</v>
      </c>
      <c r="C5915">
        <v>-41</v>
      </c>
    </row>
    <row r="5916" spans="1:3" x14ac:dyDescent="0.25">
      <c r="A5916">
        <v>39</v>
      </c>
      <c r="B5916" t="str">
        <f>"8:59:46.378823"</f>
        <v>8:59:46.378823</v>
      </c>
      <c r="C5916">
        <v>-46</v>
      </c>
    </row>
    <row r="5917" spans="1:3" x14ac:dyDescent="0.25">
      <c r="A5917">
        <v>37</v>
      </c>
      <c r="B5917" t="str">
        <f>"8:59:46.733297"</f>
        <v>8:59:46.733297</v>
      </c>
      <c r="C5917">
        <v>-44</v>
      </c>
    </row>
    <row r="5918" spans="1:3" x14ac:dyDescent="0.25">
      <c r="A5918">
        <v>37</v>
      </c>
      <c r="B5918" t="str">
        <f>"8:59:46.733815"</f>
        <v>8:59:46.733815</v>
      </c>
      <c r="C5918">
        <v>-39</v>
      </c>
    </row>
    <row r="5919" spans="1:3" x14ac:dyDescent="0.25">
      <c r="A5919">
        <v>37</v>
      </c>
      <c r="B5919" t="str">
        <f>"8:59:46.734141"</f>
        <v>8:59:46.734141</v>
      </c>
      <c r="C5919">
        <v>-44</v>
      </c>
    </row>
    <row r="5920" spans="1:3" x14ac:dyDescent="0.25">
      <c r="A5920">
        <v>38</v>
      </c>
      <c r="B5920" t="str">
        <f>"8:59:46.734917"</f>
        <v>8:59:46.734917</v>
      </c>
      <c r="C5920">
        <v>-41</v>
      </c>
    </row>
    <row r="5921" spans="1:3" x14ac:dyDescent="0.25">
      <c r="A5921">
        <v>39</v>
      </c>
      <c r="B5921" t="str">
        <f>"8:59:46.735943"</f>
        <v>8:59:46.735943</v>
      </c>
      <c r="C5921">
        <v>-46</v>
      </c>
    </row>
    <row r="5922" spans="1:3" x14ac:dyDescent="0.25">
      <c r="A5922">
        <v>37</v>
      </c>
      <c r="B5922" t="str">
        <f>"8:59:47.087157"</f>
        <v>8:59:47.087157</v>
      </c>
      <c r="C5922">
        <v>-44</v>
      </c>
    </row>
    <row r="5923" spans="1:3" x14ac:dyDescent="0.25">
      <c r="A5923">
        <v>37</v>
      </c>
      <c r="B5923" t="str">
        <f>"8:59:47.087676"</f>
        <v>8:59:47.087676</v>
      </c>
      <c r="C5923">
        <v>-39</v>
      </c>
    </row>
    <row r="5924" spans="1:3" x14ac:dyDescent="0.25">
      <c r="A5924">
        <v>37</v>
      </c>
      <c r="B5924" t="str">
        <f>"8:59:47.088002"</f>
        <v>8:59:47.088002</v>
      </c>
      <c r="C5924">
        <v>-44</v>
      </c>
    </row>
    <row r="5925" spans="1:3" x14ac:dyDescent="0.25">
      <c r="A5925">
        <v>38</v>
      </c>
      <c r="B5925" t="str">
        <f>"8:59:47.088778"</f>
        <v>8:59:47.088778</v>
      </c>
      <c r="C5925">
        <v>-41</v>
      </c>
    </row>
    <row r="5926" spans="1:3" x14ac:dyDescent="0.25">
      <c r="A5926">
        <v>39</v>
      </c>
      <c r="B5926" t="str">
        <f>"8:59:47.089804"</f>
        <v>8:59:47.089804</v>
      </c>
      <c r="C5926">
        <v>-46</v>
      </c>
    </row>
    <row r="5927" spans="1:3" x14ac:dyDescent="0.25">
      <c r="A5927">
        <v>37</v>
      </c>
      <c r="B5927" t="str">
        <f>"8:59:47.440450"</f>
        <v>8:59:47.440450</v>
      </c>
      <c r="C5927">
        <v>-44</v>
      </c>
    </row>
    <row r="5928" spans="1:3" x14ac:dyDescent="0.25">
      <c r="A5928">
        <v>37</v>
      </c>
      <c r="B5928" t="str">
        <f>"8:59:47.440969"</f>
        <v>8:59:47.440969</v>
      </c>
      <c r="C5928">
        <v>-39</v>
      </c>
    </row>
    <row r="5929" spans="1:3" x14ac:dyDescent="0.25">
      <c r="A5929">
        <v>37</v>
      </c>
      <c r="B5929" t="str">
        <f>"8:59:47.441294"</f>
        <v>8:59:47.441294</v>
      </c>
      <c r="C5929">
        <v>-44</v>
      </c>
    </row>
    <row r="5930" spans="1:3" x14ac:dyDescent="0.25">
      <c r="A5930">
        <v>38</v>
      </c>
      <c r="B5930" t="str">
        <f>"8:59:47.442071"</f>
        <v>8:59:47.442071</v>
      </c>
      <c r="C5930">
        <v>-41</v>
      </c>
    </row>
    <row r="5931" spans="1:3" x14ac:dyDescent="0.25">
      <c r="A5931">
        <v>39</v>
      </c>
      <c r="B5931" t="str">
        <f>"8:59:47.443097"</f>
        <v>8:59:47.443097</v>
      </c>
      <c r="C5931">
        <v>-46</v>
      </c>
    </row>
    <row r="5932" spans="1:3" x14ac:dyDescent="0.25">
      <c r="A5932">
        <v>37</v>
      </c>
      <c r="B5932" t="str">
        <f>"8:59:47.791662"</f>
        <v>8:59:47.791662</v>
      </c>
      <c r="C5932">
        <v>-44</v>
      </c>
    </row>
    <row r="5933" spans="1:3" x14ac:dyDescent="0.25">
      <c r="A5933">
        <v>37</v>
      </c>
      <c r="B5933" t="str">
        <f>"8:59:47.792180"</f>
        <v>8:59:47.792180</v>
      </c>
      <c r="C5933">
        <v>-39</v>
      </c>
    </row>
    <row r="5934" spans="1:3" x14ac:dyDescent="0.25">
      <c r="A5934">
        <v>37</v>
      </c>
      <c r="B5934" t="str">
        <f>"8:59:47.792507"</f>
        <v>8:59:47.792507</v>
      </c>
      <c r="C5934">
        <v>-44</v>
      </c>
    </row>
    <row r="5935" spans="1:3" x14ac:dyDescent="0.25">
      <c r="A5935">
        <v>38</v>
      </c>
      <c r="B5935" t="str">
        <f>"8:59:47.793283"</f>
        <v>8:59:47.793283</v>
      </c>
      <c r="C5935">
        <v>-41</v>
      </c>
    </row>
    <row r="5936" spans="1:3" x14ac:dyDescent="0.25">
      <c r="A5936">
        <v>39</v>
      </c>
      <c r="B5936" t="str">
        <f>"8:59:47.794309"</f>
        <v>8:59:47.794309</v>
      </c>
      <c r="C5936">
        <v>-46</v>
      </c>
    </row>
    <row r="5937" spans="1:3" x14ac:dyDescent="0.25">
      <c r="A5937">
        <v>37</v>
      </c>
      <c r="B5937" t="str">
        <f>"8:59:48.142372"</f>
        <v>8:59:48.142372</v>
      </c>
      <c r="C5937">
        <v>-44</v>
      </c>
    </row>
    <row r="5938" spans="1:3" x14ac:dyDescent="0.25">
      <c r="A5938">
        <v>37</v>
      </c>
      <c r="B5938" t="str">
        <f>"8:59:48.142891"</f>
        <v>8:59:48.142891</v>
      </c>
      <c r="C5938">
        <v>-39</v>
      </c>
    </row>
    <row r="5939" spans="1:3" x14ac:dyDescent="0.25">
      <c r="A5939">
        <v>37</v>
      </c>
      <c r="B5939" t="str">
        <f>"8:59:48.143217"</f>
        <v>8:59:48.143217</v>
      </c>
      <c r="C5939">
        <v>-44</v>
      </c>
    </row>
    <row r="5940" spans="1:3" x14ac:dyDescent="0.25">
      <c r="A5940">
        <v>38</v>
      </c>
      <c r="B5940" t="str">
        <f>"8:59:48.143993"</f>
        <v>8:59:48.143993</v>
      </c>
      <c r="C5940">
        <v>-41</v>
      </c>
    </row>
    <row r="5941" spans="1:3" x14ac:dyDescent="0.25">
      <c r="A5941">
        <v>39</v>
      </c>
      <c r="B5941" t="str">
        <f>"8:59:48.145019"</f>
        <v>8:59:48.145019</v>
      </c>
      <c r="C5941">
        <v>-46</v>
      </c>
    </row>
    <row r="5942" spans="1:3" x14ac:dyDescent="0.25">
      <c r="A5942">
        <v>37</v>
      </c>
      <c r="B5942" t="str">
        <f>"8:59:48.501342"</f>
        <v>8:59:48.501342</v>
      </c>
      <c r="C5942">
        <v>-44</v>
      </c>
    </row>
    <row r="5943" spans="1:3" x14ac:dyDescent="0.25">
      <c r="A5943">
        <v>37</v>
      </c>
      <c r="B5943" t="str">
        <f>"8:59:48.501860"</f>
        <v>8:59:48.501860</v>
      </c>
      <c r="C5943">
        <v>-38</v>
      </c>
    </row>
    <row r="5944" spans="1:3" x14ac:dyDescent="0.25">
      <c r="A5944">
        <v>37</v>
      </c>
      <c r="B5944" t="str">
        <f>"8:59:48.502186"</f>
        <v>8:59:48.502186</v>
      </c>
      <c r="C5944">
        <v>-44</v>
      </c>
    </row>
    <row r="5945" spans="1:3" x14ac:dyDescent="0.25">
      <c r="A5945">
        <v>38</v>
      </c>
      <c r="B5945" t="str">
        <f>"8:59:48.502962"</f>
        <v>8:59:48.502962</v>
      </c>
      <c r="C5945">
        <v>-41</v>
      </c>
    </row>
    <row r="5946" spans="1:3" x14ac:dyDescent="0.25">
      <c r="A5946">
        <v>39</v>
      </c>
      <c r="B5946" t="str">
        <f>"8:59:48.503988"</f>
        <v>8:59:48.503988</v>
      </c>
      <c r="C5946">
        <v>-46</v>
      </c>
    </row>
    <row r="5947" spans="1:3" x14ac:dyDescent="0.25">
      <c r="A5947">
        <v>37</v>
      </c>
      <c r="B5947" t="str">
        <f>"8:59:48.854899"</f>
        <v>8:59:48.854899</v>
      </c>
      <c r="C5947">
        <v>-44</v>
      </c>
    </row>
    <row r="5948" spans="1:3" x14ac:dyDescent="0.25">
      <c r="A5948">
        <v>37</v>
      </c>
      <c r="B5948" t="str">
        <f>"8:59:48.855418"</f>
        <v>8:59:48.855418</v>
      </c>
      <c r="C5948">
        <v>-39</v>
      </c>
    </row>
    <row r="5949" spans="1:3" x14ac:dyDescent="0.25">
      <c r="A5949">
        <v>37</v>
      </c>
      <c r="B5949" t="str">
        <f>"8:59:48.855744"</f>
        <v>8:59:48.855744</v>
      </c>
      <c r="C5949">
        <v>-44</v>
      </c>
    </row>
    <row r="5950" spans="1:3" x14ac:dyDescent="0.25">
      <c r="A5950">
        <v>38</v>
      </c>
      <c r="B5950" t="str">
        <f>"8:59:48.856521"</f>
        <v>8:59:48.856521</v>
      </c>
      <c r="C5950">
        <v>-41</v>
      </c>
    </row>
    <row r="5951" spans="1:3" x14ac:dyDescent="0.25">
      <c r="A5951">
        <v>39</v>
      </c>
      <c r="B5951" t="str">
        <f>"8:59:48.857547"</f>
        <v>8:59:48.857547</v>
      </c>
      <c r="C5951">
        <v>-46</v>
      </c>
    </row>
    <row r="5952" spans="1:3" x14ac:dyDescent="0.25">
      <c r="A5952">
        <v>37</v>
      </c>
      <c r="B5952" t="str">
        <f>"8:59:49.207177"</f>
        <v>8:59:49.207177</v>
      </c>
      <c r="C5952">
        <v>-44</v>
      </c>
    </row>
    <row r="5953" spans="1:3" x14ac:dyDescent="0.25">
      <c r="A5953">
        <v>38</v>
      </c>
      <c r="B5953" t="str">
        <f>"8:59:49.208204"</f>
        <v>8:59:49.208204</v>
      </c>
      <c r="C5953">
        <v>-41</v>
      </c>
    </row>
    <row r="5954" spans="1:3" x14ac:dyDescent="0.25">
      <c r="A5954">
        <v>39</v>
      </c>
      <c r="B5954" t="str">
        <f>"8:59:49.209230"</f>
        <v>8:59:49.209230</v>
      </c>
      <c r="C5954">
        <v>-46</v>
      </c>
    </row>
    <row r="5955" spans="1:3" x14ac:dyDescent="0.25">
      <c r="A5955">
        <v>37</v>
      </c>
      <c r="B5955" t="str">
        <f>"8:59:49.560174"</f>
        <v>8:59:49.560174</v>
      </c>
      <c r="C5955">
        <v>-44</v>
      </c>
    </row>
    <row r="5956" spans="1:3" x14ac:dyDescent="0.25">
      <c r="A5956">
        <v>38</v>
      </c>
      <c r="B5956" t="str">
        <f>"8:59:49.561201"</f>
        <v>8:59:49.561201</v>
      </c>
      <c r="C5956">
        <v>-41</v>
      </c>
    </row>
    <row r="5957" spans="1:3" x14ac:dyDescent="0.25">
      <c r="A5957">
        <v>38</v>
      </c>
      <c r="B5957" t="str">
        <f>"8:59:49.561720"</f>
        <v>8:59:49.561720</v>
      </c>
      <c r="C5957">
        <v>-32</v>
      </c>
    </row>
    <row r="5958" spans="1:3" x14ac:dyDescent="0.25">
      <c r="A5958">
        <v>38</v>
      </c>
      <c r="B5958" t="str">
        <f>"8:59:49.562045"</f>
        <v>8:59:49.562045</v>
      </c>
      <c r="C5958">
        <v>-41</v>
      </c>
    </row>
    <row r="5959" spans="1:3" x14ac:dyDescent="0.25">
      <c r="A5959">
        <v>39</v>
      </c>
      <c r="B5959" t="str">
        <f>"8:59:49.562821"</f>
        <v>8:59:49.562821</v>
      </c>
      <c r="C5959">
        <v>-46</v>
      </c>
    </row>
    <row r="5960" spans="1:3" x14ac:dyDescent="0.25">
      <c r="A5960">
        <v>37</v>
      </c>
      <c r="B5960" t="str">
        <f>"8:59:49.912196"</f>
        <v>8:59:49.912196</v>
      </c>
      <c r="C5960">
        <v>-44</v>
      </c>
    </row>
    <row r="5961" spans="1:3" x14ac:dyDescent="0.25">
      <c r="A5961">
        <v>38</v>
      </c>
      <c r="B5961" t="str">
        <f>"8:59:49.913224"</f>
        <v>8:59:49.913224</v>
      </c>
      <c r="C5961">
        <v>-41</v>
      </c>
    </row>
    <row r="5962" spans="1:3" x14ac:dyDescent="0.25">
      <c r="A5962">
        <v>38</v>
      </c>
      <c r="B5962" t="str">
        <f>"8:59:49.913743"</f>
        <v>8:59:49.913743</v>
      </c>
      <c r="C5962">
        <v>-32</v>
      </c>
    </row>
    <row r="5963" spans="1:3" x14ac:dyDescent="0.25">
      <c r="A5963">
        <v>38</v>
      </c>
      <c r="B5963" t="str">
        <f>"8:59:49.914069"</f>
        <v>8:59:49.914069</v>
      </c>
      <c r="C5963">
        <v>-41</v>
      </c>
    </row>
    <row r="5964" spans="1:3" x14ac:dyDescent="0.25">
      <c r="A5964">
        <v>39</v>
      </c>
      <c r="B5964" t="str">
        <f>"8:59:49.914845"</f>
        <v>8:59:49.914845</v>
      </c>
      <c r="C5964">
        <v>-45</v>
      </c>
    </row>
    <row r="5965" spans="1:3" x14ac:dyDescent="0.25">
      <c r="A5965">
        <v>37</v>
      </c>
      <c r="B5965" t="str">
        <f>"8:59:50.262957"</f>
        <v>8:59:50.262957</v>
      </c>
      <c r="C5965">
        <v>-44</v>
      </c>
    </row>
    <row r="5966" spans="1:3" x14ac:dyDescent="0.25">
      <c r="A5966">
        <v>38</v>
      </c>
      <c r="B5966" t="str">
        <f>"8:59:50.263984"</f>
        <v>8:59:50.263984</v>
      </c>
      <c r="C5966">
        <v>-41</v>
      </c>
    </row>
    <row r="5967" spans="1:3" x14ac:dyDescent="0.25">
      <c r="A5967">
        <v>38</v>
      </c>
      <c r="B5967" t="str">
        <f>"8:59:50.264503"</f>
        <v>8:59:50.264503</v>
      </c>
      <c r="C5967">
        <v>-32</v>
      </c>
    </row>
    <row r="5968" spans="1:3" x14ac:dyDescent="0.25">
      <c r="A5968">
        <v>38</v>
      </c>
      <c r="B5968" t="str">
        <f>"8:59:50.264829"</f>
        <v>8:59:50.264829</v>
      </c>
      <c r="C5968">
        <v>-41</v>
      </c>
    </row>
    <row r="5969" spans="1:3" x14ac:dyDescent="0.25">
      <c r="A5969">
        <v>39</v>
      </c>
      <c r="B5969" t="str">
        <f>"8:59:50.265605"</f>
        <v>8:59:50.265605</v>
      </c>
      <c r="C5969">
        <v>-46</v>
      </c>
    </row>
    <row r="5970" spans="1:3" x14ac:dyDescent="0.25">
      <c r="A5970">
        <v>37</v>
      </c>
      <c r="B5970" t="str">
        <f>"8:59:50.617514"</f>
        <v>8:59:50.617514</v>
      </c>
      <c r="C5970">
        <v>-44</v>
      </c>
    </row>
    <row r="5971" spans="1:3" x14ac:dyDescent="0.25">
      <c r="A5971">
        <v>38</v>
      </c>
      <c r="B5971" t="str">
        <f>"8:59:50.618541"</f>
        <v>8:59:50.618541</v>
      </c>
      <c r="C5971">
        <v>-41</v>
      </c>
    </row>
    <row r="5972" spans="1:3" x14ac:dyDescent="0.25">
      <c r="A5972">
        <v>38</v>
      </c>
      <c r="B5972" t="str">
        <f>"8:59:50.619060"</f>
        <v>8:59:50.619060</v>
      </c>
      <c r="C5972">
        <v>-32</v>
      </c>
    </row>
    <row r="5973" spans="1:3" x14ac:dyDescent="0.25">
      <c r="A5973">
        <v>38</v>
      </c>
      <c r="B5973" t="str">
        <f>"8:59:50.619386"</f>
        <v>8:59:50.619386</v>
      </c>
      <c r="C5973">
        <v>-41</v>
      </c>
    </row>
    <row r="5974" spans="1:3" x14ac:dyDescent="0.25">
      <c r="A5974">
        <v>39</v>
      </c>
      <c r="B5974" t="str">
        <f>"8:59:50.620162"</f>
        <v>8:59:50.620162</v>
      </c>
      <c r="C5974">
        <v>-46</v>
      </c>
    </row>
    <row r="5975" spans="1:3" x14ac:dyDescent="0.25">
      <c r="A5975">
        <v>37</v>
      </c>
      <c r="B5975" t="str">
        <f>"8:59:50.969025"</f>
        <v>8:59:50.969025</v>
      </c>
      <c r="C5975">
        <v>-44</v>
      </c>
    </row>
    <row r="5976" spans="1:3" x14ac:dyDescent="0.25">
      <c r="A5976">
        <v>38</v>
      </c>
      <c r="B5976" t="str">
        <f>"8:59:50.970053"</f>
        <v>8:59:50.970053</v>
      </c>
      <c r="C5976">
        <v>-41</v>
      </c>
    </row>
    <row r="5977" spans="1:3" x14ac:dyDescent="0.25">
      <c r="A5977">
        <v>38</v>
      </c>
      <c r="B5977" t="str">
        <f>"8:59:50.970571"</f>
        <v>8:59:50.970571</v>
      </c>
      <c r="C5977">
        <v>-32</v>
      </c>
    </row>
    <row r="5978" spans="1:3" x14ac:dyDescent="0.25">
      <c r="A5978">
        <v>38</v>
      </c>
      <c r="B5978" t="str">
        <f>"8:59:50.970897"</f>
        <v>8:59:50.970897</v>
      </c>
      <c r="C5978">
        <v>-41</v>
      </c>
    </row>
    <row r="5979" spans="1:3" x14ac:dyDescent="0.25">
      <c r="A5979">
        <v>39</v>
      </c>
      <c r="B5979" t="str">
        <f>"8:59:50.971673"</f>
        <v>8:59:50.971673</v>
      </c>
      <c r="C5979">
        <v>-46</v>
      </c>
    </row>
    <row r="5980" spans="1:3" x14ac:dyDescent="0.25">
      <c r="A5980">
        <v>37</v>
      </c>
      <c r="B5980" t="str">
        <f>"8:59:51.325123"</f>
        <v>8:59:51.325123</v>
      </c>
      <c r="C5980">
        <v>-44</v>
      </c>
    </row>
    <row r="5981" spans="1:3" x14ac:dyDescent="0.25">
      <c r="A5981">
        <v>38</v>
      </c>
      <c r="B5981" t="str">
        <f>"8:59:51.326150"</f>
        <v>8:59:51.326150</v>
      </c>
      <c r="C5981">
        <v>-41</v>
      </c>
    </row>
    <row r="5982" spans="1:3" x14ac:dyDescent="0.25">
      <c r="A5982">
        <v>38</v>
      </c>
      <c r="B5982" t="str">
        <f>"8:59:51.326669"</f>
        <v>8:59:51.326669</v>
      </c>
      <c r="C5982">
        <v>-32</v>
      </c>
    </row>
    <row r="5983" spans="1:3" x14ac:dyDescent="0.25">
      <c r="A5983">
        <v>38</v>
      </c>
      <c r="B5983" t="str">
        <f>"8:59:51.326995"</f>
        <v>8:59:51.326995</v>
      </c>
      <c r="C5983">
        <v>-41</v>
      </c>
    </row>
    <row r="5984" spans="1:3" x14ac:dyDescent="0.25">
      <c r="A5984">
        <v>39</v>
      </c>
      <c r="B5984" t="str">
        <f>"8:59:51.327771"</f>
        <v>8:59:51.327771</v>
      </c>
      <c r="C5984">
        <v>-46</v>
      </c>
    </row>
    <row r="5985" spans="1:3" x14ac:dyDescent="0.25">
      <c r="A5985">
        <v>37</v>
      </c>
      <c r="B5985" t="str">
        <f>"8:59:51.679989"</f>
        <v>8:59:51.679989</v>
      </c>
      <c r="C5985">
        <v>-44</v>
      </c>
    </row>
    <row r="5986" spans="1:3" x14ac:dyDescent="0.25">
      <c r="A5986">
        <v>38</v>
      </c>
      <c r="B5986" t="str">
        <f>"8:59:51.681016"</f>
        <v>8:59:51.681016</v>
      </c>
      <c r="C5986">
        <v>-41</v>
      </c>
    </row>
    <row r="5987" spans="1:3" x14ac:dyDescent="0.25">
      <c r="A5987">
        <v>38</v>
      </c>
      <c r="B5987" t="str">
        <f>"8:59:51.681534"</f>
        <v>8:59:51.681534</v>
      </c>
      <c r="C5987">
        <v>-31</v>
      </c>
    </row>
    <row r="5988" spans="1:3" x14ac:dyDescent="0.25">
      <c r="A5988">
        <v>38</v>
      </c>
      <c r="B5988" t="str">
        <f>"8:59:51.681860"</f>
        <v>8:59:51.681860</v>
      </c>
      <c r="C5988">
        <v>-41</v>
      </c>
    </row>
    <row r="5989" spans="1:3" x14ac:dyDescent="0.25">
      <c r="A5989">
        <v>39</v>
      </c>
      <c r="B5989" t="str">
        <f>"8:59:51.682636"</f>
        <v>8:59:51.682636</v>
      </c>
      <c r="C5989">
        <v>-46</v>
      </c>
    </row>
    <row r="5990" spans="1:3" x14ac:dyDescent="0.25">
      <c r="A5990">
        <v>37</v>
      </c>
      <c r="B5990" t="str">
        <f>"8:59:52.030446"</f>
        <v>8:59:52.030446</v>
      </c>
      <c r="C5990">
        <v>-44</v>
      </c>
    </row>
    <row r="5991" spans="1:3" x14ac:dyDescent="0.25">
      <c r="A5991">
        <v>38</v>
      </c>
      <c r="B5991" t="str">
        <f>"8:59:52.031474"</f>
        <v>8:59:52.031474</v>
      </c>
      <c r="C5991">
        <v>-41</v>
      </c>
    </row>
    <row r="5992" spans="1:3" x14ac:dyDescent="0.25">
      <c r="A5992">
        <v>38</v>
      </c>
      <c r="B5992" t="str">
        <f>"8:59:52.031993"</f>
        <v>8:59:52.031993</v>
      </c>
      <c r="C5992">
        <v>-32</v>
      </c>
    </row>
    <row r="5993" spans="1:3" x14ac:dyDescent="0.25">
      <c r="A5993">
        <v>38</v>
      </c>
      <c r="B5993" t="str">
        <f>"8:59:52.032319"</f>
        <v>8:59:52.032319</v>
      </c>
      <c r="C5993">
        <v>-41</v>
      </c>
    </row>
    <row r="5994" spans="1:3" x14ac:dyDescent="0.25">
      <c r="A5994">
        <v>39</v>
      </c>
      <c r="B5994" t="str">
        <f>"8:59:52.033095"</f>
        <v>8:59:52.033095</v>
      </c>
      <c r="C5994">
        <v>-46</v>
      </c>
    </row>
    <row r="5995" spans="1:3" x14ac:dyDescent="0.25">
      <c r="A5995">
        <v>37</v>
      </c>
      <c r="B5995" t="str">
        <f>"8:59:52.389652"</f>
        <v>8:59:52.389652</v>
      </c>
      <c r="C5995">
        <v>-44</v>
      </c>
    </row>
    <row r="5996" spans="1:3" x14ac:dyDescent="0.25">
      <c r="A5996">
        <v>38</v>
      </c>
      <c r="B5996" t="str">
        <f>"8:59:52.390680"</f>
        <v>8:59:52.390680</v>
      </c>
      <c r="C5996">
        <v>-41</v>
      </c>
    </row>
    <row r="5997" spans="1:3" x14ac:dyDescent="0.25">
      <c r="A5997">
        <v>38</v>
      </c>
      <c r="B5997" t="str">
        <f>"8:59:52.391199"</f>
        <v>8:59:52.391199</v>
      </c>
      <c r="C5997">
        <v>-31</v>
      </c>
    </row>
    <row r="5998" spans="1:3" x14ac:dyDescent="0.25">
      <c r="A5998">
        <v>38</v>
      </c>
      <c r="B5998" t="str">
        <f>"8:59:52.391525"</f>
        <v>8:59:52.391525</v>
      </c>
      <c r="C5998">
        <v>-41</v>
      </c>
    </row>
    <row r="5999" spans="1:3" x14ac:dyDescent="0.25">
      <c r="A5999">
        <v>39</v>
      </c>
      <c r="B5999" t="str">
        <f>"8:59:52.392301"</f>
        <v>8:59:52.392301</v>
      </c>
      <c r="C5999">
        <v>-45</v>
      </c>
    </row>
    <row r="6000" spans="1:3" x14ac:dyDescent="0.25">
      <c r="A6000">
        <v>37</v>
      </c>
      <c r="B6000" t="str">
        <f>"8:59:52.745264"</f>
        <v>8:59:52.745264</v>
      </c>
      <c r="C6000">
        <v>-44</v>
      </c>
    </row>
    <row r="6001" spans="1:3" x14ac:dyDescent="0.25">
      <c r="A6001">
        <v>38</v>
      </c>
      <c r="B6001" t="str">
        <f>"8:59:52.746291"</f>
        <v>8:59:52.746291</v>
      </c>
      <c r="C6001">
        <v>-41</v>
      </c>
    </row>
    <row r="6002" spans="1:3" x14ac:dyDescent="0.25">
      <c r="A6002">
        <v>38</v>
      </c>
      <c r="B6002" t="str">
        <f>"8:59:52.746810"</f>
        <v>8:59:52.746810</v>
      </c>
      <c r="C6002">
        <v>-32</v>
      </c>
    </row>
    <row r="6003" spans="1:3" x14ac:dyDescent="0.25">
      <c r="A6003">
        <v>38</v>
      </c>
      <c r="B6003" t="str">
        <f>"8:59:52.747135"</f>
        <v>8:59:52.747135</v>
      </c>
      <c r="C6003">
        <v>-41</v>
      </c>
    </row>
    <row r="6004" spans="1:3" x14ac:dyDescent="0.25">
      <c r="A6004">
        <v>39</v>
      </c>
      <c r="B6004" t="str">
        <f>"8:59:52.747911"</f>
        <v>8:59:52.747911</v>
      </c>
      <c r="C6004">
        <v>-45</v>
      </c>
    </row>
    <row r="6005" spans="1:3" x14ac:dyDescent="0.25">
      <c r="A6005">
        <v>37</v>
      </c>
      <c r="B6005" t="str">
        <f>"8:59:53.098363"</f>
        <v>8:59:53.098363</v>
      </c>
      <c r="C6005">
        <v>-44</v>
      </c>
    </row>
    <row r="6006" spans="1:3" x14ac:dyDescent="0.25">
      <c r="A6006">
        <v>38</v>
      </c>
      <c r="B6006" t="str">
        <f>"8:59:53.099390"</f>
        <v>8:59:53.099390</v>
      </c>
      <c r="C6006">
        <v>-41</v>
      </c>
    </row>
    <row r="6007" spans="1:3" x14ac:dyDescent="0.25">
      <c r="A6007">
        <v>38</v>
      </c>
      <c r="B6007" t="str">
        <f>"8:59:53.099909"</f>
        <v>8:59:53.099909</v>
      </c>
      <c r="C6007">
        <v>-31</v>
      </c>
    </row>
    <row r="6008" spans="1:3" x14ac:dyDescent="0.25">
      <c r="A6008">
        <v>38</v>
      </c>
      <c r="B6008" t="str">
        <f>"8:59:53.100234"</f>
        <v>8:59:53.100234</v>
      </c>
      <c r="C6008">
        <v>-41</v>
      </c>
    </row>
    <row r="6009" spans="1:3" x14ac:dyDescent="0.25">
      <c r="A6009">
        <v>39</v>
      </c>
      <c r="B6009" t="str">
        <f>"8:59:53.101010"</f>
        <v>8:59:53.101010</v>
      </c>
      <c r="C6009">
        <v>-45</v>
      </c>
    </row>
    <row r="6010" spans="1:3" x14ac:dyDescent="0.25">
      <c r="A6010">
        <v>37</v>
      </c>
      <c r="B6010" t="str">
        <f>"8:59:53.455012"</f>
        <v>8:59:53.455012</v>
      </c>
      <c r="C6010">
        <v>-44</v>
      </c>
    </row>
    <row r="6011" spans="1:3" x14ac:dyDescent="0.25">
      <c r="A6011">
        <v>38</v>
      </c>
      <c r="B6011" t="str">
        <f>"8:59:53.456039"</f>
        <v>8:59:53.456039</v>
      </c>
      <c r="C6011">
        <v>-41</v>
      </c>
    </row>
    <row r="6012" spans="1:3" x14ac:dyDescent="0.25">
      <c r="A6012">
        <v>38</v>
      </c>
      <c r="B6012" t="str">
        <f>"8:59:53.456558"</f>
        <v>8:59:53.456558</v>
      </c>
      <c r="C6012">
        <v>-31</v>
      </c>
    </row>
    <row r="6013" spans="1:3" x14ac:dyDescent="0.25">
      <c r="A6013">
        <v>38</v>
      </c>
      <c r="B6013" t="str">
        <f>"8:59:53.456884"</f>
        <v>8:59:53.456884</v>
      </c>
      <c r="C6013">
        <v>-41</v>
      </c>
    </row>
    <row r="6014" spans="1:3" x14ac:dyDescent="0.25">
      <c r="A6014">
        <v>39</v>
      </c>
      <c r="B6014" t="str">
        <f>"8:59:53.457660"</f>
        <v>8:59:53.457660</v>
      </c>
      <c r="C6014">
        <v>-45</v>
      </c>
    </row>
    <row r="6015" spans="1:3" x14ac:dyDescent="0.25">
      <c r="A6015">
        <v>37</v>
      </c>
      <c r="B6015" t="str">
        <f>"8:59:53.813143"</f>
        <v>8:59:53.813143</v>
      </c>
      <c r="C6015">
        <v>-44</v>
      </c>
    </row>
    <row r="6016" spans="1:3" x14ac:dyDescent="0.25">
      <c r="A6016">
        <v>38</v>
      </c>
      <c r="B6016" t="str">
        <f>"8:59:53.814170"</f>
        <v>8:59:53.814170</v>
      </c>
      <c r="C6016">
        <v>-41</v>
      </c>
    </row>
    <row r="6017" spans="1:3" x14ac:dyDescent="0.25">
      <c r="A6017">
        <v>39</v>
      </c>
      <c r="B6017" t="str">
        <f>"8:59:53.815196"</f>
        <v>8:59:53.815196</v>
      </c>
      <c r="C6017">
        <v>-45</v>
      </c>
    </row>
    <row r="6018" spans="1:3" x14ac:dyDescent="0.25">
      <c r="A6018">
        <v>37</v>
      </c>
      <c r="B6018" t="str">
        <f>"8:59:54.163360"</f>
        <v>8:59:54.163360</v>
      </c>
      <c r="C6018">
        <v>-44</v>
      </c>
    </row>
    <row r="6019" spans="1:3" x14ac:dyDescent="0.25">
      <c r="A6019">
        <v>38</v>
      </c>
      <c r="B6019" t="str">
        <f>"8:59:54.164388"</f>
        <v>8:59:54.164388</v>
      </c>
      <c r="C6019">
        <v>-41</v>
      </c>
    </row>
    <row r="6020" spans="1:3" x14ac:dyDescent="0.25">
      <c r="A6020">
        <v>38</v>
      </c>
      <c r="B6020" t="str">
        <f>"8:59:54.164906"</f>
        <v>8:59:54.164906</v>
      </c>
      <c r="C6020">
        <v>-32</v>
      </c>
    </row>
    <row r="6021" spans="1:3" x14ac:dyDescent="0.25">
      <c r="A6021">
        <v>38</v>
      </c>
      <c r="B6021" t="str">
        <f>"8:59:54.165232"</f>
        <v>8:59:54.165232</v>
      </c>
      <c r="C6021">
        <v>-41</v>
      </c>
    </row>
    <row r="6022" spans="1:3" x14ac:dyDescent="0.25">
      <c r="A6022">
        <v>39</v>
      </c>
      <c r="B6022" t="str">
        <f>"8:59:54.166008"</f>
        <v>8:59:54.166008</v>
      </c>
      <c r="C6022">
        <v>-45</v>
      </c>
    </row>
    <row r="6023" spans="1:3" x14ac:dyDescent="0.25">
      <c r="A6023">
        <v>37</v>
      </c>
      <c r="B6023" t="str">
        <f>"8:59:54.518509"</f>
        <v>8:59:54.518509</v>
      </c>
      <c r="C6023">
        <v>-44</v>
      </c>
    </row>
    <row r="6024" spans="1:3" x14ac:dyDescent="0.25">
      <c r="A6024">
        <v>38</v>
      </c>
      <c r="B6024" t="str">
        <f>"8:59:54.519536"</f>
        <v>8:59:54.519536</v>
      </c>
      <c r="C6024">
        <v>-41</v>
      </c>
    </row>
    <row r="6025" spans="1:3" x14ac:dyDescent="0.25">
      <c r="A6025">
        <v>39</v>
      </c>
      <c r="B6025" t="str">
        <f>"8:59:54.520562"</f>
        <v>8:59:54.520562</v>
      </c>
      <c r="C6025">
        <v>-45</v>
      </c>
    </row>
    <row r="6026" spans="1:3" x14ac:dyDescent="0.25">
      <c r="A6026">
        <v>39</v>
      </c>
      <c r="B6026" t="str">
        <f>"8:59:54.521080"</f>
        <v>8:59:54.521080</v>
      </c>
      <c r="C6026">
        <v>-31</v>
      </c>
    </row>
    <row r="6027" spans="1:3" x14ac:dyDescent="0.25">
      <c r="A6027">
        <v>39</v>
      </c>
      <c r="B6027" t="str">
        <f>"8:59:54.521406"</f>
        <v>8:59:54.521406</v>
      </c>
      <c r="C6027">
        <v>-45</v>
      </c>
    </row>
    <row r="6028" spans="1:3" x14ac:dyDescent="0.25">
      <c r="A6028">
        <v>37</v>
      </c>
      <c r="B6028" t="str">
        <f>"8:59:54.871002"</f>
        <v>8:59:54.871002</v>
      </c>
      <c r="C6028">
        <v>-44</v>
      </c>
    </row>
    <row r="6029" spans="1:3" x14ac:dyDescent="0.25">
      <c r="A6029">
        <v>38</v>
      </c>
      <c r="B6029" t="str">
        <f>"8:59:54.872029"</f>
        <v>8:59:54.872029</v>
      </c>
      <c r="C6029">
        <v>-41</v>
      </c>
    </row>
    <row r="6030" spans="1:3" x14ac:dyDescent="0.25">
      <c r="A6030">
        <v>39</v>
      </c>
      <c r="B6030" t="str">
        <f>"8:59:54.873055"</f>
        <v>8:59:54.873055</v>
      </c>
      <c r="C6030">
        <v>-45</v>
      </c>
    </row>
    <row r="6031" spans="1:3" x14ac:dyDescent="0.25">
      <c r="A6031">
        <v>39</v>
      </c>
      <c r="B6031" t="str">
        <f>"8:59:54.873574"</f>
        <v>8:59:54.873574</v>
      </c>
      <c r="C6031">
        <v>-31</v>
      </c>
    </row>
    <row r="6032" spans="1:3" x14ac:dyDescent="0.25">
      <c r="A6032">
        <v>39</v>
      </c>
      <c r="B6032" t="str">
        <f>"8:59:54.873899"</f>
        <v>8:59:54.873899</v>
      </c>
      <c r="C6032">
        <v>-45</v>
      </c>
    </row>
    <row r="6033" spans="1:3" x14ac:dyDescent="0.25">
      <c r="A6033">
        <v>37</v>
      </c>
      <c r="B6033" t="str">
        <f>"8:59:55.223589"</f>
        <v>8:59:55.223589</v>
      </c>
      <c r="C6033">
        <v>-44</v>
      </c>
    </row>
    <row r="6034" spans="1:3" x14ac:dyDescent="0.25">
      <c r="A6034">
        <v>38</v>
      </c>
      <c r="B6034" t="str">
        <f>"8:59:55.224616"</f>
        <v>8:59:55.224616</v>
      </c>
      <c r="C6034">
        <v>-41</v>
      </c>
    </row>
    <row r="6035" spans="1:3" x14ac:dyDescent="0.25">
      <c r="A6035">
        <v>39</v>
      </c>
      <c r="B6035" t="str">
        <f>"8:59:55.225642"</f>
        <v>8:59:55.225642</v>
      </c>
      <c r="C6035">
        <v>-45</v>
      </c>
    </row>
    <row r="6036" spans="1:3" x14ac:dyDescent="0.25">
      <c r="A6036">
        <v>39</v>
      </c>
      <c r="B6036" t="str">
        <f>"8:59:55.226161"</f>
        <v>8:59:55.226161</v>
      </c>
      <c r="C6036">
        <v>-31</v>
      </c>
    </row>
    <row r="6037" spans="1:3" x14ac:dyDescent="0.25">
      <c r="A6037">
        <v>39</v>
      </c>
      <c r="B6037" t="str">
        <f>"8:59:55.226487"</f>
        <v>8:59:55.226487</v>
      </c>
      <c r="C6037">
        <v>-45</v>
      </c>
    </row>
    <row r="6038" spans="1:3" x14ac:dyDescent="0.25">
      <c r="A6038">
        <v>37</v>
      </c>
      <c r="B6038" t="str">
        <f>"8:59:55.582003"</f>
        <v>8:59:55.582003</v>
      </c>
      <c r="C6038">
        <v>-44</v>
      </c>
    </row>
    <row r="6039" spans="1:3" x14ac:dyDescent="0.25">
      <c r="A6039">
        <v>38</v>
      </c>
      <c r="B6039" t="str">
        <f>"8:59:55.583030"</f>
        <v>8:59:55.583030</v>
      </c>
      <c r="C6039">
        <v>-41</v>
      </c>
    </row>
    <row r="6040" spans="1:3" x14ac:dyDescent="0.25">
      <c r="A6040">
        <v>39</v>
      </c>
      <c r="B6040" t="str">
        <f>"8:59:55.584056"</f>
        <v>8:59:55.584056</v>
      </c>
      <c r="C6040">
        <v>-46</v>
      </c>
    </row>
    <row r="6041" spans="1:3" x14ac:dyDescent="0.25">
      <c r="A6041">
        <v>39</v>
      </c>
      <c r="B6041" t="str">
        <f>"8:59:55.584574"</f>
        <v>8:59:55.584574</v>
      </c>
      <c r="C6041">
        <v>-31</v>
      </c>
    </row>
    <row r="6042" spans="1:3" x14ac:dyDescent="0.25">
      <c r="A6042">
        <v>39</v>
      </c>
      <c r="B6042" t="str">
        <f>"8:59:55.584900"</f>
        <v>8:59:55.584900</v>
      </c>
      <c r="C6042">
        <v>-45</v>
      </c>
    </row>
    <row r="6043" spans="1:3" x14ac:dyDescent="0.25">
      <c r="A6043">
        <v>37</v>
      </c>
      <c r="B6043" t="str">
        <f>"8:59:55.938639"</f>
        <v>8:59:55.938639</v>
      </c>
      <c r="C6043">
        <v>-45</v>
      </c>
    </row>
    <row r="6044" spans="1:3" x14ac:dyDescent="0.25">
      <c r="A6044">
        <v>38</v>
      </c>
      <c r="B6044" t="str">
        <f>"8:59:55.939666"</f>
        <v>8:59:55.939666</v>
      </c>
      <c r="C6044">
        <v>-41</v>
      </c>
    </row>
    <row r="6045" spans="1:3" x14ac:dyDescent="0.25">
      <c r="A6045">
        <v>39</v>
      </c>
      <c r="B6045" t="str">
        <f>"8:59:55.940692"</f>
        <v>8:59:55.940692</v>
      </c>
      <c r="C6045">
        <v>-45</v>
      </c>
    </row>
    <row r="6046" spans="1:3" x14ac:dyDescent="0.25">
      <c r="A6046">
        <v>39</v>
      </c>
      <c r="B6046" t="str">
        <f>"8:59:55.941211"</f>
        <v>8:59:55.941211</v>
      </c>
      <c r="C6046">
        <v>-31</v>
      </c>
    </row>
    <row r="6047" spans="1:3" x14ac:dyDescent="0.25">
      <c r="A6047">
        <v>39</v>
      </c>
      <c r="B6047" t="str">
        <f>"8:59:55.941537"</f>
        <v>8:59:55.941537</v>
      </c>
      <c r="C6047">
        <v>-45</v>
      </c>
    </row>
    <row r="6048" spans="1:3" x14ac:dyDescent="0.25">
      <c r="A6048">
        <v>37</v>
      </c>
      <c r="B6048" t="str">
        <f>"8:59:56.294257"</f>
        <v>8:59:56.294257</v>
      </c>
      <c r="C6048">
        <v>-45</v>
      </c>
    </row>
    <row r="6049" spans="1:3" x14ac:dyDescent="0.25">
      <c r="A6049">
        <v>38</v>
      </c>
      <c r="B6049" t="str">
        <f>"8:59:56.295284"</f>
        <v>8:59:56.295284</v>
      </c>
      <c r="C6049">
        <v>-41</v>
      </c>
    </row>
    <row r="6050" spans="1:3" x14ac:dyDescent="0.25">
      <c r="A6050">
        <v>39</v>
      </c>
      <c r="B6050" t="str">
        <f>"8:59:56.296310"</f>
        <v>8:59:56.296310</v>
      </c>
      <c r="C6050">
        <v>-45</v>
      </c>
    </row>
    <row r="6051" spans="1:3" x14ac:dyDescent="0.25">
      <c r="A6051">
        <v>39</v>
      </c>
      <c r="B6051" t="str">
        <f>"8:59:56.296829"</f>
        <v>8:59:56.296829</v>
      </c>
      <c r="C6051">
        <v>-31</v>
      </c>
    </row>
    <row r="6052" spans="1:3" x14ac:dyDescent="0.25">
      <c r="A6052">
        <v>39</v>
      </c>
      <c r="B6052" t="str">
        <f>"8:59:56.297155"</f>
        <v>8:59:56.297155</v>
      </c>
      <c r="C6052">
        <v>-45</v>
      </c>
    </row>
    <row r="6053" spans="1:3" x14ac:dyDescent="0.25">
      <c r="A6053">
        <v>37</v>
      </c>
      <c r="B6053" t="str">
        <f>"8:59:56.654208"</f>
        <v>8:59:56.654208</v>
      </c>
      <c r="C6053">
        <v>-44</v>
      </c>
    </row>
    <row r="6054" spans="1:3" x14ac:dyDescent="0.25">
      <c r="A6054">
        <v>38</v>
      </c>
      <c r="B6054" t="str">
        <f>"8:59:56.655235"</f>
        <v>8:59:56.655235</v>
      </c>
      <c r="C6054">
        <v>-41</v>
      </c>
    </row>
    <row r="6055" spans="1:3" x14ac:dyDescent="0.25">
      <c r="A6055">
        <v>39</v>
      </c>
      <c r="B6055" t="str">
        <f>"8:59:56.656261"</f>
        <v>8:59:56.656261</v>
      </c>
      <c r="C6055">
        <v>-45</v>
      </c>
    </row>
    <row r="6056" spans="1:3" x14ac:dyDescent="0.25">
      <c r="A6056">
        <v>39</v>
      </c>
      <c r="B6056" t="str">
        <f>"8:59:56.656779"</f>
        <v>8:59:56.656779</v>
      </c>
      <c r="C6056">
        <v>-31</v>
      </c>
    </row>
    <row r="6057" spans="1:3" x14ac:dyDescent="0.25">
      <c r="A6057">
        <v>39</v>
      </c>
      <c r="B6057" t="str">
        <f>"8:59:56.657105"</f>
        <v>8:59:56.657105</v>
      </c>
      <c r="C6057">
        <v>-45</v>
      </c>
    </row>
    <row r="6058" spans="1:3" x14ac:dyDescent="0.25">
      <c r="A6058">
        <v>37</v>
      </c>
      <c r="B6058" t="str">
        <f>"8:59:57.005438"</f>
        <v>8:59:57.005438</v>
      </c>
      <c r="C6058">
        <v>-45</v>
      </c>
    </row>
    <row r="6059" spans="1:3" x14ac:dyDescent="0.25">
      <c r="A6059">
        <v>38</v>
      </c>
      <c r="B6059" t="str">
        <f>"8:59:57.006465"</f>
        <v>8:59:57.006465</v>
      </c>
      <c r="C6059">
        <v>-41</v>
      </c>
    </row>
    <row r="6060" spans="1:3" x14ac:dyDescent="0.25">
      <c r="A6060">
        <v>39</v>
      </c>
      <c r="B6060" t="str">
        <f>"8:59:57.007491"</f>
        <v>8:59:57.007491</v>
      </c>
      <c r="C6060">
        <v>-45</v>
      </c>
    </row>
    <row r="6061" spans="1:3" x14ac:dyDescent="0.25">
      <c r="A6061">
        <v>39</v>
      </c>
      <c r="B6061" t="str">
        <f>"8:59:57.008010"</f>
        <v>8:59:57.008010</v>
      </c>
      <c r="C6061">
        <v>-31</v>
      </c>
    </row>
    <row r="6062" spans="1:3" x14ac:dyDescent="0.25">
      <c r="A6062">
        <v>39</v>
      </c>
      <c r="B6062" t="str">
        <f>"8:59:57.008336"</f>
        <v>8:59:57.008336</v>
      </c>
      <c r="C6062">
        <v>-45</v>
      </c>
    </row>
    <row r="6063" spans="1:3" x14ac:dyDescent="0.25">
      <c r="A6063">
        <v>37</v>
      </c>
      <c r="B6063" t="str">
        <f>"8:59:57.363907"</f>
        <v>8:59:57.363907</v>
      </c>
      <c r="C6063">
        <v>-44</v>
      </c>
    </row>
    <row r="6064" spans="1:3" x14ac:dyDescent="0.25">
      <c r="A6064">
        <v>38</v>
      </c>
      <c r="B6064" t="str">
        <f>"8:59:57.364934"</f>
        <v>8:59:57.364934</v>
      </c>
      <c r="C6064">
        <v>-41</v>
      </c>
    </row>
    <row r="6065" spans="1:3" x14ac:dyDescent="0.25">
      <c r="A6065">
        <v>39</v>
      </c>
      <c r="B6065" t="str">
        <f>"8:59:57.365960"</f>
        <v>8:59:57.365960</v>
      </c>
      <c r="C6065">
        <v>-45</v>
      </c>
    </row>
    <row r="6066" spans="1:3" x14ac:dyDescent="0.25">
      <c r="A6066">
        <v>39</v>
      </c>
      <c r="B6066" t="str">
        <f>"8:59:57.366478"</f>
        <v>8:59:57.366478</v>
      </c>
      <c r="C6066">
        <v>-31</v>
      </c>
    </row>
    <row r="6067" spans="1:3" x14ac:dyDescent="0.25">
      <c r="A6067">
        <v>39</v>
      </c>
      <c r="B6067" t="str">
        <f>"8:59:57.366804"</f>
        <v>8:59:57.366804</v>
      </c>
      <c r="C6067">
        <v>-45</v>
      </c>
    </row>
    <row r="6068" spans="1:3" x14ac:dyDescent="0.25">
      <c r="A6068">
        <v>37</v>
      </c>
      <c r="B6068" t="str">
        <f>"8:59:57.719783"</f>
        <v>8:59:57.719783</v>
      </c>
      <c r="C6068">
        <v>-44</v>
      </c>
    </row>
    <row r="6069" spans="1:3" x14ac:dyDescent="0.25">
      <c r="A6069">
        <v>38</v>
      </c>
      <c r="B6069" t="str">
        <f>"8:59:57.720811"</f>
        <v>8:59:57.720811</v>
      </c>
      <c r="C6069">
        <v>-41</v>
      </c>
    </row>
    <row r="6070" spans="1:3" x14ac:dyDescent="0.25">
      <c r="A6070">
        <v>39</v>
      </c>
      <c r="B6070" t="str">
        <f>"8:59:57.721837"</f>
        <v>8:59:57.721837</v>
      </c>
      <c r="C6070">
        <v>-46</v>
      </c>
    </row>
    <row r="6071" spans="1:3" x14ac:dyDescent="0.25">
      <c r="A6071">
        <v>39</v>
      </c>
      <c r="B6071" t="str">
        <f>"8:59:57.722355"</f>
        <v>8:59:57.722355</v>
      </c>
      <c r="C6071">
        <v>-30</v>
      </c>
    </row>
    <row r="6072" spans="1:3" x14ac:dyDescent="0.25">
      <c r="A6072">
        <v>39</v>
      </c>
      <c r="B6072" t="str">
        <f>"8:59:57.722682"</f>
        <v>8:59:57.722682</v>
      </c>
      <c r="C6072">
        <v>-45</v>
      </c>
    </row>
    <row r="6073" spans="1:3" x14ac:dyDescent="0.25">
      <c r="A6073">
        <v>37</v>
      </c>
      <c r="B6073" t="str">
        <f>"8:59:58.073828"</f>
        <v>8:59:58.073828</v>
      </c>
      <c r="C6073">
        <v>-44</v>
      </c>
    </row>
    <row r="6074" spans="1:3" x14ac:dyDescent="0.25">
      <c r="A6074">
        <v>38</v>
      </c>
      <c r="B6074" t="str">
        <f>"8:59:58.074855"</f>
        <v>8:59:58.074855</v>
      </c>
      <c r="C6074">
        <v>-41</v>
      </c>
    </row>
    <row r="6075" spans="1:3" x14ac:dyDescent="0.25">
      <c r="A6075">
        <v>39</v>
      </c>
      <c r="B6075" t="str">
        <f>"8:59:58.075881"</f>
        <v>8:59:58.075881</v>
      </c>
      <c r="C6075">
        <v>-45</v>
      </c>
    </row>
    <row r="6076" spans="1:3" x14ac:dyDescent="0.25">
      <c r="A6076">
        <v>39</v>
      </c>
      <c r="B6076" t="str">
        <f>"8:59:58.076400"</f>
        <v>8:59:58.076400</v>
      </c>
      <c r="C6076">
        <v>-30</v>
      </c>
    </row>
    <row r="6077" spans="1:3" x14ac:dyDescent="0.25">
      <c r="A6077">
        <v>39</v>
      </c>
      <c r="B6077" t="str">
        <f>"8:59:58.076725"</f>
        <v>8:59:58.076725</v>
      </c>
      <c r="C6077">
        <v>-45</v>
      </c>
    </row>
    <row r="6078" spans="1:3" x14ac:dyDescent="0.25">
      <c r="A6078">
        <v>37</v>
      </c>
      <c r="B6078" t="str">
        <f>"8:59:58.433508"</f>
        <v>8:59:58.433508</v>
      </c>
      <c r="C6078">
        <v>-45</v>
      </c>
    </row>
    <row r="6079" spans="1:3" x14ac:dyDescent="0.25">
      <c r="A6079">
        <v>38</v>
      </c>
      <c r="B6079" t="str">
        <f>"8:59:58.434535"</f>
        <v>8:59:58.434535</v>
      </c>
      <c r="C6079">
        <v>-41</v>
      </c>
    </row>
    <row r="6080" spans="1:3" x14ac:dyDescent="0.25">
      <c r="A6080">
        <v>39</v>
      </c>
      <c r="B6080" t="str">
        <f>"8:59:58.435561"</f>
        <v>8:59:58.435561</v>
      </c>
      <c r="C6080">
        <v>-45</v>
      </c>
    </row>
    <row r="6081" spans="1:3" x14ac:dyDescent="0.25">
      <c r="A6081">
        <v>39</v>
      </c>
      <c r="B6081" t="str">
        <f>"8:59:58.436079"</f>
        <v>8:59:58.436079</v>
      </c>
      <c r="C6081">
        <v>-30</v>
      </c>
    </row>
    <row r="6082" spans="1:3" x14ac:dyDescent="0.25">
      <c r="A6082">
        <v>39</v>
      </c>
      <c r="B6082" t="str">
        <f>"8:59:58.436405"</f>
        <v>8:59:58.436405</v>
      </c>
      <c r="C6082">
        <v>-45</v>
      </c>
    </row>
    <row r="6083" spans="1:3" x14ac:dyDescent="0.25">
      <c r="A6083">
        <v>37</v>
      </c>
      <c r="B6083" t="str">
        <f>"8:59:58.788078"</f>
        <v>8:59:58.788078</v>
      </c>
      <c r="C6083">
        <v>-44</v>
      </c>
    </row>
    <row r="6084" spans="1:3" x14ac:dyDescent="0.25">
      <c r="A6084">
        <v>38</v>
      </c>
      <c r="B6084" t="str">
        <f>"8:59:58.789106"</f>
        <v>8:59:58.789106</v>
      </c>
      <c r="C6084">
        <v>-41</v>
      </c>
    </row>
    <row r="6085" spans="1:3" x14ac:dyDescent="0.25">
      <c r="A6085">
        <v>39</v>
      </c>
      <c r="B6085" t="str">
        <f>"8:59:58.790132"</f>
        <v>8:59:58.790132</v>
      </c>
      <c r="C6085">
        <v>-46</v>
      </c>
    </row>
    <row r="6086" spans="1:3" x14ac:dyDescent="0.25">
      <c r="A6086">
        <v>39</v>
      </c>
      <c r="B6086" t="str">
        <f>"8:59:58.790650"</f>
        <v>8:59:58.790650</v>
      </c>
      <c r="C6086">
        <v>-30</v>
      </c>
    </row>
    <row r="6087" spans="1:3" x14ac:dyDescent="0.25">
      <c r="A6087">
        <v>39</v>
      </c>
      <c r="B6087" t="str">
        <f>"8:59:58.790976"</f>
        <v>8:59:58.790976</v>
      </c>
      <c r="C6087">
        <v>-45</v>
      </c>
    </row>
    <row r="6088" spans="1:3" x14ac:dyDescent="0.25">
      <c r="A6088">
        <v>37</v>
      </c>
      <c r="B6088" t="str">
        <f>"8:59:59.143987"</f>
        <v>8:59:59.143987</v>
      </c>
      <c r="C6088">
        <v>-44</v>
      </c>
    </row>
    <row r="6089" spans="1:3" x14ac:dyDescent="0.25">
      <c r="A6089">
        <v>38</v>
      </c>
      <c r="B6089" t="str">
        <f>"8:59:59.145014"</f>
        <v>8:59:59.145014</v>
      </c>
      <c r="C6089">
        <v>-41</v>
      </c>
    </row>
    <row r="6090" spans="1:3" x14ac:dyDescent="0.25">
      <c r="A6090">
        <v>39</v>
      </c>
      <c r="B6090" t="str">
        <f>"8:59:59.146040"</f>
        <v>8:59:59.146040</v>
      </c>
      <c r="C6090">
        <v>-45</v>
      </c>
    </row>
    <row r="6091" spans="1:3" x14ac:dyDescent="0.25">
      <c r="A6091">
        <v>39</v>
      </c>
      <c r="B6091" t="str">
        <f>"8:59:59.146558"</f>
        <v>8:59:59.146558</v>
      </c>
      <c r="C6091">
        <v>-31</v>
      </c>
    </row>
    <row r="6092" spans="1:3" x14ac:dyDescent="0.25">
      <c r="A6092">
        <v>39</v>
      </c>
      <c r="B6092" t="str">
        <f>"8:59:59.146884"</f>
        <v>8:59:59.146884</v>
      </c>
      <c r="C6092">
        <v>-45</v>
      </c>
    </row>
    <row r="6093" spans="1:3" x14ac:dyDescent="0.25">
      <c r="A6093">
        <v>37</v>
      </c>
      <c r="B6093" t="str">
        <f>"8:59:59.495035"</f>
        <v>8:59:59.495035</v>
      </c>
      <c r="C6093">
        <v>-44</v>
      </c>
    </row>
    <row r="6094" spans="1:3" x14ac:dyDescent="0.25">
      <c r="A6094">
        <v>38</v>
      </c>
      <c r="B6094" t="str">
        <f>"8:59:59.496062"</f>
        <v>8:59:59.496062</v>
      </c>
      <c r="C6094">
        <v>-41</v>
      </c>
    </row>
    <row r="6095" spans="1:3" x14ac:dyDescent="0.25">
      <c r="A6095">
        <v>39</v>
      </c>
      <c r="B6095" t="str">
        <f>"8:59:59.497088"</f>
        <v>8:59:59.497088</v>
      </c>
      <c r="C6095">
        <v>-45</v>
      </c>
    </row>
    <row r="6096" spans="1:3" x14ac:dyDescent="0.25">
      <c r="A6096">
        <v>37</v>
      </c>
      <c r="B6096" t="str">
        <f>"8:59:59.851702"</f>
        <v>8:59:59.851702</v>
      </c>
      <c r="C6096">
        <v>-44</v>
      </c>
    </row>
    <row r="6097" spans="1:3" x14ac:dyDescent="0.25">
      <c r="A6097">
        <v>37</v>
      </c>
      <c r="B6097" t="str">
        <f>"8:59:59.852220"</f>
        <v>8:59:59.852220</v>
      </c>
      <c r="C6097">
        <v>-39</v>
      </c>
    </row>
    <row r="6098" spans="1:3" x14ac:dyDescent="0.25">
      <c r="A6098">
        <v>37</v>
      </c>
      <c r="B6098" t="str">
        <f>"8:59:59.852546"</f>
        <v>8:59:59.852546</v>
      </c>
      <c r="C6098">
        <v>-44</v>
      </c>
    </row>
    <row r="6099" spans="1:3" x14ac:dyDescent="0.25">
      <c r="A6099">
        <v>38</v>
      </c>
      <c r="B6099" t="str">
        <f>"8:59:59.853323"</f>
        <v>8:59:59.853323</v>
      </c>
      <c r="C6099">
        <v>-41</v>
      </c>
    </row>
    <row r="6100" spans="1:3" x14ac:dyDescent="0.25">
      <c r="A6100">
        <v>39</v>
      </c>
      <c r="B6100" t="str">
        <f>"8:59:59.854349"</f>
        <v>8:59:59.854349</v>
      </c>
      <c r="C6100">
        <v>-45</v>
      </c>
    </row>
    <row r="6101" spans="1:3" x14ac:dyDescent="0.25">
      <c r="A6101">
        <v>37</v>
      </c>
      <c r="B6101" t="str">
        <f>"9:00:00.201727"</f>
        <v>9:00:00.201727</v>
      </c>
      <c r="C6101">
        <v>-44</v>
      </c>
    </row>
    <row r="6102" spans="1:3" x14ac:dyDescent="0.25">
      <c r="A6102">
        <v>37</v>
      </c>
      <c r="B6102" t="str">
        <f>"9:00:00.202246"</f>
        <v>9:00:00.202246</v>
      </c>
      <c r="C6102">
        <v>-39</v>
      </c>
    </row>
    <row r="6103" spans="1:3" x14ac:dyDescent="0.25">
      <c r="A6103">
        <v>37</v>
      </c>
      <c r="B6103" t="str">
        <f>"9:00:00.202571"</f>
        <v>9:00:00.202571</v>
      </c>
      <c r="C6103">
        <v>-44</v>
      </c>
    </row>
    <row r="6104" spans="1:3" x14ac:dyDescent="0.25">
      <c r="A6104">
        <v>38</v>
      </c>
      <c r="B6104" t="str">
        <f>"9:00:00.203348"</f>
        <v>9:00:00.203348</v>
      </c>
      <c r="C6104">
        <v>-41</v>
      </c>
    </row>
    <row r="6105" spans="1:3" x14ac:dyDescent="0.25">
      <c r="A6105">
        <v>39</v>
      </c>
      <c r="B6105" t="str">
        <f>"9:00:00.204374"</f>
        <v>9:00:00.204374</v>
      </c>
      <c r="C6105">
        <v>-45</v>
      </c>
    </row>
    <row r="6106" spans="1:3" x14ac:dyDescent="0.25">
      <c r="A6106">
        <v>37</v>
      </c>
      <c r="B6106" t="str">
        <f>"9:00:00.559913"</f>
        <v>9:00:00.559913</v>
      </c>
      <c r="C6106">
        <v>-44</v>
      </c>
    </row>
    <row r="6107" spans="1:3" x14ac:dyDescent="0.25">
      <c r="A6107">
        <v>37</v>
      </c>
      <c r="B6107" t="str">
        <f>"9:00:00.560431"</f>
        <v>9:00:00.560431</v>
      </c>
      <c r="C6107">
        <v>-40</v>
      </c>
    </row>
    <row r="6108" spans="1:3" x14ac:dyDescent="0.25">
      <c r="A6108">
        <v>37</v>
      </c>
      <c r="B6108" t="str">
        <f>"9:00:00.560757"</f>
        <v>9:00:00.560757</v>
      </c>
      <c r="C6108">
        <v>-45</v>
      </c>
    </row>
    <row r="6109" spans="1:3" x14ac:dyDescent="0.25">
      <c r="A6109">
        <v>38</v>
      </c>
      <c r="B6109" t="str">
        <f>"9:00:00.561533"</f>
        <v>9:00:00.561533</v>
      </c>
      <c r="C6109">
        <v>-41</v>
      </c>
    </row>
    <row r="6110" spans="1:3" x14ac:dyDescent="0.25">
      <c r="A6110">
        <v>39</v>
      </c>
      <c r="B6110" t="str">
        <f>"9:00:00.562559"</f>
        <v>9:00:00.562559</v>
      </c>
      <c r="C6110">
        <v>-45</v>
      </c>
    </row>
    <row r="6111" spans="1:3" x14ac:dyDescent="0.25">
      <c r="A6111">
        <v>37</v>
      </c>
      <c r="B6111" t="str">
        <f>"9:00:00.919900"</f>
        <v>9:00:00.919900</v>
      </c>
      <c r="C6111">
        <v>-44</v>
      </c>
    </row>
    <row r="6112" spans="1:3" x14ac:dyDescent="0.25">
      <c r="A6112">
        <v>37</v>
      </c>
      <c r="B6112" t="str">
        <f>"9:00:00.920418"</f>
        <v>9:00:00.920418</v>
      </c>
      <c r="C6112">
        <v>-40</v>
      </c>
    </row>
    <row r="6113" spans="1:3" x14ac:dyDescent="0.25">
      <c r="A6113">
        <v>37</v>
      </c>
      <c r="B6113" t="str">
        <f>"9:00:00.920744"</f>
        <v>9:00:00.920744</v>
      </c>
      <c r="C6113">
        <v>-44</v>
      </c>
    </row>
    <row r="6114" spans="1:3" x14ac:dyDescent="0.25">
      <c r="A6114">
        <v>38</v>
      </c>
      <c r="B6114" t="str">
        <f>"9:00:00.921520"</f>
        <v>9:00:00.921520</v>
      </c>
      <c r="C6114">
        <v>-41</v>
      </c>
    </row>
    <row r="6115" spans="1:3" x14ac:dyDescent="0.25">
      <c r="A6115">
        <v>39</v>
      </c>
      <c r="B6115" t="str">
        <f>"9:00:00.922546"</f>
        <v>9:00:00.922546</v>
      </c>
      <c r="C6115">
        <v>-45</v>
      </c>
    </row>
    <row r="6116" spans="1:3" x14ac:dyDescent="0.25">
      <c r="A6116">
        <v>37</v>
      </c>
      <c r="B6116" t="str">
        <f>"9:00:01.274267"</f>
        <v>9:00:01.274267</v>
      </c>
      <c r="C6116">
        <v>-44</v>
      </c>
    </row>
    <row r="6117" spans="1:3" x14ac:dyDescent="0.25">
      <c r="A6117">
        <v>38</v>
      </c>
      <c r="B6117" t="str">
        <f>"9:00:01.275294"</f>
        <v>9:00:01.275294</v>
      </c>
      <c r="C6117">
        <v>-41</v>
      </c>
    </row>
    <row r="6118" spans="1:3" x14ac:dyDescent="0.25">
      <c r="A6118">
        <v>39</v>
      </c>
      <c r="B6118" t="str">
        <f>"9:00:01.276320"</f>
        <v>9:00:01.276320</v>
      </c>
      <c r="C6118">
        <v>-45</v>
      </c>
    </row>
    <row r="6119" spans="1:3" x14ac:dyDescent="0.25">
      <c r="A6119">
        <v>37</v>
      </c>
      <c r="B6119" t="str">
        <f>"9:00:01.627794"</f>
        <v>9:00:01.627794</v>
      </c>
      <c r="C6119">
        <v>-44</v>
      </c>
    </row>
    <row r="6120" spans="1:3" x14ac:dyDescent="0.25">
      <c r="A6120">
        <v>37</v>
      </c>
      <c r="B6120" t="str">
        <f>"9:00:01.628312"</f>
        <v>9:00:01.628312</v>
      </c>
      <c r="C6120">
        <v>-40</v>
      </c>
    </row>
    <row r="6121" spans="1:3" x14ac:dyDescent="0.25">
      <c r="A6121">
        <v>37</v>
      </c>
      <c r="B6121" t="str">
        <f>"9:00:01.628638"</f>
        <v>9:00:01.628638</v>
      </c>
      <c r="C6121">
        <v>-44</v>
      </c>
    </row>
    <row r="6122" spans="1:3" x14ac:dyDescent="0.25">
      <c r="A6122">
        <v>38</v>
      </c>
      <c r="B6122" t="str">
        <f>"9:00:01.629414"</f>
        <v>9:00:01.629414</v>
      </c>
      <c r="C6122">
        <v>-41</v>
      </c>
    </row>
    <row r="6123" spans="1:3" x14ac:dyDescent="0.25">
      <c r="A6123">
        <v>39</v>
      </c>
      <c r="B6123" t="str">
        <f>"9:00:01.630440"</f>
        <v>9:00:01.630440</v>
      </c>
      <c r="C6123">
        <v>-46</v>
      </c>
    </row>
    <row r="6124" spans="1:3" x14ac:dyDescent="0.25">
      <c r="A6124">
        <v>37</v>
      </c>
      <c r="B6124" t="str">
        <f>"9:00:01.985953"</f>
        <v>9:00:01.985953</v>
      </c>
      <c r="C6124">
        <v>-44</v>
      </c>
    </row>
    <row r="6125" spans="1:3" x14ac:dyDescent="0.25">
      <c r="A6125">
        <v>37</v>
      </c>
      <c r="B6125" t="str">
        <f>"9:00:01.986472"</f>
        <v>9:00:01.986472</v>
      </c>
      <c r="C6125">
        <v>-40</v>
      </c>
    </row>
    <row r="6126" spans="1:3" x14ac:dyDescent="0.25">
      <c r="A6126">
        <v>37</v>
      </c>
      <c r="B6126" t="str">
        <f>"9:00:01.986798"</f>
        <v>9:00:01.986798</v>
      </c>
      <c r="C6126">
        <v>-44</v>
      </c>
    </row>
    <row r="6127" spans="1:3" x14ac:dyDescent="0.25">
      <c r="A6127">
        <v>38</v>
      </c>
      <c r="B6127" t="str">
        <f>"9:00:01.987575"</f>
        <v>9:00:01.987575</v>
      </c>
      <c r="C6127">
        <v>-41</v>
      </c>
    </row>
    <row r="6128" spans="1:3" x14ac:dyDescent="0.25">
      <c r="A6128">
        <v>39</v>
      </c>
      <c r="B6128" t="str">
        <f>"9:00:01.988601"</f>
        <v>9:00:01.988601</v>
      </c>
      <c r="C6128">
        <v>-45</v>
      </c>
    </row>
    <row r="6129" spans="1:3" x14ac:dyDescent="0.25">
      <c r="A6129">
        <v>37</v>
      </c>
      <c r="B6129" t="str">
        <f>"9:00:02.341871"</f>
        <v>9:00:02.341871</v>
      </c>
      <c r="C6129">
        <v>-44</v>
      </c>
    </row>
    <row r="6130" spans="1:3" x14ac:dyDescent="0.25">
      <c r="A6130">
        <v>37</v>
      </c>
      <c r="B6130" t="str">
        <f>"9:00:02.342389"</f>
        <v>9:00:02.342389</v>
      </c>
      <c r="C6130">
        <v>-40</v>
      </c>
    </row>
    <row r="6131" spans="1:3" x14ac:dyDescent="0.25">
      <c r="A6131">
        <v>37</v>
      </c>
      <c r="B6131" t="str">
        <f>"9:00:02.342716"</f>
        <v>9:00:02.342716</v>
      </c>
      <c r="C6131">
        <v>-44</v>
      </c>
    </row>
    <row r="6132" spans="1:3" x14ac:dyDescent="0.25">
      <c r="A6132">
        <v>38</v>
      </c>
      <c r="B6132" t="str">
        <f>"9:00:02.343492"</f>
        <v>9:00:02.343492</v>
      </c>
      <c r="C6132">
        <v>-41</v>
      </c>
    </row>
    <row r="6133" spans="1:3" x14ac:dyDescent="0.25">
      <c r="A6133">
        <v>39</v>
      </c>
      <c r="B6133" t="str">
        <f>"9:00:02.344518"</f>
        <v>9:00:02.344518</v>
      </c>
      <c r="C6133">
        <v>-45</v>
      </c>
    </row>
    <row r="6134" spans="1:3" x14ac:dyDescent="0.25">
      <c r="A6134">
        <v>37</v>
      </c>
      <c r="B6134" t="str">
        <f>"9:00:02.696496"</f>
        <v>9:00:02.696496</v>
      </c>
      <c r="C6134">
        <v>-44</v>
      </c>
    </row>
    <row r="6135" spans="1:3" x14ac:dyDescent="0.25">
      <c r="A6135">
        <v>37</v>
      </c>
      <c r="B6135" t="str">
        <f>"9:00:02.697015"</f>
        <v>9:00:02.697015</v>
      </c>
      <c r="C6135">
        <v>-37</v>
      </c>
    </row>
    <row r="6136" spans="1:3" x14ac:dyDescent="0.25">
      <c r="A6136">
        <v>37</v>
      </c>
      <c r="B6136" t="str">
        <f>"9:00:02.697340"</f>
        <v>9:00:02.697340</v>
      </c>
      <c r="C6136">
        <v>-44</v>
      </c>
    </row>
    <row r="6137" spans="1:3" x14ac:dyDescent="0.25">
      <c r="A6137">
        <v>38</v>
      </c>
      <c r="B6137" t="str">
        <f>"9:00:02.698116"</f>
        <v>9:00:02.698116</v>
      </c>
      <c r="C6137">
        <v>-41</v>
      </c>
    </row>
    <row r="6138" spans="1:3" x14ac:dyDescent="0.25">
      <c r="A6138">
        <v>39</v>
      </c>
      <c r="B6138" t="str">
        <f>"9:00:02.699143"</f>
        <v>9:00:02.699143</v>
      </c>
      <c r="C6138">
        <v>-45</v>
      </c>
    </row>
    <row r="6139" spans="1:3" x14ac:dyDescent="0.25">
      <c r="A6139">
        <v>37</v>
      </c>
      <c r="B6139" t="str">
        <f>"9:00:03.055749"</f>
        <v>9:00:03.055749</v>
      </c>
      <c r="C6139">
        <v>-44</v>
      </c>
    </row>
    <row r="6140" spans="1:3" x14ac:dyDescent="0.25">
      <c r="A6140">
        <v>37</v>
      </c>
      <c r="B6140" t="str">
        <f>"9:00:03.056268"</f>
        <v>9:00:03.056268</v>
      </c>
      <c r="C6140">
        <v>-40</v>
      </c>
    </row>
    <row r="6141" spans="1:3" x14ac:dyDescent="0.25">
      <c r="A6141">
        <v>37</v>
      </c>
      <c r="B6141" t="str">
        <f>"9:00:03.056594"</f>
        <v>9:00:03.056594</v>
      </c>
      <c r="C6141">
        <v>-44</v>
      </c>
    </row>
    <row r="6142" spans="1:3" x14ac:dyDescent="0.25">
      <c r="A6142">
        <v>38</v>
      </c>
      <c r="B6142" t="str">
        <f>"9:00:03.057370"</f>
        <v>9:00:03.057370</v>
      </c>
      <c r="C6142">
        <v>-41</v>
      </c>
    </row>
    <row r="6143" spans="1:3" x14ac:dyDescent="0.25">
      <c r="A6143">
        <v>39</v>
      </c>
      <c r="B6143" t="str">
        <f>"9:00:03.058396"</f>
        <v>9:00:03.058396</v>
      </c>
      <c r="C6143">
        <v>-45</v>
      </c>
    </row>
    <row r="6144" spans="1:3" x14ac:dyDescent="0.25">
      <c r="A6144">
        <v>39</v>
      </c>
      <c r="B6144" t="str">
        <f>"9:00:03.058915"</f>
        <v>9:00:03.058915</v>
      </c>
      <c r="C6144">
        <v>-90</v>
      </c>
    </row>
    <row r="6145" spans="1:3" x14ac:dyDescent="0.25">
      <c r="A6145">
        <v>39</v>
      </c>
      <c r="B6145" t="str">
        <f>"9:00:03.059241"</f>
        <v>9:00:03.059241</v>
      </c>
      <c r="C6145">
        <v>-44</v>
      </c>
    </row>
    <row r="6146" spans="1:3" x14ac:dyDescent="0.25">
      <c r="A6146">
        <v>37</v>
      </c>
      <c r="B6146" t="str">
        <f>"9:00:03.410405"</f>
        <v>9:00:03.410405</v>
      </c>
      <c r="C6146">
        <v>-44</v>
      </c>
    </row>
    <row r="6147" spans="1:3" x14ac:dyDescent="0.25">
      <c r="A6147">
        <v>38</v>
      </c>
      <c r="B6147" t="str">
        <f>"9:00:03.411433"</f>
        <v>9:00:03.411433</v>
      </c>
      <c r="C6147">
        <v>-41</v>
      </c>
    </row>
    <row r="6148" spans="1:3" x14ac:dyDescent="0.25">
      <c r="A6148">
        <v>39</v>
      </c>
      <c r="B6148" t="str">
        <f>"9:00:03.412459"</f>
        <v>9:00:03.412459</v>
      </c>
      <c r="C6148">
        <v>-45</v>
      </c>
    </row>
    <row r="6149" spans="1:3" x14ac:dyDescent="0.25">
      <c r="A6149">
        <v>37</v>
      </c>
      <c r="B6149" t="str">
        <f>"9:00:03.766854"</f>
        <v>9:00:03.766854</v>
      </c>
      <c r="C6149">
        <v>-44</v>
      </c>
    </row>
    <row r="6150" spans="1:3" x14ac:dyDescent="0.25">
      <c r="A6150">
        <v>37</v>
      </c>
      <c r="B6150" t="str">
        <f>"9:00:03.767373"</f>
        <v>9:00:03.767373</v>
      </c>
      <c r="C6150">
        <v>-40</v>
      </c>
    </row>
    <row r="6151" spans="1:3" x14ac:dyDescent="0.25">
      <c r="A6151">
        <v>37</v>
      </c>
      <c r="B6151" t="str">
        <f>"9:00:03.767700"</f>
        <v>9:00:03.767700</v>
      </c>
      <c r="C6151">
        <v>-44</v>
      </c>
    </row>
    <row r="6152" spans="1:3" x14ac:dyDescent="0.25">
      <c r="A6152">
        <v>38</v>
      </c>
      <c r="B6152" t="str">
        <f>"9:00:03.768476"</f>
        <v>9:00:03.768476</v>
      </c>
      <c r="C6152">
        <v>-41</v>
      </c>
    </row>
    <row r="6153" spans="1:3" x14ac:dyDescent="0.25">
      <c r="A6153">
        <v>39</v>
      </c>
      <c r="B6153" t="str">
        <f>"9:00:03.769502"</f>
        <v>9:00:03.769502</v>
      </c>
      <c r="C6153">
        <v>-45</v>
      </c>
    </row>
    <row r="6154" spans="1:3" x14ac:dyDescent="0.25">
      <c r="A6154">
        <v>37</v>
      </c>
      <c r="B6154" t="str">
        <f>"9:00:04.119684"</f>
        <v>9:00:04.119684</v>
      </c>
      <c r="C6154">
        <v>-44</v>
      </c>
    </row>
    <row r="6155" spans="1:3" x14ac:dyDescent="0.25">
      <c r="A6155">
        <v>37</v>
      </c>
      <c r="B6155" t="str">
        <f>"9:00:04.120202"</f>
        <v>9:00:04.120202</v>
      </c>
      <c r="C6155">
        <v>-38</v>
      </c>
    </row>
    <row r="6156" spans="1:3" x14ac:dyDescent="0.25">
      <c r="A6156">
        <v>37</v>
      </c>
      <c r="B6156" t="str">
        <f>"9:00:04.120529"</f>
        <v>9:00:04.120529</v>
      </c>
      <c r="C6156">
        <v>-44</v>
      </c>
    </row>
    <row r="6157" spans="1:3" x14ac:dyDescent="0.25">
      <c r="A6157">
        <v>38</v>
      </c>
      <c r="B6157" t="str">
        <f>"9:00:04.121305"</f>
        <v>9:00:04.121305</v>
      </c>
      <c r="C6157">
        <v>-41</v>
      </c>
    </row>
    <row r="6158" spans="1:3" x14ac:dyDescent="0.25">
      <c r="A6158">
        <v>39</v>
      </c>
      <c r="B6158" t="str">
        <f>"9:00:04.122331"</f>
        <v>9:00:04.122331</v>
      </c>
      <c r="C6158">
        <v>-45</v>
      </c>
    </row>
    <row r="6159" spans="1:3" x14ac:dyDescent="0.25">
      <c r="A6159">
        <v>37</v>
      </c>
      <c r="B6159" t="str">
        <f>"9:00:04.477346"</f>
        <v>9:00:04.477346</v>
      </c>
      <c r="C6159">
        <v>-44</v>
      </c>
    </row>
    <row r="6160" spans="1:3" x14ac:dyDescent="0.25">
      <c r="A6160">
        <v>38</v>
      </c>
      <c r="B6160" t="str">
        <f>"9:00:04.478374"</f>
        <v>9:00:04.478374</v>
      </c>
      <c r="C6160">
        <v>-41</v>
      </c>
    </row>
    <row r="6161" spans="1:3" x14ac:dyDescent="0.25">
      <c r="A6161">
        <v>38</v>
      </c>
      <c r="B6161" t="str">
        <f>"9:00:04.478892"</f>
        <v>9:00:04.478892</v>
      </c>
      <c r="C6161">
        <v>-32</v>
      </c>
    </row>
    <row r="6162" spans="1:3" x14ac:dyDescent="0.25">
      <c r="A6162">
        <v>38</v>
      </c>
      <c r="B6162" t="str">
        <f>"9:00:04.479218"</f>
        <v>9:00:04.479218</v>
      </c>
      <c r="C6162">
        <v>-41</v>
      </c>
    </row>
    <row r="6163" spans="1:3" x14ac:dyDescent="0.25">
      <c r="A6163">
        <v>39</v>
      </c>
      <c r="B6163" t="str">
        <f>"9:00:04.479994"</f>
        <v>9:00:04.479994</v>
      </c>
      <c r="C6163">
        <v>-45</v>
      </c>
    </row>
    <row r="6164" spans="1:3" x14ac:dyDescent="0.25">
      <c r="A6164">
        <v>37</v>
      </c>
      <c r="B6164" t="str">
        <f>"9:00:04.832672"</f>
        <v>9:00:04.832672</v>
      </c>
      <c r="C6164">
        <v>-44</v>
      </c>
    </row>
    <row r="6165" spans="1:3" x14ac:dyDescent="0.25">
      <c r="A6165">
        <v>38</v>
      </c>
      <c r="B6165" t="str">
        <f>"9:00:04.833699"</f>
        <v>9:00:04.833699</v>
      </c>
      <c r="C6165">
        <v>-41</v>
      </c>
    </row>
    <row r="6166" spans="1:3" x14ac:dyDescent="0.25">
      <c r="A6166">
        <v>38</v>
      </c>
      <c r="B6166" t="str">
        <f>"9:00:04.834218"</f>
        <v>9:00:04.834218</v>
      </c>
      <c r="C6166">
        <v>-32</v>
      </c>
    </row>
    <row r="6167" spans="1:3" x14ac:dyDescent="0.25">
      <c r="A6167">
        <v>38</v>
      </c>
      <c r="B6167" t="str">
        <f>"9:00:04.834544"</f>
        <v>9:00:04.834544</v>
      </c>
      <c r="C6167">
        <v>-41</v>
      </c>
    </row>
    <row r="6168" spans="1:3" x14ac:dyDescent="0.25">
      <c r="A6168">
        <v>39</v>
      </c>
      <c r="B6168" t="str">
        <f>"9:00:04.835320"</f>
        <v>9:00:04.835320</v>
      </c>
      <c r="C6168">
        <v>-45</v>
      </c>
    </row>
    <row r="6169" spans="1:3" x14ac:dyDescent="0.25">
      <c r="A6169">
        <v>37</v>
      </c>
      <c r="B6169" t="str">
        <f>"9:00:05.185505"</f>
        <v>9:00:05.185505</v>
      </c>
      <c r="C6169">
        <v>-44</v>
      </c>
    </row>
    <row r="6170" spans="1:3" x14ac:dyDescent="0.25">
      <c r="A6170">
        <v>38</v>
      </c>
      <c r="B6170" t="str">
        <f>"9:00:05.186533"</f>
        <v>9:00:05.186533</v>
      </c>
      <c r="C6170">
        <v>-41</v>
      </c>
    </row>
    <row r="6171" spans="1:3" x14ac:dyDescent="0.25">
      <c r="A6171">
        <v>38</v>
      </c>
      <c r="B6171" t="str">
        <f>"9:00:05.187052"</f>
        <v>9:00:05.187052</v>
      </c>
      <c r="C6171">
        <v>-32</v>
      </c>
    </row>
    <row r="6172" spans="1:3" x14ac:dyDescent="0.25">
      <c r="A6172">
        <v>38</v>
      </c>
      <c r="B6172" t="str">
        <f>"9:00:05.187378"</f>
        <v>9:00:05.187378</v>
      </c>
      <c r="C6172">
        <v>-41</v>
      </c>
    </row>
    <row r="6173" spans="1:3" x14ac:dyDescent="0.25">
      <c r="A6173">
        <v>39</v>
      </c>
      <c r="B6173" t="str">
        <f>"9:00:05.188154"</f>
        <v>9:00:05.188154</v>
      </c>
      <c r="C6173">
        <v>-45</v>
      </c>
    </row>
    <row r="6174" spans="1:3" x14ac:dyDescent="0.25">
      <c r="A6174">
        <v>37</v>
      </c>
      <c r="B6174" t="str">
        <f>"9:00:05.539821"</f>
        <v>9:00:05.539821</v>
      </c>
      <c r="C6174">
        <v>-44</v>
      </c>
    </row>
    <row r="6175" spans="1:3" x14ac:dyDescent="0.25">
      <c r="A6175">
        <v>38</v>
      </c>
      <c r="B6175" t="str">
        <f>"9:00:05.540848"</f>
        <v>9:00:05.540848</v>
      </c>
      <c r="C6175">
        <v>-41</v>
      </c>
    </row>
    <row r="6176" spans="1:3" x14ac:dyDescent="0.25">
      <c r="A6176">
        <v>38</v>
      </c>
      <c r="B6176" t="str">
        <f>"9:00:05.541367"</f>
        <v>9:00:05.541367</v>
      </c>
      <c r="C6176">
        <v>-32</v>
      </c>
    </row>
    <row r="6177" spans="1:3" x14ac:dyDescent="0.25">
      <c r="A6177">
        <v>38</v>
      </c>
      <c r="B6177" t="str">
        <f>"9:00:05.541692"</f>
        <v>9:00:05.541692</v>
      </c>
      <c r="C6177">
        <v>-41</v>
      </c>
    </row>
    <row r="6178" spans="1:3" x14ac:dyDescent="0.25">
      <c r="A6178">
        <v>39</v>
      </c>
      <c r="B6178" t="str">
        <f>"9:00:05.542468"</f>
        <v>9:00:05.542468</v>
      </c>
      <c r="C6178">
        <v>-46</v>
      </c>
    </row>
    <row r="6179" spans="1:3" x14ac:dyDescent="0.25">
      <c r="A6179">
        <v>37</v>
      </c>
      <c r="B6179" t="str">
        <f>"9:00:05.892091"</f>
        <v>9:00:05.892091</v>
      </c>
      <c r="C6179">
        <v>-44</v>
      </c>
    </row>
    <row r="6180" spans="1:3" x14ac:dyDescent="0.25">
      <c r="A6180">
        <v>38</v>
      </c>
      <c r="B6180" t="str">
        <f>"9:00:05.893118"</f>
        <v>9:00:05.893118</v>
      </c>
      <c r="C6180">
        <v>-41</v>
      </c>
    </row>
    <row r="6181" spans="1:3" x14ac:dyDescent="0.25">
      <c r="A6181">
        <v>38</v>
      </c>
      <c r="B6181" t="str">
        <f>"9:00:05.893636"</f>
        <v>9:00:05.893636</v>
      </c>
      <c r="C6181">
        <v>-32</v>
      </c>
    </row>
    <row r="6182" spans="1:3" x14ac:dyDescent="0.25">
      <c r="A6182">
        <v>38</v>
      </c>
      <c r="B6182" t="str">
        <f>"9:00:05.893962"</f>
        <v>9:00:05.893962</v>
      </c>
      <c r="C6182">
        <v>-41</v>
      </c>
    </row>
    <row r="6183" spans="1:3" x14ac:dyDescent="0.25">
      <c r="A6183">
        <v>39</v>
      </c>
      <c r="B6183" t="str">
        <f>"9:00:05.894738"</f>
        <v>9:00:05.894738</v>
      </c>
      <c r="C6183">
        <v>-46</v>
      </c>
    </row>
    <row r="6184" spans="1:3" x14ac:dyDescent="0.25">
      <c r="A6184">
        <v>37</v>
      </c>
      <c r="B6184" t="str">
        <f>"9:00:06.245361"</f>
        <v>9:00:06.245361</v>
      </c>
      <c r="C6184">
        <v>-44</v>
      </c>
    </row>
    <row r="6185" spans="1:3" x14ac:dyDescent="0.25">
      <c r="A6185">
        <v>38</v>
      </c>
      <c r="B6185" t="str">
        <f>"9:00:06.246389"</f>
        <v>9:00:06.246389</v>
      </c>
      <c r="C6185">
        <v>-41</v>
      </c>
    </row>
    <row r="6186" spans="1:3" x14ac:dyDescent="0.25">
      <c r="A6186">
        <v>38</v>
      </c>
      <c r="B6186" t="str">
        <f>"9:00:06.246908"</f>
        <v>9:00:06.246908</v>
      </c>
      <c r="C6186">
        <v>-32</v>
      </c>
    </row>
    <row r="6187" spans="1:3" x14ac:dyDescent="0.25">
      <c r="A6187">
        <v>38</v>
      </c>
      <c r="B6187" t="str">
        <f>"9:00:06.247234"</f>
        <v>9:00:06.247234</v>
      </c>
      <c r="C6187">
        <v>-41</v>
      </c>
    </row>
    <row r="6188" spans="1:3" x14ac:dyDescent="0.25">
      <c r="A6188">
        <v>39</v>
      </c>
      <c r="B6188" t="str">
        <f>"9:00:06.248010"</f>
        <v>9:00:06.248010</v>
      </c>
      <c r="C6188">
        <v>-46</v>
      </c>
    </row>
    <row r="6189" spans="1:3" x14ac:dyDescent="0.25">
      <c r="A6189">
        <v>37</v>
      </c>
      <c r="B6189" t="str">
        <f>"9:00:06.603331"</f>
        <v>9:00:06.603331</v>
      </c>
      <c r="C6189">
        <v>-44</v>
      </c>
    </row>
    <row r="6190" spans="1:3" x14ac:dyDescent="0.25">
      <c r="A6190">
        <v>38</v>
      </c>
      <c r="B6190" t="str">
        <f>"9:00:06.604359"</f>
        <v>9:00:06.604359</v>
      </c>
      <c r="C6190">
        <v>-41</v>
      </c>
    </row>
    <row r="6191" spans="1:3" x14ac:dyDescent="0.25">
      <c r="A6191">
        <v>39</v>
      </c>
      <c r="B6191" t="str">
        <f>"9:00:06.605385"</f>
        <v>9:00:06.605385</v>
      </c>
      <c r="C6191">
        <v>-46</v>
      </c>
    </row>
    <row r="6192" spans="1:3" x14ac:dyDescent="0.25">
      <c r="A6192">
        <v>39</v>
      </c>
      <c r="B6192" t="str">
        <f>"9:00:06.605904"</f>
        <v>9:00:06.605904</v>
      </c>
      <c r="C6192">
        <v>-74</v>
      </c>
    </row>
    <row r="6193" spans="1:3" x14ac:dyDescent="0.25">
      <c r="A6193">
        <v>39</v>
      </c>
      <c r="B6193" t="str">
        <f>"9:00:06.606230"</f>
        <v>9:00:06.606230</v>
      </c>
      <c r="C6193">
        <v>-45</v>
      </c>
    </row>
    <row r="6194" spans="1:3" x14ac:dyDescent="0.25">
      <c r="A6194">
        <v>37</v>
      </c>
      <c r="B6194" t="str">
        <f>"9:00:06.953579"</f>
        <v>9:00:06.953579</v>
      </c>
      <c r="C6194">
        <v>-44</v>
      </c>
    </row>
    <row r="6195" spans="1:3" x14ac:dyDescent="0.25">
      <c r="A6195">
        <v>38</v>
      </c>
      <c r="B6195" t="str">
        <f>"9:00:06.954606"</f>
        <v>9:00:06.954606</v>
      </c>
      <c r="C6195">
        <v>-41</v>
      </c>
    </row>
    <row r="6196" spans="1:3" x14ac:dyDescent="0.25">
      <c r="A6196">
        <v>38</v>
      </c>
      <c r="B6196" t="str">
        <f>"9:00:06.955125"</f>
        <v>9:00:06.955125</v>
      </c>
      <c r="C6196">
        <v>-31</v>
      </c>
    </row>
    <row r="6197" spans="1:3" x14ac:dyDescent="0.25">
      <c r="A6197">
        <v>38</v>
      </c>
      <c r="B6197" t="str">
        <f>"9:00:06.955451"</f>
        <v>9:00:06.955451</v>
      </c>
      <c r="C6197">
        <v>-41</v>
      </c>
    </row>
    <row r="6198" spans="1:3" x14ac:dyDescent="0.25">
      <c r="A6198">
        <v>39</v>
      </c>
      <c r="B6198" t="str">
        <f>"9:00:06.956227"</f>
        <v>9:00:06.956227</v>
      </c>
      <c r="C6198">
        <v>-46</v>
      </c>
    </row>
    <row r="6199" spans="1:3" x14ac:dyDescent="0.25">
      <c r="A6199">
        <v>37</v>
      </c>
      <c r="B6199" t="str">
        <f>"9:00:07.305143"</f>
        <v>9:00:07.305143</v>
      </c>
      <c r="C6199">
        <v>-45</v>
      </c>
    </row>
    <row r="6200" spans="1:3" x14ac:dyDescent="0.25">
      <c r="A6200">
        <v>38</v>
      </c>
      <c r="B6200" t="str">
        <f>"9:00:07.306171"</f>
        <v>9:00:07.306171</v>
      </c>
      <c r="C6200">
        <v>-41</v>
      </c>
    </row>
    <row r="6201" spans="1:3" x14ac:dyDescent="0.25">
      <c r="A6201">
        <v>38</v>
      </c>
      <c r="B6201" t="str">
        <f>"9:00:07.306689"</f>
        <v>9:00:07.306689</v>
      </c>
      <c r="C6201">
        <v>-32</v>
      </c>
    </row>
    <row r="6202" spans="1:3" x14ac:dyDescent="0.25">
      <c r="A6202">
        <v>38</v>
      </c>
      <c r="B6202" t="str">
        <f>"9:00:07.307015"</f>
        <v>9:00:07.307015</v>
      </c>
      <c r="C6202">
        <v>-41</v>
      </c>
    </row>
    <row r="6203" spans="1:3" x14ac:dyDescent="0.25">
      <c r="A6203">
        <v>39</v>
      </c>
      <c r="B6203" t="str">
        <f>"9:00:07.307791"</f>
        <v>9:00:07.307791</v>
      </c>
      <c r="C6203">
        <v>-46</v>
      </c>
    </row>
    <row r="6204" spans="1:3" x14ac:dyDescent="0.25">
      <c r="A6204">
        <v>37</v>
      </c>
      <c r="B6204" t="str">
        <f>"9:00:07.663296"</f>
        <v>9:00:07.663296</v>
      </c>
      <c r="C6204">
        <v>-44</v>
      </c>
    </row>
    <row r="6205" spans="1:3" x14ac:dyDescent="0.25">
      <c r="A6205">
        <v>37</v>
      </c>
      <c r="B6205" t="str">
        <f>"9:00:07.663814"</f>
        <v>9:00:07.663814</v>
      </c>
      <c r="C6205">
        <v>-78</v>
      </c>
    </row>
    <row r="6206" spans="1:3" x14ac:dyDescent="0.25">
      <c r="A6206">
        <v>37</v>
      </c>
      <c r="B6206" t="str">
        <f>"9:00:07.664140"</f>
        <v>9:00:07.664140</v>
      </c>
      <c r="C6206">
        <v>-45</v>
      </c>
    </row>
    <row r="6207" spans="1:3" x14ac:dyDescent="0.25">
      <c r="A6207">
        <v>38</v>
      </c>
      <c r="B6207" t="str">
        <f>"9:00:07.664916"</f>
        <v>9:00:07.664916</v>
      </c>
      <c r="C6207">
        <v>-41</v>
      </c>
    </row>
    <row r="6208" spans="1:3" x14ac:dyDescent="0.25">
      <c r="A6208">
        <v>38</v>
      </c>
      <c r="B6208" t="str">
        <f>"9:00:07.665434"</f>
        <v>9:00:07.665434</v>
      </c>
      <c r="C6208">
        <v>-31</v>
      </c>
    </row>
    <row r="6209" spans="1:3" x14ac:dyDescent="0.25">
      <c r="A6209">
        <v>38</v>
      </c>
      <c r="B6209" t="str">
        <f>"9:00:07.665760"</f>
        <v>9:00:07.665760</v>
      </c>
      <c r="C6209">
        <v>-41</v>
      </c>
    </row>
    <row r="6210" spans="1:3" x14ac:dyDescent="0.25">
      <c r="A6210">
        <v>39</v>
      </c>
      <c r="B6210" t="str">
        <f>"9:00:07.666536"</f>
        <v>9:00:07.666536</v>
      </c>
      <c r="C6210">
        <v>-46</v>
      </c>
    </row>
    <row r="6211" spans="1:3" x14ac:dyDescent="0.25">
      <c r="A6211">
        <v>37</v>
      </c>
      <c r="B6211" t="str">
        <f>"9:00:08.022802"</f>
        <v>9:00:08.022802</v>
      </c>
      <c r="C6211">
        <v>-45</v>
      </c>
    </row>
    <row r="6212" spans="1:3" x14ac:dyDescent="0.25">
      <c r="A6212">
        <v>38</v>
      </c>
      <c r="B6212" t="str">
        <f>"9:00:08.023830"</f>
        <v>9:00:08.023830</v>
      </c>
      <c r="C6212">
        <v>-41</v>
      </c>
    </row>
    <row r="6213" spans="1:3" x14ac:dyDescent="0.25">
      <c r="A6213">
        <v>38</v>
      </c>
      <c r="B6213" t="str">
        <f>"9:00:08.024348"</f>
        <v>9:00:08.024348</v>
      </c>
      <c r="C6213">
        <v>-32</v>
      </c>
    </row>
    <row r="6214" spans="1:3" x14ac:dyDescent="0.25">
      <c r="A6214">
        <v>38</v>
      </c>
      <c r="B6214" t="str">
        <f>"9:00:08.024674"</f>
        <v>9:00:08.024674</v>
      </c>
      <c r="C6214">
        <v>-41</v>
      </c>
    </row>
    <row r="6215" spans="1:3" x14ac:dyDescent="0.25">
      <c r="A6215">
        <v>39</v>
      </c>
      <c r="B6215" t="str">
        <f>"9:00:08.025450"</f>
        <v>9:00:08.025450</v>
      </c>
      <c r="C6215">
        <v>-46</v>
      </c>
    </row>
    <row r="6216" spans="1:3" x14ac:dyDescent="0.25">
      <c r="A6216">
        <v>37</v>
      </c>
      <c r="B6216" t="str">
        <f>"9:00:08.380195"</f>
        <v>9:00:08.380195</v>
      </c>
      <c r="C6216">
        <v>-45</v>
      </c>
    </row>
    <row r="6217" spans="1:3" x14ac:dyDescent="0.25">
      <c r="A6217">
        <v>38</v>
      </c>
      <c r="B6217" t="str">
        <f>"9:00:08.381223"</f>
        <v>9:00:08.381223</v>
      </c>
      <c r="C6217">
        <v>-41</v>
      </c>
    </row>
    <row r="6218" spans="1:3" x14ac:dyDescent="0.25">
      <c r="A6218">
        <v>38</v>
      </c>
      <c r="B6218" t="str">
        <f>"9:00:08.381742"</f>
        <v>9:00:08.381742</v>
      </c>
      <c r="C6218">
        <v>-32</v>
      </c>
    </row>
    <row r="6219" spans="1:3" x14ac:dyDescent="0.25">
      <c r="A6219">
        <v>38</v>
      </c>
      <c r="B6219" t="str">
        <f>"9:00:08.382068"</f>
        <v>9:00:08.382068</v>
      </c>
      <c r="C6219">
        <v>-41</v>
      </c>
    </row>
    <row r="6220" spans="1:3" x14ac:dyDescent="0.25">
      <c r="A6220">
        <v>39</v>
      </c>
      <c r="B6220" t="str">
        <f>"9:00:08.382844"</f>
        <v>9:00:08.382844</v>
      </c>
      <c r="C6220">
        <v>-46</v>
      </c>
    </row>
    <row r="6221" spans="1:3" x14ac:dyDescent="0.25">
      <c r="A6221">
        <v>37</v>
      </c>
      <c r="B6221" t="str">
        <f>"9:00:08.737586"</f>
        <v>9:00:08.737586</v>
      </c>
      <c r="C6221">
        <v>-44</v>
      </c>
    </row>
    <row r="6222" spans="1:3" x14ac:dyDescent="0.25">
      <c r="A6222">
        <v>38</v>
      </c>
      <c r="B6222" t="str">
        <f>"9:00:08.738613"</f>
        <v>9:00:08.738613</v>
      </c>
      <c r="C6222">
        <v>-41</v>
      </c>
    </row>
    <row r="6223" spans="1:3" x14ac:dyDescent="0.25">
      <c r="A6223">
        <v>38</v>
      </c>
      <c r="B6223" t="str">
        <f>"9:00:08.739132"</f>
        <v>9:00:08.739132</v>
      </c>
      <c r="C6223">
        <v>-32</v>
      </c>
    </row>
    <row r="6224" spans="1:3" x14ac:dyDescent="0.25">
      <c r="A6224">
        <v>38</v>
      </c>
      <c r="B6224" t="str">
        <f>"9:00:08.739458"</f>
        <v>9:00:08.739458</v>
      </c>
      <c r="C6224">
        <v>-41</v>
      </c>
    </row>
    <row r="6225" spans="1:3" x14ac:dyDescent="0.25">
      <c r="A6225">
        <v>39</v>
      </c>
      <c r="B6225" t="str">
        <f>"9:00:08.740233"</f>
        <v>9:00:08.740233</v>
      </c>
      <c r="C6225">
        <v>-46</v>
      </c>
    </row>
    <row r="6226" spans="1:3" x14ac:dyDescent="0.25">
      <c r="A6226">
        <v>37</v>
      </c>
      <c r="B6226" t="str">
        <f>"9:00:09.089334"</f>
        <v>9:00:09.089334</v>
      </c>
      <c r="C6226">
        <v>-44</v>
      </c>
    </row>
    <row r="6227" spans="1:3" x14ac:dyDescent="0.25">
      <c r="A6227">
        <v>38</v>
      </c>
      <c r="B6227" t="str">
        <f>"9:00:09.090361"</f>
        <v>9:00:09.090361</v>
      </c>
      <c r="C6227">
        <v>-41</v>
      </c>
    </row>
    <row r="6228" spans="1:3" x14ac:dyDescent="0.25">
      <c r="A6228">
        <v>39</v>
      </c>
      <c r="B6228" t="str">
        <f>"9:00:09.091387"</f>
        <v>9:00:09.091387</v>
      </c>
      <c r="C6228">
        <v>-45</v>
      </c>
    </row>
    <row r="6229" spans="1:3" x14ac:dyDescent="0.25">
      <c r="A6229">
        <v>37</v>
      </c>
      <c r="B6229" t="str">
        <f>"9:00:09.444487"</f>
        <v>9:00:09.444487</v>
      </c>
      <c r="C6229">
        <v>-44</v>
      </c>
    </row>
    <row r="6230" spans="1:3" x14ac:dyDescent="0.25">
      <c r="A6230">
        <v>37</v>
      </c>
      <c r="B6230" t="str">
        <f>"9:00:09.445333"</f>
        <v>9:00:09.445333</v>
      </c>
      <c r="C6230">
        <v>-44</v>
      </c>
    </row>
    <row r="6231" spans="1:3" x14ac:dyDescent="0.25">
      <c r="A6231">
        <v>38</v>
      </c>
      <c r="B6231" t="str">
        <f>"9:00:09.446110"</f>
        <v>9:00:09.446110</v>
      </c>
      <c r="C6231">
        <v>-41</v>
      </c>
    </row>
    <row r="6232" spans="1:3" x14ac:dyDescent="0.25">
      <c r="A6232">
        <v>39</v>
      </c>
      <c r="B6232" t="str">
        <f>"9:00:09.447136"</f>
        <v>9:00:09.447136</v>
      </c>
      <c r="C6232">
        <v>-45</v>
      </c>
    </row>
    <row r="6233" spans="1:3" x14ac:dyDescent="0.25">
      <c r="A6233">
        <v>39</v>
      </c>
      <c r="B6233" t="str">
        <f>"9:00:09.447654"</f>
        <v>9:00:09.447654</v>
      </c>
      <c r="C6233">
        <v>-31</v>
      </c>
    </row>
    <row r="6234" spans="1:3" x14ac:dyDescent="0.25">
      <c r="A6234">
        <v>39</v>
      </c>
      <c r="B6234" t="str">
        <f>"9:00:09.447980"</f>
        <v>9:00:09.447980</v>
      </c>
      <c r="C6234">
        <v>-45</v>
      </c>
    </row>
    <row r="6235" spans="1:3" x14ac:dyDescent="0.25">
      <c r="A6235">
        <v>37</v>
      </c>
      <c r="B6235" t="str">
        <f>"9:00:09.802717"</f>
        <v>9:00:09.802717</v>
      </c>
      <c r="C6235">
        <v>-44</v>
      </c>
    </row>
    <row r="6236" spans="1:3" x14ac:dyDescent="0.25">
      <c r="A6236">
        <v>37</v>
      </c>
      <c r="B6236" t="str">
        <f>"9:00:09.803236"</f>
        <v>9:00:09.803236</v>
      </c>
      <c r="C6236">
        <v>-78</v>
      </c>
    </row>
    <row r="6237" spans="1:3" x14ac:dyDescent="0.25">
      <c r="A6237">
        <v>37</v>
      </c>
      <c r="B6237" t="str">
        <f>"9:00:09.803562"</f>
        <v>9:00:09.803562</v>
      </c>
      <c r="C6237">
        <v>-44</v>
      </c>
    </row>
    <row r="6238" spans="1:3" x14ac:dyDescent="0.25">
      <c r="A6238">
        <v>38</v>
      </c>
      <c r="B6238" t="str">
        <f>"9:00:09.804338"</f>
        <v>9:00:09.804338</v>
      </c>
      <c r="C6238">
        <v>-41</v>
      </c>
    </row>
    <row r="6239" spans="1:3" x14ac:dyDescent="0.25">
      <c r="A6239">
        <v>39</v>
      </c>
      <c r="B6239" t="str">
        <f>"9:00:09.805364"</f>
        <v>9:00:09.805364</v>
      </c>
      <c r="C6239">
        <v>-45</v>
      </c>
    </row>
    <row r="6240" spans="1:3" x14ac:dyDescent="0.25">
      <c r="A6240">
        <v>37</v>
      </c>
      <c r="B6240" t="str">
        <f>"9:00:10.160639"</f>
        <v>9:00:10.160639</v>
      </c>
      <c r="C6240">
        <v>-44</v>
      </c>
    </row>
    <row r="6241" spans="1:3" x14ac:dyDescent="0.25">
      <c r="A6241">
        <v>38</v>
      </c>
      <c r="B6241" t="str">
        <f>"9:00:10.161667"</f>
        <v>9:00:10.161667</v>
      </c>
      <c r="C6241">
        <v>-41</v>
      </c>
    </row>
    <row r="6242" spans="1:3" x14ac:dyDescent="0.25">
      <c r="A6242">
        <v>37</v>
      </c>
      <c r="B6242" t="str">
        <f>"9:00:10.518581"</f>
        <v>9:00:10.518581</v>
      </c>
      <c r="C6242">
        <v>-44</v>
      </c>
    </row>
    <row r="6243" spans="1:3" x14ac:dyDescent="0.25">
      <c r="A6243">
        <v>38</v>
      </c>
      <c r="B6243" t="str">
        <f>"9:00:10.519608"</f>
        <v>9:00:10.519608</v>
      </c>
      <c r="C6243">
        <v>-41</v>
      </c>
    </row>
    <row r="6244" spans="1:3" x14ac:dyDescent="0.25">
      <c r="A6244">
        <v>39</v>
      </c>
      <c r="B6244" t="str">
        <f>"9:00:10.520634"</f>
        <v>9:00:10.520634</v>
      </c>
      <c r="C6244">
        <v>-46</v>
      </c>
    </row>
    <row r="6245" spans="1:3" x14ac:dyDescent="0.25">
      <c r="A6245">
        <v>39</v>
      </c>
      <c r="B6245" t="str">
        <f>"9:00:10.521152"</f>
        <v>9:00:10.521152</v>
      </c>
      <c r="C6245">
        <v>-31</v>
      </c>
    </row>
    <row r="6246" spans="1:3" x14ac:dyDescent="0.25">
      <c r="A6246">
        <v>39</v>
      </c>
      <c r="B6246" t="str">
        <f>"9:00:10.521479"</f>
        <v>9:00:10.521479</v>
      </c>
      <c r="C6246">
        <v>-45</v>
      </c>
    </row>
    <row r="6247" spans="1:3" x14ac:dyDescent="0.25">
      <c r="A6247">
        <v>37</v>
      </c>
      <c r="B6247" t="str">
        <f>"9:00:10.876728"</f>
        <v>9:00:10.876728</v>
      </c>
      <c r="C6247">
        <v>-44</v>
      </c>
    </row>
    <row r="6248" spans="1:3" x14ac:dyDescent="0.25">
      <c r="A6248">
        <v>38</v>
      </c>
      <c r="B6248" t="str">
        <f>"9:00:10.877756"</f>
        <v>9:00:10.877756</v>
      </c>
      <c r="C6248">
        <v>-41</v>
      </c>
    </row>
    <row r="6249" spans="1:3" x14ac:dyDescent="0.25">
      <c r="A6249">
        <v>38</v>
      </c>
      <c r="B6249" t="str">
        <f>"9:00:10.878275"</f>
        <v>9:00:10.878275</v>
      </c>
      <c r="C6249">
        <v>-73</v>
      </c>
    </row>
    <row r="6250" spans="1:3" x14ac:dyDescent="0.25">
      <c r="A6250">
        <v>38</v>
      </c>
      <c r="B6250" t="str">
        <f>"9:00:10.878601"</f>
        <v>9:00:10.878601</v>
      </c>
      <c r="C6250">
        <v>-41</v>
      </c>
    </row>
    <row r="6251" spans="1:3" x14ac:dyDescent="0.25">
      <c r="A6251">
        <v>39</v>
      </c>
      <c r="B6251" t="str">
        <f>"9:00:10.879377"</f>
        <v>9:00:10.879377</v>
      </c>
      <c r="C6251">
        <v>-46</v>
      </c>
    </row>
    <row r="6252" spans="1:3" x14ac:dyDescent="0.25">
      <c r="A6252">
        <v>39</v>
      </c>
      <c r="B6252" t="str">
        <f>"9:00:10.879895"</f>
        <v>9:00:10.879895</v>
      </c>
      <c r="C6252">
        <v>-31</v>
      </c>
    </row>
    <row r="6253" spans="1:3" x14ac:dyDescent="0.25">
      <c r="A6253">
        <v>39</v>
      </c>
      <c r="B6253" t="str">
        <f>"9:00:10.880221"</f>
        <v>9:00:10.880221</v>
      </c>
      <c r="C6253">
        <v>-45</v>
      </c>
    </row>
    <row r="6254" spans="1:3" x14ac:dyDescent="0.25">
      <c r="A6254">
        <v>37</v>
      </c>
      <c r="B6254" t="str">
        <f>"9:00:11.229073"</f>
        <v>9:00:11.229073</v>
      </c>
      <c r="C6254">
        <v>-44</v>
      </c>
    </row>
    <row r="6255" spans="1:3" x14ac:dyDescent="0.25">
      <c r="A6255">
        <v>38</v>
      </c>
      <c r="B6255" t="str">
        <f>"9:00:11.230100"</f>
        <v>9:00:11.230100</v>
      </c>
      <c r="C6255">
        <v>-41</v>
      </c>
    </row>
    <row r="6256" spans="1:3" x14ac:dyDescent="0.25">
      <c r="A6256">
        <v>39</v>
      </c>
      <c r="B6256" t="str">
        <f>"9:00:11.231126"</f>
        <v>9:00:11.231126</v>
      </c>
      <c r="C6256">
        <v>-46</v>
      </c>
    </row>
    <row r="6257" spans="1:3" x14ac:dyDescent="0.25">
      <c r="A6257">
        <v>39</v>
      </c>
      <c r="B6257" t="str">
        <f>"9:00:11.231645"</f>
        <v>9:00:11.231645</v>
      </c>
      <c r="C6257">
        <v>-31</v>
      </c>
    </row>
    <row r="6258" spans="1:3" x14ac:dyDescent="0.25">
      <c r="A6258">
        <v>39</v>
      </c>
      <c r="B6258" t="str">
        <f>"9:00:11.231970"</f>
        <v>9:00:11.231970</v>
      </c>
      <c r="C6258">
        <v>-45</v>
      </c>
    </row>
    <row r="6259" spans="1:3" x14ac:dyDescent="0.25">
      <c r="A6259">
        <v>37</v>
      </c>
      <c r="B6259" t="str">
        <f>"9:00:11.585466"</f>
        <v>9:00:11.585466</v>
      </c>
      <c r="C6259">
        <v>-44</v>
      </c>
    </row>
    <row r="6260" spans="1:3" x14ac:dyDescent="0.25">
      <c r="A6260">
        <v>38</v>
      </c>
      <c r="B6260" t="str">
        <f>"9:00:11.586493"</f>
        <v>9:00:11.586493</v>
      </c>
      <c r="C6260">
        <v>-41</v>
      </c>
    </row>
    <row r="6261" spans="1:3" x14ac:dyDescent="0.25">
      <c r="A6261">
        <v>39</v>
      </c>
      <c r="B6261" t="str">
        <f>"9:00:11.587654"</f>
        <v>9:00:11.587654</v>
      </c>
      <c r="C6261">
        <v>-46</v>
      </c>
    </row>
    <row r="6262" spans="1:3" x14ac:dyDescent="0.25">
      <c r="A6262">
        <v>39</v>
      </c>
      <c r="B6262" t="str">
        <f>"9:00:11.588173"</f>
        <v>9:00:11.588173</v>
      </c>
      <c r="C6262">
        <v>-31</v>
      </c>
    </row>
    <row r="6263" spans="1:3" x14ac:dyDescent="0.25">
      <c r="A6263">
        <v>39</v>
      </c>
      <c r="B6263" t="str">
        <f>"9:00:11.588499"</f>
        <v>9:00:11.588499</v>
      </c>
      <c r="C6263">
        <v>-45</v>
      </c>
    </row>
    <row r="6264" spans="1:3" x14ac:dyDescent="0.25">
      <c r="A6264">
        <v>37</v>
      </c>
      <c r="B6264" t="str">
        <f>"9:00:11.941087"</f>
        <v>9:00:11.941087</v>
      </c>
      <c r="C6264">
        <v>-44</v>
      </c>
    </row>
    <row r="6265" spans="1:3" x14ac:dyDescent="0.25">
      <c r="A6265">
        <v>38</v>
      </c>
      <c r="B6265" t="str">
        <f>"9:00:11.942115"</f>
        <v>9:00:11.942115</v>
      </c>
      <c r="C6265">
        <v>-41</v>
      </c>
    </row>
    <row r="6266" spans="1:3" x14ac:dyDescent="0.25">
      <c r="A6266">
        <v>39</v>
      </c>
      <c r="B6266" t="str">
        <f>"9:00:11.943141"</f>
        <v>9:00:11.943141</v>
      </c>
      <c r="C6266">
        <v>-46</v>
      </c>
    </row>
    <row r="6267" spans="1:3" x14ac:dyDescent="0.25">
      <c r="A6267">
        <v>39</v>
      </c>
      <c r="B6267" t="str">
        <f>"9:00:11.943659"</f>
        <v>9:00:11.943659</v>
      </c>
      <c r="C6267">
        <v>-31</v>
      </c>
    </row>
    <row r="6268" spans="1:3" x14ac:dyDescent="0.25">
      <c r="A6268">
        <v>39</v>
      </c>
      <c r="B6268" t="str">
        <f>"9:00:11.943985"</f>
        <v>9:00:11.943985</v>
      </c>
      <c r="C6268">
        <v>-46</v>
      </c>
    </row>
    <row r="6269" spans="1:3" x14ac:dyDescent="0.25">
      <c r="A6269">
        <v>37</v>
      </c>
      <c r="B6269" t="str">
        <f>"9:00:12.294969"</f>
        <v>9:00:12.294969</v>
      </c>
      <c r="C6269">
        <v>-44</v>
      </c>
    </row>
    <row r="6270" spans="1:3" x14ac:dyDescent="0.25">
      <c r="A6270">
        <v>38</v>
      </c>
      <c r="B6270" t="str">
        <f>"9:00:12.295996"</f>
        <v>9:00:12.295996</v>
      </c>
      <c r="C6270">
        <v>-41</v>
      </c>
    </row>
    <row r="6271" spans="1:3" x14ac:dyDescent="0.25">
      <c r="A6271">
        <v>39</v>
      </c>
      <c r="B6271" t="str">
        <f>"9:00:12.297023"</f>
        <v>9:00:12.297023</v>
      </c>
      <c r="C6271">
        <v>-46</v>
      </c>
    </row>
    <row r="6272" spans="1:3" x14ac:dyDescent="0.25">
      <c r="A6272">
        <v>37</v>
      </c>
      <c r="B6272" t="str">
        <f>"9:00:12.645489"</f>
        <v>9:00:12.645489</v>
      </c>
      <c r="C6272">
        <v>-44</v>
      </c>
    </row>
    <row r="6273" spans="1:3" x14ac:dyDescent="0.25">
      <c r="A6273">
        <v>38</v>
      </c>
      <c r="B6273" t="str">
        <f>"9:00:12.646649"</f>
        <v>9:00:12.646649</v>
      </c>
      <c r="C6273">
        <v>-41</v>
      </c>
    </row>
    <row r="6274" spans="1:3" x14ac:dyDescent="0.25">
      <c r="A6274">
        <v>39</v>
      </c>
      <c r="B6274" t="str">
        <f>"9:00:12.647675"</f>
        <v>9:00:12.647675</v>
      </c>
      <c r="C6274">
        <v>-46</v>
      </c>
    </row>
    <row r="6275" spans="1:3" x14ac:dyDescent="0.25">
      <c r="A6275">
        <v>39</v>
      </c>
      <c r="B6275" t="str">
        <f>"9:00:12.648193"</f>
        <v>9:00:12.648193</v>
      </c>
      <c r="C6275">
        <v>-31</v>
      </c>
    </row>
    <row r="6276" spans="1:3" x14ac:dyDescent="0.25">
      <c r="A6276">
        <v>39</v>
      </c>
      <c r="B6276" t="str">
        <f>"9:00:12.648519"</f>
        <v>9:00:12.648519</v>
      </c>
      <c r="C6276">
        <v>-45</v>
      </c>
    </row>
    <row r="6277" spans="1:3" x14ac:dyDescent="0.25">
      <c r="A6277">
        <v>37</v>
      </c>
      <c r="B6277" t="str">
        <f>"9:00:13.003930"</f>
        <v>9:00:13.003930</v>
      </c>
      <c r="C6277">
        <v>-44</v>
      </c>
    </row>
    <row r="6278" spans="1:3" x14ac:dyDescent="0.25">
      <c r="A6278">
        <v>38</v>
      </c>
      <c r="B6278" t="str">
        <f>"9:00:13.004957"</f>
        <v>9:00:13.004957</v>
      </c>
      <c r="C6278">
        <v>-41</v>
      </c>
    </row>
    <row r="6279" spans="1:3" x14ac:dyDescent="0.25">
      <c r="A6279">
        <v>39</v>
      </c>
      <c r="B6279" t="str">
        <f>"9:00:13.005983"</f>
        <v>9:00:13.005983</v>
      </c>
      <c r="C6279">
        <v>-46</v>
      </c>
    </row>
    <row r="6280" spans="1:3" x14ac:dyDescent="0.25">
      <c r="A6280">
        <v>39</v>
      </c>
      <c r="B6280" t="str">
        <f>"9:00:13.006501"</f>
        <v>9:00:13.006501</v>
      </c>
      <c r="C6280">
        <v>-31</v>
      </c>
    </row>
    <row r="6281" spans="1:3" x14ac:dyDescent="0.25">
      <c r="A6281">
        <v>39</v>
      </c>
      <c r="B6281" t="str">
        <f>"9:00:13.006827"</f>
        <v>9:00:13.006827</v>
      </c>
      <c r="C6281">
        <v>-45</v>
      </c>
    </row>
    <row r="6282" spans="1:3" x14ac:dyDescent="0.25">
      <c r="A6282">
        <v>37</v>
      </c>
      <c r="B6282" t="str">
        <f>"9:00:13.361367"</f>
        <v>9:00:13.361367</v>
      </c>
      <c r="C6282">
        <v>-44</v>
      </c>
    </row>
    <row r="6283" spans="1:3" x14ac:dyDescent="0.25">
      <c r="A6283">
        <v>38</v>
      </c>
      <c r="B6283" t="str">
        <f>"9:00:13.362394"</f>
        <v>9:00:13.362394</v>
      </c>
      <c r="C6283">
        <v>-41</v>
      </c>
    </row>
    <row r="6284" spans="1:3" x14ac:dyDescent="0.25">
      <c r="A6284">
        <v>39</v>
      </c>
      <c r="B6284" t="str">
        <f>"9:00:13.363420"</f>
        <v>9:00:13.363420</v>
      </c>
      <c r="C6284">
        <v>-46</v>
      </c>
    </row>
    <row r="6285" spans="1:3" x14ac:dyDescent="0.25">
      <c r="A6285">
        <v>39</v>
      </c>
      <c r="B6285" t="str">
        <f>"9:00:13.363938"</f>
        <v>9:00:13.363938</v>
      </c>
      <c r="C6285">
        <v>-31</v>
      </c>
    </row>
    <row r="6286" spans="1:3" x14ac:dyDescent="0.25">
      <c r="A6286">
        <v>39</v>
      </c>
      <c r="B6286" t="str">
        <f>"9:00:13.364264"</f>
        <v>9:00:13.364264</v>
      </c>
      <c r="C6286">
        <v>-45</v>
      </c>
    </row>
    <row r="6287" spans="1:3" x14ac:dyDescent="0.25">
      <c r="A6287">
        <v>37</v>
      </c>
      <c r="B6287" t="str">
        <f>"9:00:13.718803"</f>
        <v>9:00:13.718803</v>
      </c>
      <c r="C6287">
        <v>-44</v>
      </c>
    </row>
    <row r="6288" spans="1:3" x14ac:dyDescent="0.25">
      <c r="A6288">
        <v>38</v>
      </c>
      <c r="B6288" t="str">
        <f>"9:00:13.719830"</f>
        <v>9:00:13.719830</v>
      </c>
      <c r="C6288">
        <v>-41</v>
      </c>
    </row>
    <row r="6289" spans="1:3" x14ac:dyDescent="0.25">
      <c r="A6289">
        <v>39</v>
      </c>
      <c r="B6289" t="str">
        <f>"9:00:13.720856"</f>
        <v>9:00:13.720856</v>
      </c>
      <c r="C6289">
        <v>-46</v>
      </c>
    </row>
    <row r="6290" spans="1:3" x14ac:dyDescent="0.25">
      <c r="A6290">
        <v>39</v>
      </c>
      <c r="B6290" t="str">
        <f>"9:00:13.721374"</f>
        <v>9:00:13.721374</v>
      </c>
      <c r="C6290">
        <v>-31</v>
      </c>
    </row>
    <row r="6291" spans="1:3" x14ac:dyDescent="0.25">
      <c r="A6291">
        <v>39</v>
      </c>
      <c r="B6291" t="str">
        <f>"9:00:13.721700"</f>
        <v>9:00:13.721700</v>
      </c>
      <c r="C6291">
        <v>-45</v>
      </c>
    </row>
    <row r="6292" spans="1:3" x14ac:dyDescent="0.25">
      <c r="A6292">
        <v>37</v>
      </c>
      <c r="B6292" t="str">
        <f>"9:00:14.076465"</f>
        <v>9:00:14.076465</v>
      </c>
      <c r="C6292">
        <v>-44</v>
      </c>
    </row>
    <row r="6293" spans="1:3" x14ac:dyDescent="0.25">
      <c r="A6293">
        <v>38</v>
      </c>
      <c r="B6293" t="str">
        <f>"9:00:14.077493"</f>
        <v>9:00:14.077493</v>
      </c>
      <c r="C6293">
        <v>-41</v>
      </c>
    </row>
    <row r="6294" spans="1:3" x14ac:dyDescent="0.25">
      <c r="A6294">
        <v>39</v>
      </c>
      <c r="B6294" t="str">
        <f>"9:00:14.078519"</f>
        <v>9:00:14.078519</v>
      </c>
      <c r="C6294">
        <v>-46</v>
      </c>
    </row>
    <row r="6295" spans="1:3" x14ac:dyDescent="0.25">
      <c r="A6295">
        <v>39</v>
      </c>
      <c r="B6295" t="str">
        <f>"9:00:14.079037"</f>
        <v>9:00:14.079037</v>
      </c>
      <c r="C6295">
        <v>-31</v>
      </c>
    </row>
    <row r="6296" spans="1:3" x14ac:dyDescent="0.25">
      <c r="A6296">
        <v>39</v>
      </c>
      <c r="B6296" t="str">
        <f>"9:00:14.079363"</f>
        <v>9:00:14.079363</v>
      </c>
      <c r="C6296">
        <v>-45</v>
      </c>
    </row>
    <row r="6297" spans="1:3" x14ac:dyDescent="0.25">
      <c r="A6297">
        <v>37</v>
      </c>
      <c r="B6297" t="str">
        <f>"9:00:14.432605"</f>
        <v>9:00:14.432605</v>
      </c>
      <c r="C6297">
        <v>-44</v>
      </c>
    </row>
    <row r="6298" spans="1:3" x14ac:dyDescent="0.25">
      <c r="A6298">
        <v>37</v>
      </c>
      <c r="B6298" t="str">
        <f>"9:00:14.433124"</f>
        <v>9:00:14.433124</v>
      </c>
      <c r="C6298">
        <v>-40</v>
      </c>
    </row>
    <row r="6299" spans="1:3" x14ac:dyDescent="0.25">
      <c r="A6299">
        <v>37</v>
      </c>
      <c r="B6299" t="str">
        <f>"9:00:14.433450"</f>
        <v>9:00:14.433450</v>
      </c>
      <c r="C6299">
        <v>-44</v>
      </c>
    </row>
    <row r="6300" spans="1:3" x14ac:dyDescent="0.25">
      <c r="A6300">
        <v>38</v>
      </c>
      <c r="B6300" t="str">
        <f>"9:00:14.434226"</f>
        <v>9:00:14.434226</v>
      </c>
      <c r="C6300">
        <v>-41</v>
      </c>
    </row>
    <row r="6301" spans="1:3" x14ac:dyDescent="0.25">
      <c r="A6301">
        <v>39</v>
      </c>
      <c r="B6301" t="str">
        <f>"9:00:14.435252"</f>
        <v>9:00:14.435252</v>
      </c>
      <c r="C6301">
        <v>-46</v>
      </c>
    </row>
    <row r="6302" spans="1:3" x14ac:dyDescent="0.25">
      <c r="A6302">
        <v>37</v>
      </c>
      <c r="B6302" t="str">
        <f>"9:00:14.783591"</f>
        <v>9:00:14.783591</v>
      </c>
      <c r="C6302">
        <v>-44</v>
      </c>
    </row>
    <row r="6303" spans="1:3" x14ac:dyDescent="0.25">
      <c r="A6303">
        <v>37</v>
      </c>
      <c r="B6303" t="str">
        <f>"9:00:14.784110"</f>
        <v>9:00:14.784110</v>
      </c>
      <c r="C6303">
        <v>-40</v>
      </c>
    </row>
    <row r="6304" spans="1:3" x14ac:dyDescent="0.25">
      <c r="A6304">
        <v>37</v>
      </c>
      <c r="B6304" t="str">
        <f>"9:00:14.784435"</f>
        <v>9:00:14.784435</v>
      </c>
      <c r="C6304">
        <v>-44</v>
      </c>
    </row>
    <row r="6305" spans="1:3" x14ac:dyDescent="0.25">
      <c r="A6305">
        <v>38</v>
      </c>
      <c r="B6305" t="str">
        <f>"9:00:14.785212"</f>
        <v>9:00:14.785212</v>
      </c>
      <c r="C6305">
        <v>-41</v>
      </c>
    </row>
    <row r="6306" spans="1:3" x14ac:dyDescent="0.25">
      <c r="A6306">
        <v>39</v>
      </c>
      <c r="B6306" t="str">
        <f>"9:00:14.786238"</f>
        <v>9:00:14.786238</v>
      </c>
      <c r="C6306">
        <v>-45</v>
      </c>
    </row>
    <row r="6307" spans="1:3" x14ac:dyDescent="0.25">
      <c r="A6307">
        <v>37</v>
      </c>
      <c r="B6307" t="str">
        <f>"9:00:15.135933"</f>
        <v>9:00:15.135933</v>
      </c>
      <c r="C6307">
        <v>-44</v>
      </c>
    </row>
    <row r="6308" spans="1:3" x14ac:dyDescent="0.25">
      <c r="A6308">
        <v>37</v>
      </c>
      <c r="B6308" t="str">
        <f>"9:00:15.136452"</f>
        <v>9:00:15.136452</v>
      </c>
      <c r="C6308">
        <v>-40</v>
      </c>
    </row>
    <row r="6309" spans="1:3" x14ac:dyDescent="0.25">
      <c r="A6309">
        <v>37</v>
      </c>
      <c r="B6309" t="str">
        <f>"9:00:15.136778"</f>
        <v>9:00:15.136778</v>
      </c>
      <c r="C6309">
        <v>-44</v>
      </c>
    </row>
    <row r="6310" spans="1:3" x14ac:dyDescent="0.25">
      <c r="A6310">
        <v>38</v>
      </c>
      <c r="B6310" t="str">
        <f>"9:00:15.137554"</f>
        <v>9:00:15.137554</v>
      </c>
      <c r="C6310">
        <v>-41</v>
      </c>
    </row>
    <row r="6311" spans="1:3" x14ac:dyDescent="0.25">
      <c r="A6311">
        <v>39</v>
      </c>
      <c r="B6311" t="str">
        <f>"9:00:15.138580"</f>
        <v>9:00:15.138580</v>
      </c>
      <c r="C6311">
        <v>-46</v>
      </c>
    </row>
    <row r="6312" spans="1:3" x14ac:dyDescent="0.25">
      <c r="A6312">
        <v>37</v>
      </c>
      <c r="B6312" t="str">
        <f>"9:00:15.486975"</f>
        <v>9:00:15.486975</v>
      </c>
      <c r="C6312">
        <v>-44</v>
      </c>
    </row>
    <row r="6313" spans="1:3" x14ac:dyDescent="0.25">
      <c r="A6313">
        <v>38</v>
      </c>
      <c r="B6313" t="str">
        <f>"9:00:15.488002"</f>
        <v>9:00:15.488002</v>
      </c>
      <c r="C6313">
        <v>-41</v>
      </c>
    </row>
    <row r="6314" spans="1:3" x14ac:dyDescent="0.25">
      <c r="A6314">
        <v>39</v>
      </c>
      <c r="B6314" t="str">
        <f>"9:00:15.489028"</f>
        <v>9:00:15.489028</v>
      </c>
      <c r="C6314">
        <v>-46</v>
      </c>
    </row>
    <row r="6315" spans="1:3" x14ac:dyDescent="0.25">
      <c r="A6315">
        <v>37</v>
      </c>
      <c r="B6315" t="str">
        <f>"9:00:15.843590"</f>
        <v>9:00:15.843590</v>
      </c>
      <c r="C6315">
        <v>-44</v>
      </c>
    </row>
    <row r="6316" spans="1:3" x14ac:dyDescent="0.25">
      <c r="A6316">
        <v>37</v>
      </c>
      <c r="B6316" t="str">
        <f>"9:00:15.844109"</f>
        <v>9:00:15.844109</v>
      </c>
      <c r="C6316">
        <v>-39</v>
      </c>
    </row>
    <row r="6317" spans="1:3" x14ac:dyDescent="0.25">
      <c r="A6317">
        <v>37</v>
      </c>
      <c r="B6317" t="str">
        <f>"9:00:15.844435"</f>
        <v>9:00:15.844435</v>
      </c>
      <c r="C6317">
        <v>-44</v>
      </c>
    </row>
    <row r="6318" spans="1:3" x14ac:dyDescent="0.25">
      <c r="A6318">
        <v>38</v>
      </c>
      <c r="B6318" t="str">
        <f>"9:00:15.845212"</f>
        <v>9:00:15.845212</v>
      </c>
      <c r="C6318">
        <v>-41</v>
      </c>
    </row>
    <row r="6319" spans="1:3" x14ac:dyDescent="0.25">
      <c r="A6319">
        <v>38</v>
      </c>
      <c r="B6319" t="str">
        <f>"9:00:15.846057"</f>
        <v>9:00:15.846057</v>
      </c>
      <c r="C6319">
        <v>-41</v>
      </c>
    </row>
    <row r="6320" spans="1:3" x14ac:dyDescent="0.25">
      <c r="A6320">
        <v>39</v>
      </c>
      <c r="B6320" t="str">
        <f>"9:00:15.846833"</f>
        <v>9:00:15.846833</v>
      </c>
      <c r="C6320">
        <v>-46</v>
      </c>
    </row>
    <row r="6321" spans="1:3" x14ac:dyDescent="0.25">
      <c r="A6321">
        <v>37</v>
      </c>
      <c r="B6321" t="str">
        <f>"9:00:16.202813"</f>
        <v>9:00:16.202813</v>
      </c>
      <c r="C6321">
        <v>-44</v>
      </c>
    </row>
    <row r="6322" spans="1:3" x14ac:dyDescent="0.25">
      <c r="A6322">
        <v>38</v>
      </c>
      <c r="B6322" t="str">
        <f>"9:00:16.203840"</f>
        <v>9:00:16.203840</v>
      </c>
      <c r="C6322">
        <v>-41</v>
      </c>
    </row>
    <row r="6323" spans="1:3" x14ac:dyDescent="0.25">
      <c r="A6323">
        <v>39</v>
      </c>
      <c r="B6323" t="str">
        <f>"9:00:16.204866"</f>
        <v>9:00:16.204866</v>
      </c>
      <c r="C6323">
        <v>-46</v>
      </c>
    </row>
    <row r="6324" spans="1:3" x14ac:dyDescent="0.25">
      <c r="A6324">
        <v>37</v>
      </c>
      <c r="B6324" t="str">
        <f>"9:00:16.561001"</f>
        <v>9:00:16.561001</v>
      </c>
      <c r="C6324">
        <v>-44</v>
      </c>
    </row>
    <row r="6325" spans="1:3" x14ac:dyDescent="0.25">
      <c r="A6325">
        <v>37</v>
      </c>
      <c r="B6325" t="str">
        <f>"9:00:16.561520"</f>
        <v>9:00:16.561520</v>
      </c>
      <c r="C6325">
        <v>-39</v>
      </c>
    </row>
    <row r="6326" spans="1:3" x14ac:dyDescent="0.25">
      <c r="A6326">
        <v>37</v>
      </c>
      <c r="B6326" t="str">
        <f>"9:00:16.561845"</f>
        <v>9:00:16.561845</v>
      </c>
      <c r="C6326">
        <v>-45</v>
      </c>
    </row>
    <row r="6327" spans="1:3" x14ac:dyDescent="0.25">
      <c r="A6327">
        <v>38</v>
      </c>
      <c r="B6327" t="str">
        <f>"9:00:16.562622"</f>
        <v>9:00:16.562622</v>
      </c>
      <c r="C6327">
        <v>-41</v>
      </c>
    </row>
    <row r="6328" spans="1:3" x14ac:dyDescent="0.25">
      <c r="A6328">
        <v>39</v>
      </c>
      <c r="B6328" t="str">
        <f>"9:00:16.563648"</f>
        <v>9:00:16.563648</v>
      </c>
      <c r="C6328">
        <v>-46</v>
      </c>
    </row>
    <row r="6329" spans="1:3" x14ac:dyDescent="0.25">
      <c r="A6329">
        <v>37</v>
      </c>
      <c r="B6329" t="str">
        <f>"9:00:16.913267"</f>
        <v>9:00:16.913267</v>
      </c>
      <c r="C6329">
        <v>-45</v>
      </c>
    </row>
    <row r="6330" spans="1:3" x14ac:dyDescent="0.25">
      <c r="A6330">
        <v>37</v>
      </c>
      <c r="B6330" t="str">
        <f>"9:00:16.913786"</f>
        <v>9:00:16.913786</v>
      </c>
      <c r="C6330">
        <v>-38</v>
      </c>
    </row>
    <row r="6331" spans="1:3" x14ac:dyDescent="0.25">
      <c r="A6331">
        <v>37</v>
      </c>
      <c r="B6331" t="str">
        <f>"9:00:16.914112"</f>
        <v>9:00:16.914112</v>
      </c>
      <c r="C6331">
        <v>-45</v>
      </c>
    </row>
    <row r="6332" spans="1:3" x14ac:dyDescent="0.25">
      <c r="A6332">
        <v>38</v>
      </c>
      <c r="B6332" t="str">
        <f>"9:00:16.914888"</f>
        <v>9:00:16.914888</v>
      </c>
      <c r="C6332">
        <v>-41</v>
      </c>
    </row>
    <row r="6333" spans="1:3" x14ac:dyDescent="0.25">
      <c r="A6333">
        <v>39</v>
      </c>
      <c r="B6333" t="str">
        <f>"9:00:16.915914"</f>
        <v>9:00:16.915914</v>
      </c>
      <c r="C6333">
        <v>-45</v>
      </c>
    </row>
    <row r="6334" spans="1:3" x14ac:dyDescent="0.25">
      <c r="A6334">
        <v>37</v>
      </c>
      <c r="B6334" t="str">
        <f>"9:00:17.265302"</f>
        <v>9:00:17.265302</v>
      </c>
      <c r="C6334">
        <v>-44</v>
      </c>
    </row>
    <row r="6335" spans="1:3" x14ac:dyDescent="0.25">
      <c r="A6335">
        <v>37</v>
      </c>
      <c r="B6335" t="str">
        <f>"9:00:17.265821"</f>
        <v>9:00:17.265821</v>
      </c>
      <c r="C6335">
        <v>-38</v>
      </c>
    </row>
    <row r="6336" spans="1:3" x14ac:dyDescent="0.25">
      <c r="A6336">
        <v>37</v>
      </c>
      <c r="B6336" t="str">
        <f>"9:00:17.266146"</f>
        <v>9:00:17.266146</v>
      </c>
      <c r="C6336">
        <v>-44</v>
      </c>
    </row>
    <row r="6337" spans="1:3" x14ac:dyDescent="0.25">
      <c r="A6337">
        <v>38</v>
      </c>
      <c r="B6337" t="str">
        <f>"9:00:17.266923"</f>
        <v>9:00:17.266923</v>
      </c>
      <c r="C6337">
        <v>-41</v>
      </c>
    </row>
    <row r="6338" spans="1:3" x14ac:dyDescent="0.25">
      <c r="A6338">
        <v>39</v>
      </c>
      <c r="B6338" t="str">
        <f>"9:00:17.267949"</f>
        <v>9:00:17.267949</v>
      </c>
      <c r="C6338">
        <v>-45</v>
      </c>
    </row>
    <row r="6339" spans="1:3" x14ac:dyDescent="0.25">
      <c r="A6339">
        <v>37</v>
      </c>
      <c r="B6339" t="str">
        <f>"9:00:17.620158"</f>
        <v>9:00:17.620158</v>
      </c>
      <c r="C6339">
        <v>-44</v>
      </c>
    </row>
    <row r="6340" spans="1:3" x14ac:dyDescent="0.25">
      <c r="A6340">
        <v>37</v>
      </c>
      <c r="B6340" t="str">
        <f>"9:00:17.620676"</f>
        <v>9:00:17.620676</v>
      </c>
      <c r="C6340">
        <v>-38</v>
      </c>
    </row>
    <row r="6341" spans="1:3" x14ac:dyDescent="0.25">
      <c r="A6341">
        <v>37</v>
      </c>
      <c r="B6341" t="str">
        <f>"9:00:17.621002"</f>
        <v>9:00:17.621002</v>
      </c>
      <c r="C6341">
        <v>-44</v>
      </c>
    </row>
    <row r="6342" spans="1:3" x14ac:dyDescent="0.25">
      <c r="A6342">
        <v>38</v>
      </c>
      <c r="B6342" t="str">
        <f>"9:00:17.621778"</f>
        <v>9:00:17.621778</v>
      </c>
      <c r="C6342">
        <v>-41</v>
      </c>
    </row>
    <row r="6343" spans="1:3" x14ac:dyDescent="0.25">
      <c r="A6343">
        <v>39</v>
      </c>
      <c r="B6343" t="str">
        <f>"9:00:17.622804"</f>
        <v>9:00:17.622804</v>
      </c>
      <c r="C6343">
        <v>-45</v>
      </c>
    </row>
    <row r="6344" spans="1:3" x14ac:dyDescent="0.25">
      <c r="A6344">
        <v>39</v>
      </c>
      <c r="B6344" t="str">
        <f>"9:00:17.623650"</f>
        <v>9:00:17.623650</v>
      </c>
      <c r="C6344">
        <v>-45</v>
      </c>
    </row>
    <row r="6345" spans="1:3" x14ac:dyDescent="0.25">
      <c r="A6345">
        <v>37</v>
      </c>
      <c r="B6345" t="str">
        <f>"9:00:17.979648"</f>
        <v>9:00:17.979648</v>
      </c>
      <c r="C6345">
        <v>-44</v>
      </c>
    </row>
    <row r="6346" spans="1:3" x14ac:dyDescent="0.25">
      <c r="A6346">
        <v>37</v>
      </c>
      <c r="B6346" t="str">
        <f>"9:00:17.980166"</f>
        <v>9:00:17.980166</v>
      </c>
      <c r="C6346">
        <v>-38</v>
      </c>
    </row>
    <row r="6347" spans="1:3" x14ac:dyDescent="0.25">
      <c r="A6347">
        <v>37</v>
      </c>
      <c r="B6347" t="str">
        <f>"9:00:17.980492"</f>
        <v>9:00:17.980492</v>
      </c>
      <c r="C6347">
        <v>-44</v>
      </c>
    </row>
    <row r="6348" spans="1:3" x14ac:dyDescent="0.25">
      <c r="A6348">
        <v>38</v>
      </c>
      <c r="B6348" t="str">
        <f>"9:00:17.981268"</f>
        <v>9:00:17.981268</v>
      </c>
      <c r="C6348">
        <v>-41</v>
      </c>
    </row>
    <row r="6349" spans="1:3" x14ac:dyDescent="0.25">
      <c r="A6349">
        <v>39</v>
      </c>
      <c r="B6349" t="str">
        <f>"9:00:17.982294"</f>
        <v>9:00:17.982294</v>
      </c>
      <c r="C6349">
        <v>-45</v>
      </c>
    </row>
    <row r="6350" spans="1:3" x14ac:dyDescent="0.25">
      <c r="A6350">
        <v>37</v>
      </c>
      <c r="B6350" t="str">
        <f>"9:00:18.330104"</f>
        <v>9:00:18.330104</v>
      </c>
      <c r="C6350">
        <v>-44</v>
      </c>
    </row>
    <row r="6351" spans="1:3" x14ac:dyDescent="0.25">
      <c r="A6351">
        <v>37</v>
      </c>
      <c r="B6351" t="str">
        <f>"9:00:18.330622"</f>
        <v>9:00:18.330622</v>
      </c>
      <c r="C6351">
        <v>-40</v>
      </c>
    </row>
    <row r="6352" spans="1:3" x14ac:dyDescent="0.25">
      <c r="A6352">
        <v>37</v>
      </c>
      <c r="B6352" t="str">
        <f>"9:00:18.330948"</f>
        <v>9:00:18.330948</v>
      </c>
      <c r="C6352">
        <v>-44</v>
      </c>
    </row>
    <row r="6353" spans="1:3" x14ac:dyDescent="0.25">
      <c r="A6353">
        <v>38</v>
      </c>
      <c r="B6353" t="str">
        <f>"9:00:18.331724"</f>
        <v>9:00:18.331724</v>
      </c>
      <c r="C6353">
        <v>-41</v>
      </c>
    </row>
    <row r="6354" spans="1:3" x14ac:dyDescent="0.25">
      <c r="A6354">
        <v>39</v>
      </c>
      <c r="B6354" t="str">
        <f>"9:00:18.332750"</f>
        <v>9:00:18.332750</v>
      </c>
      <c r="C6354">
        <v>-45</v>
      </c>
    </row>
    <row r="6355" spans="1:3" x14ac:dyDescent="0.25">
      <c r="A6355">
        <v>37</v>
      </c>
      <c r="B6355" t="str">
        <f>"9:00:18.690060"</f>
        <v>9:00:18.690060</v>
      </c>
      <c r="C6355">
        <v>-44</v>
      </c>
    </row>
    <row r="6356" spans="1:3" x14ac:dyDescent="0.25">
      <c r="A6356">
        <v>37</v>
      </c>
      <c r="B6356" t="str">
        <f>"9:00:18.690578"</f>
        <v>9:00:18.690578</v>
      </c>
      <c r="C6356">
        <v>-37</v>
      </c>
    </row>
    <row r="6357" spans="1:3" x14ac:dyDescent="0.25">
      <c r="A6357">
        <v>37</v>
      </c>
      <c r="B6357" t="str">
        <f>"9:00:18.690904"</f>
        <v>9:00:18.690904</v>
      </c>
      <c r="C6357">
        <v>-44</v>
      </c>
    </row>
    <row r="6358" spans="1:3" x14ac:dyDescent="0.25">
      <c r="A6358">
        <v>38</v>
      </c>
      <c r="B6358" t="str">
        <f>"9:00:18.691680"</f>
        <v>9:00:18.691680</v>
      </c>
      <c r="C6358">
        <v>-41</v>
      </c>
    </row>
    <row r="6359" spans="1:3" x14ac:dyDescent="0.25">
      <c r="A6359">
        <v>38</v>
      </c>
      <c r="B6359" t="str">
        <f>"9:00:18.692525"</f>
        <v>9:00:18.692525</v>
      </c>
      <c r="C6359">
        <v>-41</v>
      </c>
    </row>
    <row r="6360" spans="1:3" x14ac:dyDescent="0.25">
      <c r="A6360">
        <v>39</v>
      </c>
      <c r="B6360" t="str">
        <f>"9:00:18.693301"</f>
        <v>9:00:18.693301</v>
      </c>
      <c r="C6360">
        <v>-45</v>
      </c>
    </row>
    <row r="6361" spans="1:3" x14ac:dyDescent="0.25">
      <c r="A6361">
        <v>37</v>
      </c>
      <c r="B6361" t="str">
        <f>"9:00:19.041056"</f>
        <v>9:00:19.041056</v>
      </c>
      <c r="C6361">
        <v>-44</v>
      </c>
    </row>
    <row r="6362" spans="1:3" x14ac:dyDescent="0.25">
      <c r="A6362">
        <v>37</v>
      </c>
      <c r="B6362" t="str">
        <f>"9:00:19.041575"</f>
        <v>9:00:19.041575</v>
      </c>
      <c r="C6362">
        <v>-40</v>
      </c>
    </row>
    <row r="6363" spans="1:3" x14ac:dyDescent="0.25">
      <c r="A6363">
        <v>37</v>
      </c>
      <c r="B6363" t="str">
        <f>"9:00:19.041900"</f>
        <v>9:00:19.041900</v>
      </c>
      <c r="C6363">
        <v>-44</v>
      </c>
    </row>
    <row r="6364" spans="1:3" x14ac:dyDescent="0.25">
      <c r="A6364">
        <v>38</v>
      </c>
      <c r="B6364" t="str">
        <f>"9:00:19.042677"</f>
        <v>9:00:19.042677</v>
      </c>
      <c r="C6364">
        <v>-41</v>
      </c>
    </row>
    <row r="6365" spans="1:3" x14ac:dyDescent="0.25">
      <c r="A6365">
        <v>39</v>
      </c>
      <c r="B6365" t="str">
        <f>"9:00:19.043703"</f>
        <v>9:00:19.043703</v>
      </c>
      <c r="C6365">
        <v>-46</v>
      </c>
    </row>
    <row r="6366" spans="1:3" x14ac:dyDescent="0.25">
      <c r="A6366">
        <v>37</v>
      </c>
      <c r="B6366" t="str">
        <f>"9:00:19.393874"</f>
        <v>9:00:19.393874</v>
      </c>
      <c r="C6366">
        <v>-44</v>
      </c>
    </row>
    <row r="6367" spans="1:3" x14ac:dyDescent="0.25">
      <c r="A6367">
        <v>37</v>
      </c>
      <c r="B6367" t="str">
        <f>"9:00:19.394393"</f>
        <v>9:00:19.394393</v>
      </c>
      <c r="C6367">
        <v>-41</v>
      </c>
    </row>
    <row r="6368" spans="1:3" x14ac:dyDescent="0.25">
      <c r="A6368">
        <v>37</v>
      </c>
      <c r="B6368" t="str">
        <f>"9:00:19.394719"</f>
        <v>9:00:19.394719</v>
      </c>
      <c r="C6368">
        <v>-44</v>
      </c>
    </row>
    <row r="6369" spans="1:3" x14ac:dyDescent="0.25">
      <c r="A6369">
        <v>38</v>
      </c>
      <c r="B6369" t="str">
        <f>"9:00:19.395495"</f>
        <v>9:00:19.395495</v>
      </c>
      <c r="C6369">
        <v>-41</v>
      </c>
    </row>
    <row r="6370" spans="1:3" x14ac:dyDescent="0.25">
      <c r="A6370">
        <v>39</v>
      </c>
      <c r="B6370" t="str">
        <f>"9:00:19.396521"</f>
        <v>9:00:19.396521</v>
      </c>
      <c r="C6370">
        <v>-46</v>
      </c>
    </row>
    <row r="6371" spans="1:3" x14ac:dyDescent="0.25">
      <c r="A6371">
        <v>37</v>
      </c>
      <c r="B6371" t="str">
        <f>"9:00:19.749252"</f>
        <v>9:00:19.749252</v>
      </c>
      <c r="C6371">
        <v>-44</v>
      </c>
    </row>
    <row r="6372" spans="1:3" x14ac:dyDescent="0.25">
      <c r="A6372">
        <v>38</v>
      </c>
      <c r="B6372" t="str">
        <f>"9:00:19.750280"</f>
        <v>9:00:19.750280</v>
      </c>
      <c r="C6372">
        <v>-41</v>
      </c>
    </row>
    <row r="6373" spans="1:3" x14ac:dyDescent="0.25">
      <c r="A6373">
        <v>38</v>
      </c>
      <c r="B6373" t="str">
        <f>"9:00:19.750799"</f>
        <v>9:00:19.750799</v>
      </c>
      <c r="C6373">
        <v>-33</v>
      </c>
    </row>
    <row r="6374" spans="1:3" x14ac:dyDescent="0.25">
      <c r="A6374">
        <v>38</v>
      </c>
      <c r="B6374" t="str">
        <f>"9:00:19.751125"</f>
        <v>9:00:19.751125</v>
      </c>
      <c r="C6374">
        <v>-41</v>
      </c>
    </row>
    <row r="6375" spans="1:3" x14ac:dyDescent="0.25">
      <c r="A6375">
        <v>39</v>
      </c>
      <c r="B6375" t="str">
        <f>"9:00:19.751901"</f>
        <v>9:00:19.751901</v>
      </c>
      <c r="C6375">
        <v>-45</v>
      </c>
    </row>
    <row r="6376" spans="1:3" x14ac:dyDescent="0.25">
      <c r="A6376">
        <v>37</v>
      </c>
      <c r="B6376" t="str">
        <f>"9:00:20.101828"</f>
        <v>9:00:20.101828</v>
      </c>
      <c r="C6376">
        <v>-44</v>
      </c>
    </row>
    <row r="6377" spans="1:3" x14ac:dyDescent="0.25">
      <c r="A6377">
        <v>38</v>
      </c>
      <c r="B6377" t="str">
        <f>"9:00:20.102855"</f>
        <v>9:00:20.102855</v>
      </c>
      <c r="C6377">
        <v>-41</v>
      </c>
    </row>
    <row r="6378" spans="1:3" x14ac:dyDescent="0.25">
      <c r="A6378">
        <v>38</v>
      </c>
      <c r="B6378" t="str">
        <f>"9:00:20.103374"</f>
        <v>9:00:20.103374</v>
      </c>
      <c r="C6378">
        <v>-32</v>
      </c>
    </row>
    <row r="6379" spans="1:3" x14ac:dyDescent="0.25">
      <c r="A6379">
        <v>38</v>
      </c>
      <c r="B6379" t="str">
        <f>"9:00:20.103699"</f>
        <v>9:00:20.103699</v>
      </c>
      <c r="C6379">
        <v>-41</v>
      </c>
    </row>
    <row r="6380" spans="1:3" x14ac:dyDescent="0.25">
      <c r="A6380">
        <v>39</v>
      </c>
      <c r="B6380" t="str">
        <f>"9:00:20.104475"</f>
        <v>9:00:20.104475</v>
      </c>
      <c r="C6380">
        <v>-45</v>
      </c>
    </row>
    <row r="6381" spans="1:3" x14ac:dyDescent="0.25">
      <c r="A6381">
        <v>37</v>
      </c>
      <c r="B6381" t="str">
        <f>"9:00:20.454598"</f>
        <v>9:00:20.454598</v>
      </c>
      <c r="C6381">
        <v>-44</v>
      </c>
    </row>
    <row r="6382" spans="1:3" x14ac:dyDescent="0.25">
      <c r="A6382">
        <v>38</v>
      </c>
      <c r="B6382" t="str">
        <f>"9:00:20.455625"</f>
        <v>9:00:20.455625</v>
      </c>
      <c r="C6382">
        <v>-41</v>
      </c>
    </row>
    <row r="6383" spans="1:3" x14ac:dyDescent="0.25">
      <c r="A6383">
        <v>38</v>
      </c>
      <c r="B6383" t="str">
        <f>"9:00:20.456144"</f>
        <v>9:00:20.456144</v>
      </c>
      <c r="C6383">
        <v>-32</v>
      </c>
    </row>
    <row r="6384" spans="1:3" x14ac:dyDescent="0.25">
      <c r="A6384">
        <v>38</v>
      </c>
      <c r="B6384" t="str">
        <f>"9:00:20.456470"</f>
        <v>9:00:20.456470</v>
      </c>
      <c r="C6384">
        <v>-41</v>
      </c>
    </row>
    <row r="6385" spans="1:3" x14ac:dyDescent="0.25">
      <c r="A6385">
        <v>39</v>
      </c>
      <c r="B6385" t="str">
        <f>"9:00:20.457246"</f>
        <v>9:00:20.457246</v>
      </c>
      <c r="C6385">
        <v>-45</v>
      </c>
    </row>
    <row r="6386" spans="1:3" x14ac:dyDescent="0.25">
      <c r="A6386">
        <v>37</v>
      </c>
      <c r="B6386" t="str">
        <f>"9:00:20.808441"</f>
        <v>9:00:20.808441</v>
      </c>
      <c r="C6386">
        <v>-44</v>
      </c>
    </row>
    <row r="6387" spans="1:3" x14ac:dyDescent="0.25">
      <c r="A6387">
        <v>38</v>
      </c>
      <c r="B6387" t="str">
        <f>"9:00:20.809469"</f>
        <v>9:00:20.809469</v>
      </c>
      <c r="C6387">
        <v>-41</v>
      </c>
    </row>
    <row r="6388" spans="1:3" x14ac:dyDescent="0.25">
      <c r="A6388">
        <v>38</v>
      </c>
      <c r="B6388" t="str">
        <f>"9:00:20.809987"</f>
        <v>9:00:20.809987</v>
      </c>
      <c r="C6388">
        <v>-32</v>
      </c>
    </row>
    <row r="6389" spans="1:3" x14ac:dyDescent="0.25">
      <c r="A6389">
        <v>38</v>
      </c>
      <c r="B6389" t="str">
        <f>"9:00:20.810313"</f>
        <v>9:00:20.810313</v>
      </c>
      <c r="C6389">
        <v>-41</v>
      </c>
    </row>
    <row r="6390" spans="1:3" x14ac:dyDescent="0.25">
      <c r="A6390">
        <v>39</v>
      </c>
      <c r="B6390" t="str">
        <f>"9:00:20.811089"</f>
        <v>9:00:20.811089</v>
      </c>
      <c r="C6390">
        <v>-45</v>
      </c>
    </row>
    <row r="6391" spans="1:3" x14ac:dyDescent="0.25">
      <c r="A6391">
        <v>37</v>
      </c>
      <c r="B6391" t="str">
        <f>"9:00:21.161266"</f>
        <v>9:00:21.161266</v>
      </c>
      <c r="C6391">
        <v>-44</v>
      </c>
    </row>
    <row r="6392" spans="1:3" x14ac:dyDescent="0.25">
      <c r="A6392">
        <v>38</v>
      </c>
      <c r="B6392" t="str">
        <f>"9:00:21.162293"</f>
        <v>9:00:21.162293</v>
      </c>
      <c r="C6392">
        <v>-41</v>
      </c>
    </row>
    <row r="6393" spans="1:3" x14ac:dyDescent="0.25">
      <c r="A6393">
        <v>38</v>
      </c>
      <c r="B6393" t="str">
        <f>"9:00:21.162811"</f>
        <v>9:00:21.162811</v>
      </c>
      <c r="C6393">
        <v>-32</v>
      </c>
    </row>
    <row r="6394" spans="1:3" x14ac:dyDescent="0.25">
      <c r="A6394">
        <v>38</v>
      </c>
      <c r="B6394" t="str">
        <f>"9:00:21.163137"</f>
        <v>9:00:21.163137</v>
      </c>
      <c r="C6394">
        <v>-41</v>
      </c>
    </row>
    <row r="6395" spans="1:3" x14ac:dyDescent="0.25">
      <c r="A6395">
        <v>39</v>
      </c>
      <c r="B6395" t="str">
        <f>"9:00:21.163913"</f>
        <v>9:00:21.163913</v>
      </c>
      <c r="C6395">
        <v>-45</v>
      </c>
    </row>
    <row r="6396" spans="1:3" x14ac:dyDescent="0.25">
      <c r="A6396">
        <v>37</v>
      </c>
      <c r="B6396" t="str">
        <f>"9:00:21.517392"</f>
        <v>9:00:21.517392</v>
      </c>
      <c r="C6396">
        <v>-44</v>
      </c>
    </row>
    <row r="6397" spans="1:3" x14ac:dyDescent="0.25">
      <c r="A6397">
        <v>38</v>
      </c>
      <c r="B6397" t="str">
        <f>"9:00:21.518419"</f>
        <v>9:00:21.518419</v>
      </c>
      <c r="C6397">
        <v>-41</v>
      </c>
    </row>
    <row r="6398" spans="1:3" x14ac:dyDescent="0.25">
      <c r="A6398">
        <v>39</v>
      </c>
      <c r="B6398" t="str">
        <f>"9:00:21.519445"</f>
        <v>9:00:21.519445</v>
      </c>
      <c r="C6398">
        <v>-45</v>
      </c>
    </row>
    <row r="6399" spans="1:3" x14ac:dyDescent="0.25">
      <c r="A6399">
        <v>37</v>
      </c>
      <c r="B6399" t="str">
        <f>"9:00:21.875826"</f>
        <v>9:00:21.875826</v>
      </c>
      <c r="C6399">
        <v>-44</v>
      </c>
    </row>
    <row r="6400" spans="1:3" x14ac:dyDescent="0.25">
      <c r="A6400">
        <v>38</v>
      </c>
      <c r="B6400" t="str">
        <f>"9:00:21.876854"</f>
        <v>9:00:21.876854</v>
      </c>
      <c r="C6400">
        <v>-41</v>
      </c>
    </row>
    <row r="6401" spans="1:3" x14ac:dyDescent="0.25">
      <c r="A6401">
        <v>38</v>
      </c>
      <c r="B6401" t="str">
        <f>"9:00:21.877372"</f>
        <v>9:00:21.877372</v>
      </c>
      <c r="C6401">
        <v>-32</v>
      </c>
    </row>
    <row r="6402" spans="1:3" x14ac:dyDescent="0.25">
      <c r="A6402">
        <v>38</v>
      </c>
      <c r="B6402" t="str">
        <f>"9:00:21.877698"</f>
        <v>9:00:21.877698</v>
      </c>
      <c r="C6402">
        <v>-41</v>
      </c>
    </row>
    <row r="6403" spans="1:3" x14ac:dyDescent="0.25">
      <c r="A6403">
        <v>39</v>
      </c>
      <c r="B6403" t="str">
        <f>"9:00:21.878474"</f>
        <v>9:00:21.878474</v>
      </c>
      <c r="C6403">
        <v>-45</v>
      </c>
    </row>
    <row r="6404" spans="1:3" x14ac:dyDescent="0.25">
      <c r="A6404">
        <v>37</v>
      </c>
      <c r="B6404" t="str">
        <f>"9:00:22.231139"</f>
        <v>9:00:22.231139</v>
      </c>
      <c r="C6404">
        <v>-44</v>
      </c>
    </row>
    <row r="6405" spans="1:3" x14ac:dyDescent="0.25">
      <c r="A6405">
        <v>38</v>
      </c>
      <c r="B6405" t="str">
        <f>"9:00:22.232166"</f>
        <v>9:00:22.232166</v>
      </c>
      <c r="C6405">
        <v>-41</v>
      </c>
    </row>
    <row r="6406" spans="1:3" x14ac:dyDescent="0.25">
      <c r="A6406">
        <v>38</v>
      </c>
      <c r="B6406" t="str">
        <f>"9:00:22.232684"</f>
        <v>9:00:22.232684</v>
      </c>
      <c r="C6406">
        <v>-32</v>
      </c>
    </row>
    <row r="6407" spans="1:3" x14ac:dyDescent="0.25">
      <c r="A6407">
        <v>38</v>
      </c>
      <c r="B6407" t="str">
        <f>"9:00:22.233010"</f>
        <v>9:00:22.233010</v>
      </c>
      <c r="C6407">
        <v>-41</v>
      </c>
    </row>
    <row r="6408" spans="1:3" x14ac:dyDescent="0.25">
      <c r="A6408">
        <v>39</v>
      </c>
      <c r="B6408" t="str">
        <f>"9:00:22.233786"</f>
        <v>9:00:22.233786</v>
      </c>
      <c r="C6408">
        <v>-45</v>
      </c>
    </row>
    <row r="6409" spans="1:3" x14ac:dyDescent="0.25">
      <c r="A6409">
        <v>37</v>
      </c>
      <c r="B6409" t="str">
        <f>"9:00:22.581601"</f>
        <v>9:00:22.581601</v>
      </c>
      <c r="C6409">
        <v>-44</v>
      </c>
    </row>
    <row r="6410" spans="1:3" x14ac:dyDescent="0.25">
      <c r="A6410">
        <v>38</v>
      </c>
      <c r="B6410" t="str">
        <f>"9:00:22.582628"</f>
        <v>9:00:22.582628</v>
      </c>
      <c r="C6410">
        <v>-41</v>
      </c>
    </row>
    <row r="6411" spans="1:3" x14ac:dyDescent="0.25">
      <c r="A6411">
        <v>38</v>
      </c>
      <c r="B6411" t="str">
        <f>"9:00:22.583146"</f>
        <v>9:00:22.583146</v>
      </c>
      <c r="C6411">
        <v>-32</v>
      </c>
    </row>
    <row r="6412" spans="1:3" x14ac:dyDescent="0.25">
      <c r="A6412">
        <v>38</v>
      </c>
      <c r="B6412" t="str">
        <f>"9:00:22.583472"</f>
        <v>9:00:22.583472</v>
      </c>
      <c r="C6412">
        <v>-41</v>
      </c>
    </row>
    <row r="6413" spans="1:3" x14ac:dyDescent="0.25">
      <c r="A6413">
        <v>39</v>
      </c>
      <c r="B6413" t="str">
        <f>"9:00:22.584248"</f>
        <v>9:00:22.584248</v>
      </c>
      <c r="C6413">
        <v>-45</v>
      </c>
    </row>
    <row r="6414" spans="1:3" x14ac:dyDescent="0.25">
      <c r="A6414">
        <v>37</v>
      </c>
      <c r="B6414" t="str">
        <f>"9:00:22.938794"</f>
        <v>9:00:22.938794</v>
      </c>
      <c r="C6414">
        <v>-44</v>
      </c>
    </row>
    <row r="6415" spans="1:3" x14ac:dyDescent="0.25">
      <c r="A6415">
        <v>38</v>
      </c>
      <c r="B6415" t="str">
        <f>"9:00:22.939822"</f>
        <v>9:00:22.939822</v>
      </c>
      <c r="C6415">
        <v>-41</v>
      </c>
    </row>
    <row r="6416" spans="1:3" x14ac:dyDescent="0.25">
      <c r="A6416">
        <v>38</v>
      </c>
      <c r="B6416" t="str">
        <f>"9:00:22.940341"</f>
        <v>9:00:22.940341</v>
      </c>
      <c r="C6416">
        <v>-32</v>
      </c>
    </row>
    <row r="6417" spans="1:3" x14ac:dyDescent="0.25">
      <c r="A6417">
        <v>38</v>
      </c>
      <c r="B6417" t="str">
        <f>"9:00:22.940667"</f>
        <v>9:00:22.940667</v>
      </c>
      <c r="C6417">
        <v>-41</v>
      </c>
    </row>
    <row r="6418" spans="1:3" x14ac:dyDescent="0.25">
      <c r="A6418">
        <v>39</v>
      </c>
      <c r="B6418" t="str">
        <f>"9:00:22.941443"</f>
        <v>9:00:22.941443</v>
      </c>
      <c r="C6418">
        <v>-45</v>
      </c>
    </row>
    <row r="6419" spans="1:3" x14ac:dyDescent="0.25">
      <c r="A6419">
        <v>37</v>
      </c>
      <c r="B6419" t="str">
        <f>"9:00:23.289031"</f>
        <v>9:00:23.289031</v>
      </c>
      <c r="C6419">
        <v>-44</v>
      </c>
    </row>
    <row r="6420" spans="1:3" x14ac:dyDescent="0.25">
      <c r="A6420">
        <v>38</v>
      </c>
      <c r="B6420" t="str">
        <f>"9:00:23.290058"</f>
        <v>9:00:23.290058</v>
      </c>
      <c r="C6420">
        <v>-41</v>
      </c>
    </row>
    <row r="6421" spans="1:3" x14ac:dyDescent="0.25">
      <c r="A6421">
        <v>38</v>
      </c>
      <c r="B6421" t="str">
        <f>"9:00:23.290577"</f>
        <v>9:00:23.290577</v>
      </c>
      <c r="C6421">
        <v>-32</v>
      </c>
    </row>
    <row r="6422" spans="1:3" x14ac:dyDescent="0.25">
      <c r="A6422">
        <v>38</v>
      </c>
      <c r="B6422" t="str">
        <f>"9:00:23.290902"</f>
        <v>9:00:23.290902</v>
      </c>
      <c r="C6422">
        <v>-41</v>
      </c>
    </row>
    <row r="6423" spans="1:3" x14ac:dyDescent="0.25">
      <c r="A6423">
        <v>39</v>
      </c>
      <c r="B6423" t="str">
        <f>"9:00:23.291678"</f>
        <v>9:00:23.291678</v>
      </c>
      <c r="C6423">
        <v>-45</v>
      </c>
    </row>
    <row r="6424" spans="1:3" x14ac:dyDescent="0.25">
      <c r="A6424">
        <v>37</v>
      </c>
      <c r="B6424" t="str">
        <f>"9:00:23.641618"</f>
        <v>9:00:23.641618</v>
      </c>
      <c r="C6424">
        <v>-44</v>
      </c>
    </row>
    <row r="6425" spans="1:3" x14ac:dyDescent="0.25">
      <c r="A6425">
        <v>38</v>
      </c>
      <c r="B6425" t="str">
        <f>"9:00:23.642646"</f>
        <v>9:00:23.642646</v>
      </c>
      <c r="C6425">
        <v>-41</v>
      </c>
    </row>
    <row r="6426" spans="1:3" x14ac:dyDescent="0.25">
      <c r="A6426">
        <v>38</v>
      </c>
      <c r="B6426" t="str">
        <f>"9:00:23.643165"</f>
        <v>9:00:23.643165</v>
      </c>
      <c r="C6426">
        <v>-32</v>
      </c>
    </row>
    <row r="6427" spans="1:3" x14ac:dyDescent="0.25">
      <c r="A6427">
        <v>38</v>
      </c>
      <c r="B6427" t="str">
        <f>"9:00:23.643491"</f>
        <v>9:00:23.643491</v>
      </c>
      <c r="C6427">
        <v>-41</v>
      </c>
    </row>
    <row r="6428" spans="1:3" x14ac:dyDescent="0.25">
      <c r="A6428">
        <v>39</v>
      </c>
      <c r="B6428" t="str">
        <f>"9:00:23.644267"</f>
        <v>9:00:23.644267</v>
      </c>
      <c r="C6428">
        <v>-45</v>
      </c>
    </row>
    <row r="6429" spans="1:3" x14ac:dyDescent="0.25">
      <c r="A6429">
        <v>37</v>
      </c>
      <c r="B6429" t="str">
        <f>"9:00:23.992624"</f>
        <v>9:00:23.992624</v>
      </c>
      <c r="C6429">
        <v>-44</v>
      </c>
    </row>
    <row r="6430" spans="1:3" x14ac:dyDescent="0.25">
      <c r="A6430">
        <v>38</v>
      </c>
      <c r="B6430" t="str">
        <f>"9:00:23.993652"</f>
        <v>9:00:23.993652</v>
      </c>
      <c r="C6430">
        <v>-41</v>
      </c>
    </row>
    <row r="6431" spans="1:3" x14ac:dyDescent="0.25">
      <c r="A6431">
        <v>38</v>
      </c>
      <c r="B6431" t="str">
        <f>"9:00:23.994170"</f>
        <v>9:00:23.994170</v>
      </c>
      <c r="C6431">
        <v>-32</v>
      </c>
    </row>
    <row r="6432" spans="1:3" x14ac:dyDescent="0.25">
      <c r="A6432">
        <v>38</v>
      </c>
      <c r="B6432" t="str">
        <f>"9:00:23.994496"</f>
        <v>9:00:23.994496</v>
      </c>
      <c r="C6432">
        <v>-41</v>
      </c>
    </row>
    <row r="6433" spans="1:3" x14ac:dyDescent="0.25">
      <c r="A6433">
        <v>39</v>
      </c>
      <c r="B6433" t="str">
        <f>"9:00:23.995272"</f>
        <v>9:00:23.995272</v>
      </c>
      <c r="C6433">
        <v>-45</v>
      </c>
    </row>
    <row r="6434" spans="1:3" x14ac:dyDescent="0.25">
      <c r="A6434">
        <v>37</v>
      </c>
      <c r="B6434" t="str">
        <f>"9:00:24.347445"</f>
        <v>9:00:24.347445</v>
      </c>
      <c r="C6434">
        <v>-44</v>
      </c>
    </row>
    <row r="6435" spans="1:3" x14ac:dyDescent="0.25">
      <c r="A6435">
        <v>38</v>
      </c>
      <c r="B6435" t="str">
        <f>"9:00:24.348473"</f>
        <v>9:00:24.348473</v>
      </c>
      <c r="C6435">
        <v>-41</v>
      </c>
    </row>
    <row r="6436" spans="1:3" x14ac:dyDescent="0.25">
      <c r="A6436">
        <v>38</v>
      </c>
      <c r="B6436" t="str">
        <f>"9:00:24.348991"</f>
        <v>9:00:24.348991</v>
      </c>
      <c r="C6436">
        <v>-32</v>
      </c>
    </row>
    <row r="6437" spans="1:3" x14ac:dyDescent="0.25">
      <c r="A6437">
        <v>38</v>
      </c>
      <c r="B6437" t="str">
        <f>"9:00:24.349317"</f>
        <v>9:00:24.349317</v>
      </c>
      <c r="C6437">
        <v>-41</v>
      </c>
    </row>
    <row r="6438" spans="1:3" x14ac:dyDescent="0.25">
      <c r="A6438">
        <v>39</v>
      </c>
      <c r="B6438" t="str">
        <f>"9:00:24.350093"</f>
        <v>9:00:24.350093</v>
      </c>
      <c r="C6438">
        <v>-45</v>
      </c>
    </row>
    <row r="6439" spans="1:3" x14ac:dyDescent="0.25">
      <c r="A6439">
        <v>37</v>
      </c>
      <c r="B6439" t="str">
        <f>"9:00:24.703107"</f>
        <v>9:00:24.703107</v>
      </c>
      <c r="C6439">
        <v>-44</v>
      </c>
    </row>
    <row r="6440" spans="1:3" x14ac:dyDescent="0.25">
      <c r="A6440">
        <v>38</v>
      </c>
      <c r="B6440" t="str">
        <f>"9:00:24.704134"</f>
        <v>9:00:24.704134</v>
      </c>
      <c r="C6440">
        <v>-41</v>
      </c>
    </row>
    <row r="6441" spans="1:3" x14ac:dyDescent="0.25">
      <c r="A6441">
        <v>39</v>
      </c>
      <c r="B6441" t="str">
        <f>"9:00:24.705160"</f>
        <v>9:00:24.705160</v>
      </c>
      <c r="C6441">
        <v>-45</v>
      </c>
    </row>
    <row r="6442" spans="1:3" x14ac:dyDescent="0.25">
      <c r="A6442">
        <v>39</v>
      </c>
      <c r="B6442" t="str">
        <f>"9:00:24.705678"</f>
        <v>9:00:24.705678</v>
      </c>
      <c r="C6442">
        <v>-31</v>
      </c>
    </row>
    <row r="6443" spans="1:3" x14ac:dyDescent="0.25">
      <c r="A6443">
        <v>39</v>
      </c>
      <c r="B6443" t="str">
        <f>"9:00:24.706004"</f>
        <v>9:00:24.706004</v>
      </c>
      <c r="C6443">
        <v>-45</v>
      </c>
    </row>
    <row r="6444" spans="1:3" x14ac:dyDescent="0.25">
      <c r="A6444">
        <v>37</v>
      </c>
      <c r="B6444" t="str">
        <f>"9:00:25.057207"</f>
        <v>9:00:25.057207</v>
      </c>
      <c r="C6444">
        <v>-44</v>
      </c>
    </row>
    <row r="6445" spans="1:3" x14ac:dyDescent="0.25">
      <c r="A6445">
        <v>38</v>
      </c>
      <c r="B6445" t="str">
        <f>"9:00:25.058234"</f>
        <v>9:00:25.058234</v>
      </c>
      <c r="C6445">
        <v>-41</v>
      </c>
    </row>
    <row r="6446" spans="1:3" x14ac:dyDescent="0.25">
      <c r="A6446">
        <v>39</v>
      </c>
      <c r="B6446" t="str">
        <f>"9:00:25.059260"</f>
        <v>9:00:25.059260</v>
      </c>
      <c r="C6446">
        <v>-45</v>
      </c>
    </row>
    <row r="6447" spans="1:3" x14ac:dyDescent="0.25">
      <c r="A6447">
        <v>39</v>
      </c>
      <c r="B6447" t="str">
        <f>"9:00:25.059778"</f>
        <v>9:00:25.059778</v>
      </c>
      <c r="C6447">
        <v>-31</v>
      </c>
    </row>
    <row r="6448" spans="1:3" x14ac:dyDescent="0.25">
      <c r="A6448">
        <v>39</v>
      </c>
      <c r="B6448" t="str">
        <f>"9:00:25.060104"</f>
        <v>9:00:25.060104</v>
      </c>
      <c r="C6448">
        <v>-45</v>
      </c>
    </row>
    <row r="6449" spans="1:3" x14ac:dyDescent="0.25">
      <c r="A6449">
        <v>37</v>
      </c>
      <c r="B6449" t="str">
        <f>"9:00:25.416424"</f>
        <v>9:00:25.416424</v>
      </c>
      <c r="C6449">
        <v>-44</v>
      </c>
    </row>
    <row r="6450" spans="1:3" x14ac:dyDescent="0.25">
      <c r="A6450">
        <v>38</v>
      </c>
      <c r="B6450" t="str">
        <f>"9:00:25.417451"</f>
        <v>9:00:25.417451</v>
      </c>
      <c r="C6450">
        <v>-41</v>
      </c>
    </row>
    <row r="6451" spans="1:3" x14ac:dyDescent="0.25">
      <c r="A6451">
        <v>39</v>
      </c>
      <c r="B6451" t="str">
        <f>"9:00:25.418477"</f>
        <v>9:00:25.418477</v>
      </c>
      <c r="C6451">
        <v>-45</v>
      </c>
    </row>
    <row r="6452" spans="1:3" x14ac:dyDescent="0.25">
      <c r="A6452">
        <v>39</v>
      </c>
      <c r="B6452" t="str">
        <f>"9:00:25.418995"</f>
        <v>9:00:25.418995</v>
      </c>
      <c r="C6452">
        <v>-31</v>
      </c>
    </row>
    <row r="6453" spans="1:3" x14ac:dyDescent="0.25">
      <c r="A6453">
        <v>39</v>
      </c>
      <c r="B6453" t="str">
        <f>"9:00:25.419321"</f>
        <v>9:00:25.419321</v>
      </c>
      <c r="C6453">
        <v>-45</v>
      </c>
    </row>
    <row r="6454" spans="1:3" x14ac:dyDescent="0.25">
      <c r="A6454">
        <v>37</v>
      </c>
      <c r="B6454" t="str">
        <f>"9:00:25.773541"</f>
        <v>9:00:25.773541</v>
      </c>
      <c r="C6454">
        <v>-44</v>
      </c>
    </row>
    <row r="6455" spans="1:3" x14ac:dyDescent="0.25">
      <c r="A6455">
        <v>38</v>
      </c>
      <c r="B6455" t="str">
        <f>"9:00:25.774568"</f>
        <v>9:00:25.774568</v>
      </c>
      <c r="C6455">
        <v>-41</v>
      </c>
    </row>
    <row r="6456" spans="1:3" x14ac:dyDescent="0.25">
      <c r="A6456">
        <v>39</v>
      </c>
      <c r="B6456" t="str">
        <f>"9:00:25.775594"</f>
        <v>9:00:25.775594</v>
      </c>
      <c r="C6456">
        <v>-46</v>
      </c>
    </row>
    <row r="6457" spans="1:3" x14ac:dyDescent="0.25">
      <c r="A6457">
        <v>39</v>
      </c>
      <c r="B6457" t="str">
        <f>"9:00:25.776112"</f>
        <v>9:00:25.776112</v>
      </c>
      <c r="C6457">
        <v>-31</v>
      </c>
    </row>
    <row r="6458" spans="1:3" x14ac:dyDescent="0.25">
      <c r="A6458">
        <v>39</v>
      </c>
      <c r="B6458" t="str">
        <f>"9:00:25.776438"</f>
        <v>9:00:25.776438</v>
      </c>
      <c r="C6458">
        <v>-45</v>
      </c>
    </row>
    <row r="6459" spans="1:3" x14ac:dyDescent="0.25">
      <c r="A6459">
        <v>37</v>
      </c>
      <c r="B6459" t="str">
        <f>"9:00:26.128596"</f>
        <v>9:00:26.128596</v>
      </c>
      <c r="C6459">
        <v>-44</v>
      </c>
    </row>
    <row r="6460" spans="1:3" x14ac:dyDescent="0.25">
      <c r="A6460">
        <v>38</v>
      </c>
      <c r="B6460" t="str">
        <f>"9:00:26.129624"</f>
        <v>9:00:26.129624</v>
      </c>
      <c r="C6460">
        <v>-41</v>
      </c>
    </row>
    <row r="6461" spans="1:3" x14ac:dyDescent="0.25">
      <c r="A6461">
        <v>39</v>
      </c>
      <c r="B6461" t="str">
        <f>"9:00:26.130650"</f>
        <v>9:00:26.130650</v>
      </c>
      <c r="C6461">
        <v>-46</v>
      </c>
    </row>
    <row r="6462" spans="1:3" x14ac:dyDescent="0.25">
      <c r="A6462">
        <v>37</v>
      </c>
      <c r="B6462" t="str">
        <f>"9:00:26.479301"</f>
        <v>9:00:26.479301</v>
      </c>
      <c r="C6462">
        <v>-44</v>
      </c>
    </row>
    <row r="6463" spans="1:3" x14ac:dyDescent="0.25">
      <c r="A6463">
        <v>38</v>
      </c>
      <c r="B6463" t="str">
        <f>"9:00:26.480328"</f>
        <v>9:00:26.480328</v>
      </c>
      <c r="C6463">
        <v>-41</v>
      </c>
    </row>
    <row r="6464" spans="1:3" x14ac:dyDescent="0.25">
      <c r="A6464">
        <v>39</v>
      </c>
      <c r="B6464" t="str">
        <f>"9:00:26.481354"</f>
        <v>9:00:26.481354</v>
      </c>
      <c r="C6464">
        <v>-46</v>
      </c>
    </row>
    <row r="6465" spans="1:3" x14ac:dyDescent="0.25">
      <c r="A6465">
        <v>39</v>
      </c>
      <c r="B6465" t="str">
        <f>"9:00:26.481872"</f>
        <v>9:00:26.481872</v>
      </c>
      <c r="C6465">
        <v>-31</v>
      </c>
    </row>
    <row r="6466" spans="1:3" x14ac:dyDescent="0.25">
      <c r="A6466">
        <v>39</v>
      </c>
      <c r="B6466" t="str">
        <f>"9:00:26.482198"</f>
        <v>9:00:26.482198</v>
      </c>
      <c r="C6466">
        <v>-45</v>
      </c>
    </row>
    <row r="6467" spans="1:3" x14ac:dyDescent="0.25">
      <c r="A6467">
        <v>37</v>
      </c>
      <c r="B6467" t="str">
        <f>"9:00:26.832389"</f>
        <v>9:00:26.832389</v>
      </c>
      <c r="C6467">
        <v>-44</v>
      </c>
    </row>
    <row r="6468" spans="1:3" x14ac:dyDescent="0.25">
      <c r="A6468">
        <v>38</v>
      </c>
      <c r="B6468" t="str">
        <f>"9:00:26.833416"</f>
        <v>9:00:26.833416</v>
      </c>
      <c r="C6468">
        <v>-41</v>
      </c>
    </row>
    <row r="6469" spans="1:3" x14ac:dyDescent="0.25">
      <c r="A6469">
        <v>39</v>
      </c>
      <c r="B6469" t="str">
        <f>"9:00:26.834442"</f>
        <v>9:00:26.834442</v>
      </c>
      <c r="C6469">
        <v>-46</v>
      </c>
    </row>
    <row r="6470" spans="1:3" x14ac:dyDescent="0.25">
      <c r="A6470">
        <v>39</v>
      </c>
      <c r="B6470" t="str">
        <f>"9:00:26.834961"</f>
        <v>9:00:26.834961</v>
      </c>
      <c r="C6470">
        <v>-31</v>
      </c>
    </row>
    <row r="6471" spans="1:3" x14ac:dyDescent="0.25">
      <c r="A6471">
        <v>39</v>
      </c>
      <c r="B6471" t="str">
        <f>"9:00:26.835286"</f>
        <v>9:00:26.835286</v>
      </c>
      <c r="C6471">
        <v>-45</v>
      </c>
    </row>
    <row r="6472" spans="1:3" x14ac:dyDescent="0.25">
      <c r="A6472">
        <v>37</v>
      </c>
      <c r="B6472" t="str">
        <f>"9:00:27.186221"</f>
        <v>9:00:27.186221</v>
      </c>
      <c r="C6472">
        <v>-44</v>
      </c>
    </row>
    <row r="6473" spans="1:3" x14ac:dyDescent="0.25">
      <c r="A6473">
        <v>38</v>
      </c>
      <c r="B6473" t="str">
        <f>"9:00:27.187504"</f>
        <v>9:00:27.187504</v>
      </c>
      <c r="C6473">
        <v>-41</v>
      </c>
    </row>
    <row r="6474" spans="1:3" x14ac:dyDescent="0.25">
      <c r="A6474">
        <v>37</v>
      </c>
      <c r="B6474" t="str">
        <f>"9:00:27.543924"</f>
        <v>9:00:27.543924</v>
      </c>
      <c r="C6474">
        <v>-44</v>
      </c>
    </row>
    <row r="6475" spans="1:3" x14ac:dyDescent="0.25">
      <c r="A6475">
        <v>38</v>
      </c>
      <c r="B6475" t="str">
        <f>"9:00:27.544951"</f>
        <v>9:00:27.544951</v>
      </c>
      <c r="C6475">
        <v>-41</v>
      </c>
    </row>
    <row r="6476" spans="1:3" x14ac:dyDescent="0.25">
      <c r="A6476">
        <v>39</v>
      </c>
      <c r="B6476" t="str">
        <f>"9:00:27.545977"</f>
        <v>9:00:27.545977</v>
      </c>
      <c r="C6476">
        <v>-46</v>
      </c>
    </row>
    <row r="6477" spans="1:3" x14ac:dyDescent="0.25">
      <c r="A6477">
        <v>39</v>
      </c>
      <c r="B6477" t="str">
        <f>"9:00:27.546495"</f>
        <v>9:00:27.546495</v>
      </c>
      <c r="C6477">
        <v>-31</v>
      </c>
    </row>
    <row r="6478" spans="1:3" x14ac:dyDescent="0.25">
      <c r="A6478">
        <v>39</v>
      </c>
      <c r="B6478" t="str">
        <f>"9:00:27.546821"</f>
        <v>9:00:27.546821</v>
      </c>
      <c r="C6478">
        <v>-45</v>
      </c>
    </row>
    <row r="6479" spans="1:3" x14ac:dyDescent="0.25">
      <c r="A6479">
        <v>37</v>
      </c>
      <c r="B6479" t="str">
        <f>"9:00:27.901598"</f>
        <v>9:00:27.901598</v>
      </c>
      <c r="C6479">
        <v>-44</v>
      </c>
    </row>
    <row r="6480" spans="1:3" x14ac:dyDescent="0.25">
      <c r="A6480">
        <v>38</v>
      </c>
      <c r="B6480" t="str">
        <f>"9:00:27.902625"</f>
        <v>9:00:27.902625</v>
      </c>
      <c r="C6480">
        <v>-41</v>
      </c>
    </row>
    <row r="6481" spans="1:3" x14ac:dyDescent="0.25">
      <c r="A6481">
        <v>39</v>
      </c>
      <c r="B6481" t="str">
        <f>"9:00:27.903651"</f>
        <v>9:00:27.903651</v>
      </c>
      <c r="C6481">
        <v>-46</v>
      </c>
    </row>
    <row r="6482" spans="1:3" x14ac:dyDescent="0.25">
      <c r="A6482">
        <v>39</v>
      </c>
      <c r="B6482" t="str">
        <f>"9:00:27.904170"</f>
        <v>9:00:27.904170</v>
      </c>
      <c r="C6482">
        <v>-31</v>
      </c>
    </row>
    <row r="6483" spans="1:3" x14ac:dyDescent="0.25">
      <c r="A6483">
        <v>39</v>
      </c>
      <c r="B6483" t="str">
        <f>"9:00:27.904495"</f>
        <v>9:00:27.904495</v>
      </c>
      <c r="C6483">
        <v>-45</v>
      </c>
    </row>
    <row r="6484" spans="1:3" x14ac:dyDescent="0.25">
      <c r="A6484">
        <v>37</v>
      </c>
      <c r="B6484" t="str">
        <f>"9:00:28.255180"</f>
        <v>9:00:28.255180</v>
      </c>
      <c r="C6484">
        <v>-44</v>
      </c>
    </row>
    <row r="6485" spans="1:3" x14ac:dyDescent="0.25">
      <c r="A6485">
        <v>38</v>
      </c>
      <c r="B6485" t="str">
        <f>"9:00:28.256207"</f>
        <v>9:00:28.256207</v>
      </c>
      <c r="C6485">
        <v>-41</v>
      </c>
    </row>
    <row r="6486" spans="1:3" x14ac:dyDescent="0.25">
      <c r="A6486">
        <v>39</v>
      </c>
      <c r="B6486" t="str">
        <f>"9:00:28.257233"</f>
        <v>9:00:28.257233</v>
      </c>
      <c r="C6486">
        <v>-46</v>
      </c>
    </row>
    <row r="6487" spans="1:3" x14ac:dyDescent="0.25">
      <c r="A6487">
        <v>39</v>
      </c>
      <c r="B6487" t="str">
        <f>"9:00:28.257751"</f>
        <v>9:00:28.257751</v>
      </c>
      <c r="C6487">
        <v>-31</v>
      </c>
    </row>
    <row r="6488" spans="1:3" x14ac:dyDescent="0.25">
      <c r="A6488">
        <v>39</v>
      </c>
      <c r="B6488" t="str">
        <f>"9:00:28.258077"</f>
        <v>9:00:28.258077</v>
      </c>
      <c r="C6488">
        <v>-45</v>
      </c>
    </row>
    <row r="6489" spans="1:3" x14ac:dyDescent="0.25">
      <c r="A6489">
        <v>37</v>
      </c>
      <c r="B6489" t="str">
        <f>"9:00:28.613856"</f>
        <v>9:00:28.613856</v>
      </c>
      <c r="C6489">
        <v>-44</v>
      </c>
    </row>
    <row r="6490" spans="1:3" x14ac:dyDescent="0.25">
      <c r="A6490">
        <v>38</v>
      </c>
      <c r="B6490" t="str">
        <f>"9:00:28.614883"</f>
        <v>9:00:28.614883</v>
      </c>
      <c r="C6490">
        <v>-41</v>
      </c>
    </row>
    <row r="6491" spans="1:3" x14ac:dyDescent="0.25">
      <c r="A6491">
        <v>39</v>
      </c>
      <c r="B6491" t="str">
        <f>"9:00:28.615909"</f>
        <v>9:00:28.615909</v>
      </c>
      <c r="C6491">
        <v>-46</v>
      </c>
    </row>
    <row r="6492" spans="1:3" x14ac:dyDescent="0.25">
      <c r="A6492">
        <v>37</v>
      </c>
      <c r="B6492" t="str">
        <f>"9:00:28.973106"</f>
        <v>9:00:28.973106</v>
      </c>
      <c r="C6492">
        <v>-44</v>
      </c>
    </row>
    <row r="6493" spans="1:3" x14ac:dyDescent="0.25">
      <c r="A6493">
        <v>38</v>
      </c>
      <c r="B6493" t="str">
        <f>"9:00:28.974133"</f>
        <v>9:00:28.974133</v>
      </c>
      <c r="C6493">
        <v>-41</v>
      </c>
    </row>
    <row r="6494" spans="1:3" x14ac:dyDescent="0.25">
      <c r="A6494">
        <v>39</v>
      </c>
      <c r="B6494" t="str">
        <f>"9:00:28.975159"</f>
        <v>9:00:28.975159</v>
      </c>
      <c r="C6494">
        <v>-46</v>
      </c>
    </row>
    <row r="6495" spans="1:3" x14ac:dyDescent="0.25">
      <c r="A6495">
        <v>39</v>
      </c>
      <c r="B6495" t="str">
        <f>"9:00:28.975678"</f>
        <v>9:00:28.975678</v>
      </c>
      <c r="C6495">
        <v>-31</v>
      </c>
    </row>
    <row r="6496" spans="1:3" x14ac:dyDescent="0.25">
      <c r="A6496">
        <v>39</v>
      </c>
      <c r="B6496" t="str">
        <f>"9:00:28.976004"</f>
        <v>9:00:28.976004</v>
      </c>
      <c r="C6496">
        <v>-46</v>
      </c>
    </row>
    <row r="6497" spans="1:3" x14ac:dyDescent="0.25">
      <c r="A6497">
        <v>37</v>
      </c>
      <c r="B6497" t="str">
        <f>"9:00:29.323134"</f>
        <v>9:00:29.323134</v>
      </c>
      <c r="C6497">
        <v>-44</v>
      </c>
    </row>
    <row r="6498" spans="1:3" x14ac:dyDescent="0.25">
      <c r="A6498">
        <v>38</v>
      </c>
      <c r="B6498" t="str">
        <f>"9:00:29.324162"</f>
        <v>9:00:29.324162</v>
      </c>
      <c r="C6498">
        <v>-41</v>
      </c>
    </row>
    <row r="6499" spans="1:3" x14ac:dyDescent="0.25">
      <c r="A6499">
        <v>39</v>
      </c>
      <c r="B6499" t="str">
        <f>"9:00:29.325188"</f>
        <v>9:00:29.325188</v>
      </c>
      <c r="C6499">
        <v>-46</v>
      </c>
    </row>
    <row r="6500" spans="1:3" x14ac:dyDescent="0.25">
      <c r="A6500">
        <v>37</v>
      </c>
      <c r="B6500" t="str">
        <f>"9:00:29.673859"</f>
        <v>9:00:29.673859</v>
      </c>
      <c r="C6500">
        <v>-44</v>
      </c>
    </row>
    <row r="6501" spans="1:3" x14ac:dyDescent="0.25">
      <c r="A6501">
        <v>38</v>
      </c>
      <c r="B6501" t="str">
        <f>"9:00:29.674886"</f>
        <v>9:00:29.674886</v>
      </c>
      <c r="C6501">
        <v>-41</v>
      </c>
    </row>
    <row r="6502" spans="1:3" x14ac:dyDescent="0.25">
      <c r="A6502">
        <v>39</v>
      </c>
      <c r="B6502" t="str">
        <f>"9:00:29.675912"</f>
        <v>9:00:29.675912</v>
      </c>
      <c r="C6502">
        <v>-46</v>
      </c>
    </row>
    <row r="6503" spans="1:3" x14ac:dyDescent="0.25">
      <c r="A6503">
        <v>37</v>
      </c>
      <c r="B6503" t="str">
        <f>"9:00:30.026132"</f>
        <v>9:00:30.026132</v>
      </c>
      <c r="C6503">
        <v>-44</v>
      </c>
    </row>
    <row r="6504" spans="1:3" x14ac:dyDescent="0.25">
      <c r="A6504">
        <v>37</v>
      </c>
      <c r="B6504" t="str">
        <f>"9:00:30.026651"</f>
        <v>9:00:30.026651</v>
      </c>
      <c r="C6504">
        <v>-37</v>
      </c>
    </row>
    <row r="6505" spans="1:3" x14ac:dyDescent="0.25">
      <c r="A6505">
        <v>37</v>
      </c>
      <c r="B6505" t="str">
        <f>"9:00:30.026977"</f>
        <v>9:00:30.026977</v>
      </c>
      <c r="C6505">
        <v>-44</v>
      </c>
    </row>
    <row r="6506" spans="1:3" x14ac:dyDescent="0.25">
      <c r="A6506">
        <v>38</v>
      </c>
      <c r="B6506" t="str">
        <f>"9:00:30.027753"</f>
        <v>9:00:30.027753</v>
      </c>
      <c r="C6506">
        <v>-41</v>
      </c>
    </row>
    <row r="6507" spans="1:3" x14ac:dyDescent="0.25">
      <c r="A6507">
        <v>39</v>
      </c>
      <c r="B6507" t="str">
        <f>"9:00:30.028779"</f>
        <v>9:00:30.028779</v>
      </c>
      <c r="C6507">
        <v>-46</v>
      </c>
    </row>
    <row r="6508" spans="1:3" x14ac:dyDescent="0.25">
      <c r="A6508">
        <v>37</v>
      </c>
      <c r="B6508" t="str">
        <f>"9:00:30.380999"</f>
        <v>9:00:30.380999</v>
      </c>
      <c r="C6508">
        <v>-44</v>
      </c>
    </row>
    <row r="6509" spans="1:3" x14ac:dyDescent="0.25">
      <c r="A6509">
        <v>37</v>
      </c>
      <c r="B6509" t="str">
        <f>"9:00:30.381518"</f>
        <v>9:00:30.381518</v>
      </c>
      <c r="C6509">
        <v>-37</v>
      </c>
    </row>
    <row r="6510" spans="1:3" x14ac:dyDescent="0.25">
      <c r="A6510">
        <v>37</v>
      </c>
      <c r="B6510" t="str">
        <f>"9:00:30.381844"</f>
        <v>9:00:30.381844</v>
      </c>
      <c r="C6510">
        <v>-44</v>
      </c>
    </row>
    <row r="6511" spans="1:3" x14ac:dyDescent="0.25">
      <c r="A6511">
        <v>38</v>
      </c>
      <c r="B6511" t="str">
        <f>"9:00:30.382620"</f>
        <v>9:00:30.382620</v>
      </c>
      <c r="C6511">
        <v>-41</v>
      </c>
    </row>
    <row r="6512" spans="1:3" x14ac:dyDescent="0.25">
      <c r="A6512">
        <v>39</v>
      </c>
      <c r="B6512" t="str">
        <f>"9:00:30.383646"</f>
        <v>9:00:30.383646</v>
      </c>
      <c r="C6512">
        <v>-46</v>
      </c>
    </row>
    <row r="6513" spans="1:3" x14ac:dyDescent="0.25">
      <c r="A6513">
        <v>37</v>
      </c>
      <c r="B6513" t="str">
        <f>"9:00:30.735623"</f>
        <v>9:00:30.735623</v>
      </c>
      <c r="C6513">
        <v>-44</v>
      </c>
    </row>
    <row r="6514" spans="1:3" x14ac:dyDescent="0.25">
      <c r="A6514">
        <v>37</v>
      </c>
      <c r="B6514" t="str">
        <f>"9:00:30.736142"</f>
        <v>9:00:30.736142</v>
      </c>
      <c r="C6514">
        <v>-37</v>
      </c>
    </row>
    <row r="6515" spans="1:3" x14ac:dyDescent="0.25">
      <c r="A6515">
        <v>37</v>
      </c>
      <c r="B6515" t="str">
        <f>"9:00:30.736468"</f>
        <v>9:00:30.736468</v>
      </c>
      <c r="C6515">
        <v>-44</v>
      </c>
    </row>
    <row r="6516" spans="1:3" x14ac:dyDescent="0.25">
      <c r="A6516">
        <v>38</v>
      </c>
      <c r="B6516" t="str">
        <f>"9:00:30.737245"</f>
        <v>9:00:30.737245</v>
      </c>
      <c r="C6516">
        <v>-41</v>
      </c>
    </row>
    <row r="6517" spans="1:3" x14ac:dyDescent="0.25">
      <c r="A6517">
        <v>39</v>
      </c>
      <c r="B6517" t="str">
        <f>"9:00:30.738271"</f>
        <v>9:00:30.738271</v>
      </c>
      <c r="C6517">
        <v>-46</v>
      </c>
    </row>
    <row r="6518" spans="1:3" x14ac:dyDescent="0.25">
      <c r="A6518">
        <v>37</v>
      </c>
      <c r="B6518" t="str">
        <f>"9:00:31.092536"</f>
        <v>9:00:31.092536</v>
      </c>
      <c r="C6518">
        <v>-44</v>
      </c>
    </row>
    <row r="6519" spans="1:3" x14ac:dyDescent="0.25">
      <c r="A6519">
        <v>37</v>
      </c>
      <c r="B6519" t="str">
        <f>"9:00:31.093054"</f>
        <v>9:00:31.093054</v>
      </c>
      <c r="C6519">
        <v>-37</v>
      </c>
    </row>
    <row r="6520" spans="1:3" x14ac:dyDescent="0.25">
      <c r="A6520">
        <v>37</v>
      </c>
      <c r="B6520" t="str">
        <f>"9:00:31.093380"</f>
        <v>9:00:31.093380</v>
      </c>
      <c r="C6520">
        <v>-44</v>
      </c>
    </row>
    <row r="6521" spans="1:3" x14ac:dyDescent="0.25">
      <c r="A6521">
        <v>38</v>
      </c>
      <c r="B6521" t="str">
        <f>"9:00:31.094156"</f>
        <v>9:00:31.094156</v>
      </c>
      <c r="C6521">
        <v>-41</v>
      </c>
    </row>
    <row r="6522" spans="1:3" x14ac:dyDescent="0.25">
      <c r="A6522">
        <v>39</v>
      </c>
      <c r="B6522" t="str">
        <f>"9:00:31.095182"</f>
        <v>9:00:31.095182</v>
      </c>
      <c r="C6522">
        <v>-46</v>
      </c>
    </row>
    <row r="6523" spans="1:3" x14ac:dyDescent="0.25">
      <c r="A6523">
        <v>37</v>
      </c>
      <c r="B6523" t="str">
        <f>"9:00:31.449656"</f>
        <v>9:00:31.449656</v>
      </c>
      <c r="C6523">
        <v>-44</v>
      </c>
    </row>
    <row r="6524" spans="1:3" x14ac:dyDescent="0.25">
      <c r="A6524">
        <v>38</v>
      </c>
      <c r="B6524" t="str">
        <f>"9:00:31.450684"</f>
        <v>9:00:31.450684</v>
      </c>
      <c r="C6524">
        <v>-41</v>
      </c>
    </row>
    <row r="6525" spans="1:3" x14ac:dyDescent="0.25">
      <c r="A6525">
        <v>39</v>
      </c>
      <c r="B6525" t="str">
        <f>"9:00:31.451710"</f>
        <v>9:00:31.451710</v>
      </c>
      <c r="C6525">
        <v>-46</v>
      </c>
    </row>
    <row r="6526" spans="1:3" x14ac:dyDescent="0.25">
      <c r="A6526">
        <v>37</v>
      </c>
      <c r="B6526" t="str">
        <f>"9:00:31.808081"</f>
        <v>9:00:31.808081</v>
      </c>
      <c r="C6526">
        <v>-44</v>
      </c>
    </row>
    <row r="6527" spans="1:3" x14ac:dyDescent="0.25">
      <c r="A6527">
        <v>37</v>
      </c>
      <c r="B6527" t="str">
        <f>"9:00:31.808600"</f>
        <v>9:00:31.808600</v>
      </c>
      <c r="C6527">
        <v>-37</v>
      </c>
    </row>
    <row r="6528" spans="1:3" x14ac:dyDescent="0.25">
      <c r="A6528">
        <v>37</v>
      </c>
      <c r="B6528" t="str">
        <f>"9:00:31.808925"</f>
        <v>9:00:31.808925</v>
      </c>
      <c r="C6528">
        <v>-45</v>
      </c>
    </row>
    <row r="6529" spans="1:3" x14ac:dyDescent="0.25">
      <c r="A6529">
        <v>38</v>
      </c>
      <c r="B6529" t="str">
        <f>"9:00:31.809702"</f>
        <v>9:00:31.809702</v>
      </c>
      <c r="C6529">
        <v>-41</v>
      </c>
    </row>
    <row r="6530" spans="1:3" x14ac:dyDescent="0.25">
      <c r="A6530">
        <v>39</v>
      </c>
      <c r="B6530" t="str">
        <f>"9:00:31.810728"</f>
        <v>9:00:31.810728</v>
      </c>
      <c r="C6530">
        <v>-46</v>
      </c>
    </row>
    <row r="6531" spans="1:3" x14ac:dyDescent="0.25">
      <c r="A6531">
        <v>37</v>
      </c>
      <c r="B6531" t="str">
        <f>"9:00:32.158827"</f>
        <v>9:00:32.158827</v>
      </c>
      <c r="C6531">
        <v>-44</v>
      </c>
    </row>
    <row r="6532" spans="1:3" x14ac:dyDescent="0.25">
      <c r="A6532">
        <v>37</v>
      </c>
      <c r="B6532" t="str">
        <f>"9:00:32.159346"</f>
        <v>9:00:32.159346</v>
      </c>
      <c r="C6532">
        <v>-37</v>
      </c>
    </row>
    <row r="6533" spans="1:3" x14ac:dyDescent="0.25">
      <c r="A6533">
        <v>37</v>
      </c>
      <c r="B6533" t="str">
        <f>"9:00:32.159672"</f>
        <v>9:00:32.159672</v>
      </c>
      <c r="C6533">
        <v>-45</v>
      </c>
    </row>
    <row r="6534" spans="1:3" x14ac:dyDescent="0.25">
      <c r="A6534">
        <v>38</v>
      </c>
      <c r="B6534" t="str">
        <f>"9:00:32.160448"</f>
        <v>9:00:32.160448</v>
      </c>
      <c r="C6534">
        <v>-41</v>
      </c>
    </row>
    <row r="6535" spans="1:3" x14ac:dyDescent="0.25">
      <c r="A6535">
        <v>39</v>
      </c>
      <c r="B6535" t="str">
        <f>"9:00:32.161474"</f>
        <v>9:00:32.161474</v>
      </c>
      <c r="C6535">
        <v>-46</v>
      </c>
    </row>
    <row r="6536" spans="1:3" x14ac:dyDescent="0.25">
      <c r="A6536">
        <v>37</v>
      </c>
      <c r="B6536" t="str">
        <f>"9:00:32.512616"</f>
        <v>9:00:32.512616</v>
      </c>
      <c r="C6536">
        <v>-44</v>
      </c>
    </row>
    <row r="6537" spans="1:3" x14ac:dyDescent="0.25">
      <c r="A6537">
        <v>37</v>
      </c>
      <c r="B6537" t="str">
        <f>"9:00:32.513135"</f>
        <v>9:00:32.513135</v>
      </c>
      <c r="C6537">
        <v>-40</v>
      </c>
    </row>
    <row r="6538" spans="1:3" x14ac:dyDescent="0.25">
      <c r="A6538">
        <v>37</v>
      </c>
      <c r="B6538" t="str">
        <f>"9:00:32.513461"</f>
        <v>9:00:32.513461</v>
      </c>
      <c r="C6538">
        <v>-44</v>
      </c>
    </row>
    <row r="6539" spans="1:3" x14ac:dyDescent="0.25">
      <c r="A6539">
        <v>38</v>
      </c>
      <c r="B6539" t="str">
        <f>"9:00:32.514237"</f>
        <v>9:00:32.514237</v>
      </c>
      <c r="C6539">
        <v>-41</v>
      </c>
    </row>
    <row r="6540" spans="1:3" x14ac:dyDescent="0.25">
      <c r="A6540">
        <v>39</v>
      </c>
      <c r="B6540" t="str">
        <f>"9:00:32.515264"</f>
        <v>9:00:32.515264</v>
      </c>
      <c r="C6540">
        <v>-45</v>
      </c>
    </row>
    <row r="6541" spans="1:3" x14ac:dyDescent="0.25">
      <c r="A6541">
        <v>37</v>
      </c>
      <c r="B6541" t="str">
        <f>"9:00:32.870769"</f>
        <v>9:00:32.870769</v>
      </c>
      <c r="C6541">
        <v>-44</v>
      </c>
    </row>
    <row r="6542" spans="1:3" x14ac:dyDescent="0.25">
      <c r="A6542">
        <v>37</v>
      </c>
      <c r="B6542" t="str">
        <f>"9:00:32.871288"</f>
        <v>9:00:32.871288</v>
      </c>
      <c r="C6542">
        <v>-40</v>
      </c>
    </row>
    <row r="6543" spans="1:3" x14ac:dyDescent="0.25">
      <c r="A6543">
        <v>37</v>
      </c>
      <c r="B6543" t="str">
        <f>"9:00:32.871613"</f>
        <v>9:00:32.871613</v>
      </c>
      <c r="C6543">
        <v>-44</v>
      </c>
    </row>
    <row r="6544" spans="1:3" x14ac:dyDescent="0.25">
      <c r="A6544">
        <v>38</v>
      </c>
      <c r="B6544" t="str">
        <f>"9:00:32.872390"</f>
        <v>9:00:32.872390</v>
      </c>
      <c r="C6544">
        <v>-41</v>
      </c>
    </row>
    <row r="6545" spans="1:3" x14ac:dyDescent="0.25">
      <c r="A6545">
        <v>39</v>
      </c>
      <c r="B6545" t="str">
        <f>"9:00:32.873416"</f>
        <v>9:00:32.873416</v>
      </c>
      <c r="C6545">
        <v>-46</v>
      </c>
    </row>
    <row r="6546" spans="1:3" x14ac:dyDescent="0.25">
      <c r="A6546">
        <v>37</v>
      </c>
      <c r="B6546" t="str">
        <f>"9:00:33.225322"</f>
        <v>9:00:33.225322</v>
      </c>
      <c r="C6546">
        <v>-44</v>
      </c>
    </row>
    <row r="6547" spans="1:3" x14ac:dyDescent="0.25">
      <c r="A6547">
        <v>37</v>
      </c>
      <c r="B6547" t="str">
        <f>"9:00:33.225841"</f>
        <v>9:00:33.225841</v>
      </c>
      <c r="C6547">
        <v>-40</v>
      </c>
    </row>
    <row r="6548" spans="1:3" x14ac:dyDescent="0.25">
      <c r="A6548">
        <v>37</v>
      </c>
      <c r="B6548" t="str">
        <f>"9:00:33.226167"</f>
        <v>9:00:33.226167</v>
      </c>
      <c r="C6548">
        <v>-44</v>
      </c>
    </row>
    <row r="6549" spans="1:3" x14ac:dyDescent="0.25">
      <c r="A6549">
        <v>38</v>
      </c>
      <c r="B6549" t="str">
        <f>"9:00:33.226944"</f>
        <v>9:00:33.226944</v>
      </c>
      <c r="C6549">
        <v>-41</v>
      </c>
    </row>
    <row r="6550" spans="1:3" x14ac:dyDescent="0.25">
      <c r="A6550">
        <v>38</v>
      </c>
      <c r="B6550" t="str">
        <f>"9:00:33.227463"</f>
        <v>9:00:33.227463</v>
      </c>
      <c r="C6550">
        <v>-83</v>
      </c>
    </row>
    <row r="6551" spans="1:3" x14ac:dyDescent="0.25">
      <c r="A6551">
        <v>38</v>
      </c>
      <c r="B6551" t="str">
        <f>"9:00:33.227790"</f>
        <v>9:00:33.227790</v>
      </c>
      <c r="C6551">
        <v>-41</v>
      </c>
    </row>
    <row r="6552" spans="1:3" x14ac:dyDescent="0.25">
      <c r="A6552">
        <v>39</v>
      </c>
      <c r="B6552" t="str">
        <f>"9:00:33.228566"</f>
        <v>9:00:33.228566</v>
      </c>
      <c r="C6552">
        <v>-45</v>
      </c>
    </row>
    <row r="6553" spans="1:3" x14ac:dyDescent="0.25">
      <c r="A6553">
        <v>37</v>
      </c>
      <c r="B6553" t="str">
        <f>"9:00:33.579121"</f>
        <v>9:00:33.579121</v>
      </c>
      <c r="C6553">
        <v>-44</v>
      </c>
    </row>
    <row r="6554" spans="1:3" x14ac:dyDescent="0.25">
      <c r="A6554">
        <v>37</v>
      </c>
      <c r="B6554" t="str">
        <f>"9:00:33.579640"</f>
        <v>9:00:33.579640</v>
      </c>
      <c r="C6554">
        <v>-40</v>
      </c>
    </row>
    <row r="6555" spans="1:3" x14ac:dyDescent="0.25">
      <c r="A6555">
        <v>37</v>
      </c>
      <c r="B6555" t="str">
        <f>"9:00:33.579966"</f>
        <v>9:00:33.579966</v>
      </c>
      <c r="C6555">
        <v>-44</v>
      </c>
    </row>
    <row r="6556" spans="1:3" x14ac:dyDescent="0.25">
      <c r="A6556">
        <v>38</v>
      </c>
      <c r="B6556" t="str">
        <f>"9:00:33.580743"</f>
        <v>9:00:33.580743</v>
      </c>
      <c r="C6556">
        <v>-41</v>
      </c>
    </row>
    <row r="6557" spans="1:3" x14ac:dyDescent="0.25">
      <c r="A6557">
        <v>39</v>
      </c>
      <c r="B6557" t="str">
        <f>"9:00:33.581769"</f>
        <v>9:00:33.581769</v>
      </c>
      <c r="C6557">
        <v>-45</v>
      </c>
    </row>
    <row r="6558" spans="1:3" x14ac:dyDescent="0.25">
      <c r="A6558">
        <v>37</v>
      </c>
      <c r="B6558" t="str">
        <f>"9:00:33.937775"</f>
        <v>9:00:33.937775</v>
      </c>
      <c r="C6558">
        <v>-44</v>
      </c>
    </row>
    <row r="6559" spans="1:3" x14ac:dyDescent="0.25">
      <c r="A6559">
        <v>38</v>
      </c>
      <c r="B6559" t="str">
        <f>"9:00:33.938803"</f>
        <v>9:00:33.938803</v>
      </c>
      <c r="C6559">
        <v>-41</v>
      </c>
    </row>
    <row r="6560" spans="1:3" x14ac:dyDescent="0.25">
      <c r="A6560">
        <v>39</v>
      </c>
      <c r="B6560" t="str">
        <f>"9:00:33.939829"</f>
        <v>9:00:33.939829</v>
      </c>
      <c r="C6560">
        <v>-45</v>
      </c>
    </row>
    <row r="6561" spans="1:3" x14ac:dyDescent="0.25">
      <c r="A6561">
        <v>37</v>
      </c>
      <c r="B6561" t="str">
        <f>"9:00:34.291087"</f>
        <v>9:00:34.291087</v>
      </c>
      <c r="C6561">
        <v>-44</v>
      </c>
    </row>
    <row r="6562" spans="1:3" x14ac:dyDescent="0.25">
      <c r="A6562">
        <v>37</v>
      </c>
      <c r="B6562" t="str">
        <f>"9:00:34.291605"</f>
        <v>9:00:34.291605</v>
      </c>
      <c r="C6562">
        <v>-40</v>
      </c>
    </row>
    <row r="6563" spans="1:3" x14ac:dyDescent="0.25">
      <c r="A6563">
        <v>37</v>
      </c>
      <c r="B6563" t="str">
        <f>"9:00:34.291931"</f>
        <v>9:00:34.291931</v>
      </c>
      <c r="C6563">
        <v>-44</v>
      </c>
    </row>
    <row r="6564" spans="1:3" x14ac:dyDescent="0.25">
      <c r="A6564">
        <v>38</v>
      </c>
      <c r="B6564" t="str">
        <f>"9:00:34.292707"</f>
        <v>9:00:34.292707</v>
      </c>
      <c r="C6564">
        <v>-41</v>
      </c>
    </row>
    <row r="6565" spans="1:3" x14ac:dyDescent="0.25">
      <c r="A6565">
        <v>39</v>
      </c>
      <c r="B6565" t="str">
        <f>"9:00:34.293733"</f>
        <v>9:00:34.293733</v>
      </c>
      <c r="C6565">
        <v>-45</v>
      </c>
    </row>
    <row r="6566" spans="1:3" x14ac:dyDescent="0.25">
      <c r="A6566">
        <v>37</v>
      </c>
      <c r="B6566" t="str">
        <f>"9:00:34.650277"</f>
        <v>9:00:34.650277</v>
      </c>
      <c r="C6566">
        <v>-44</v>
      </c>
    </row>
    <row r="6567" spans="1:3" x14ac:dyDescent="0.25">
      <c r="A6567">
        <v>38</v>
      </c>
      <c r="B6567" t="str">
        <f>"9:00:34.651305"</f>
        <v>9:00:34.651305</v>
      </c>
      <c r="C6567">
        <v>-41</v>
      </c>
    </row>
    <row r="6568" spans="1:3" x14ac:dyDescent="0.25">
      <c r="A6568">
        <v>38</v>
      </c>
      <c r="B6568" t="str">
        <f>"9:00:34.651824"</f>
        <v>9:00:34.651824</v>
      </c>
      <c r="C6568">
        <v>-32</v>
      </c>
    </row>
    <row r="6569" spans="1:3" x14ac:dyDescent="0.25">
      <c r="A6569">
        <v>38</v>
      </c>
      <c r="B6569" t="str">
        <f>"9:00:34.652150"</f>
        <v>9:00:34.652150</v>
      </c>
      <c r="C6569">
        <v>-41</v>
      </c>
    </row>
    <row r="6570" spans="1:3" x14ac:dyDescent="0.25">
      <c r="A6570">
        <v>39</v>
      </c>
      <c r="B6570" t="str">
        <f>"9:00:34.652926"</f>
        <v>9:00:34.652926</v>
      </c>
      <c r="C6570">
        <v>-45</v>
      </c>
    </row>
    <row r="6571" spans="1:3" x14ac:dyDescent="0.25">
      <c r="A6571">
        <v>39</v>
      </c>
      <c r="B6571" t="str">
        <f>"9:00:34.653445"</f>
        <v>9:00:34.653445</v>
      </c>
      <c r="C6571">
        <v>-73</v>
      </c>
    </row>
    <row r="6572" spans="1:3" x14ac:dyDescent="0.25">
      <c r="A6572">
        <v>39</v>
      </c>
      <c r="B6572" t="str">
        <f>"9:00:34.653771"</f>
        <v>9:00:34.653771</v>
      </c>
      <c r="C6572">
        <v>-45</v>
      </c>
    </row>
    <row r="6573" spans="1:3" x14ac:dyDescent="0.25">
      <c r="A6573">
        <v>37</v>
      </c>
      <c r="B6573" t="str">
        <f>"9:00:35.001525"</f>
        <v>9:00:35.001525</v>
      </c>
      <c r="C6573">
        <v>-44</v>
      </c>
    </row>
    <row r="6574" spans="1:3" x14ac:dyDescent="0.25">
      <c r="A6574">
        <v>38</v>
      </c>
      <c r="B6574" t="str">
        <f>"9:00:35.002553"</f>
        <v>9:00:35.002553</v>
      </c>
      <c r="C6574">
        <v>-41</v>
      </c>
    </row>
    <row r="6575" spans="1:3" x14ac:dyDescent="0.25">
      <c r="A6575">
        <v>38</v>
      </c>
      <c r="B6575" t="str">
        <f>"9:00:35.003071"</f>
        <v>9:00:35.003071</v>
      </c>
      <c r="C6575">
        <v>-32</v>
      </c>
    </row>
    <row r="6576" spans="1:3" x14ac:dyDescent="0.25">
      <c r="A6576">
        <v>38</v>
      </c>
      <c r="B6576" t="str">
        <f>"9:00:35.003397"</f>
        <v>9:00:35.003397</v>
      </c>
      <c r="C6576">
        <v>-41</v>
      </c>
    </row>
    <row r="6577" spans="1:3" x14ac:dyDescent="0.25">
      <c r="A6577">
        <v>39</v>
      </c>
      <c r="B6577" t="str">
        <f>"9:00:35.004173"</f>
        <v>9:00:35.004173</v>
      </c>
      <c r="C6577">
        <v>-45</v>
      </c>
    </row>
    <row r="6578" spans="1:3" x14ac:dyDescent="0.25">
      <c r="A6578">
        <v>37</v>
      </c>
      <c r="B6578" t="str">
        <f>"9:00:35.358151"</f>
        <v>9:00:35.358151</v>
      </c>
      <c r="C6578">
        <v>-44</v>
      </c>
    </row>
    <row r="6579" spans="1:3" x14ac:dyDescent="0.25">
      <c r="A6579">
        <v>38</v>
      </c>
      <c r="B6579" t="str">
        <f>"9:00:35.359178"</f>
        <v>9:00:35.359178</v>
      </c>
      <c r="C6579">
        <v>-41</v>
      </c>
    </row>
    <row r="6580" spans="1:3" x14ac:dyDescent="0.25">
      <c r="A6580">
        <v>38</v>
      </c>
      <c r="B6580" t="str">
        <f>"9:00:35.359697"</f>
        <v>9:00:35.359697</v>
      </c>
      <c r="C6580">
        <v>-32</v>
      </c>
    </row>
    <row r="6581" spans="1:3" x14ac:dyDescent="0.25">
      <c r="A6581">
        <v>38</v>
      </c>
      <c r="B6581" t="str">
        <f>"9:00:35.360022"</f>
        <v>9:00:35.360022</v>
      </c>
      <c r="C6581">
        <v>-41</v>
      </c>
    </row>
    <row r="6582" spans="1:3" x14ac:dyDescent="0.25">
      <c r="A6582">
        <v>39</v>
      </c>
      <c r="B6582" t="str">
        <f>"9:00:35.360798"</f>
        <v>9:00:35.360798</v>
      </c>
      <c r="C6582">
        <v>-45</v>
      </c>
    </row>
    <row r="6583" spans="1:3" x14ac:dyDescent="0.25">
      <c r="A6583">
        <v>37</v>
      </c>
      <c r="B6583" t="str">
        <f>"9:00:35.711221"</f>
        <v>9:00:35.711221</v>
      </c>
      <c r="C6583">
        <v>-44</v>
      </c>
    </row>
    <row r="6584" spans="1:3" x14ac:dyDescent="0.25">
      <c r="A6584">
        <v>37</v>
      </c>
      <c r="B6584" t="str">
        <f>"9:00:35.711740"</f>
        <v>9:00:35.711740</v>
      </c>
      <c r="C6584">
        <v>-78</v>
      </c>
    </row>
    <row r="6585" spans="1:3" x14ac:dyDescent="0.25">
      <c r="A6585">
        <v>37</v>
      </c>
      <c r="B6585" t="str">
        <f>"9:00:35.712065"</f>
        <v>9:00:35.712065</v>
      </c>
      <c r="C6585">
        <v>-44</v>
      </c>
    </row>
    <row r="6586" spans="1:3" x14ac:dyDescent="0.25">
      <c r="A6586">
        <v>38</v>
      </c>
      <c r="B6586" t="str">
        <f>"9:00:35.712842"</f>
        <v>9:00:35.712842</v>
      </c>
      <c r="C6586">
        <v>-41</v>
      </c>
    </row>
    <row r="6587" spans="1:3" x14ac:dyDescent="0.25">
      <c r="A6587">
        <v>38</v>
      </c>
      <c r="B6587" t="str">
        <f>"9:00:35.713360"</f>
        <v>9:00:35.713360</v>
      </c>
      <c r="C6587">
        <v>-32</v>
      </c>
    </row>
    <row r="6588" spans="1:3" x14ac:dyDescent="0.25">
      <c r="A6588">
        <v>38</v>
      </c>
      <c r="B6588" t="str">
        <f>"9:00:35.713686"</f>
        <v>9:00:35.713686</v>
      </c>
      <c r="C6588">
        <v>-41</v>
      </c>
    </row>
    <row r="6589" spans="1:3" x14ac:dyDescent="0.25">
      <c r="A6589">
        <v>39</v>
      </c>
      <c r="B6589" t="str">
        <f>"9:00:35.714462"</f>
        <v>9:00:35.714462</v>
      </c>
      <c r="C6589">
        <v>-45</v>
      </c>
    </row>
    <row r="6590" spans="1:3" x14ac:dyDescent="0.25">
      <c r="A6590">
        <v>37</v>
      </c>
      <c r="B6590" t="str">
        <f>"9:00:36.065265"</f>
        <v>9:00:36.065265</v>
      </c>
      <c r="C6590">
        <v>-44</v>
      </c>
    </row>
    <row r="6591" spans="1:3" x14ac:dyDescent="0.25">
      <c r="A6591">
        <v>38</v>
      </c>
      <c r="B6591" t="str">
        <f>"9:00:36.066293"</f>
        <v>9:00:36.066293</v>
      </c>
      <c r="C6591">
        <v>-41</v>
      </c>
    </row>
    <row r="6592" spans="1:3" x14ac:dyDescent="0.25">
      <c r="A6592">
        <v>38</v>
      </c>
      <c r="B6592" t="str">
        <f>"9:00:36.066811"</f>
        <v>9:00:36.066811</v>
      </c>
      <c r="C6592">
        <v>-32</v>
      </c>
    </row>
    <row r="6593" spans="1:3" x14ac:dyDescent="0.25">
      <c r="A6593">
        <v>38</v>
      </c>
      <c r="B6593" t="str">
        <f>"9:00:36.067137"</f>
        <v>9:00:36.067137</v>
      </c>
      <c r="C6593">
        <v>-41</v>
      </c>
    </row>
    <row r="6594" spans="1:3" x14ac:dyDescent="0.25">
      <c r="A6594">
        <v>39</v>
      </c>
      <c r="B6594" t="str">
        <f>"9:00:36.067913"</f>
        <v>9:00:36.067913</v>
      </c>
      <c r="C6594">
        <v>-45</v>
      </c>
    </row>
    <row r="6595" spans="1:3" x14ac:dyDescent="0.25">
      <c r="A6595">
        <v>37</v>
      </c>
      <c r="B6595" t="str">
        <f>"9:00:36.418787"</f>
        <v>9:00:36.418787</v>
      </c>
      <c r="C6595">
        <v>-44</v>
      </c>
    </row>
    <row r="6596" spans="1:3" x14ac:dyDescent="0.25">
      <c r="A6596">
        <v>38</v>
      </c>
      <c r="B6596" t="str">
        <f>"9:00:36.419815"</f>
        <v>9:00:36.419815</v>
      </c>
      <c r="C6596">
        <v>-41</v>
      </c>
    </row>
    <row r="6597" spans="1:3" x14ac:dyDescent="0.25">
      <c r="A6597">
        <v>38</v>
      </c>
      <c r="B6597" t="str">
        <f>"9:00:36.420333"</f>
        <v>9:00:36.420333</v>
      </c>
      <c r="C6597">
        <v>-32</v>
      </c>
    </row>
    <row r="6598" spans="1:3" x14ac:dyDescent="0.25">
      <c r="A6598">
        <v>38</v>
      </c>
      <c r="B6598" t="str">
        <f>"9:00:36.420659"</f>
        <v>9:00:36.420659</v>
      </c>
      <c r="C6598">
        <v>-41</v>
      </c>
    </row>
    <row r="6599" spans="1:3" x14ac:dyDescent="0.25">
      <c r="A6599">
        <v>39</v>
      </c>
      <c r="B6599" t="str">
        <f>"9:00:36.421435"</f>
        <v>9:00:36.421435</v>
      </c>
      <c r="C6599">
        <v>-45</v>
      </c>
    </row>
    <row r="6600" spans="1:3" x14ac:dyDescent="0.25">
      <c r="A6600">
        <v>37</v>
      </c>
      <c r="B6600" t="str">
        <f>"9:00:36.774193"</f>
        <v>9:00:36.774193</v>
      </c>
      <c r="C6600">
        <v>-44</v>
      </c>
    </row>
    <row r="6601" spans="1:3" x14ac:dyDescent="0.25">
      <c r="A6601">
        <v>38</v>
      </c>
      <c r="B6601" t="str">
        <f>"9:00:36.775220"</f>
        <v>9:00:36.775220</v>
      </c>
      <c r="C6601">
        <v>-41</v>
      </c>
    </row>
    <row r="6602" spans="1:3" x14ac:dyDescent="0.25">
      <c r="A6602">
        <v>39</v>
      </c>
      <c r="B6602" t="str">
        <f>"9:00:36.776246"</f>
        <v>9:00:36.776246</v>
      </c>
      <c r="C6602">
        <v>-46</v>
      </c>
    </row>
    <row r="6603" spans="1:3" x14ac:dyDescent="0.25">
      <c r="A6603">
        <v>37</v>
      </c>
      <c r="B6603" t="str">
        <f>"9:00:37.125230"</f>
        <v>9:00:37.125230</v>
      </c>
      <c r="C6603">
        <v>-44</v>
      </c>
    </row>
    <row r="6604" spans="1:3" x14ac:dyDescent="0.25">
      <c r="A6604">
        <v>38</v>
      </c>
      <c r="B6604" t="str">
        <f>"9:00:37.126257"</f>
        <v>9:00:37.126257</v>
      </c>
      <c r="C6604">
        <v>-41</v>
      </c>
    </row>
    <row r="6605" spans="1:3" x14ac:dyDescent="0.25">
      <c r="A6605">
        <v>38</v>
      </c>
      <c r="B6605" t="str">
        <f>"9:00:37.126776"</f>
        <v>9:00:37.126776</v>
      </c>
      <c r="C6605">
        <v>-32</v>
      </c>
    </row>
    <row r="6606" spans="1:3" x14ac:dyDescent="0.25">
      <c r="A6606">
        <v>38</v>
      </c>
      <c r="B6606" t="str">
        <f>"9:00:37.127101"</f>
        <v>9:00:37.127101</v>
      </c>
      <c r="C6606">
        <v>-41</v>
      </c>
    </row>
    <row r="6607" spans="1:3" x14ac:dyDescent="0.25">
      <c r="A6607">
        <v>39</v>
      </c>
      <c r="B6607" t="str">
        <f>"9:00:37.127877"</f>
        <v>9:00:37.127877</v>
      </c>
      <c r="C6607">
        <v>-46</v>
      </c>
    </row>
    <row r="6608" spans="1:3" x14ac:dyDescent="0.25">
      <c r="A6608">
        <v>37</v>
      </c>
      <c r="B6608" t="str">
        <f>"9:00:37.482368"</f>
        <v>9:00:37.482368</v>
      </c>
      <c r="C6608">
        <v>-44</v>
      </c>
    </row>
    <row r="6609" spans="1:3" x14ac:dyDescent="0.25">
      <c r="A6609">
        <v>38</v>
      </c>
      <c r="B6609" t="str">
        <f>"9:00:37.483395"</f>
        <v>9:00:37.483395</v>
      </c>
      <c r="C6609">
        <v>-41</v>
      </c>
    </row>
    <row r="6610" spans="1:3" x14ac:dyDescent="0.25">
      <c r="A6610">
        <v>38</v>
      </c>
      <c r="B6610" t="str">
        <f>"9:00:37.483914"</f>
        <v>9:00:37.483914</v>
      </c>
      <c r="C6610">
        <v>-32</v>
      </c>
    </row>
    <row r="6611" spans="1:3" x14ac:dyDescent="0.25">
      <c r="A6611">
        <v>38</v>
      </c>
      <c r="B6611" t="str">
        <f>"9:00:37.484239"</f>
        <v>9:00:37.484239</v>
      </c>
      <c r="C6611">
        <v>-41</v>
      </c>
    </row>
    <row r="6612" spans="1:3" x14ac:dyDescent="0.25">
      <c r="A6612">
        <v>39</v>
      </c>
      <c r="B6612" t="str">
        <f>"9:00:37.485015"</f>
        <v>9:00:37.485015</v>
      </c>
      <c r="C6612">
        <v>-46</v>
      </c>
    </row>
    <row r="6613" spans="1:3" x14ac:dyDescent="0.25">
      <c r="A6613">
        <v>37</v>
      </c>
      <c r="B6613" t="str">
        <f>"9:00:37.838528"</f>
        <v>9:00:37.838528</v>
      </c>
      <c r="C6613">
        <v>-44</v>
      </c>
    </row>
    <row r="6614" spans="1:3" x14ac:dyDescent="0.25">
      <c r="A6614">
        <v>37</v>
      </c>
      <c r="B6614" t="str">
        <f>"9:00:37.839048"</f>
        <v>9:00:37.839048</v>
      </c>
      <c r="C6614">
        <v>-79</v>
      </c>
    </row>
    <row r="6615" spans="1:3" x14ac:dyDescent="0.25">
      <c r="A6615">
        <v>37</v>
      </c>
      <c r="B6615" t="str">
        <f>"9:00:37.839374"</f>
        <v>9:00:37.839374</v>
      </c>
      <c r="C6615">
        <v>-44</v>
      </c>
    </row>
    <row r="6616" spans="1:3" x14ac:dyDescent="0.25">
      <c r="A6616">
        <v>38</v>
      </c>
      <c r="B6616" t="str">
        <f>"9:00:37.840150"</f>
        <v>9:00:37.840150</v>
      </c>
      <c r="C6616">
        <v>-41</v>
      </c>
    </row>
    <row r="6617" spans="1:3" x14ac:dyDescent="0.25">
      <c r="A6617">
        <v>39</v>
      </c>
      <c r="B6617" t="str">
        <f>"9:00:37.841176"</f>
        <v>9:00:37.841176</v>
      </c>
      <c r="C6617">
        <v>-46</v>
      </c>
    </row>
    <row r="6618" spans="1:3" x14ac:dyDescent="0.25">
      <c r="A6618">
        <v>37</v>
      </c>
      <c r="B6618" t="str">
        <f>"9:00:38.193404"</f>
        <v>9:00:38.193404</v>
      </c>
      <c r="C6618">
        <v>-44</v>
      </c>
    </row>
    <row r="6619" spans="1:3" x14ac:dyDescent="0.25">
      <c r="A6619">
        <v>38</v>
      </c>
      <c r="B6619" t="str">
        <f>"9:00:38.194432"</f>
        <v>9:00:38.194432</v>
      </c>
      <c r="C6619">
        <v>-41</v>
      </c>
    </row>
    <row r="6620" spans="1:3" x14ac:dyDescent="0.25">
      <c r="A6620">
        <v>39</v>
      </c>
      <c r="B6620" t="str">
        <f>"9:00:38.195458"</f>
        <v>9:00:38.195458</v>
      </c>
      <c r="C6620">
        <v>-46</v>
      </c>
    </row>
    <row r="6621" spans="1:3" x14ac:dyDescent="0.25">
      <c r="A6621">
        <v>37</v>
      </c>
      <c r="B6621" t="str">
        <f>"9:00:38.544415"</f>
        <v>9:00:38.544415</v>
      </c>
      <c r="C6621">
        <v>-45</v>
      </c>
    </row>
    <row r="6622" spans="1:3" x14ac:dyDescent="0.25">
      <c r="A6622">
        <v>38</v>
      </c>
      <c r="B6622" t="str">
        <f>"9:00:38.545442"</f>
        <v>9:00:38.545442</v>
      </c>
      <c r="C6622">
        <v>-41</v>
      </c>
    </row>
    <row r="6623" spans="1:3" x14ac:dyDescent="0.25">
      <c r="A6623">
        <v>38</v>
      </c>
      <c r="B6623" t="str">
        <f>"9:00:38.545961"</f>
        <v>9:00:38.545961</v>
      </c>
      <c r="C6623">
        <v>-32</v>
      </c>
    </row>
    <row r="6624" spans="1:3" x14ac:dyDescent="0.25">
      <c r="A6624">
        <v>38</v>
      </c>
      <c r="B6624" t="str">
        <f>"9:00:38.546287"</f>
        <v>9:00:38.546287</v>
      </c>
      <c r="C6624">
        <v>-41</v>
      </c>
    </row>
    <row r="6625" spans="1:3" x14ac:dyDescent="0.25">
      <c r="A6625">
        <v>39</v>
      </c>
      <c r="B6625" t="str">
        <f>"9:00:38.547063"</f>
        <v>9:00:38.547063</v>
      </c>
      <c r="C6625">
        <v>-46</v>
      </c>
    </row>
    <row r="6626" spans="1:3" x14ac:dyDescent="0.25">
      <c r="A6626">
        <v>37</v>
      </c>
      <c r="B6626" t="str">
        <f>"9:00:38.895981"</f>
        <v>9:00:38.895981</v>
      </c>
      <c r="C6626">
        <v>-45</v>
      </c>
    </row>
    <row r="6627" spans="1:3" x14ac:dyDescent="0.25">
      <c r="A6627">
        <v>38</v>
      </c>
      <c r="B6627" t="str">
        <f>"9:00:38.897008"</f>
        <v>9:00:38.897008</v>
      </c>
      <c r="C6627">
        <v>-41</v>
      </c>
    </row>
    <row r="6628" spans="1:3" x14ac:dyDescent="0.25">
      <c r="A6628">
        <v>38</v>
      </c>
      <c r="B6628" t="str">
        <f>"9:00:38.897527"</f>
        <v>9:00:38.897527</v>
      </c>
      <c r="C6628">
        <v>-32</v>
      </c>
    </row>
    <row r="6629" spans="1:3" x14ac:dyDescent="0.25">
      <c r="A6629">
        <v>38</v>
      </c>
      <c r="B6629" t="str">
        <f>"9:00:38.897853"</f>
        <v>9:00:38.897853</v>
      </c>
      <c r="C6629">
        <v>-41</v>
      </c>
    </row>
    <row r="6630" spans="1:3" x14ac:dyDescent="0.25">
      <c r="A6630">
        <v>39</v>
      </c>
      <c r="B6630" t="str">
        <f>"9:00:38.898628"</f>
        <v>9:00:38.898628</v>
      </c>
      <c r="C6630">
        <v>-46</v>
      </c>
    </row>
    <row r="6631" spans="1:3" x14ac:dyDescent="0.25">
      <c r="A6631">
        <v>37</v>
      </c>
      <c r="B6631" t="str">
        <f>"9:00:39.253429"</f>
        <v>9:00:39.253429</v>
      </c>
      <c r="C6631">
        <v>-45</v>
      </c>
    </row>
    <row r="6632" spans="1:3" x14ac:dyDescent="0.25">
      <c r="A6632">
        <v>38</v>
      </c>
      <c r="B6632" t="str">
        <f>"9:00:39.254457"</f>
        <v>9:00:39.254457</v>
      </c>
      <c r="C6632">
        <v>-41</v>
      </c>
    </row>
    <row r="6633" spans="1:3" x14ac:dyDescent="0.25">
      <c r="A6633">
        <v>38</v>
      </c>
      <c r="B6633" t="str">
        <f>"9:00:39.254975"</f>
        <v>9:00:39.254975</v>
      </c>
      <c r="C6633">
        <v>-32</v>
      </c>
    </row>
    <row r="6634" spans="1:3" x14ac:dyDescent="0.25">
      <c r="A6634">
        <v>38</v>
      </c>
      <c r="B6634" t="str">
        <f>"9:00:39.255301"</f>
        <v>9:00:39.255301</v>
      </c>
      <c r="C6634">
        <v>-41</v>
      </c>
    </row>
    <row r="6635" spans="1:3" x14ac:dyDescent="0.25">
      <c r="A6635">
        <v>39</v>
      </c>
      <c r="B6635" t="str">
        <f>"9:00:39.256077"</f>
        <v>9:00:39.256077</v>
      </c>
      <c r="C6635">
        <v>-46</v>
      </c>
    </row>
    <row r="6636" spans="1:3" x14ac:dyDescent="0.25">
      <c r="A6636">
        <v>37</v>
      </c>
      <c r="B6636" t="str">
        <f>"9:00:39.612123"</f>
        <v>9:00:39.612123</v>
      </c>
      <c r="C6636">
        <v>-45</v>
      </c>
    </row>
    <row r="6637" spans="1:3" x14ac:dyDescent="0.25">
      <c r="A6637">
        <v>38</v>
      </c>
      <c r="B6637" t="str">
        <f>"9:00:39.613150"</f>
        <v>9:00:39.613150</v>
      </c>
      <c r="C6637">
        <v>-41</v>
      </c>
    </row>
    <row r="6638" spans="1:3" x14ac:dyDescent="0.25">
      <c r="A6638">
        <v>39</v>
      </c>
      <c r="B6638" t="str">
        <f>"9:00:39.614176"</f>
        <v>9:00:39.614176</v>
      </c>
      <c r="C6638">
        <v>-46</v>
      </c>
    </row>
    <row r="6639" spans="1:3" x14ac:dyDescent="0.25">
      <c r="A6639">
        <v>39</v>
      </c>
      <c r="B6639" t="str">
        <f>"9:00:39.614694"</f>
        <v>9:00:39.614694</v>
      </c>
      <c r="C6639">
        <v>-31</v>
      </c>
    </row>
    <row r="6640" spans="1:3" x14ac:dyDescent="0.25">
      <c r="A6640">
        <v>39</v>
      </c>
      <c r="B6640" t="str">
        <f>"9:00:39.615020"</f>
        <v>9:00:39.615020</v>
      </c>
      <c r="C6640">
        <v>-45</v>
      </c>
    </row>
    <row r="6641" spans="1:3" x14ac:dyDescent="0.25">
      <c r="A6641">
        <v>37</v>
      </c>
      <c r="B6641" t="str">
        <f>"9:00:39.964672"</f>
        <v>9:00:39.964672</v>
      </c>
      <c r="C6641">
        <v>-45</v>
      </c>
    </row>
    <row r="6642" spans="1:3" x14ac:dyDescent="0.25">
      <c r="A6642">
        <v>38</v>
      </c>
      <c r="B6642" t="str">
        <f>"9:00:39.965699"</f>
        <v>9:00:39.965699</v>
      </c>
      <c r="C6642">
        <v>-41</v>
      </c>
    </row>
    <row r="6643" spans="1:3" x14ac:dyDescent="0.25">
      <c r="A6643">
        <v>39</v>
      </c>
      <c r="B6643" t="str">
        <f>"9:00:39.966725"</f>
        <v>9:00:39.966725</v>
      </c>
      <c r="C6643">
        <v>-46</v>
      </c>
    </row>
    <row r="6644" spans="1:3" x14ac:dyDescent="0.25">
      <c r="A6644">
        <v>39</v>
      </c>
      <c r="B6644" t="str">
        <f>"9:00:39.967243"</f>
        <v>9:00:39.967243</v>
      </c>
      <c r="C6644">
        <v>-31</v>
      </c>
    </row>
    <row r="6645" spans="1:3" x14ac:dyDescent="0.25">
      <c r="A6645">
        <v>39</v>
      </c>
      <c r="B6645" t="str">
        <f>"9:00:39.967569"</f>
        <v>9:00:39.967569</v>
      </c>
      <c r="C6645">
        <v>-45</v>
      </c>
    </row>
    <row r="6646" spans="1:3" x14ac:dyDescent="0.25">
      <c r="A6646">
        <v>37</v>
      </c>
      <c r="B6646" t="str">
        <f>"9:00:40.323103"</f>
        <v>9:00:40.323103</v>
      </c>
      <c r="C6646">
        <v>-44</v>
      </c>
    </row>
    <row r="6647" spans="1:3" x14ac:dyDescent="0.25">
      <c r="A6647">
        <v>38</v>
      </c>
      <c r="B6647" t="str">
        <f>"9:00:40.324131"</f>
        <v>9:00:40.324131</v>
      </c>
      <c r="C6647">
        <v>-41</v>
      </c>
    </row>
    <row r="6648" spans="1:3" x14ac:dyDescent="0.25">
      <c r="A6648">
        <v>39</v>
      </c>
      <c r="B6648" t="str">
        <f>"9:00:40.325157"</f>
        <v>9:00:40.325157</v>
      </c>
      <c r="C6648">
        <v>-46</v>
      </c>
    </row>
    <row r="6649" spans="1:3" x14ac:dyDescent="0.25">
      <c r="A6649">
        <v>39</v>
      </c>
      <c r="B6649" t="str">
        <f>"9:00:40.325675"</f>
        <v>9:00:40.325675</v>
      </c>
      <c r="C6649">
        <v>-31</v>
      </c>
    </row>
    <row r="6650" spans="1:3" x14ac:dyDescent="0.25">
      <c r="A6650">
        <v>39</v>
      </c>
      <c r="B6650" t="str">
        <f>"9:00:40.326002"</f>
        <v>9:00:40.326002</v>
      </c>
      <c r="C6650">
        <v>-45</v>
      </c>
    </row>
    <row r="6651" spans="1:3" x14ac:dyDescent="0.25">
      <c r="A6651">
        <v>37</v>
      </c>
      <c r="B6651" t="str">
        <f>"9:00:40.677969"</f>
        <v>9:00:40.677969</v>
      </c>
      <c r="C6651">
        <v>-45</v>
      </c>
    </row>
    <row r="6652" spans="1:3" x14ac:dyDescent="0.25">
      <c r="A6652">
        <v>38</v>
      </c>
      <c r="B6652" t="str">
        <f>"9:00:40.678997"</f>
        <v>9:00:40.678997</v>
      </c>
      <c r="C6652">
        <v>-41</v>
      </c>
    </row>
    <row r="6653" spans="1:3" x14ac:dyDescent="0.25">
      <c r="A6653">
        <v>37</v>
      </c>
      <c r="B6653" t="str">
        <f>"9:00:41.030307"</f>
        <v>9:00:41.030307</v>
      </c>
      <c r="C6653">
        <v>-44</v>
      </c>
    </row>
    <row r="6654" spans="1:3" x14ac:dyDescent="0.25">
      <c r="A6654">
        <v>38</v>
      </c>
      <c r="B6654" t="str">
        <f>"9:00:41.031335"</f>
        <v>9:00:41.031335</v>
      </c>
      <c r="C6654">
        <v>-41</v>
      </c>
    </row>
    <row r="6655" spans="1:3" x14ac:dyDescent="0.25">
      <c r="A6655">
        <v>39</v>
      </c>
      <c r="B6655" t="str">
        <f>"9:00:41.032361"</f>
        <v>9:00:41.032361</v>
      </c>
      <c r="C6655">
        <v>-46</v>
      </c>
    </row>
    <row r="6656" spans="1:3" x14ac:dyDescent="0.25">
      <c r="A6656">
        <v>39</v>
      </c>
      <c r="B6656" t="str">
        <f>"9:00:41.032879"</f>
        <v>9:00:41.032879</v>
      </c>
      <c r="C6656">
        <v>-31</v>
      </c>
    </row>
    <row r="6657" spans="1:3" x14ac:dyDescent="0.25">
      <c r="A6657">
        <v>39</v>
      </c>
      <c r="B6657" t="str">
        <f>"9:00:41.033205"</f>
        <v>9:00:41.033205</v>
      </c>
      <c r="C6657">
        <v>-45</v>
      </c>
    </row>
    <row r="6658" spans="1:3" x14ac:dyDescent="0.25">
      <c r="A6658">
        <v>37</v>
      </c>
      <c r="B6658" t="str">
        <f>"9:00:41.385633"</f>
        <v>9:00:41.385633</v>
      </c>
      <c r="C6658">
        <v>-44</v>
      </c>
    </row>
    <row r="6659" spans="1:3" x14ac:dyDescent="0.25">
      <c r="A6659">
        <v>38</v>
      </c>
      <c r="B6659" t="str">
        <f>"9:00:41.386661"</f>
        <v>9:00:41.386661</v>
      </c>
      <c r="C6659">
        <v>-41</v>
      </c>
    </row>
    <row r="6660" spans="1:3" x14ac:dyDescent="0.25">
      <c r="A6660">
        <v>39</v>
      </c>
      <c r="B6660" t="str">
        <f>"9:00:41.387687"</f>
        <v>9:00:41.387687</v>
      </c>
      <c r="C6660">
        <v>-46</v>
      </c>
    </row>
    <row r="6661" spans="1:3" x14ac:dyDescent="0.25">
      <c r="A6661">
        <v>39</v>
      </c>
      <c r="B6661" t="str">
        <f>"9:00:41.388205"</f>
        <v>9:00:41.388205</v>
      </c>
      <c r="C6661">
        <v>-31</v>
      </c>
    </row>
    <row r="6662" spans="1:3" x14ac:dyDescent="0.25">
      <c r="A6662">
        <v>39</v>
      </c>
      <c r="B6662" t="str">
        <f>"9:00:41.388531"</f>
        <v>9:00:41.388531</v>
      </c>
      <c r="C6662">
        <v>-45</v>
      </c>
    </row>
    <row r="6663" spans="1:3" x14ac:dyDescent="0.25">
      <c r="A6663">
        <v>37</v>
      </c>
      <c r="B6663" t="str">
        <f>"9:00:41.737921"</f>
        <v>9:00:41.737921</v>
      </c>
      <c r="C6663">
        <v>-44</v>
      </c>
    </row>
    <row r="6664" spans="1:3" x14ac:dyDescent="0.25">
      <c r="A6664">
        <v>37</v>
      </c>
      <c r="B6664" t="str">
        <f>"9:00:41.738767"</f>
        <v>9:00:41.738767</v>
      </c>
      <c r="C6664">
        <v>-44</v>
      </c>
    </row>
    <row r="6665" spans="1:3" x14ac:dyDescent="0.25">
      <c r="A6665">
        <v>38</v>
      </c>
      <c r="B6665" t="str">
        <f>"9:00:41.739543"</f>
        <v>9:00:41.739543</v>
      </c>
      <c r="C6665">
        <v>-41</v>
      </c>
    </row>
    <row r="6666" spans="1:3" x14ac:dyDescent="0.25">
      <c r="A6666">
        <v>39</v>
      </c>
      <c r="B6666" t="str">
        <f>"9:00:41.740569"</f>
        <v>9:00:41.740569</v>
      </c>
      <c r="C6666">
        <v>-45</v>
      </c>
    </row>
    <row r="6667" spans="1:3" x14ac:dyDescent="0.25">
      <c r="A6667">
        <v>39</v>
      </c>
      <c r="B6667" t="str">
        <f>"9:00:41.741088"</f>
        <v>9:00:41.741088</v>
      </c>
      <c r="C6667">
        <v>-31</v>
      </c>
    </row>
    <row r="6668" spans="1:3" x14ac:dyDescent="0.25">
      <c r="A6668">
        <v>39</v>
      </c>
      <c r="B6668" t="str">
        <f>"9:00:41.741413"</f>
        <v>9:00:41.741413</v>
      </c>
      <c r="C6668">
        <v>-45</v>
      </c>
    </row>
    <row r="6669" spans="1:3" x14ac:dyDescent="0.25">
      <c r="A6669">
        <v>37</v>
      </c>
      <c r="B6669" t="str">
        <f>"9:00:42.093513"</f>
        <v>9:00:42.093513</v>
      </c>
      <c r="C6669">
        <v>-44</v>
      </c>
    </row>
    <row r="6670" spans="1:3" x14ac:dyDescent="0.25">
      <c r="A6670">
        <v>38</v>
      </c>
      <c r="B6670" t="str">
        <f>"9:00:42.094540"</f>
        <v>9:00:42.094540</v>
      </c>
      <c r="C6670">
        <v>-41</v>
      </c>
    </row>
    <row r="6671" spans="1:3" x14ac:dyDescent="0.25">
      <c r="A6671">
        <v>39</v>
      </c>
      <c r="B6671" t="str">
        <f>"9:00:42.095566"</f>
        <v>9:00:42.095566</v>
      </c>
      <c r="C6671">
        <v>-46</v>
      </c>
    </row>
    <row r="6672" spans="1:3" x14ac:dyDescent="0.25">
      <c r="A6672">
        <v>37</v>
      </c>
      <c r="B6672" t="str">
        <f>"9:00:42.446532"</f>
        <v>9:00:42.446532</v>
      </c>
      <c r="C6672">
        <v>-44</v>
      </c>
    </row>
    <row r="6673" spans="1:3" x14ac:dyDescent="0.25">
      <c r="A6673">
        <v>38</v>
      </c>
      <c r="B6673" t="str">
        <f>"9:00:42.447559"</f>
        <v>9:00:42.447559</v>
      </c>
      <c r="C6673">
        <v>-41</v>
      </c>
    </row>
    <row r="6674" spans="1:3" x14ac:dyDescent="0.25">
      <c r="A6674">
        <v>39</v>
      </c>
      <c r="B6674" t="str">
        <f>"9:00:42.448585"</f>
        <v>9:00:42.448585</v>
      </c>
      <c r="C6674">
        <v>-46</v>
      </c>
    </row>
    <row r="6675" spans="1:3" x14ac:dyDescent="0.25">
      <c r="A6675">
        <v>39</v>
      </c>
      <c r="B6675" t="str">
        <f>"9:00:42.449104"</f>
        <v>9:00:42.449104</v>
      </c>
      <c r="C6675">
        <v>-31</v>
      </c>
    </row>
    <row r="6676" spans="1:3" x14ac:dyDescent="0.25">
      <c r="A6676">
        <v>39</v>
      </c>
      <c r="B6676" t="str">
        <f>"9:00:42.449430"</f>
        <v>9:00:42.449430</v>
      </c>
      <c r="C6676">
        <v>-45</v>
      </c>
    </row>
    <row r="6677" spans="1:3" x14ac:dyDescent="0.25">
      <c r="A6677">
        <v>37</v>
      </c>
      <c r="B6677" t="str">
        <f>"9:00:42.806517"</f>
        <v>9:00:42.806517</v>
      </c>
      <c r="C6677">
        <v>-44</v>
      </c>
    </row>
    <row r="6678" spans="1:3" x14ac:dyDescent="0.25">
      <c r="A6678">
        <v>38</v>
      </c>
      <c r="B6678" t="str">
        <f>"9:00:42.807544"</f>
        <v>9:00:42.807544</v>
      </c>
      <c r="C6678">
        <v>-41</v>
      </c>
    </row>
    <row r="6679" spans="1:3" x14ac:dyDescent="0.25">
      <c r="A6679">
        <v>39</v>
      </c>
      <c r="B6679" t="str">
        <f>"9:00:42.808570"</f>
        <v>9:00:42.808570</v>
      </c>
      <c r="C6679">
        <v>-46</v>
      </c>
    </row>
    <row r="6680" spans="1:3" x14ac:dyDescent="0.25">
      <c r="A6680">
        <v>39</v>
      </c>
      <c r="B6680" t="str">
        <f>"9:00:42.809088"</f>
        <v>9:00:42.809088</v>
      </c>
      <c r="C6680">
        <v>-31</v>
      </c>
    </row>
    <row r="6681" spans="1:3" x14ac:dyDescent="0.25">
      <c r="A6681">
        <v>39</v>
      </c>
      <c r="B6681" t="str">
        <f>"9:00:42.809414"</f>
        <v>9:00:42.809414</v>
      </c>
      <c r="C6681">
        <v>-45</v>
      </c>
    </row>
    <row r="6682" spans="1:3" x14ac:dyDescent="0.25">
      <c r="A6682">
        <v>37</v>
      </c>
      <c r="B6682" t="str">
        <f>"9:00:43.157014"</f>
        <v>9:00:43.157014</v>
      </c>
      <c r="C6682">
        <v>-44</v>
      </c>
    </row>
    <row r="6683" spans="1:3" x14ac:dyDescent="0.25">
      <c r="A6683">
        <v>38</v>
      </c>
      <c r="B6683" t="str">
        <f>"9:00:43.158042"</f>
        <v>9:00:43.158042</v>
      </c>
      <c r="C6683">
        <v>-41</v>
      </c>
    </row>
    <row r="6684" spans="1:3" x14ac:dyDescent="0.25">
      <c r="A6684">
        <v>39</v>
      </c>
      <c r="B6684" t="str">
        <f>"9:00:43.159068"</f>
        <v>9:00:43.159068</v>
      </c>
      <c r="C6684">
        <v>-46</v>
      </c>
    </row>
    <row r="6685" spans="1:3" x14ac:dyDescent="0.25">
      <c r="A6685">
        <v>37</v>
      </c>
      <c r="B6685" t="str">
        <f>"9:00:43.507977"</f>
        <v>9:00:43.507977</v>
      </c>
      <c r="C6685">
        <v>-44</v>
      </c>
    </row>
    <row r="6686" spans="1:3" x14ac:dyDescent="0.25">
      <c r="A6686">
        <v>38</v>
      </c>
      <c r="B6686" t="str">
        <f>"9:00:43.509005"</f>
        <v>9:00:43.509005</v>
      </c>
      <c r="C6686">
        <v>-41</v>
      </c>
    </row>
    <row r="6687" spans="1:3" x14ac:dyDescent="0.25">
      <c r="A6687">
        <v>39</v>
      </c>
      <c r="B6687" t="str">
        <f>"9:00:43.510031"</f>
        <v>9:00:43.510031</v>
      </c>
      <c r="C6687">
        <v>-46</v>
      </c>
    </row>
    <row r="6688" spans="1:3" x14ac:dyDescent="0.25">
      <c r="A6688">
        <v>39</v>
      </c>
      <c r="B6688" t="str">
        <f>"9:00:43.510549"</f>
        <v>9:00:43.510549</v>
      </c>
      <c r="C6688">
        <v>-31</v>
      </c>
    </row>
    <row r="6689" spans="1:3" x14ac:dyDescent="0.25">
      <c r="A6689">
        <v>39</v>
      </c>
      <c r="B6689" t="str">
        <f>"9:00:43.510875"</f>
        <v>9:00:43.510875</v>
      </c>
      <c r="C6689">
        <v>-45</v>
      </c>
    </row>
    <row r="6690" spans="1:3" x14ac:dyDescent="0.25">
      <c r="A6690">
        <v>37</v>
      </c>
      <c r="B6690" t="str">
        <f>"9:00:43.858975"</f>
        <v>9:00:43.858975</v>
      </c>
      <c r="C6690">
        <v>-44</v>
      </c>
    </row>
    <row r="6691" spans="1:3" x14ac:dyDescent="0.25">
      <c r="A6691">
        <v>38</v>
      </c>
      <c r="B6691" t="str">
        <f>"9:00:43.860003"</f>
        <v>9:00:43.860003</v>
      </c>
      <c r="C6691">
        <v>-41</v>
      </c>
    </row>
    <row r="6692" spans="1:3" x14ac:dyDescent="0.25">
      <c r="A6692">
        <v>37</v>
      </c>
      <c r="B6692" t="str">
        <f>"9:00:44.210735"</f>
        <v>9:00:44.210735</v>
      </c>
      <c r="C6692">
        <v>-44</v>
      </c>
    </row>
    <row r="6693" spans="1:3" x14ac:dyDescent="0.25">
      <c r="A6693">
        <v>38</v>
      </c>
      <c r="B6693" t="str">
        <f>"9:00:44.211762"</f>
        <v>9:00:44.211762</v>
      </c>
      <c r="C6693">
        <v>-41</v>
      </c>
    </row>
    <row r="6694" spans="1:3" x14ac:dyDescent="0.25">
      <c r="A6694">
        <v>39</v>
      </c>
      <c r="B6694" t="str">
        <f>"9:00:44.212788"</f>
        <v>9:00:44.212788</v>
      </c>
      <c r="C6694">
        <v>-46</v>
      </c>
    </row>
    <row r="6695" spans="1:3" x14ac:dyDescent="0.25">
      <c r="A6695">
        <v>37</v>
      </c>
      <c r="B6695" t="str">
        <f>"9:00:44.567875"</f>
        <v>9:00:44.567875</v>
      </c>
      <c r="C6695">
        <v>-44</v>
      </c>
    </row>
    <row r="6696" spans="1:3" x14ac:dyDescent="0.25">
      <c r="A6696">
        <v>37</v>
      </c>
      <c r="B6696" t="str">
        <f>"9:00:44.568394"</f>
        <v>9:00:44.568394</v>
      </c>
      <c r="C6696">
        <v>-39</v>
      </c>
    </row>
    <row r="6697" spans="1:3" x14ac:dyDescent="0.25">
      <c r="A6697">
        <v>37</v>
      </c>
      <c r="B6697" t="str">
        <f>"9:00:44.568719"</f>
        <v>9:00:44.568719</v>
      </c>
      <c r="C6697">
        <v>-44</v>
      </c>
    </row>
    <row r="6698" spans="1:3" x14ac:dyDescent="0.25">
      <c r="A6698">
        <v>38</v>
      </c>
      <c r="B6698" t="str">
        <f>"9:00:44.569495"</f>
        <v>9:00:44.569495</v>
      </c>
      <c r="C6698">
        <v>-41</v>
      </c>
    </row>
    <row r="6699" spans="1:3" x14ac:dyDescent="0.25">
      <c r="A6699">
        <v>39</v>
      </c>
      <c r="B6699" t="str">
        <f>"9:00:44.570522"</f>
        <v>9:00:44.570522</v>
      </c>
      <c r="C6699">
        <v>-46</v>
      </c>
    </row>
    <row r="6700" spans="1:3" x14ac:dyDescent="0.25">
      <c r="A6700">
        <v>37</v>
      </c>
      <c r="B6700" t="str">
        <f>"9:00:44.920902"</f>
        <v>9:00:44.920902</v>
      </c>
      <c r="C6700">
        <v>-44</v>
      </c>
    </row>
    <row r="6701" spans="1:3" x14ac:dyDescent="0.25">
      <c r="A6701">
        <v>37</v>
      </c>
      <c r="B6701" t="str">
        <f>"9:00:44.921421"</f>
        <v>9:00:44.921421</v>
      </c>
      <c r="C6701">
        <v>-39</v>
      </c>
    </row>
    <row r="6702" spans="1:3" x14ac:dyDescent="0.25">
      <c r="A6702">
        <v>37</v>
      </c>
      <c r="B6702" t="str">
        <f>"9:00:44.921747"</f>
        <v>9:00:44.921747</v>
      </c>
      <c r="C6702">
        <v>-44</v>
      </c>
    </row>
    <row r="6703" spans="1:3" x14ac:dyDescent="0.25">
      <c r="A6703">
        <v>38</v>
      </c>
      <c r="B6703" t="str">
        <f>"9:00:44.922523"</f>
        <v>9:00:44.922523</v>
      </c>
      <c r="C6703">
        <v>-41</v>
      </c>
    </row>
    <row r="6704" spans="1:3" x14ac:dyDescent="0.25">
      <c r="A6704">
        <v>39</v>
      </c>
      <c r="B6704" t="str">
        <f>"9:00:44.923549"</f>
        <v>9:00:44.923549</v>
      </c>
      <c r="C6704">
        <v>-46</v>
      </c>
    </row>
    <row r="6705" spans="1:3" x14ac:dyDescent="0.25">
      <c r="A6705">
        <v>37</v>
      </c>
      <c r="B6705" t="str">
        <f>"9:00:45.280388"</f>
        <v>9:00:45.280388</v>
      </c>
      <c r="C6705">
        <v>-44</v>
      </c>
    </row>
    <row r="6706" spans="1:3" x14ac:dyDescent="0.25">
      <c r="A6706">
        <v>37</v>
      </c>
      <c r="B6706" t="str">
        <f>"9:00:45.280907"</f>
        <v>9:00:45.280907</v>
      </c>
      <c r="C6706">
        <v>-39</v>
      </c>
    </row>
    <row r="6707" spans="1:3" x14ac:dyDescent="0.25">
      <c r="A6707">
        <v>37</v>
      </c>
      <c r="B6707" t="str">
        <f>"9:00:45.281233"</f>
        <v>9:00:45.281233</v>
      </c>
      <c r="C6707">
        <v>-44</v>
      </c>
    </row>
    <row r="6708" spans="1:3" x14ac:dyDescent="0.25">
      <c r="A6708">
        <v>38</v>
      </c>
      <c r="B6708" t="str">
        <f>"9:00:45.282009"</f>
        <v>9:00:45.282009</v>
      </c>
      <c r="C6708">
        <v>-41</v>
      </c>
    </row>
    <row r="6709" spans="1:3" x14ac:dyDescent="0.25">
      <c r="A6709">
        <v>39</v>
      </c>
      <c r="B6709" t="str">
        <f>"9:00:45.283035"</f>
        <v>9:00:45.283035</v>
      </c>
      <c r="C6709">
        <v>-46</v>
      </c>
    </row>
    <row r="6710" spans="1:3" x14ac:dyDescent="0.25">
      <c r="A6710">
        <v>37</v>
      </c>
      <c r="B6710" t="str">
        <f>"9:00:45.631144"</f>
        <v>9:00:45.631144</v>
      </c>
      <c r="C6710">
        <v>-44</v>
      </c>
    </row>
    <row r="6711" spans="1:3" x14ac:dyDescent="0.25">
      <c r="A6711">
        <v>37</v>
      </c>
      <c r="B6711" t="str">
        <f>"9:00:45.631663"</f>
        <v>9:00:45.631663</v>
      </c>
      <c r="C6711">
        <v>-40</v>
      </c>
    </row>
    <row r="6712" spans="1:3" x14ac:dyDescent="0.25">
      <c r="A6712">
        <v>37</v>
      </c>
      <c r="B6712" t="str">
        <f>"9:00:45.631989"</f>
        <v>9:00:45.631989</v>
      </c>
      <c r="C6712">
        <v>-44</v>
      </c>
    </row>
    <row r="6713" spans="1:3" x14ac:dyDescent="0.25">
      <c r="A6713">
        <v>38</v>
      </c>
      <c r="B6713" t="str">
        <f>"9:00:45.632765"</f>
        <v>9:00:45.632765</v>
      </c>
      <c r="C6713">
        <v>-41</v>
      </c>
    </row>
    <row r="6714" spans="1:3" x14ac:dyDescent="0.25">
      <c r="A6714">
        <v>39</v>
      </c>
      <c r="B6714" t="str">
        <f>"9:00:45.633791"</f>
        <v>9:00:45.633791</v>
      </c>
      <c r="C6714">
        <v>-46</v>
      </c>
    </row>
    <row r="6715" spans="1:3" x14ac:dyDescent="0.25">
      <c r="A6715">
        <v>37</v>
      </c>
      <c r="B6715" t="str">
        <f>"9:00:45.990858"</f>
        <v>9:00:45.990858</v>
      </c>
      <c r="C6715">
        <v>-44</v>
      </c>
    </row>
    <row r="6716" spans="1:3" x14ac:dyDescent="0.25">
      <c r="A6716">
        <v>37</v>
      </c>
      <c r="B6716" t="str">
        <f>"9:00:45.991377"</f>
        <v>9:00:45.991377</v>
      </c>
      <c r="C6716">
        <v>-39</v>
      </c>
    </row>
    <row r="6717" spans="1:3" x14ac:dyDescent="0.25">
      <c r="A6717">
        <v>37</v>
      </c>
      <c r="B6717" t="str">
        <f>"9:00:45.991703"</f>
        <v>9:00:45.991703</v>
      </c>
      <c r="C6717">
        <v>-44</v>
      </c>
    </row>
    <row r="6718" spans="1:3" x14ac:dyDescent="0.25">
      <c r="A6718">
        <v>38</v>
      </c>
      <c r="B6718" t="str">
        <f>"9:00:45.992480"</f>
        <v>9:00:45.992480</v>
      </c>
      <c r="C6718">
        <v>-41</v>
      </c>
    </row>
    <row r="6719" spans="1:3" x14ac:dyDescent="0.25">
      <c r="A6719">
        <v>39</v>
      </c>
      <c r="B6719" t="str">
        <f>"9:00:45.993506"</f>
        <v>9:00:45.993506</v>
      </c>
      <c r="C6719">
        <v>-46</v>
      </c>
    </row>
    <row r="6720" spans="1:3" x14ac:dyDescent="0.25">
      <c r="A6720">
        <v>37</v>
      </c>
      <c r="B6720" t="str">
        <f>"9:00:46.348251"</f>
        <v>9:00:46.348251</v>
      </c>
      <c r="C6720">
        <v>-44</v>
      </c>
    </row>
    <row r="6721" spans="1:3" x14ac:dyDescent="0.25">
      <c r="A6721">
        <v>38</v>
      </c>
      <c r="B6721" t="str">
        <f>"9:00:46.349278"</f>
        <v>9:00:46.349278</v>
      </c>
      <c r="C6721">
        <v>-41</v>
      </c>
    </row>
    <row r="6722" spans="1:3" x14ac:dyDescent="0.25">
      <c r="A6722">
        <v>39</v>
      </c>
      <c r="B6722" t="str">
        <f>"9:00:46.350304"</f>
        <v>9:00:46.350304</v>
      </c>
      <c r="C6722">
        <v>-46</v>
      </c>
    </row>
    <row r="6723" spans="1:3" x14ac:dyDescent="0.25">
      <c r="A6723">
        <v>37</v>
      </c>
      <c r="B6723" t="str">
        <f>"9:00:46.702340"</f>
        <v>9:00:46.702340</v>
      </c>
      <c r="C6723">
        <v>-44</v>
      </c>
    </row>
    <row r="6724" spans="1:3" x14ac:dyDescent="0.25">
      <c r="A6724">
        <v>37</v>
      </c>
      <c r="B6724" t="str">
        <f>"9:00:46.702858"</f>
        <v>9:00:46.702858</v>
      </c>
      <c r="C6724">
        <v>-40</v>
      </c>
    </row>
    <row r="6725" spans="1:3" x14ac:dyDescent="0.25">
      <c r="A6725">
        <v>37</v>
      </c>
      <c r="B6725" t="str">
        <f>"9:00:46.703184"</f>
        <v>9:00:46.703184</v>
      </c>
      <c r="C6725">
        <v>-44</v>
      </c>
    </row>
    <row r="6726" spans="1:3" x14ac:dyDescent="0.25">
      <c r="A6726">
        <v>38</v>
      </c>
      <c r="B6726" t="str">
        <f>"9:00:46.703960"</f>
        <v>9:00:46.703960</v>
      </c>
      <c r="C6726">
        <v>-41</v>
      </c>
    </row>
    <row r="6727" spans="1:3" x14ac:dyDescent="0.25">
      <c r="A6727">
        <v>39</v>
      </c>
      <c r="B6727" t="str">
        <f>"9:00:46.704986"</f>
        <v>9:00:46.704986</v>
      </c>
      <c r="C6727">
        <v>-46</v>
      </c>
    </row>
    <row r="6728" spans="1:3" x14ac:dyDescent="0.25">
      <c r="A6728">
        <v>37</v>
      </c>
      <c r="B6728" t="str">
        <f>"9:00:47.052560"</f>
        <v>9:00:47.052560</v>
      </c>
      <c r="C6728">
        <v>-44</v>
      </c>
    </row>
    <row r="6729" spans="1:3" x14ac:dyDescent="0.25">
      <c r="A6729">
        <v>38</v>
      </c>
      <c r="B6729" t="str">
        <f>"9:00:47.053587"</f>
        <v>9:00:47.053587</v>
      </c>
      <c r="C6729">
        <v>-41</v>
      </c>
    </row>
    <row r="6730" spans="1:3" x14ac:dyDescent="0.25">
      <c r="A6730">
        <v>39</v>
      </c>
      <c r="B6730" t="str">
        <f>"9:00:47.054613"</f>
        <v>9:00:47.054613</v>
      </c>
      <c r="C6730">
        <v>-46</v>
      </c>
    </row>
    <row r="6731" spans="1:3" x14ac:dyDescent="0.25">
      <c r="A6731">
        <v>37</v>
      </c>
      <c r="B6731" t="str">
        <f>"9:00:47.408656"</f>
        <v>9:00:47.408656</v>
      </c>
      <c r="C6731">
        <v>-44</v>
      </c>
    </row>
    <row r="6732" spans="1:3" x14ac:dyDescent="0.25">
      <c r="A6732">
        <v>38</v>
      </c>
      <c r="B6732" t="str">
        <f>"9:00:47.409683"</f>
        <v>9:00:47.409683</v>
      </c>
      <c r="C6732">
        <v>-41</v>
      </c>
    </row>
    <row r="6733" spans="1:3" x14ac:dyDescent="0.25">
      <c r="A6733">
        <v>39</v>
      </c>
      <c r="B6733" t="str">
        <f>"9:00:47.410709"</f>
        <v>9:00:47.410709</v>
      </c>
      <c r="C6733">
        <v>-46</v>
      </c>
    </row>
    <row r="6734" spans="1:3" x14ac:dyDescent="0.25">
      <c r="A6734">
        <v>37</v>
      </c>
      <c r="B6734" t="str">
        <f>"9:00:47.759870"</f>
        <v>9:00:47.759870</v>
      </c>
      <c r="C6734">
        <v>-44</v>
      </c>
    </row>
    <row r="6735" spans="1:3" x14ac:dyDescent="0.25">
      <c r="A6735">
        <v>38</v>
      </c>
      <c r="B6735" t="str">
        <f>"9:00:47.760898"</f>
        <v>9:00:47.760898</v>
      </c>
      <c r="C6735">
        <v>-41</v>
      </c>
    </row>
    <row r="6736" spans="1:3" x14ac:dyDescent="0.25">
      <c r="A6736">
        <v>39</v>
      </c>
      <c r="B6736" t="str">
        <f>"9:00:47.761924"</f>
        <v>9:00:47.761924</v>
      </c>
      <c r="C6736">
        <v>-46</v>
      </c>
    </row>
    <row r="6737" spans="1:3" x14ac:dyDescent="0.25">
      <c r="A6737">
        <v>37</v>
      </c>
      <c r="B6737" t="str">
        <f>"9:00:48.113908"</f>
        <v>9:00:48.113908</v>
      </c>
      <c r="C6737">
        <v>-44</v>
      </c>
    </row>
    <row r="6738" spans="1:3" x14ac:dyDescent="0.25">
      <c r="A6738">
        <v>37</v>
      </c>
      <c r="B6738" t="str">
        <f>"9:00:48.114427"</f>
        <v>9:00:48.114427</v>
      </c>
      <c r="C6738">
        <v>-39</v>
      </c>
    </row>
    <row r="6739" spans="1:3" x14ac:dyDescent="0.25">
      <c r="A6739">
        <v>37</v>
      </c>
      <c r="B6739" t="str">
        <f>"9:00:48.114753"</f>
        <v>9:00:48.114753</v>
      </c>
      <c r="C6739">
        <v>-44</v>
      </c>
    </row>
    <row r="6740" spans="1:3" x14ac:dyDescent="0.25">
      <c r="A6740">
        <v>38</v>
      </c>
      <c r="B6740" t="str">
        <f>"9:00:48.115530"</f>
        <v>9:00:48.115530</v>
      </c>
      <c r="C6740">
        <v>-41</v>
      </c>
    </row>
    <row r="6741" spans="1:3" x14ac:dyDescent="0.25">
      <c r="A6741">
        <v>39</v>
      </c>
      <c r="B6741" t="str">
        <f>"9:00:48.116556"</f>
        <v>9:00:48.116556</v>
      </c>
      <c r="C6741">
        <v>-46</v>
      </c>
    </row>
    <row r="6742" spans="1:3" x14ac:dyDescent="0.25">
      <c r="A6742">
        <v>37</v>
      </c>
      <c r="B6742" t="str">
        <f>"9:00:48.473369"</f>
        <v>9:00:48.473369</v>
      </c>
      <c r="C6742">
        <v>-44</v>
      </c>
    </row>
    <row r="6743" spans="1:3" x14ac:dyDescent="0.25">
      <c r="A6743">
        <v>38</v>
      </c>
      <c r="B6743" t="str">
        <f>"9:00:48.474396"</f>
        <v>9:00:48.474396</v>
      </c>
      <c r="C6743">
        <v>-41</v>
      </c>
    </row>
    <row r="6744" spans="1:3" x14ac:dyDescent="0.25">
      <c r="A6744">
        <v>39</v>
      </c>
      <c r="B6744" t="str">
        <f>"9:00:48.475422"</f>
        <v>9:00:48.475422</v>
      </c>
      <c r="C6744">
        <v>-46</v>
      </c>
    </row>
    <row r="6745" spans="1:3" x14ac:dyDescent="0.25">
      <c r="A6745">
        <v>37</v>
      </c>
      <c r="B6745" t="str">
        <f>"9:00:48.825620"</f>
        <v>9:00:48.825620</v>
      </c>
      <c r="C6745">
        <v>-44</v>
      </c>
    </row>
    <row r="6746" spans="1:3" x14ac:dyDescent="0.25">
      <c r="A6746">
        <v>37</v>
      </c>
      <c r="B6746" t="str">
        <f>"9:00:48.826140"</f>
        <v>9:00:48.826140</v>
      </c>
      <c r="C6746">
        <v>-79</v>
      </c>
    </row>
    <row r="6747" spans="1:3" x14ac:dyDescent="0.25">
      <c r="A6747">
        <v>38</v>
      </c>
      <c r="B6747" t="str">
        <f>"9:00:48.826648"</f>
        <v>9:00:48.826648</v>
      </c>
      <c r="C6747">
        <v>-41</v>
      </c>
    </row>
    <row r="6748" spans="1:3" x14ac:dyDescent="0.25">
      <c r="A6748">
        <v>39</v>
      </c>
      <c r="B6748" t="str">
        <f>"9:00:48.827674"</f>
        <v>9:00:48.827674</v>
      </c>
      <c r="C6748">
        <v>-46</v>
      </c>
    </row>
    <row r="6749" spans="1:3" x14ac:dyDescent="0.25">
      <c r="A6749">
        <v>37</v>
      </c>
      <c r="B6749" t="str">
        <f>"9:00:49.183797"</f>
        <v>9:00:49.183797</v>
      </c>
      <c r="C6749">
        <v>-44</v>
      </c>
    </row>
    <row r="6750" spans="1:3" x14ac:dyDescent="0.25">
      <c r="A6750">
        <v>37</v>
      </c>
      <c r="B6750" t="str">
        <f>"9:00:49.184316"</f>
        <v>9:00:49.184316</v>
      </c>
      <c r="C6750">
        <v>-39</v>
      </c>
    </row>
    <row r="6751" spans="1:3" x14ac:dyDescent="0.25">
      <c r="A6751">
        <v>37</v>
      </c>
      <c r="B6751" t="str">
        <f>"9:00:49.184642"</f>
        <v>9:00:49.184642</v>
      </c>
      <c r="C6751">
        <v>-44</v>
      </c>
    </row>
    <row r="6752" spans="1:3" x14ac:dyDescent="0.25">
      <c r="A6752">
        <v>38</v>
      </c>
      <c r="B6752" t="str">
        <f>"9:00:49.185419"</f>
        <v>9:00:49.185419</v>
      </c>
      <c r="C6752">
        <v>-41</v>
      </c>
    </row>
    <row r="6753" spans="1:3" x14ac:dyDescent="0.25">
      <c r="A6753">
        <v>39</v>
      </c>
      <c r="B6753" t="str">
        <f>"9:00:49.186445"</f>
        <v>9:00:49.186445</v>
      </c>
      <c r="C6753">
        <v>-46</v>
      </c>
    </row>
    <row r="6754" spans="1:3" x14ac:dyDescent="0.25">
      <c r="A6754">
        <v>37</v>
      </c>
      <c r="B6754" t="str">
        <f>"9:00:49.542708"</f>
        <v>9:00:49.542708</v>
      </c>
      <c r="C6754">
        <v>-44</v>
      </c>
    </row>
    <row r="6755" spans="1:3" x14ac:dyDescent="0.25">
      <c r="A6755">
        <v>38</v>
      </c>
      <c r="B6755" t="str">
        <f>"9:00:49.543735"</f>
        <v>9:00:49.543735</v>
      </c>
      <c r="C6755">
        <v>-41</v>
      </c>
    </row>
    <row r="6756" spans="1:3" x14ac:dyDescent="0.25">
      <c r="A6756">
        <v>38</v>
      </c>
      <c r="B6756" t="str">
        <f>"9:00:49.544253"</f>
        <v>9:00:49.544253</v>
      </c>
      <c r="C6756">
        <v>-32</v>
      </c>
    </row>
    <row r="6757" spans="1:3" x14ac:dyDescent="0.25">
      <c r="A6757">
        <v>38</v>
      </c>
      <c r="B6757" t="str">
        <f>"9:00:49.544579"</f>
        <v>9:00:49.544579</v>
      </c>
      <c r="C6757">
        <v>-41</v>
      </c>
    </row>
    <row r="6758" spans="1:3" x14ac:dyDescent="0.25">
      <c r="A6758">
        <v>39</v>
      </c>
      <c r="B6758" t="str">
        <f>"9:00:49.545355"</f>
        <v>9:00:49.545355</v>
      </c>
      <c r="C6758">
        <v>-46</v>
      </c>
    </row>
    <row r="6759" spans="1:3" x14ac:dyDescent="0.25">
      <c r="A6759">
        <v>37</v>
      </c>
      <c r="B6759" t="str">
        <f>"9:00:49.901903"</f>
        <v>9:00:49.901903</v>
      </c>
      <c r="C6759">
        <v>-44</v>
      </c>
    </row>
    <row r="6760" spans="1:3" x14ac:dyDescent="0.25">
      <c r="A6760">
        <v>38</v>
      </c>
      <c r="B6760" t="str">
        <f>"9:00:49.902930"</f>
        <v>9:00:49.902930</v>
      </c>
      <c r="C6760">
        <v>-41</v>
      </c>
    </row>
    <row r="6761" spans="1:3" x14ac:dyDescent="0.25">
      <c r="A6761">
        <v>38</v>
      </c>
      <c r="B6761" t="str">
        <f>"9:00:49.903448"</f>
        <v>9:00:49.903448</v>
      </c>
      <c r="C6761">
        <v>-32</v>
      </c>
    </row>
    <row r="6762" spans="1:3" x14ac:dyDescent="0.25">
      <c r="A6762">
        <v>38</v>
      </c>
      <c r="B6762" t="str">
        <f>"9:00:49.903774"</f>
        <v>9:00:49.903774</v>
      </c>
      <c r="C6762">
        <v>-41</v>
      </c>
    </row>
    <row r="6763" spans="1:3" x14ac:dyDescent="0.25">
      <c r="A6763">
        <v>39</v>
      </c>
      <c r="B6763" t="str">
        <f>"9:00:49.904550"</f>
        <v>9:00:49.904550</v>
      </c>
      <c r="C6763">
        <v>-46</v>
      </c>
    </row>
    <row r="6764" spans="1:3" x14ac:dyDescent="0.25">
      <c r="A6764">
        <v>37</v>
      </c>
      <c r="B6764" t="str">
        <f>"9:00:50.254395"</f>
        <v>9:00:50.254395</v>
      </c>
      <c r="C6764">
        <v>-44</v>
      </c>
    </row>
    <row r="6765" spans="1:3" x14ac:dyDescent="0.25">
      <c r="A6765">
        <v>38</v>
      </c>
      <c r="B6765" t="str">
        <f>"9:00:50.255422"</f>
        <v>9:00:50.255422</v>
      </c>
      <c r="C6765">
        <v>-41</v>
      </c>
    </row>
    <row r="6766" spans="1:3" x14ac:dyDescent="0.25">
      <c r="A6766">
        <v>38</v>
      </c>
      <c r="B6766" t="str">
        <f>"9:00:50.255941"</f>
        <v>9:00:50.255941</v>
      </c>
      <c r="C6766">
        <v>-32</v>
      </c>
    </row>
    <row r="6767" spans="1:3" x14ac:dyDescent="0.25">
      <c r="A6767">
        <v>38</v>
      </c>
      <c r="B6767" t="str">
        <f>"9:00:50.256266"</f>
        <v>9:00:50.256266</v>
      </c>
      <c r="C6767">
        <v>-41</v>
      </c>
    </row>
    <row r="6768" spans="1:3" x14ac:dyDescent="0.25">
      <c r="A6768">
        <v>39</v>
      </c>
      <c r="B6768" t="str">
        <f>"9:00:50.257042"</f>
        <v>9:00:50.257042</v>
      </c>
      <c r="C6768">
        <v>-46</v>
      </c>
    </row>
    <row r="6769" spans="1:3" x14ac:dyDescent="0.25">
      <c r="A6769">
        <v>37</v>
      </c>
      <c r="B6769" t="str">
        <f>"9:00:50.613110"</f>
        <v>9:00:50.613110</v>
      </c>
      <c r="C6769">
        <v>-44</v>
      </c>
    </row>
    <row r="6770" spans="1:3" x14ac:dyDescent="0.25">
      <c r="A6770">
        <v>38</v>
      </c>
      <c r="B6770" t="str">
        <f>"9:00:50.614137"</f>
        <v>9:00:50.614137</v>
      </c>
      <c r="C6770">
        <v>-41</v>
      </c>
    </row>
    <row r="6771" spans="1:3" x14ac:dyDescent="0.25">
      <c r="A6771">
        <v>38</v>
      </c>
      <c r="B6771" t="str">
        <f>"9:00:50.614656"</f>
        <v>9:00:50.614656</v>
      </c>
      <c r="C6771">
        <v>-32</v>
      </c>
    </row>
    <row r="6772" spans="1:3" x14ac:dyDescent="0.25">
      <c r="A6772">
        <v>38</v>
      </c>
      <c r="B6772" t="str">
        <f>"9:00:50.614981"</f>
        <v>9:00:50.614981</v>
      </c>
      <c r="C6772">
        <v>-41</v>
      </c>
    </row>
    <row r="6773" spans="1:3" x14ac:dyDescent="0.25">
      <c r="A6773">
        <v>39</v>
      </c>
      <c r="B6773" t="str">
        <f>"9:00:50.615757"</f>
        <v>9:00:50.615757</v>
      </c>
      <c r="C6773">
        <v>-46</v>
      </c>
    </row>
    <row r="6774" spans="1:3" x14ac:dyDescent="0.25">
      <c r="A6774">
        <v>37</v>
      </c>
      <c r="B6774" t="str">
        <f>"9:00:50.970736"</f>
        <v>9:00:50.970736</v>
      </c>
      <c r="C6774">
        <v>-44</v>
      </c>
    </row>
    <row r="6775" spans="1:3" x14ac:dyDescent="0.25">
      <c r="A6775">
        <v>38</v>
      </c>
      <c r="B6775" t="str">
        <f>"9:00:50.971764"</f>
        <v>9:00:50.971764</v>
      </c>
      <c r="C6775">
        <v>-41</v>
      </c>
    </row>
    <row r="6776" spans="1:3" x14ac:dyDescent="0.25">
      <c r="A6776">
        <v>39</v>
      </c>
      <c r="B6776" t="str">
        <f>"9:00:50.972790"</f>
        <v>9:00:50.972790</v>
      </c>
      <c r="C6776">
        <v>-45</v>
      </c>
    </row>
    <row r="6777" spans="1:3" x14ac:dyDescent="0.25">
      <c r="A6777">
        <v>37</v>
      </c>
      <c r="B6777" t="str">
        <f>"9:00:51.324042"</f>
        <v>9:00:51.324042</v>
      </c>
      <c r="C6777">
        <v>-44</v>
      </c>
    </row>
    <row r="6778" spans="1:3" x14ac:dyDescent="0.25">
      <c r="A6778">
        <v>38</v>
      </c>
      <c r="B6778" t="str">
        <f>"9:00:51.325070"</f>
        <v>9:00:51.325070</v>
      </c>
      <c r="C6778">
        <v>-41</v>
      </c>
    </row>
    <row r="6779" spans="1:3" x14ac:dyDescent="0.25">
      <c r="A6779">
        <v>38</v>
      </c>
      <c r="B6779" t="str">
        <f>"9:00:51.325588"</f>
        <v>9:00:51.325588</v>
      </c>
      <c r="C6779">
        <v>-32</v>
      </c>
    </row>
    <row r="6780" spans="1:3" x14ac:dyDescent="0.25">
      <c r="A6780">
        <v>38</v>
      </c>
      <c r="B6780" t="str">
        <f>"9:00:51.325914"</f>
        <v>9:00:51.325914</v>
      </c>
      <c r="C6780">
        <v>-41</v>
      </c>
    </row>
    <row r="6781" spans="1:3" x14ac:dyDescent="0.25">
      <c r="A6781">
        <v>39</v>
      </c>
      <c r="B6781" t="str">
        <f>"9:00:51.326690"</f>
        <v>9:00:51.326690</v>
      </c>
      <c r="C6781">
        <v>-46</v>
      </c>
    </row>
    <row r="6782" spans="1:3" x14ac:dyDescent="0.25">
      <c r="A6782">
        <v>39</v>
      </c>
      <c r="B6782" t="str">
        <f>"9:00:51.327208"</f>
        <v>9:00:51.327208</v>
      </c>
      <c r="C6782">
        <v>-84</v>
      </c>
    </row>
    <row r="6783" spans="1:3" x14ac:dyDescent="0.25">
      <c r="A6783">
        <v>39</v>
      </c>
      <c r="B6783" t="str">
        <f>"9:00:51.327534"</f>
        <v>9:00:51.327534</v>
      </c>
      <c r="C6783">
        <v>-45</v>
      </c>
    </row>
    <row r="6784" spans="1:3" x14ac:dyDescent="0.25">
      <c r="A6784">
        <v>37</v>
      </c>
      <c r="B6784" t="str">
        <f>"9:00:51.679176"</f>
        <v>9:00:51.679176</v>
      </c>
      <c r="C6784">
        <v>-44</v>
      </c>
    </row>
    <row r="6785" spans="1:3" x14ac:dyDescent="0.25">
      <c r="A6785">
        <v>38</v>
      </c>
      <c r="B6785" t="str">
        <f>"9:00:51.680204"</f>
        <v>9:00:51.680204</v>
      </c>
      <c r="C6785">
        <v>-41</v>
      </c>
    </row>
    <row r="6786" spans="1:3" x14ac:dyDescent="0.25">
      <c r="A6786">
        <v>38</v>
      </c>
      <c r="B6786" t="str">
        <f>"9:00:51.680722"</f>
        <v>9:00:51.680722</v>
      </c>
      <c r="C6786">
        <v>-32</v>
      </c>
    </row>
    <row r="6787" spans="1:3" x14ac:dyDescent="0.25">
      <c r="A6787">
        <v>38</v>
      </c>
      <c r="B6787" t="str">
        <f>"9:00:51.681048"</f>
        <v>9:00:51.681048</v>
      </c>
      <c r="C6787">
        <v>-41</v>
      </c>
    </row>
    <row r="6788" spans="1:3" x14ac:dyDescent="0.25">
      <c r="A6788">
        <v>39</v>
      </c>
      <c r="B6788" t="str">
        <f>"9:00:51.681824"</f>
        <v>9:00:51.681824</v>
      </c>
      <c r="C6788">
        <v>-46</v>
      </c>
    </row>
    <row r="6789" spans="1:3" x14ac:dyDescent="0.25">
      <c r="A6789">
        <v>37</v>
      </c>
      <c r="B6789" t="str">
        <f>"9:00:52.034274"</f>
        <v>9:00:52.034274</v>
      </c>
      <c r="C6789">
        <v>-44</v>
      </c>
    </row>
    <row r="6790" spans="1:3" x14ac:dyDescent="0.25">
      <c r="A6790">
        <v>38</v>
      </c>
      <c r="B6790" t="str">
        <f>"9:00:52.035301"</f>
        <v>9:00:52.035301</v>
      </c>
      <c r="C6790">
        <v>-41</v>
      </c>
    </row>
    <row r="6791" spans="1:3" x14ac:dyDescent="0.25">
      <c r="A6791">
        <v>38</v>
      </c>
      <c r="B6791" t="str">
        <f>"9:00:52.035819"</f>
        <v>9:00:52.035819</v>
      </c>
      <c r="C6791">
        <v>-32</v>
      </c>
    </row>
    <row r="6792" spans="1:3" x14ac:dyDescent="0.25">
      <c r="A6792">
        <v>38</v>
      </c>
      <c r="B6792" t="str">
        <f>"9:00:52.036145"</f>
        <v>9:00:52.036145</v>
      </c>
      <c r="C6792">
        <v>-41</v>
      </c>
    </row>
    <row r="6793" spans="1:3" x14ac:dyDescent="0.25">
      <c r="A6793">
        <v>39</v>
      </c>
      <c r="B6793" t="str">
        <f>"9:00:52.036921"</f>
        <v>9:00:52.036921</v>
      </c>
      <c r="C6793">
        <v>-45</v>
      </c>
    </row>
    <row r="6794" spans="1:3" x14ac:dyDescent="0.25">
      <c r="A6794">
        <v>37</v>
      </c>
      <c r="B6794" t="str">
        <f>"9:00:52.387329"</f>
        <v>9:00:52.387329</v>
      </c>
      <c r="C6794">
        <v>-44</v>
      </c>
    </row>
    <row r="6795" spans="1:3" x14ac:dyDescent="0.25">
      <c r="A6795">
        <v>38</v>
      </c>
      <c r="B6795" t="str">
        <f>"9:00:52.388357"</f>
        <v>9:00:52.388357</v>
      </c>
      <c r="C6795">
        <v>-41</v>
      </c>
    </row>
    <row r="6796" spans="1:3" x14ac:dyDescent="0.25">
      <c r="A6796">
        <v>38</v>
      </c>
      <c r="B6796" t="str">
        <f>"9:00:52.388875"</f>
        <v>9:00:52.388875</v>
      </c>
      <c r="C6796">
        <v>-32</v>
      </c>
    </row>
    <row r="6797" spans="1:3" x14ac:dyDescent="0.25">
      <c r="A6797">
        <v>38</v>
      </c>
      <c r="B6797" t="str">
        <f>"9:00:52.389201"</f>
        <v>9:00:52.389201</v>
      </c>
      <c r="C6797">
        <v>-41</v>
      </c>
    </row>
    <row r="6798" spans="1:3" x14ac:dyDescent="0.25">
      <c r="A6798">
        <v>39</v>
      </c>
      <c r="B6798" t="str">
        <f>"9:00:52.389977"</f>
        <v>9:00:52.389977</v>
      </c>
      <c r="C6798">
        <v>-45</v>
      </c>
    </row>
    <row r="6799" spans="1:3" x14ac:dyDescent="0.25">
      <c r="A6799">
        <v>37</v>
      </c>
      <c r="B6799" t="str">
        <f>"9:00:52.745297"</f>
        <v>9:00:52.745297</v>
      </c>
      <c r="C6799">
        <v>-44</v>
      </c>
    </row>
    <row r="6800" spans="1:3" x14ac:dyDescent="0.25">
      <c r="A6800">
        <v>38</v>
      </c>
      <c r="B6800" t="str">
        <f>"9:00:52.746325"</f>
        <v>9:00:52.746325</v>
      </c>
      <c r="C6800">
        <v>-41</v>
      </c>
    </row>
    <row r="6801" spans="1:3" x14ac:dyDescent="0.25">
      <c r="A6801">
        <v>38</v>
      </c>
      <c r="B6801" t="str">
        <f>"9:00:52.746843"</f>
        <v>9:00:52.746843</v>
      </c>
      <c r="C6801">
        <v>-32</v>
      </c>
    </row>
    <row r="6802" spans="1:3" x14ac:dyDescent="0.25">
      <c r="A6802">
        <v>38</v>
      </c>
      <c r="B6802" t="str">
        <f>"9:00:52.747169"</f>
        <v>9:00:52.747169</v>
      </c>
      <c r="C6802">
        <v>-41</v>
      </c>
    </row>
    <row r="6803" spans="1:3" x14ac:dyDescent="0.25">
      <c r="A6803">
        <v>39</v>
      </c>
      <c r="B6803" t="str">
        <f>"9:00:52.747945"</f>
        <v>9:00:52.747945</v>
      </c>
      <c r="C6803">
        <v>-46</v>
      </c>
    </row>
    <row r="6804" spans="1:3" x14ac:dyDescent="0.25">
      <c r="A6804">
        <v>37</v>
      </c>
      <c r="B6804" t="str">
        <f>"9:00:53.103459"</f>
        <v>9:00:53.103459</v>
      </c>
      <c r="C6804">
        <v>-44</v>
      </c>
    </row>
    <row r="6805" spans="1:3" x14ac:dyDescent="0.25">
      <c r="A6805">
        <v>37</v>
      </c>
      <c r="B6805" t="str">
        <f>"9:00:53.104304"</f>
        <v>9:00:53.104304</v>
      </c>
      <c r="C6805">
        <v>-44</v>
      </c>
    </row>
    <row r="6806" spans="1:3" x14ac:dyDescent="0.25">
      <c r="A6806">
        <v>38</v>
      </c>
      <c r="B6806" t="str">
        <f>"9:00:53.105080"</f>
        <v>9:00:53.105080</v>
      </c>
      <c r="C6806">
        <v>-41</v>
      </c>
    </row>
    <row r="6807" spans="1:3" x14ac:dyDescent="0.25">
      <c r="A6807">
        <v>38</v>
      </c>
      <c r="B6807" t="str">
        <f>"9:00:53.105598"</f>
        <v>9:00:53.105598</v>
      </c>
      <c r="C6807">
        <v>-32</v>
      </c>
    </row>
    <row r="6808" spans="1:3" x14ac:dyDescent="0.25">
      <c r="A6808">
        <v>38</v>
      </c>
      <c r="B6808" t="str">
        <f>"9:00:53.105924"</f>
        <v>9:00:53.105924</v>
      </c>
      <c r="C6808">
        <v>-41</v>
      </c>
    </row>
    <row r="6809" spans="1:3" x14ac:dyDescent="0.25">
      <c r="A6809">
        <v>39</v>
      </c>
      <c r="B6809" t="str">
        <f>"9:00:53.106700"</f>
        <v>9:00:53.106700</v>
      </c>
      <c r="C6809">
        <v>-46</v>
      </c>
    </row>
    <row r="6810" spans="1:3" x14ac:dyDescent="0.25">
      <c r="A6810">
        <v>37</v>
      </c>
      <c r="B6810" t="str">
        <f>"9:00:53.457243"</f>
        <v>9:00:53.457243</v>
      </c>
      <c r="C6810">
        <v>-44</v>
      </c>
    </row>
    <row r="6811" spans="1:3" x14ac:dyDescent="0.25">
      <c r="A6811">
        <v>38</v>
      </c>
      <c r="B6811" t="str">
        <f>"9:00:53.458270"</f>
        <v>9:00:53.458270</v>
      </c>
      <c r="C6811">
        <v>-41</v>
      </c>
    </row>
    <row r="6812" spans="1:3" x14ac:dyDescent="0.25">
      <c r="A6812">
        <v>39</v>
      </c>
      <c r="B6812" t="str">
        <f>"9:00:53.459296"</f>
        <v>9:00:53.459296</v>
      </c>
      <c r="C6812">
        <v>-45</v>
      </c>
    </row>
    <row r="6813" spans="1:3" x14ac:dyDescent="0.25">
      <c r="A6813">
        <v>37</v>
      </c>
      <c r="B6813" t="str">
        <f>"9:00:53.812068"</f>
        <v>9:00:53.812068</v>
      </c>
      <c r="C6813">
        <v>-44</v>
      </c>
    </row>
    <row r="6814" spans="1:3" x14ac:dyDescent="0.25">
      <c r="A6814">
        <v>38</v>
      </c>
      <c r="B6814" t="str">
        <f>"9:00:53.813095"</f>
        <v>9:00:53.813095</v>
      </c>
      <c r="C6814">
        <v>-41</v>
      </c>
    </row>
    <row r="6815" spans="1:3" x14ac:dyDescent="0.25">
      <c r="A6815">
        <v>38</v>
      </c>
      <c r="B6815" t="str">
        <f>"9:00:53.813613"</f>
        <v>9:00:53.813613</v>
      </c>
      <c r="C6815">
        <v>-32</v>
      </c>
    </row>
    <row r="6816" spans="1:3" x14ac:dyDescent="0.25">
      <c r="A6816">
        <v>38</v>
      </c>
      <c r="B6816" t="str">
        <f>"9:00:53.813939"</f>
        <v>9:00:53.813939</v>
      </c>
      <c r="C6816">
        <v>-41</v>
      </c>
    </row>
    <row r="6817" spans="1:3" x14ac:dyDescent="0.25">
      <c r="A6817">
        <v>39</v>
      </c>
      <c r="B6817" t="str">
        <f>"9:00:53.814715"</f>
        <v>9:00:53.814715</v>
      </c>
      <c r="C6817">
        <v>-46</v>
      </c>
    </row>
    <row r="6818" spans="1:3" x14ac:dyDescent="0.25">
      <c r="A6818">
        <v>37</v>
      </c>
      <c r="B6818" t="str">
        <f>"9:00:54.169009"</f>
        <v>9:00:54.169009</v>
      </c>
      <c r="C6818">
        <v>-44</v>
      </c>
    </row>
    <row r="6819" spans="1:3" x14ac:dyDescent="0.25">
      <c r="A6819">
        <v>38</v>
      </c>
      <c r="B6819" t="str">
        <f>"9:00:54.170036"</f>
        <v>9:00:54.170036</v>
      </c>
      <c r="C6819">
        <v>-41</v>
      </c>
    </row>
    <row r="6820" spans="1:3" x14ac:dyDescent="0.25">
      <c r="A6820">
        <v>38</v>
      </c>
      <c r="B6820" t="str">
        <f>"9:00:54.170555"</f>
        <v>9:00:54.170555</v>
      </c>
      <c r="C6820">
        <v>-32</v>
      </c>
    </row>
    <row r="6821" spans="1:3" x14ac:dyDescent="0.25">
      <c r="A6821">
        <v>38</v>
      </c>
      <c r="B6821" t="str">
        <f>"9:00:54.170880"</f>
        <v>9:00:54.170880</v>
      </c>
      <c r="C6821">
        <v>-41</v>
      </c>
    </row>
    <row r="6822" spans="1:3" x14ac:dyDescent="0.25">
      <c r="A6822">
        <v>39</v>
      </c>
      <c r="B6822" t="str">
        <f>"9:00:54.171656"</f>
        <v>9:00:54.171656</v>
      </c>
      <c r="C6822">
        <v>-46</v>
      </c>
    </row>
    <row r="6823" spans="1:3" x14ac:dyDescent="0.25">
      <c r="A6823">
        <v>37</v>
      </c>
      <c r="B6823" t="str">
        <f>"9:00:54.523904"</f>
        <v>9:00:54.523904</v>
      </c>
      <c r="C6823">
        <v>-44</v>
      </c>
    </row>
    <row r="6824" spans="1:3" x14ac:dyDescent="0.25">
      <c r="A6824">
        <v>37</v>
      </c>
      <c r="B6824" t="str">
        <f>"9:00:54.524423"</f>
        <v>9:00:54.524423</v>
      </c>
      <c r="C6824">
        <v>-77</v>
      </c>
    </row>
    <row r="6825" spans="1:3" x14ac:dyDescent="0.25">
      <c r="A6825">
        <v>37</v>
      </c>
      <c r="B6825" t="str">
        <f>"9:00:54.524749"</f>
        <v>9:00:54.524749</v>
      </c>
      <c r="C6825">
        <v>-44</v>
      </c>
    </row>
    <row r="6826" spans="1:3" x14ac:dyDescent="0.25">
      <c r="A6826">
        <v>38</v>
      </c>
      <c r="B6826" t="str">
        <f>"9:00:54.525526"</f>
        <v>9:00:54.525526</v>
      </c>
      <c r="C6826">
        <v>-41</v>
      </c>
    </row>
    <row r="6827" spans="1:3" x14ac:dyDescent="0.25">
      <c r="A6827">
        <v>39</v>
      </c>
      <c r="B6827" t="str">
        <f>"9:00:54.526552"</f>
        <v>9:00:54.526552</v>
      </c>
      <c r="C6827">
        <v>-46</v>
      </c>
    </row>
    <row r="6828" spans="1:3" x14ac:dyDescent="0.25">
      <c r="A6828">
        <v>39</v>
      </c>
      <c r="B6828" t="str">
        <f>"9:00:54.527070"</f>
        <v>9:00:54.527070</v>
      </c>
      <c r="C6828">
        <v>-31</v>
      </c>
    </row>
    <row r="6829" spans="1:3" x14ac:dyDescent="0.25">
      <c r="A6829">
        <v>39</v>
      </c>
      <c r="B6829" t="str">
        <f>"9:00:54.527396"</f>
        <v>9:00:54.527396</v>
      </c>
      <c r="C6829">
        <v>-45</v>
      </c>
    </row>
    <row r="6830" spans="1:3" x14ac:dyDescent="0.25">
      <c r="A6830">
        <v>37</v>
      </c>
      <c r="B6830" t="str">
        <f>"9:00:54.874385"</f>
        <v>9:00:54.874385</v>
      </c>
      <c r="C6830">
        <v>-44</v>
      </c>
    </row>
    <row r="6831" spans="1:3" x14ac:dyDescent="0.25">
      <c r="A6831">
        <v>38</v>
      </c>
      <c r="B6831" t="str">
        <f>"9:00:54.875412"</f>
        <v>9:00:54.875412</v>
      </c>
      <c r="C6831">
        <v>-41</v>
      </c>
    </row>
    <row r="6832" spans="1:3" x14ac:dyDescent="0.25">
      <c r="A6832">
        <v>39</v>
      </c>
      <c r="B6832" t="str">
        <f>"9:00:54.876438"</f>
        <v>9:00:54.876438</v>
      </c>
      <c r="C6832">
        <v>-46</v>
      </c>
    </row>
    <row r="6833" spans="1:3" x14ac:dyDescent="0.25">
      <c r="A6833">
        <v>39</v>
      </c>
      <c r="B6833" t="str">
        <f>"9:00:54.876957"</f>
        <v>9:00:54.876957</v>
      </c>
      <c r="C6833">
        <v>-31</v>
      </c>
    </row>
    <row r="6834" spans="1:3" x14ac:dyDescent="0.25">
      <c r="A6834">
        <v>39</v>
      </c>
      <c r="B6834" t="str">
        <f>"9:00:54.877282"</f>
        <v>9:00:54.877282</v>
      </c>
      <c r="C6834">
        <v>-45</v>
      </c>
    </row>
    <row r="6835" spans="1:3" x14ac:dyDescent="0.25">
      <c r="A6835">
        <v>37</v>
      </c>
      <c r="B6835" t="str">
        <f>"9:00:55.231776"</f>
        <v>9:00:55.231776</v>
      </c>
      <c r="C6835">
        <v>-44</v>
      </c>
    </row>
    <row r="6836" spans="1:3" x14ac:dyDescent="0.25">
      <c r="A6836">
        <v>38</v>
      </c>
      <c r="B6836" t="str">
        <f>"9:00:55.232803"</f>
        <v>9:00:55.232803</v>
      </c>
      <c r="C6836">
        <v>-41</v>
      </c>
    </row>
    <row r="6837" spans="1:3" x14ac:dyDescent="0.25">
      <c r="A6837">
        <v>39</v>
      </c>
      <c r="B6837" t="str">
        <f>"9:00:55.233829"</f>
        <v>9:00:55.233829</v>
      </c>
      <c r="C6837">
        <v>-46</v>
      </c>
    </row>
    <row r="6838" spans="1:3" x14ac:dyDescent="0.25">
      <c r="A6838">
        <v>39</v>
      </c>
      <c r="B6838" t="str">
        <f>"9:00:55.234348"</f>
        <v>9:00:55.234348</v>
      </c>
      <c r="C6838">
        <v>-31</v>
      </c>
    </row>
    <row r="6839" spans="1:3" x14ac:dyDescent="0.25">
      <c r="A6839">
        <v>39</v>
      </c>
      <c r="B6839" t="str">
        <f>"9:00:55.234673"</f>
        <v>9:00:55.234673</v>
      </c>
      <c r="C6839">
        <v>-45</v>
      </c>
    </row>
    <row r="6840" spans="1:3" x14ac:dyDescent="0.25">
      <c r="A6840">
        <v>37</v>
      </c>
      <c r="B6840" t="str">
        <f>"9:00:55.583824"</f>
        <v>9:00:55.583824</v>
      </c>
      <c r="C6840">
        <v>-44</v>
      </c>
    </row>
    <row r="6841" spans="1:3" x14ac:dyDescent="0.25">
      <c r="A6841">
        <v>38</v>
      </c>
      <c r="B6841" t="str">
        <f>"9:00:55.584851"</f>
        <v>9:00:55.584851</v>
      </c>
      <c r="C6841">
        <v>-41</v>
      </c>
    </row>
    <row r="6842" spans="1:3" x14ac:dyDescent="0.25">
      <c r="A6842">
        <v>39</v>
      </c>
      <c r="B6842" t="str">
        <f>"9:00:55.585877"</f>
        <v>9:00:55.585877</v>
      </c>
      <c r="C6842">
        <v>-46</v>
      </c>
    </row>
    <row r="6843" spans="1:3" x14ac:dyDescent="0.25">
      <c r="A6843">
        <v>39</v>
      </c>
      <c r="B6843" t="str">
        <f>"9:00:55.586396"</f>
        <v>9:00:55.586396</v>
      </c>
      <c r="C6843">
        <v>-31</v>
      </c>
    </row>
    <row r="6844" spans="1:3" x14ac:dyDescent="0.25">
      <c r="A6844">
        <v>39</v>
      </c>
      <c r="B6844" t="str">
        <f>"9:00:55.586721"</f>
        <v>9:00:55.586721</v>
      </c>
      <c r="C6844">
        <v>-45</v>
      </c>
    </row>
    <row r="6845" spans="1:3" x14ac:dyDescent="0.25">
      <c r="A6845">
        <v>37</v>
      </c>
      <c r="B6845" t="str">
        <f>"9:00:55.941791"</f>
        <v>9:00:55.941791</v>
      </c>
      <c r="C6845">
        <v>-44</v>
      </c>
    </row>
    <row r="6846" spans="1:3" x14ac:dyDescent="0.25">
      <c r="A6846">
        <v>38</v>
      </c>
      <c r="B6846" t="str">
        <f>"9:00:55.942819"</f>
        <v>9:00:55.942819</v>
      </c>
      <c r="C6846">
        <v>-41</v>
      </c>
    </row>
    <row r="6847" spans="1:3" x14ac:dyDescent="0.25">
      <c r="A6847">
        <v>39</v>
      </c>
      <c r="B6847" t="str">
        <f>"9:00:55.943845"</f>
        <v>9:00:55.943845</v>
      </c>
      <c r="C6847">
        <v>-46</v>
      </c>
    </row>
    <row r="6848" spans="1:3" x14ac:dyDescent="0.25">
      <c r="A6848">
        <v>39</v>
      </c>
      <c r="B6848" t="str">
        <f>"9:00:55.944363"</f>
        <v>9:00:55.944363</v>
      </c>
      <c r="C6848">
        <v>-31</v>
      </c>
    </row>
    <row r="6849" spans="1:3" x14ac:dyDescent="0.25">
      <c r="A6849">
        <v>39</v>
      </c>
      <c r="B6849" t="str">
        <f>"9:00:55.944689"</f>
        <v>9:00:55.944689</v>
      </c>
      <c r="C6849">
        <v>-45</v>
      </c>
    </row>
    <row r="6850" spans="1:3" x14ac:dyDescent="0.25">
      <c r="A6850">
        <v>37</v>
      </c>
      <c r="B6850" t="str">
        <f>"9:00:56.300994"</f>
        <v>9:00:56.300994</v>
      </c>
      <c r="C6850">
        <v>-44</v>
      </c>
    </row>
    <row r="6851" spans="1:3" x14ac:dyDescent="0.25">
      <c r="A6851">
        <v>38</v>
      </c>
      <c r="B6851" t="str">
        <f>"9:00:56.302022"</f>
        <v>9:00:56.302022</v>
      </c>
      <c r="C6851">
        <v>-41</v>
      </c>
    </row>
    <row r="6852" spans="1:3" x14ac:dyDescent="0.25">
      <c r="A6852">
        <v>39</v>
      </c>
      <c r="B6852" t="str">
        <f>"9:00:56.303048"</f>
        <v>9:00:56.303048</v>
      </c>
      <c r="C6852">
        <v>-46</v>
      </c>
    </row>
    <row r="6853" spans="1:3" x14ac:dyDescent="0.25">
      <c r="A6853">
        <v>39</v>
      </c>
      <c r="B6853" t="str">
        <f>"9:00:56.303566"</f>
        <v>9:00:56.303566</v>
      </c>
      <c r="C6853">
        <v>-31</v>
      </c>
    </row>
    <row r="6854" spans="1:3" x14ac:dyDescent="0.25">
      <c r="A6854">
        <v>39</v>
      </c>
      <c r="B6854" t="str">
        <f>"9:00:56.303892"</f>
        <v>9:00:56.303892</v>
      </c>
      <c r="C6854">
        <v>-45</v>
      </c>
    </row>
    <row r="6855" spans="1:3" x14ac:dyDescent="0.25">
      <c r="A6855">
        <v>37</v>
      </c>
      <c r="B6855" t="str">
        <f>"9:00:56.653069"</f>
        <v>9:00:56.653069</v>
      </c>
      <c r="C6855">
        <v>-44</v>
      </c>
    </row>
    <row r="6856" spans="1:3" x14ac:dyDescent="0.25">
      <c r="A6856">
        <v>38</v>
      </c>
      <c r="B6856" t="str">
        <f>"9:00:56.654096"</f>
        <v>9:00:56.654096</v>
      </c>
      <c r="C6856">
        <v>-41</v>
      </c>
    </row>
    <row r="6857" spans="1:3" x14ac:dyDescent="0.25">
      <c r="A6857">
        <v>39</v>
      </c>
      <c r="B6857" t="str">
        <f>"9:00:56.655122"</f>
        <v>9:00:56.655122</v>
      </c>
      <c r="C6857">
        <v>-46</v>
      </c>
    </row>
    <row r="6858" spans="1:3" x14ac:dyDescent="0.25">
      <c r="A6858">
        <v>39</v>
      </c>
      <c r="B6858" t="str">
        <f>"9:00:56.655641"</f>
        <v>9:00:56.655641</v>
      </c>
      <c r="C6858">
        <v>-31</v>
      </c>
    </row>
    <row r="6859" spans="1:3" x14ac:dyDescent="0.25">
      <c r="A6859">
        <v>39</v>
      </c>
      <c r="B6859" t="str">
        <f>"9:00:56.655966"</f>
        <v>9:00:56.655966</v>
      </c>
      <c r="C6859">
        <v>-45</v>
      </c>
    </row>
    <row r="6860" spans="1:3" x14ac:dyDescent="0.25">
      <c r="A6860">
        <v>37</v>
      </c>
      <c r="B6860" t="str">
        <f>"9:00:57.008133"</f>
        <v>9:00:57.008133</v>
      </c>
      <c r="C6860">
        <v>-44</v>
      </c>
    </row>
    <row r="6861" spans="1:3" x14ac:dyDescent="0.25">
      <c r="A6861">
        <v>38</v>
      </c>
      <c r="B6861" t="str">
        <f>"9:00:57.009160"</f>
        <v>9:00:57.009160</v>
      </c>
      <c r="C6861">
        <v>-41</v>
      </c>
    </row>
    <row r="6862" spans="1:3" x14ac:dyDescent="0.25">
      <c r="A6862">
        <v>39</v>
      </c>
      <c r="B6862" t="str">
        <f>"9:00:57.010186"</f>
        <v>9:00:57.010186</v>
      </c>
      <c r="C6862">
        <v>-46</v>
      </c>
    </row>
    <row r="6863" spans="1:3" x14ac:dyDescent="0.25">
      <c r="A6863">
        <v>39</v>
      </c>
      <c r="B6863" t="str">
        <f>"9:00:57.010704"</f>
        <v>9:00:57.010704</v>
      </c>
      <c r="C6863">
        <v>-31</v>
      </c>
    </row>
    <row r="6864" spans="1:3" x14ac:dyDescent="0.25">
      <c r="A6864">
        <v>39</v>
      </c>
      <c r="B6864" t="str">
        <f>"9:00:57.011030"</f>
        <v>9:00:57.011030</v>
      </c>
      <c r="C6864">
        <v>-45</v>
      </c>
    </row>
    <row r="6865" spans="1:3" x14ac:dyDescent="0.25">
      <c r="A6865">
        <v>37</v>
      </c>
      <c r="B6865" t="str">
        <f>"9:00:57.359922"</f>
        <v>9:00:57.359922</v>
      </c>
      <c r="C6865">
        <v>-44</v>
      </c>
    </row>
    <row r="6866" spans="1:3" x14ac:dyDescent="0.25">
      <c r="A6866">
        <v>38</v>
      </c>
      <c r="B6866" t="str">
        <f>"9:00:57.360949"</f>
        <v>9:00:57.360949</v>
      </c>
      <c r="C6866">
        <v>-41</v>
      </c>
    </row>
    <row r="6867" spans="1:3" x14ac:dyDescent="0.25">
      <c r="A6867">
        <v>39</v>
      </c>
      <c r="B6867" t="str">
        <f>"9:00:57.362302"</f>
        <v>9:00:57.362302</v>
      </c>
      <c r="C6867">
        <v>-46</v>
      </c>
    </row>
    <row r="6868" spans="1:3" x14ac:dyDescent="0.25">
      <c r="A6868">
        <v>37</v>
      </c>
      <c r="B6868" t="str">
        <f>"9:00:57.714782"</f>
        <v>9:00:57.714782</v>
      </c>
      <c r="C6868">
        <v>-44</v>
      </c>
    </row>
    <row r="6869" spans="1:3" x14ac:dyDescent="0.25">
      <c r="A6869">
        <v>38</v>
      </c>
      <c r="B6869" t="str">
        <f>"9:00:57.715809"</f>
        <v>9:00:57.715809</v>
      </c>
      <c r="C6869">
        <v>-41</v>
      </c>
    </row>
    <row r="6870" spans="1:3" x14ac:dyDescent="0.25">
      <c r="A6870">
        <v>39</v>
      </c>
      <c r="B6870" t="str">
        <f>"9:00:57.716835"</f>
        <v>9:00:57.716835</v>
      </c>
      <c r="C6870">
        <v>-46</v>
      </c>
    </row>
    <row r="6871" spans="1:3" x14ac:dyDescent="0.25">
      <c r="A6871">
        <v>39</v>
      </c>
      <c r="B6871" t="str">
        <f>"9:00:57.717353"</f>
        <v>9:00:57.717353</v>
      </c>
      <c r="C6871">
        <v>-31</v>
      </c>
    </row>
    <row r="6872" spans="1:3" x14ac:dyDescent="0.25">
      <c r="A6872">
        <v>39</v>
      </c>
      <c r="B6872" t="str">
        <f>"9:00:57.717679"</f>
        <v>9:00:57.717679</v>
      </c>
      <c r="C6872">
        <v>-45</v>
      </c>
    </row>
    <row r="6873" spans="1:3" x14ac:dyDescent="0.25">
      <c r="A6873">
        <v>37</v>
      </c>
      <c r="B6873" t="str">
        <f>"9:00:58.069085"</f>
        <v>9:00:58.069085</v>
      </c>
      <c r="C6873">
        <v>-44</v>
      </c>
    </row>
    <row r="6874" spans="1:3" x14ac:dyDescent="0.25">
      <c r="A6874">
        <v>38</v>
      </c>
      <c r="B6874" t="str">
        <f>"9:00:58.070113"</f>
        <v>9:00:58.070113</v>
      </c>
      <c r="C6874">
        <v>-41</v>
      </c>
    </row>
    <row r="6875" spans="1:3" x14ac:dyDescent="0.25">
      <c r="A6875">
        <v>39</v>
      </c>
      <c r="B6875" t="str">
        <f>"9:00:58.071139"</f>
        <v>9:00:58.071139</v>
      </c>
      <c r="C6875">
        <v>-46</v>
      </c>
    </row>
    <row r="6876" spans="1:3" x14ac:dyDescent="0.25">
      <c r="A6876">
        <v>39</v>
      </c>
      <c r="B6876" t="str">
        <f>"9:00:58.071657"</f>
        <v>9:00:58.071657</v>
      </c>
      <c r="C6876">
        <v>-31</v>
      </c>
    </row>
    <row r="6877" spans="1:3" x14ac:dyDescent="0.25">
      <c r="A6877">
        <v>39</v>
      </c>
      <c r="B6877" t="str">
        <f>"9:00:58.071983"</f>
        <v>9:00:58.071983</v>
      </c>
      <c r="C6877">
        <v>-45</v>
      </c>
    </row>
    <row r="6878" spans="1:3" x14ac:dyDescent="0.25">
      <c r="A6878">
        <v>37</v>
      </c>
      <c r="B6878" t="str">
        <f>"9:00:58.423900"</f>
        <v>9:00:58.423900</v>
      </c>
      <c r="C6878">
        <v>-44</v>
      </c>
    </row>
    <row r="6879" spans="1:3" x14ac:dyDescent="0.25">
      <c r="A6879">
        <v>38</v>
      </c>
      <c r="B6879" t="str">
        <f>"9:00:58.424927"</f>
        <v>9:00:58.424927</v>
      </c>
      <c r="C6879">
        <v>-41</v>
      </c>
    </row>
    <row r="6880" spans="1:3" x14ac:dyDescent="0.25">
      <c r="A6880">
        <v>39</v>
      </c>
      <c r="B6880" t="str">
        <f>"9:00:58.425953"</f>
        <v>9:00:58.425953</v>
      </c>
      <c r="C6880">
        <v>-45</v>
      </c>
    </row>
    <row r="6881" spans="1:3" x14ac:dyDescent="0.25">
      <c r="A6881">
        <v>39</v>
      </c>
      <c r="B6881" t="str">
        <f>"9:00:58.426471"</f>
        <v>9:00:58.426471</v>
      </c>
      <c r="C6881">
        <v>-31</v>
      </c>
    </row>
    <row r="6882" spans="1:3" x14ac:dyDescent="0.25">
      <c r="A6882">
        <v>39</v>
      </c>
      <c r="B6882" t="str">
        <f>"9:00:58.426797"</f>
        <v>9:00:58.426797</v>
      </c>
      <c r="C6882">
        <v>-45</v>
      </c>
    </row>
    <row r="6883" spans="1:3" x14ac:dyDescent="0.25">
      <c r="A6883">
        <v>37</v>
      </c>
      <c r="B6883" t="str">
        <f>"9:00:58.778184"</f>
        <v>9:00:58.778184</v>
      </c>
      <c r="C6883">
        <v>-44</v>
      </c>
    </row>
    <row r="6884" spans="1:3" x14ac:dyDescent="0.25">
      <c r="A6884">
        <v>38</v>
      </c>
      <c r="B6884" t="str">
        <f>"9:00:58.779212"</f>
        <v>9:00:58.779212</v>
      </c>
      <c r="C6884">
        <v>-41</v>
      </c>
    </row>
    <row r="6885" spans="1:3" x14ac:dyDescent="0.25">
      <c r="A6885">
        <v>39</v>
      </c>
      <c r="B6885" t="str">
        <f>"9:00:58.780238"</f>
        <v>9:00:58.780238</v>
      </c>
      <c r="C6885">
        <v>-46</v>
      </c>
    </row>
    <row r="6886" spans="1:3" x14ac:dyDescent="0.25">
      <c r="A6886">
        <v>39</v>
      </c>
      <c r="B6886" t="str">
        <f>"9:00:58.780756"</f>
        <v>9:00:58.780756</v>
      </c>
      <c r="C6886">
        <v>-31</v>
      </c>
    </row>
    <row r="6887" spans="1:3" x14ac:dyDescent="0.25">
      <c r="A6887">
        <v>39</v>
      </c>
      <c r="B6887" t="str">
        <f>"9:00:58.781082"</f>
        <v>9:00:58.781082</v>
      </c>
      <c r="C6887">
        <v>-45</v>
      </c>
    </row>
    <row r="6888" spans="1:3" x14ac:dyDescent="0.25">
      <c r="A6888">
        <v>37</v>
      </c>
      <c r="B6888" t="str">
        <f>"9:00:59.130010"</f>
        <v>9:00:59.130010</v>
      </c>
      <c r="C6888">
        <v>-44</v>
      </c>
    </row>
    <row r="6889" spans="1:3" x14ac:dyDescent="0.25">
      <c r="A6889">
        <v>38</v>
      </c>
      <c r="B6889" t="str">
        <f>"9:00:59.131037"</f>
        <v>9:00:59.131037</v>
      </c>
      <c r="C6889">
        <v>-41</v>
      </c>
    </row>
    <row r="6890" spans="1:3" x14ac:dyDescent="0.25">
      <c r="A6890">
        <v>39</v>
      </c>
      <c r="B6890" t="str">
        <f>"9:00:59.132063"</f>
        <v>9:00:59.132063</v>
      </c>
      <c r="C6890">
        <v>-46</v>
      </c>
    </row>
    <row r="6891" spans="1:3" x14ac:dyDescent="0.25">
      <c r="A6891">
        <v>39</v>
      </c>
      <c r="B6891" t="str">
        <f>"9:00:59.132581"</f>
        <v>9:00:59.132581</v>
      </c>
      <c r="C6891">
        <v>-31</v>
      </c>
    </row>
    <row r="6892" spans="1:3" x14ac:dyDescent="0.25">
      <c r="A6892">
        <v>39</v>
      </c>
      <c r="B6892" t="str">
        <f>"9:00:59.132907"</f>
        <v>9:00:59.132907</v>
      </c>
      <c r="C6892">
        <v>-45</v>
      </c>
    </row>
    <row r="6893" spans="1:3" x14ac:dyDescent="0.25">
      <c r="A6893">
        <v>37</v>
      </c>
      <c r="B6893" t="str">
        <f>"9:00:59.481503"</f>
        <v>9:00:59.481503</v>
      </c>
      <c r="C6893">
        <v>-45</v>
      </c>
    </row>
    <row r="6894" spans="1:3" x14ac:dyDescent="0.25">
      <c r="A6894">
        <v>37</v>
      </c>
      <c r="B6894" t="str">
        <f>"9:00:59.482022"</f>
        <v>9:00:59.482022</v>
      </c>
      <c r="C6894">
        <v>-37</v>
      </c>
    </row>
    <row r="6895" spans="1:3" x14ac:dyDescent="0.25">
      <c r="A6895">
        <v>37</v>
      </c>
      <c r="B6895" t="str">
        <f>"9:00:59.482348"</f>
        <v>9:00:59.482348</v>
      </c>
      <c r="C6895">
        <v>-45</v>
      </c>
    </row>
    <row r="6896" spans="1:3" x14ac:dyDescent="0.25">
      <c r="A6896">
        <v>38</v>
      </c>
      <c r="B6896" t="str">
        <f>"9:00:59.483125"</f>
        <v>9:00:59.483125</v>
      </c>
      <c r="C6896">
        <v>-41</v>
      </c>
    </row>
    <row r="6897" spans="1:3" x14ac:dyDescent="0.25">
      <c r="A6897">
        <v>39</v>
      </c>
      <c r="B6897" t="str">
        <f>"9:00:59.484151"</f>
        <v>9:00:59.484151</v>
      </c>
      <c r="C6897">
        <v>-46</v>
      </c>
    </row>
    <row r="6898" spans="1:3" x14ac:dyDescent="0.25">
      <c r="A6898">
        <v>37</v>
      </c>
      <c r="B6898" t="str">
        <f>"9:00:59.831777"</f>
        <v>9:00:59.831777</v>
      </c>
      <c r="C6898">
        <v>-45</v>
      </c>
    </row>
    <row r="6899" spans="1:3" x14ac:dyDescent="0.25">
      <c r="A6899">
        <v>37</v>
      </c>
      <c r="B6899" t="str">
        <f>"9:00:59.832296"</f>
        <v>9:00:59.832296</v>
      </c>
      <c r="C6899">
        <v>-37</v>
      </c>
    </row>
    <row r="6900" spans="1:3" x14ac:dyDescent="0.25">
      <c r="A6900">
        <v>37</v>
      </c>
      <c r="B6900" t="str">
        <f>"9:00:59.832621"</f>
        <v>9:00:59.832621</v>
      </c>
      <c r="C6900">
        <v>-45</v>
      </c>
    </row>
    <row r="6901" spans="1:3" x14ac:dyDescent="0.25">
      <c r="A6901">
        <v>38</v>
      </c>
      <c r="B6901" t="str">
        <f>"9:00:59.833398"</f>
        <v>9:00:59.833398</v>
      </c>
      <c r="C6901">
        <v>-41</v>
      </c>
    </row>
    <row r="6902" spans="1:3" x14ac:dyDescent="0.25">
      <c r="A6902">
        <v>39</v>
      </c>
      <c r="B6902" t="str">
        <f>"9:00:59.834424"</f>
        <v>9:00:59.834424</v>
      </c>
      <c r="C6902">
        <v>-45</v>
      </c>
    </row>
    <row r="6903" spans="1:3" x14ac:dyDescent="0.25">
      <c r="A6903">
        <v>37</v>
      </c>
      <c r="B6903" t="str">
        <f>"9:01:00.183834"</f>
        <v>9:01:00.183834</v>
      </c>
      <c r="C6903">
        <v>-45</v>
      </c>
    </row>
    <row r="6904" spans="1:3" x14ac:dyDescent="0.25">
      <c r="A6904">
        <v>37</v>
      </c>
      <c r="B6904" t="str">
        <f>"9:01:00.184353"</f>
        <v>9:01:00.184353</v>
      </c>
      <c r="C6904">
        <v>-37</v>
      </c>
    </row>
    <row r="6905" spans="1:3" x14ac:dyDescent="0.25">
      <c r="A6905">
        <v>37</v>
      </c>
      <c r="B6905" t="str">
        <f>"9:01:00.184678"</f>
        <v>9:01:00.184678</v>
      </c>
      <c r="C6905">
        <v>-45</v>
      </c>
    </row>
    <row r="6906" spans="1:3" x14ac:dyDescent="0.25">
      <c r="A6906">
        <v>38</v>
      </c>
      <c r="B6906" t="str">
        <f>"9:01:00.185455"</f>
        <v>9:01:00.185455</v>
      </c>
      <c r="C6906">
        <v>-41</v>
      </c>
    </row>
    <row r="6907" spans="1:3" x14ac:dyDescent="0.25">
      <c r="A6907">
        <v>39</v>
      </c>
      <c r="B6907" t="str">
        <f>"9:01:00.186481"</f>
        <v>9:01:00.186481</v>
      </c>
      <c r="C6907">
        <v>-45</v>
      </c>
    </row>
    <row r="6908" spans="1:3" x14ac:dyDescent="0.25">
      <c r="A6908">
        <v>37</v>
      </c>
      <c r="B6908" t="str">
        <f>"9:01:00.534806"</f>
        <v>9:01:00.534806</v>
      </c>
      <c r="C6908">
        <v>-44</v>
      </c>
    </row>
    <row r="6909" spans="1:3" x14ac:dyDescent="0.25">
      <c r="A6909">
        <v>37</v>
      </c>
      <c r="B6909" t="str">
        <f>"9:01:00.535324"</f>
        <v>9:01:00.535324</v>
      </c>
      <c r="C6909">
        <v>-37</v>
      </c>
    </row>
    <row r="6910" spans="1:3" x14ac:dyDescent="0.25">
      <c r="A6910">
        <v>37</v>
      </c>
      <c r="B6910" t="str">
        <f>"9:01:00.535650"</f>
        <v>9:01:00.535650</v>
      </c>
      <c r="C6910">
        <v>-45</v>
      </c>
    </row>
    <row r="6911" spans="1:3" x14ac:dyDescent="0.25">
      <c r="A6911">
        <v>38</v>
      </c>
      <c r="B6911" t="str">
        <f>"9:01:00.536426"</f>
        <v>9:01:00.536426</v>
      </c>
      <c r="C6911">
        <v>-41</v>
      </c>
    </row>
    <row r="6912" spans="1:3" x14ac:dyDescent="0.25">
      <c r="A6912">
        <v>39</v>
      </c>
      <c r="B6912" t="str">
        <f>"9:01:00.537452"</f>
        <v>9:01:00.537452</v>
      </c>
      <c r="C6912">
        <v>-45</v>
      </c>
    </row>
    <row r="6913" spans="1:3" x14ac:dyDescent="0.25">
      <c r="A6913">
        <v>37</v>
      </c>
      <c r="B6913" t="str">
        <f>"9:01:00.887822"</f>
        <v>9:01:00.887822</v>
      </c>
      <c r="C6913">
        <v>-44</v>
      </c>
    </row>
    <row r="6914" spans="1:3" x14ac:dyDescent="0.25">
      <c r="A6914">
        <v>38</v>
      </c>
      <c r="B6914" t="str">
        <f>"9:01:00.888849"</f>
        <v>9:01:00.888849</v>
      </c>
      <c r="C6914">
        <v>-41</v>
      </c>
    </row>
    <row r="6915" spans="1:3" x14ac:dyDescent="0.25">
      <c r="A6915">
        <v>39</v>
      </c>
      <c r="B6915" t="str">
        <f>"9:01:00.889876"</f>
        <v>9:01:00.889876</v>
      </c>
      <c r="C6915">
        <v>-45</v>
      </c>
    </row>
    <row r="6916" spans="1:3" x14ac:dyDescent="0.25">
      <c r="A6916">
        <v>37</v>
      </c>
      <c r="B6916" t="str">
        <f>"9:01:01.239583"</f>
        <v>9:01:01.239583</v>
      </c>
      <c r="C6916">
        <v>-44</v>
      </c>
    </row>
    <row r="6917" spans="1:3" x14ac:dyDescent="0.25">
      <c r="A6917">
        <v>37</v>
      </c>
      <c r="B6917" t="str">
        <f>"9:01:01.240101"</f>
        <v>9:01:01.240101</v>
      </c>
      <c r="C6917">
        <v>-37</v>
      </c>
    </row>
    <row r="6918" spans="1:3" x14ac:dyDescent="0.25">
      <c r="A6918">
        <v>37</v>
      </c>
      <c r="B6918" t="str">
        <f>"9:01:01.240427"</f>
        <v>9:01:01.240427</v>
      </c>
      <c r="C6918">
        <v>-45</v>
      </c>
    </row>
    <row r="6919" spans="1:3" x14ac:dyDescent="0.25">
      <c r="A6919">
        <v>38</v>
      </c>
      <c r="B6919" t="str">
        <f>"9:01:01.241203"</f>
        <v>9:01:01.241203</v>
      </c>
      <c r="C6919">
        <v>-41</v>
      </c>
    </row>
    <row r="6920" spans="1:3" x14ac:dyDescent="0.25">
      <c r="A6920">
        <v>39</v>
      </c>
      <c r="B6920" t="str">
        <f>"9:01:01.242229"</f>
        <v>9:01:01.242229</v>
      </c>
      <c r="C6920">
        <v>-46</v>
      </c>
    </row>
    <row r="6921" spans="1:3" x14ac:dyDescent="0.25">
      <c r="A6921">
        <v>37</v>
      </c>
      <c r="B6921" t="str">
        <f>"9:01:01.591376"</f>
        <v>9:01:01.591376</v>
      </c>
      <c r="C6921">
        <v>-44</v>
      </c>
    </row>
    <row r="6922" spans="1:3" x14ac:dyDescent="0.25">
      <c r="A6922">
        <v>38</v>
      </c>
      <c r="B6922" t="str">
        <f>"9:01:01.592404"</f>
        <v>9:01:01.592404</v>
      </c>
      <c r="C6922">
        <v>-41</v>
      </c>
    </row>
    <row r="6923" spans="1:3" x14ac:dyDescent="0.25">
      <c r="A6923">
        <v>39</v>
      </c>
      <c r="B6923" t="str">
        <f>"9:01:01.593430"</f>
        <v>9:01:01.593430</v>
      </c>
      <c r="C6923">
        <v>-45</v>
      </c>
    </row>
    <row r="6924" spans="1:3" x14ac:dyDescent="0.25">
      <c r="A6924">
        <v>37</v>
      </c>
      <c r="B6924" t="str">
        <f>"9:01:01.942690"</f>
        <v>9:01:01.942690</v>
      </c>
      <c r="C6924">
        <v>-45</v>
      </c>
    </row>
    <row r="6925" spans="1:3" x14ac:dyDescent="0.25">
      <c r="A6925">
        <v>37</v>
      </c>
      <c r="B6925" t="str">
        <f>"9:01:01.943209"</f>
        <v>9:01:01.943209</v>
      </c>
      <c r="C6925">
        <v>-37</v>
      </c>
    </row>
    <row r="6926" spans="1:3" x14ac:dyDescent="0.25">
      <c r="A6926">
        <v>37</v>
      </c>
      <c r="B6926" t="str">
        <f>"9:01:01.943535"</f>
        <v>9:01:01.943535</v>
      </c>
      <c r="C6926">
        <v>-45</v>
      </c>
    </row>
    <row r="6927" spans="1:3" x14ac:dyDescent="0.25">
      <c r="A6927">
        <v>38</v>
      </c>
      <c r="B6927" t="str">
        <f>"9:01:01.944311"</f>
        <v>9:01:01.944311</v>
      </c>
      <c r="C6927">
        <v>-41</v>
      </c>
    </row>
    <row r="6928" spans="1:3" x14ac:dyDescent="0.25">
      <c r="A6928">
        <v>39</v>
      </c>
      <c r="B6928" t="str">
        <f>"9:01:01.945337"</f>
        <v>9:01:01.945337</v>
      </c>
      <c r="C6928">
        <v>-45</v>
      </c>
    </row>
    <row r="6929" spans="1:3" x14ac:dyDescent="0.25">
      <c r="A6929">
        <v>37</v>
      </c>
      <c r="B6929" t="str">
        <f>"9:01:02.295976"</f>
        <v>9:01:02.295976</v>
      </c>
      <c r="C6929">
        <v>-44</v>
      </c>
    </row>
    <row r="6930" spans="1:3" x14ac:dyDescent="0.25">
      <c r="A6930">
        <v>38</v>
      </c>
      <c r="B6930" t="str">
        <f>"9:01:02.297004"</f>
        <v>9:01:02.297004</v>
      </c>
      <c r="C6930">
        <v>-41</v>
      </c>
    </row>
    <row r="6931" spans="1:3" x14ac:dyDescent="0.25">
      <c r="A6931">
        <v>39</v>
      </c>
      <c r="B6931" t="str">
        <f>"9:01:02.298030"</f>
        <v>9:01:02.298030</v>
      </c>
      <c r="C6931">
        <v>-46</v>
      </c>
    </row>
    <row r="6932" spans="1:3" x14ac:dyDescent="0.25">
      <c r="A6932">
        <v>37</v>
      </c>
      <c r="B6932" t="str">
        <f>"9:01:02.649030"</f>
        <v>9:01:02.649030</v>
      </c>
      <c r="C6932">
        <v>-44</v>
      </c>
    </row>
    <row r="6933" spans="1:3" x14ac:dyDescent="0.25">
      <c r="A6933">
        <v>37</v>
      </c>
      <c r="B6933" t="str">
        <f>"9:01:02.649548"</f>
        <v>9:01:02.649548</v>
      </c>
      <c r="C6933">
        <v>-40</v>
      </c>
    </row>
    <row r="6934" spans="1:3" x14ac:dyDescent="0.25">
      <c r="A6934">
        <v>37</v>
      </c>
      <c r="B6934" t="str">
        <f>"9:01:02.649874"</f>
        <v>9:01:02.649874</v>
      </c>
      <c r="C6934">
        <v>-44</v>
      </c>
    </row>
    <row r="6935" spans="1:3" x14ac:dyDescent="0.25">
      <c r="A6935">
        <v>38</v>
      </c>
      <c r="B6935" t="str">
        <f>"9:01:02.650650"</f>
        <v>9:01:02.650650</v>
      </c>
      <c r="C6935">
        <v>-41</v>
      </c>
    </row>
    <row r="6936" spans="1:3" x14ac:dyDescent="0.25">
      <c r="A6936">
        <v>39</v>
      </c>
      <c r="B6936" t="str">
        <f>"9:01:02.651676"</f>
        <v>9:01:02.651676</v>
      </c>
      <c r="C6936">
        <v>-45</v>
      </c>
    </row>
    <row r="6937" spans="1:3" x14ac:dyDescent="0.25">
      <c r="A6937">
        <v>37</v>
      </c>
      <c r="B6937" t="str">
        <f>"9:01:03.003389"</f>
        <v>9:01:03.003389</v>
      </c>
      <c r="C6937">
        <v>-44</v>
      </c>
    </row>
    <row r="6938" spans="1:3" x14ac:dyDescent="0.25">
      <c r="A6938">
        <v>37</v>
      </c>
      <c r="B6938" t="str">
        <f>"9:01:03.003908"</f>
        <v>9:01:03.003908</v>
      </c>
      <c r="C6938">
        <v>-40</v>
      </c>
    </row>
    <row r="6939" spans="1:3" x14ac:dyDescent="0.25">
      <c r="A6939">
        <v>37</v>
      </c>
      <c r="B6939" t="str">
        <f>"9:01:03.004234"</f>
        <v>9:01:03.004234</v>
      </c>
      <c r="C6939">
        <v>-44</v>
      </c>
    </row>
    <row r="6940" spans="1:3" x14ac:dyDescent="0.25">
      <c r="A6940">
        <v>38</v>
      </c>
      <c r="B6940" t="str">
        <f>"9:01:03.005011"</f>
        <v>9:01:03.005011</v>
      </c>
      <c r="C6940">
        <v>-41</v>
      </c>
    </row>
    <row r="6941" spans="1:3" x14ac:dyDescent="0.25">
      <c r="A6941">
        <v>39</v>
      </c>
      <c r="B6941" t="str">
        <f>"9:01:03.006037"</f>
        <v>9:01:03.006037</v>
      </c>
      <c r="C6941">
        <v>-45</v>
      </c>
    </row>
    <row r="6942" spans="1:3" x14ac:dyDescent="0.25">
      <c r="A6942">
        <v>37</v>
      </c>
      <c r="B6942" t="str">
        <f>"9:01:03.359539"</f>
        <v>9:01:03.359539</v>
      </c>
      <c r="C6942">
        <v>-44</v>
      </c>
    </row>
    <row r="6943" spans="1:3" x14ac:dyDescent="0.25">
      <c r="A6943">
        <v>37</v>
      </c>
      <c r="B6943" t="str">
        <f>"9:01:03.360058"</f>
        <v>9:01:03.360058</v>
      </c>
      <c r="C6943">
        <v>-40</v>
      </c>
    </row>
    <row r="6944" spans="1:3" x14ac:dyDescent="0.25">
      <c r="A6944">
        <v>37</v>
      </c>
      <c r="B6944" t="str">
        <f>"9:01:03.360384"</f>
        <v>9:01:03.360384</v>
      </c>
      <c r="C6944">
        <v>-44</v>
      </c>
    </row>
    <row r="6945" spans="1:3" x14ac:dyDescent="0.25">
      <c r="A6945">
        <v>38</v>
      </c>
      <c r="B6945" t="str">
        <f>"9:01:03.361160"</f>
        <v>9:01:03.361160</v>
      </c>
      <c r="C6945">
        <v>-41</v>
      </c>
    </row>
    <row r="6946" spans="1:3" x14ac:dyDescent="0.25">
      <c r="A6946">
        <v>39</v>
      </c>
      <c r="B6946" t="str">
        <f>"9:01:03.362186"</f>
        <v>9:01:03.362186</v>
      </c>
      <c r="C6946">
        <v>-45</v>
      </c>
    </row>
    <row r="6947" spans="1:3" x14ac:dyDescent="0.25">
      <c r="A6947">
        <v>37</v>
      </c>
      <c r="B6947" t="str">
        <f>"9:01:03.715651"</f>
        <v>9:01:03.715651</v>
      </c>
      <c r="C6947">
        <v>-44</v>
      </c>
    </row>
    <row r="6948" spans="1:3" x14ac:dyDescent="0.25">
      <c r="A6948">
        <v>37</v>
      </c>
      <c r="B6948" t="str">
        <f>"9:01:03.716169"</f>
        <v>9:01:03.716169</v>
      </c>
      <c r="C6948">
        <v>-40</v>
      </c>
    </row>
    <row r="6949" spans="1:3" x14ac:dyDescent="0.25">
      <c r="A6949">
        <v>37</v>
      </c>
      <c r="B6949" t="str">
        <f>"9:01:03.716495"</f>
        <v>9:01:03.716495</v>
      </c>
      <c r="C6949">
        <v>-44</v>
      </c>
    </row>
    <row r="6950" spans="1:3" x14ac:dyDescent="0.25">
      <c r="A6950">
        <v>38</v>
      </c>
      <c r="B6950" t="str">
        <f>"9:01:03.717271"</f>
        <v>9:01:03.717271</v>
      </c>
      <c r="C6950">
        <v>-41</v>
      </c>
    </row>
    <row r="6951" spans="1:3" x14ac:dyDescent="0.25">
      <c r="A6951">
        <v>39</v>
      </c>
      <c r="B6951" t="str">
        <f>"9:01:03.718297"</f>
        <v>9:01:03.718297</v>
      </c>
      <c r="C6951">
        <v>-45</v>
      </c>
    </row>
    <row r="6952" spans="1:3" x14ac:dyDescent="0.25">
      <c r="A6952">
        <v>37</v>
      </c>
      <c r="B6952" t="str">
        <f>"9:01:04.071250"</f>
        <v>9:01:04.071250</v>
      </c>
      <c r="C6952">
        <v>-44</v>
      </c>
    </row>
    <row r="6953" spans="1:3" x14ac:dyDescent="0.25">
      <c r="A6953">
        <v>37</v>
      </c>
      <c r="B6953" t="str">
        <f>"9:01:04.071768"</f>
        <v>9:01:04.071768</v>
      </c>
      <c r="C6953">
        <v>-40</v>
      </c>
    </row>
    <row r="6954" spans="1:3" x14ac:dyDescent="0.25">
      <c r="A6954">
        <v>37</v>
      </c>
      <c r="B6954" t="str">
        <f>"9:01:04.072094"</f>
        <v>9:01:04.072094</v>
      </c>
      <c r="C6954">
        <v>-44</v>
      </c>
    </row>
    <row r="6955" spans="1:3" x14ac:dyDescent="0.25">
      <c r="A6955">
        <v>38</v>
      </c>
      <c r="B6955" t="str">
        <f>"9:01:04.072870"</f>
        <v>9:01:04.072870</v>
      </c>
      <c r="C6955">
        <v>-41</v>
      </c>
    </row>
    <row r="6956" spans="1:3" x14ac:dyDescent="0.25">
      <c r="A6956">
        <v>39</v>
      </c>
      <c r="B6956" t="str">
        <f>"9:01:04.073896"</f>
        <v>9:01:04.073896</v>
      </c>
      <c r="C6956">
        <v>-45</v>
      </c>
    </row>
    <row r="6957" spans="1:3" x14ac:dyDescent="0.25">
      <c r="A6957">
        <v>37</v>
      </c>
      <c r="B6957" t="str">
        <f>"9:01:04.428390"</f>
        <v>9:01:04.428390</v>
      </c>
      <c r="C6957">
        <v>-44</v>
      </c>
    </row>
    <row r="6958" spans="1:3" x14ac:dyDescent="0.25">
      <c r="A6958">
        <v>37</v>
      </c>
      <c r="B6958" t="str">
        <f>"9:01:04.428909"</f>
        <v>9:01:04.428909</v>
      </c>
      <c r="C6958">
        <v>-40</v>
      </c>
    </row>
    <row r="6959" spans="1:3" x14ac:dyDescent="0.25">
      <c r="A6959">
        <v>37</v>
      </c>
      <c r="B6959" t="str">
        <f>"9:01:04.429236"</f>
        <v>9:01:04.429236</v>
      </c>
      <c r="C6959">
        <v>-44</v>
      </c>
    </row>
    <row r="6960" spans="1:3" x14ac:dyDescent="0.25">
      <c r="A6960">
        <v>38</v>
      </c>
      <c r="B6960" t="str">
        <f>"9:01:04.430012"</f>
        <v>9:01:04.430012</v>
      </c>
      <c r="C6960">
        <v>-41</v>
      </c>
    </row>
    <row r="6961" spans="1:3" x14ac:dyDescent="0.25">
      <c r="A6961">
        <v>39</v>
      </c>
      <c r="B6961" t="str">
        <f>"9:01:04.431038"</f>
        <v>9:01:04.431038</v>
      </c>
      <c r="C6961">
        <v>-45</v>
      </c>
    </row>
    <row r="6962" spans="1:3" x14ac:dyDescent="0.25">
      <c r="A6962">
        <v>39</v>
      </c>
      <c r="B6962" t="str">
        <f>"9:01:04.431558"</f>
        <v>9:01:04.431558</v>
      </c>
      <c r="C6962">
        <v>-92</v>
      </c>
    </row>
    <row r="6963" spans="1:3" x14ac:dyDescent="0.25">
      <c r="A6963">
        <v>39</v>
      </c>
      <c r="B6963" t="str">
        <f>"9:01:04.431884"</f>
        <v>9:01:04.431884</v>
      </c>
      <c r="C6963">
        <v>-45</v>
      </c>
    </row>
    <row r="6964" spans="1:3" x14ac:dyDescent="0.25">
      <c r="A6964">
        <v>37</v>
      </c>
      <c r="B6964" t="str">
        <f>"9:01:04.778866"</f>
        <v>9:01:04.778866</v>
      </c>
      <c r="C6964">
        <v>-44</v>
      </c>
    </row>
    <row r="6965" spans="1:3" x14ac:dyDescent="0.25">
      <c r="A6965">
        <v>38</v>
      </c>
      <c r="B6965" t="str">
        <f>"9:01:04.779894"</f>
        <v>9:01:04.779894</v>
      </c>
      <c r="C6965">
        <v>-41</v>
      </c>
    </row>
    <row r="6966" spans="1:3" x14ac:dyDescent="0.25">
      <c r="A6966">
        <v>38</v>
      </c>
      <c r="B6966" t="str">
        <f>"9:01:04.780412"</f>
        <v>9:01:04.780412</v>
      </c>
      <c r="C6966">
        <v>-32</v>
      </c>
    </row>
    <row r="6967" spans="1:3" x14ac:dyDescent="0.25">
      <c r="A6967">
        <v>38</v>
      </c>
      <c r="B6967" t="str">
        <f>"9:01:04.780738"</f>
        <v>9:01:04.780738</v>
      </c>
      <c r="C6967">
        <v>-41</v>
      </c>
    </row>
    <row r="6968" spans="1:3" x14ac:dyDescent="0.25">
      <c r="A6968">
        <v>39</v>
      </c>
      <c r="B6968" t="str">
        <f>"9:01:04.781514"</f>
        <v>9:01:04.781514</v>
      </c>
      <c r="C6968">
        <v>-45</v>
      </c>
    </row>
    <row r="6969" spans="1:3" x14ac:dyDescent="0.25">
      <c r="A6969">
        <v>37</v>
      </c>
      <c r="B6969" t="str">
        <f>"9:01:05.138362"</f>
        <v>9:01:05.138362</v>
      </c>
      <c r="C6969">
        <v>-44</v>
      </c>
    </row>
    <row r="6970" spans="1:3" x14ac:dyDescent="0.25">
      <c r="A6970">
        <v>38</v>
      </c>
      <c r="B6970" t="str">
        <f>"9:01:05.139390"</f>
        <v>9:01:05.139390</v>
      </c>
      <c r="C6970">
        <v>-41</v>
      </c>
    </row>
    <row r="6971" spans="1:3" x14ac:dyDescent="0.25">
      <c r="A6971">
        <v>38</v>
      </c>
      <c r="B6971" t="str">
        <f>"9:01:05.139908"</f>
        <v>9:01:05.139908</v>
      </c>
      <c r="C6971">
        <v>-32</v>
      </c>
    </row>
    <row r="6972" spans="1:3" x14ac:dyDescent="0.25">
      <c r="A6972">
        <v>38</v>
      </c>
      <c r="B6972" t="str">
        <f>"9:01:05.140234"</f>
        <v>9:01:05.140234</v>
      </c>
      <c r="C6972">
        <v>-41</v>
      </c>
    </row>
    <row r="6973" spans="1:3" x14ac:dyDescent="0.25">
      <c r="A6973">
        <v>39</v>
      </c>
      <c r="B6973" t="str">
        <f>"9:01:05.141010"</f>
        <v>9:01:05.141010</v>
      </c>
      <c r="C6973">
        <v>-45</v>
      </c>
    </row>
    <row r="6974" spans="1:3" x14ac:dyDescent="0.25">
      <c r="A6974">
        <v>37</v>
      </c>
      <c r="B6974" t="str">
        <f>"9:01:05.489664"</f>
        <v>9:01:05.489664</v>
      </c>
      <c r="C6974">
        <v>-44</v>
      </c>
    </row>
    <row r="6975" spans="1:3" x14ac:dyDescent="0.25">
      <c r="A6975">
        <v>38</v>
      </c>
      <c r="B6975" t="str">
        <f>"9:01:05.490691"</f>
        <v>9:01:05.490691</v>
      </c>
      <c r="C6975">
        <v>-41</v>
      </c>
    </row>
    <row r="6976" spans="1:3" x14ac:dyDescent="0.25">
      <c r="A6976">
        <v>38</v>
      </c>
      <c r="B6976" t="str">
        <f>"9:01:05.491210"</f>
        <v>9:01:05.491210</v>
      </c>
      <c r="C6976">
        <v>-32</v>
      </c>
    </row>
    <row r="6977" spans="1:3" x14ac:dyDescent="0.25">
      <c r="A6977">
        <v>38</v>
      </c>
      <c r="B6977" t="str">
        <f>"9:01:05.491537"</f>
        <v>9:01:05.491537</v>
      </c>
      <c r="C6977">
        <v>-41</v>
      </c>
    </row>
    <row r="6978" spans="1:3" x14ac:dyDescent="0.25">
      <c r="A6978">
        <v>39</v>
      </c>
      <c r="B6978" t="str">
        <f>"9:01:05.492313"</f>
        <v>9:01:05.492313</v>
      </c>
      <c r="C6978">
        <v>-45</v>
      </c>
    </row>
    <row r="6979" spans="1:3" x14ac:dyDescent="0.25">
      <c r="A6979">
        <v>37</v>
      </c>
      <c r="B6979" t="str">
        <f>"9:01:05.847072"</f>
        <v>9:01:05.847072</v>
      </c>
      <c r="C6979">
        <v>-44</v>
      </c>
    </row>
    <row r="6980" spans="1:3" x14ac:dyDescent="0.25">
      <c r="A6980">
        <v>37</v>
      </c>
      <c r="B6980" t="str">
        <f>"9:01:05.847591"</f>
        <v>9:01:05.847591</v>
      </c>
      <c r="C6980">
        <v>-83</v>
      </c>
    </row>
    <row r="6981" spans="1:3" x14ac:dyDescent="0.25">
      <c r="A6981">
        <v>37</v>
      </c>
      <c r="B6981" t="str">
        <f>"9:01:05.847917"</f>
        <v>9:01:05.847917</v>
      </c>
      <c r="C6981">
        <v>-44</v>
      </c>
    </row>
    <row r="6982" spans="1:3" x14ac:dyDescent="0.25">
      <c r="A6982">
        <v>38</v>
      </c>
      <c r="B6982" t="str">
        <f>"9:01:05.848693"</f>
        <v>9:01:05.848693</v>
      </c>
      <c r="C6982">
        <v>-41</v>
      </c>
    </row>
    <row r="6983" spans="1:3" x14ac:dyDescent="0.25">
      <c r="A6983">
        <v>38</v>
      </c>
      <c r="B6983" t="str">
        <f>"9:01:05.849211"</f>
        <v>9:01:05.849211</v>
      </c>
      <c r="C6983">
        <v>-31</v>
      </c>
    </row>
    <row r="6984" spans="1:3" x14ac:dyDescent="0.25">
      <c r="A6984">
        <v>38</v>
      </c>
      <c r="B6984" t="str">
        <f>"9:01:05.849537"</f>
        <v>9:01:05.849537</v>
      </c>
      <c r="C6984">
        <v>-41</v>
      </c>
    </row>
    <row r="6985" spans="1:3" x14ac:dyDescent="0.25">
      <c r="A6985">
        <v>39</v>
      </c>
      <c r="B6985" t="str">
        <f>"9:01:05.850313"</f>
        <v>9:01:05.850313</v>
      </c>
      <c r="C6985">
        <v>-45</v>
      </c>
    </row>
    <row r="6986" spans="1:3" x14ac:dyDescent="0.25">
      <c r="A6986">
        <v>37</v>
      </c>
      <c r="B6986" t="str">
        <f>"9:01:06.207031"</f>
        <v>9:01:06.207031</v>
      </c>
      <c r="C6986">
        <v>-44</v>
      </c>
    </row>
    <row r="6987" spans="1:3" x14ac:dyDescent="0.25">
      <c r="A6987">
        <v>38</v>
      </c>
      <c r="B6987" t="str">
        <f>"9:01:06.208058"</f>
        <v>9:01:06.208058</v>
      </c>
      <c r="C6987">
        <v>-41</v>
      </c>
    </row>
    <row r="6988" spans="1:3" x14ac:dyDescent="0.25">
      <c r="A6988">
        <v>39</v>
      </c>
      <c r="B6988" t="str">
        <f>"9:01:06.209084"</f>
        <v>9:01:06.209084</v>
      </c>
      <c r="C6988">
        <v>-45</v>
      </c>
    </row>
    <row r="6989" spans="1:3" x14ac:dyDescent="0.25">
      <c r="A6989">
        <v>37</v>
      </c>
      <c r="B6989" t="str">
        <f>"9:01:06.557979"</f>
        <v>9:01:06.557979</v>
      </c>
      <c r="C6989">
        <v>-44</v>
      </c>
    </row>
    <row r="6990" spans="1:3" x14ac:dyDescent="0.25">
      <c r="A6990">
        <v>38</v>
      </c>
      <c r="B6990" t="str">
        <f>"9:01:06.559006"</f>
        <v>9:01:06.559006</v>
      </c>
      <c r="C6990">
        <v>-41</v>
      </c>
    </row>
    <row r="6991" spans="1:3" x14ac:dyDescent="0.25">
      <c r="A6991">
        <v>38</v>
      </c>
      <c r="B6991" t="str">
        <f>"9:01:06.559525"</f>
        <v>9:01:06.559525</v>
      </c>
      <c r="C6991">
        <v>-31</v>
      </c>
    </row>
    <row r="6992" spans="1:3" x14ac:dyDescent="0.25">
      <c r="A6992">
        <v>38</v>
      </c>
      <c r="B6992" t="str">
        <f>"9:01:06.559850"</f>
        <v>9:01:06.559850</v>
      </c>
      <c r="C6992">
        <v>-41</v>
      </c>
    </row>
    <row r="6993" spans="1:3" x14ac:dyDescent="0.25">
      <c r="A6993">
        <v>39</v>
      </c>
      <c r="B6993" t="str">
        <f>"9:01:06.560626"</f>
        <v>9:01:06.560626</v>
      </c>
      <c r="C6993">
        <v>-45</v>
      </c>
    </row>
    <row r="6994" spans="1:3" x14ac:dyDescent="0.25">
      <c r="A6994">
        <v>37</v>
      </c>
      <c r="B6994" t="str">
        <f>"9:01:06.911535"</f>
        <v>9:01:06.911535</v>
      </c>
      <c r="C6994">
        <v>-44</v>
      </c>
    </row>
    <row r="6995" spans="1:3" x14ac:dyDescent="0.25">
      <c r="A6995">
        <v>38</v>
      </c>
      <c r="B6995" t="str">
        <f>"9:01:06.912562"</f>
        <v>9:01:06.912562</v>
      </c>
      <c r="C6995">
        <v>-41</v>
      </c>
    </row>
    <row r="6996" spans="1:3" x14ac:dyDescent="0.25">
      <c r="A6996">
        <v>38</v>
      </c>
      <c r="B6996" t="str">
        <f>"9:01:06.913081"</f>
        <v>9:01:06.913081</v>
      </c>
      <c r="C6996">
        <v>-32</v>
      </c>
    </row>
    <row r="6997" spans="1:3" x14ac:dyDescent="0.25">
      <c r="A6997">
        <v>38</v>
      </c>
      <c r="B6997" t="str">
        <f>"9:01:06.913407"</f>
        <v>9:01:06.913407</v>
      </c>
      <c r="C6997">
        <v>-41</v>
      </c>
    </row>
    <row r="6998" spans="1:3" x14ac:dyDescent="0.25">
      <c r="A6998">
        <v>39</v>
      </c>
      <c r="B6998" t="str">
        <f>"9:01:06.914183"</f>
        <v>9:01:06.914183</v>
      </c>
      <c r="C6998">
        <v>-45</v>
      </c>
    </row>
    <row r="6999" spans="1:3" x14ac:dyDescent="0.25">
      <c r="A6999">
        <v>37</v>
      </c>
      <c r="B6999" t="str">
        <f>"9:01:07.265893"</f>
        <v>9:01:07.265893</v>
      </c>
      <c r="C6999">
        <v>-44</v>
      </c>
    </row>
    <row r="7000" spans="1:3" x14ac:dyDescent="0.25">
      <c r="A7000">
        <v>38</v>
      </c>
      <c r="B7000" t="str">
        <f>"9:01:07.266920"</f>
        <v>9:01:07.266920</v>
      </c>
      <c r="C7000">
        <v>-41</v>
      </c>
    </row>
    <row r="7001" spans="1:3" x14ac:dyDescent="0.25">
      <c r="A7001">
        <v>38</v>
      </c>
      <c r="B7001" t="str">
        <f>"9:01:07.267439"</f>
        <v>9:01:07.267439</v>
      </c>
      <c r="C7001">
        <v>-31</v>
      </c>
    </row>
    <row r="7002" spans="1:3" x14ac:dyDescent="0.25">
      <c r="A7002">
        <v>38</v>
      </c>
      <c r="B7002" t="str">
        <f>"9:01:07.267765"</f>
        <v>9:01:07.267765</v>
      </c>
      <c r="C7002">
        <v>-41</v>
      </c>
    </row>
    <row r="7003" spans="1:3" x14ac:dyDescent="0.25">
      <c r="A7003">
        <v>39</v>
      </c>
      <c r="B7003" t="str">
        <f>"9:01:07.268541"</f>
        <v>9:01:07.268541</v>
      </c>
      <c r="C7003">
        <v>-45</v>
      </c>
    </row>
    <row r="7004" spans="1:3" x14ac:dyDescent="0.25">
      <c r="A7004">
        <v>37</v>
      </c>
      <c r="B7004" t="str">
        <f>"9:01:07.622798"</f>
        <v>9:01:07.622798</v>
      </c>
      <c r="C7004">
        <v>-44</v>
      </c>
    </row>
    <row r="7005" spans="1:3" x14ac:dyDescent="0.25">
      <c r="A7005">
        <v>38</v>
      </c>
      <c r="B7005" t="str">
        <f>"9:01:07.623825"</f>
        <v>9:01:07.623825</v>
      </c>
      <c r="C7005">
        <v>-41</v>
      </c>
    </row>
    <row r="7006" spans="1:3" x14ac:dyDescent="0.25">
      <c r="A7006">
        <v>39</v>
      </c>
      <c r="B7006" t="str">
        <f>"9:01:07.624851"</f>
        <v>9:01:07.624851</v>
      </c>
      <c r="C7006">
        <v>-45</v>
      </c>
    </row>
    <row r="7007" spans="1:3" x14ac:dyDescent="0.25">
      <c r="A7007">
        <v>37</v>
      </c>
      <c r="B7007" t="str">
        <f>"9:01:07.977348"</f>
        <v>9:01:07.977348</v>
      </c>
      <c r="C7007">
        <v>-44</v>
      </c>
    </row>
    <row r="7008" spans="1:3" x14ac:dyDescent="0.25">
      <c r="A7008">
        <v>38</v>
      </c>
      <c r="B7008" t="str">
        <f>"9:01:07.978376"</f>
        <v>9:01:07.978376</v>
      </c>
      <c r="C7008">
        <v>-41</v>
      </c>
    </row>
    <row r="7009" spans="1:3" x14ac:dyDescent="0.25">
      <c r="A7009">
        <v>38</v>
      </c>
      <c r="B7009" t="str">
        <f>"9:01:07.978894"</f>
        <v>9:01:07.978894</v>
      </c>
      <c r="C7009">
        <v>-32</v>
      </c>
    </row>
    <row r="7010" spans="1:3" x14ac:dyDescent="0.25">
      <c r="A7010">
        <v>38</v>
      </c>
      <c r="B7010" t="str">
        <f>"9:01:07.979220"</f>
        <v>9:01:07.979220</v>
      </c>
      <c r="C7010">
        <v>-41</v>
      </c>
    </row>
    <row r="7011" spans="1:3" x14ac:dyDescent="0.25">
      <c r="A7011">
        <v>39</v>
      </c>
      <c r="B7011" t="str">
        <f>"9:01:07.979996"</f>
        <v>9:01:07.979996</v>
      </c>
      <c r="C7011">
        <v>-46</v>
      </c>
    </row>
    <row r="7012" spans="1:3" x14ac:dyDescent="0.25">
      <c r="A7012">
        <v>37</v>
      </c>
      <c r="B7012" t="str">
        <f>"9:01:08.334773"</f>
        <v>9:01:08.334773</v>
      </c>
      <c r="C7012">
        <v>-44</v>
      </c>
    </row>
    <row r="7013" spans="1:3" x14ac:dyDescent="0.25">
      <c r="A7013">
        <v>38</v>
      </c>
      <c r="B7013" t="str">
        <f>"9:01:08.335800"</f>
        <v>9:01:08.335800</v>
      </c>
      <c r="C7013">
        <v>-41</v>
      </c>
    </row>
    <row r="7014" spans="1:3" x14ac:dyDescent="0.25">
      <c r="A7014">
        <v>38</v>
      </c>
      <c r="B7014" t="str">
        <f>"9:01:08.336319"</f>
        <v>9:01:08.336319</v>
      </c>
      <c r="C7014">
        <v>-32</v>
      </c>
    </row>
    <row r="7015" spans="1:3" x14ac:dyDescent="0.25">
      <c r="A7015">
        <v>38</v>
      </c>
      <c r="B7015" t="str">
        <f>"9:01:08.336644"</f>
        <v>9:01:08.336644</v>
      </c>
      <c r="C7015">
        <v>-41</v>
      </c>
    </row>
    <row r="7016" spans="1:3" x14ac:dyDescent="0.25">
      <c r="A7016">
        <v>39</v>
      </c>
      <c r="B7016" t="str">
        <f>"9:01:08.337420"</f>
        <v>9:01:08.337420</v>
      </c>
      <c r="C7016">
        <v>-45</v>
      </c>
    </row>
    <row r="7017" spans="1:3" x14ac:dyDescent="0.25">
      <c r="A7017">
        <v>37</v>
      </c>
      <c r="B7017" t="str">
        <f>"9:01:08.685274"</f>
        <v>9:01:08.685274</v>
      </c>
      <c r="C7017">
        <v>-45</v>
      </c>
    </row>
    <row r="7018" spans="1:3" x14ac:dyDescent="0.25">
      <c r="A7018">
        <v>38</v>
      </c>
      <c r="B7018" t="str">
        <f>"9:01:08.686302"</f>
        <v>9:01:08.686302</v>
      </c>
      <c r="C7018">
        <v>-41</v>
      </c>
    </row>
    <row r="7019" spans="1:3" x14ac:dyDescent="0.25">
      <c r="A7019">
        <v>39</v>
      </c>
      <c r="B7019" t="str">
        <f>"9:01:08.687328"</f>
        <v>9:01:08.687328</v>
      </c>
      <c r="C7019">
        <v>-45</v>
      </c>
    </row>
    <row r="7020" spans="1:3" x14ac:dyDescent="0.25">
      <c r="A7020">
        <v>37</v>
      </c>
      <c r="B7020" t="str">
        <f>"9:01:09.040675"</f>
        <v>9:01:09.040675</v>
      </c>
      <c r="C7020">
        <v>-45</v>
      </c>
    </row>
    <row r="7021" spans="1:3" x14ac:dyDescent="0.25">
      <c r="A7021">
        <v>38</v>
      </c>
      <c r="B7021" t="str">
        <f>"9:01:09.041702"</f>
        <v>9:01:09.041702</v>
      </c>
      <c r="C7021">
        <v>-41</v>
      </c>
    </row>
    <row r="7022" spans="1:3" x14ac:dyDescent="0.25">
      <c r="A7022">
        <v>39</v>
      </c>
      <c r="B7022" t="str">
        <f>"9:01:09.042728"</f>
        <v>9:01:09.042728</v>
      </c>
      <c r="C7022">
        <v>-46</v>
      </c>
    </row>
    <row r="7023" spans="1:3" x14ac:dyDescent="0.25">
      <c r="A7023">
        <v>37</v>
      </c>
      <c r="B7023" t="str">
        <f>"9:01:09.396023"</f>
        <v>9:01:09.396023</v>
      </c>
      <c r="C7023">
        <v>-45</v>
      </c>
    </row>
    <row r="7024" spans="1:3" x14ac:dyDescent="0.25">
      <c r="A7024">
        <v>38</v>
      </c>
      <c r="B7024" t="str">
        <f>"9:01:09.397051"</f>
        <v>9:01:09.397051</v>
      </c>
      <c r="C7024">
        <v>-41</v>
      </c>
    </row>
    <row r="7025" spans="1:3" x14ac:dyDescent="0.25">
      <c r="A7025">
        <v>38</v>
      </c>
      <c r="B7025" t="str">
        <f>"9:01:09.397569"</f>
        <v>9:01:09.397569</v>
      </c>
      <c r="C7025">
        <v>-32</v>
      </c>
    </row>
    <row r="7026" spans="1:3" x14ac:dyDescent="0.25">
      <c r="A7026">
        <v>38</v>
      </c>
      <c r="B7026" t="str">
        <f>"9:01:09.397896"</f>
        <v>9:01:09.397896</v>
      </c>
      <c r="C7026">
        <v>-41</v>
      </c>
    </row>
    <row r="7027" spans="1:3" x14ac:dyDescent="0.25">
      <c r="A7027">
        <v>39</v>
      </c>
      <c r="B7027" t="str">
        <f>"9:01:09.398672"</f>
        <v>9:01:09.398672</v>
      </c>
      <c r="C7027">
        <v>-46</v>
      </c>
    </row>
    <row r="7028" spans="1:3" x14ac:dyDescent="0.25">
      <c r="A7028">
        <v>37</v>
      </c>
      <c r="B7028" t="str">
        <f>"9:01:09.748306"</f>
        <v>9:01:09.748306</v>
      </c>
      <c r="C7028">
        <v>-45</v>
      </c>
    </row>
    <row r="7029" spans="1:3" x14ac:dyDescent="0.25">
      <c r="A7029">
        <v>38</v>
      </c>
      <c r="B7029" t="str">
        <f>"9:01:09.749333"</f>
        <v>9:01:09.749333</v>
      </c>
      <c r="C7029">
        <v>-41</v>
      </c>
    </row>
    <row r="7030" spans="1:3" x14ac:dyDescent="0.25">
      <c r="A7030">
        <v>39</v>
      </c>
      <c r="B7030" t="str">
        <f>"9:01:09.750360"</f>
        <v>9:01:09.750360</v>
      </c>
      <c r="C7030">
        <v>-45</v>
      </c>
    </row>
    <row r="7031" spans="1:3" x14ac:dyDescent="0.25">
      <c r="A7031">
        <v>39</v>
      </c>
      <c r="B7031" t="str">
        <f>"9:01:09.750878"</f>
        <v>9:01:09.750878</v>
      </c>
      <c r="C7031">
        <v>-31</v>
      </c>
    </row>
    <row r="7032" spans="1:3" x14ac:dyDescent="0.25">
      <c r="A7032">
        <v>39</v>
      </c>
      <c r="B7032" t="str">
        <f>"9:01:09.751204"</f>
        <v>9:01:09.751204</v>
      </c>
      <c r="C7032">
        <v>-45</v>
      </c>
    </row>
    <row r="7033" spans="1:3" x14ac:dyDescent="0.25">
      <c r="A7033">
        <v>37</v>
      </c>
      <c r="B7033" t="str">
        <f>"9:01:10.107500"</f>
        <v>9:01:10.107500</v>
      </c>
      <c r="C7033">
        <v>-45</v>
      </c>
    </row>
    <row r="7034" spans="1:3" x14ac:dyDescent="0.25">
      <c r="A7034">
        <v>38</v>
      </c>
      <c r="B7034" t="str">
        <f>"9:01:10.108528"</f>
        <v>9:01:10.108528</v>
      </c>
      <c r="C7034">
        <v>-41</v>
      </c>
    </row>
    <row r="7035" spans="1:3" x14ac:dyDescent="0.25">
      <c r="A7035">
        <v>39</v>
      </c>
      <c r="B7035" t="str">
        <f>"9:01:10.109554"</f>
        <v>9:01:10.109554</v>
      </c>
      <c r="C7035">
        <v>-46</v>
      </c>
    </row>
    <row r="7036" spans="1:3" x14ac:dyDescent="0.25">
      <c r="A7036">
        <v>39</v>
      </c>
      <c r="B7036" t="str">
        <f>"9:01:10.110072"</f>
        <v>9:01:10.110072</v>
      </c>
      <c r="C7036">
        <v>-31</v>
      </c>
    </row>
    <row r="7037" spans="1:3" x14ac:dyDescent="0.25">
      <c r="A7037">
        <v>39</v>
      </c>
      <c r="B7037" t="str">
        <f>"9:01:10.110398"</f>
        <v>9:01:10.110398</v>
      </c>
      <c r="C7037">
        <v>-45</v>
      </c>
    </row>
    <row r="7038" spans="1:3" x14ac:dyDescent="0.25">
      <c r="A7038">
        <v>37</v>
      </c>
      <c r="B7038" t="str">
        <f>"9:01:10.459733"</f>
        <v>9:01:10.459733</v>
      </c>
      <c r="C7038">
        <v>-45</v>
      </c>
    </row>
    <row r="7039" spans="1:3" x14ac:dyDescent="0.25">
      <c r="A7039">
        <v>38</v>
      </c>
      <c r="B7039" t="str">
        <f>"9:01:10.460761"</f>
        <v>9:01:10.460761</v>
      </c>
      <c r="C7039">
        <v>-41</v>
      </c>
    </row>
    <row r="7040" spans="1:3" x14ac:dyDescent="0.25">
      <c r="A7040">
        <v>39</v>
      </c>
      <c r="B7040" t="str">
        <f>"9:01:10.461787"</f>
        <v>9:01:10.461787</v>
      </c>
      <c r="C7040">
        <v>-45</v>
      </c>
    </row>
    <row r="7041" spans="1:3" x14ac:dyDescent="0.25">
      <c r="A7041">
        <v>39</v>
      </c>
      <c r="B7041" t="str">
        <f>"9:01:10.462305"</f>
        <v>9:01:10.462305</v>
      </c>
      <c r="C7041">
        <v>-31</v>
      </c>
    </row>
    <row r="7042" spans="1:3" x14ac:dyDescent="0.25">
      <c r="A7042">
        <v>39</v>
      </c>
      <c r="B7042" t="str">
        <f>"9:01:10.462632"</f>
        <v>9:01:10.462632</v>
      </c>
      <c r="C7042">
        <v>-45</v>
      </c>
    </row>
    <row r="7043" spans="1:3" x14ac:dyDescent="0.25">
      <c r="A7043">
        <v>37</v>
      </c>
      <c r="B7043" t="str">
        <f>"9:01:10.812252"</f>
        <v>9:01:10.812252</v>
      </c>
      <c r="C7043">
        <v>-45</v>
      </c>
    </row>
    <row r="7044" spans="1:3" x14ac:dyDescent="0.25">
      <c r="A7044">
        <v>38</v>
      </c>
      <c r="B7044" t="str">
        <f>"9:01:10.813280"</f>
        <v>9:01:10.813280</v>
      </c>
      <c r="C7044">
        <v>-41</v>
      </c>
    </row>
    <row r="7045" spans="1:3" x14ac:dyDescent="0.25">
      <c r="A7045">
        <v>39</v>
      </c>
      <c r="B7045" t="str">
        <f>"9:01:10.814306"</f>
        <v>9:01:10.814306</v>
      </c>
      <c r="C7045">
        <v>-46</v>
      </c>
    </row>
    <row r="7046" spans="1:3" x14ac:dyDescent="0.25">
      <c r="A7046">
        <v>37</v>
      </c>
      <c r="B7046" t="str">
        <f>"9:01:11.162537"</f>
        <v>9:01:11.162537</v>
      </c>
      <c r="C7046">
        <v>-45</v>
      </c>
    </row>
    <row r="7047" spans="1:3" x14ac:dyDescent="0.25">
      <c r="A7047">
        <v>38</v>
      </c>
      <c r="B7047" t="str">
        <f>"9:01:11.163564"</f>
        <v>9:01:11.163564</v>
      </c>
      <c r="C7047">
        <v>-41</v>
      </c>
    </row>
    <row r="7048" spans="1:3" x14ac:dyDescent="0.25">
      <c r="A7048">
        <v>39</v>
      </c>
      <c r="B7048" t="str">
        <f>"9:01:11.164590"</f>
        <v>9:01:11.164590</v>
      </c>
      <c r="C7048">
        <v>-46</v>
      </c>
    </row>
    <row r="7049" spans="1:3" x14ac:dyDescent="0.25">
      <c r="A7049">
        <v>39</v>
      </c>
      <c r="B7049" t="str">
        <f>"9:01:11.165109"</f>
        <v>9:01:11.165109</v>
      </c>
      <c r="C7049">
        <v>-31</v>
      </c>
    </row>
    <row r="7050" spans="1:3" x14ac:dyDescent="0.25">
      <c r="A7050">
        <v>39</v>
      </c>
      <c r="B7050" t="str">
        <f>"9:01:11.165434"</f>
        <v>9:01:11.165434</v>
      </c>
      <c r="C7050">
        <v>-45</v>
      </c>
    </row>
    <row r="7051" spans="1:3" x14ac:dyDescent="0.25">
      <c r="A7051">
        <v>37</v>
      </c>
      <c r="B7051" t="str">
        <f>"9:01:11.513545"</f>
        <v>9:01:11.513545</v>
      </c>
      <c r="C7051">
        <v>-45</v>
      </c>
    </row>
    <row r="7052" spans="1:3" x14ac:dyDescent="0.25">
      <c r="A7052">
        <v>38</v>
      </c>
      <c r="B7052" t="str">
        <f>"9:01:11.514572"</f>
        <v>9:01:11.514572</v>
      </c>
      <c r="C7052">
        <v>-41</v>
      </c>
    </row>
    <row r="7053" spans="1:3" x14ac:dyDescent="0.25">
      <c r="A7053">
        <v>39</v>
      </c>
      <c r="B7053" t="str">
        <f>"9:01:11.515598"</f>
        <v>9:01:11.515598</v>
      </c>
      <c r="C7053">
        <v>-46</v>
      </c>
    </row>
    <row r="7054" spans="1:3" x14ac:dyDescent="0.25">
      <c r="A7054">
        <v>39</v>
      </c>
      <c r="B7054" t="str">
        <f>"9:01:11.516116"</f>
        <v>9:01:11.516116</v>
      </c>
      <c r="C7054">
        <v>-31</v>
      </c>
    </row>
    <row r="7055" spans="1:3" x14ac:dyDescent="0.25">
      <c r="A7055">
        <v>39</v>
      </c>
      <c r="B7055" t="str">
        <f>"9:01:11.516442"</f>
        <v>9:01:11.516442</v>
      </c>
      <c r="C7055">
        <v>-45</v>
      </c>
    </row>
    <row r="7056" spans="1:3" x14ac:dyDescent="0.25">
      <c r="A7056">
        <v>37</v>
      </c>
      <c r="B7056" t="str">
        <f>"9:01:11.872212"</f>
        <v>9:01:11.872212</v>
      </c>
      <c r="C7056">
        <v>-44</v>
      </c>
    </row>
    <row r="7057" spans="1:3" x14ac:dyDescent="0.25">
      <c r="A7057">
        <v>38</v>
      </c>
      <c r="B7057" t="str">
        <f>"9:01:11.873239"</f>
        <v>9:01:11.873239</v>
      </c>
      <c r="C7057">
        <v>-41</v>
      </c>
    </row>
    <row r="7058" spans="1:3" x14ac:dyDescent="0.25">
      <c r="A7058">
        <v>39</v>
      </c>
      <c r="B7058" t="str">
        <f>"9:01:11.874265"</f>
        <v>9:01:11.874265</v>
      </c>
      <c r="C7058">
        <v>-45</v>
      </c>
    </row>
    <row r="7059" spans="1:3" x14ac:dyDescent="0.25">
      <c r="A7059">
        <v>39</v>
      </c>
      <c r="B7059" t="str">
        <f>"9:01:11.874784"</f>
        <v>9:01:11.874784</v>
      </c>
      <c r="C7059">
        <v>-31</v>
      </c>
    </row>
    <row r="7060" spans="1:3" x14ac:dyDescent="0.25">
      <c r="A7060">
        <v>39</v>
      </c>
      <c r="B7060" t="str">
        <f>"9:01:11.875109"</f>
        <v>9:01:11.875109</v>
      </c>
      <c r="C7060">
        <v>-45</v>
      </c>
    </row>
    <row r="7061" spans="1:3" x14ac:dyDescent="0.25">
      <c r="A7061">
        <v>37</v>
      </c>
      <c r="B7061" t="str">
        <f>"9:01:12.229399"</f>
        <v>9:01:12.229399</v>
      </c>
      <c r="C7061">
        <v>-44</v>
      </c>
    </row>
    <row r="7062" spans="1:3" x14ac:dyDescent="0.25">
      <c r="A7062">
        <v>38</v>
      </c>
      <c r="B7062" t="str">
        <f>"9:01:12.230426"</f>
        <v>9:01:12.230426</v>
      </c>
      <c r="C7062">
        <v>-41</v>
      </c>
    </row>
    <row r="7063" spans="1:3" x14ac:dyDescent="0.25">
      <c r="A7063">
        <v>39</v>
      </c>
      <c r="B7063" t="str">
        <f>"9:01:12.231452"</f>
        <v>9:01:12.231452</v>
      </c>
      <c r="C7063">
        <v>-45</v>
      </c>
    </row>
    <row r="7064" spans="1:3" x14ac:dyDescent="0.25">
      <c r="A7064">
        <v>39</v>
      </c>
      <c r="B7064" t="str">
        <f>"9:01:12.231971"</f>
        <v>9:01:12.231971</v>
      </c>
      <c r="C7064">
        <v>-31</v>
      </c>
    </row>
    <row r="7065" spans="1:3" x14ac:dyDescent="0.25">
      <c r="A7065">
        <v>39</v>
      </c>
      <c r="B7065" t="str">
        <f>"9:01:12.232296"</f>
        <v>9:01:12.232296</v>
      </c>
      <c r="C7065">
        <v>-45</v>
      </c>
    </row>
    <row r="7066" spans="1:3" x14ac:dyDescent="0.25">
      <c r="A7066">
        <v>37</v>
      </c>
      <c r="B7066" t="str">
        <f>"9:01:12.584754"</f>
        <v>9:01:12.584754</v>
      </c>
      <c r="C7066">
        <v>-44</v>
      </c>
    </row>
    <row r="7067" spans="1:3" x14ac:dyDescent="0.25">
      <c r="A7067">
        <v>38</v>
      </c>
      <c r="B7067" t="str">
        <f>"9:01:12.585781"</f>
        <v>9:01:12.585781</v>
      </c>
      <c r="C7067">
        <v>-41</v>
      </c>
    </row>
    <row r="7068" spans="1:3" x14ac:dyDescent="0.25">
      <c r="A7068">
        <v>39</v>
      </c>
      <c r="B7068" t="str">
        <f>"9:01:12.586807"</f>
        <v>9:01:12.586807</v>
      </c>
      <c r="C7068">
        <v>-46</v>
      </c>
    </row>
    <row r="7069" spans="1:3" x14ac:dyDescent="0.25">
      <c r="A7069">
        <v>39</v>
      </c>
      <c r="B7069" t="str">
        <f>"9:01:12.587326"</f>
        <v>9:01:12.587326</v>
      </c>
      <c r="C7069">
        <v>-31</v>
      </c>
    </row>
    <row r="7070" spans="1:3" x14ac:dyDescent="0.25">
      <c r="A7070">
        <v>39</v>
      </c>
      <c r="B7070" t="str">
        <f>"9:01:12.587652"</f>
        <v>9:01:12.587652</v>
      </c>
      <c r="C7070">
        <v>-45</v>
      </c>
    </row>
    <row r="7071" spans="1:3" x14ac:dyDescent="0.25">
      <c r="A7071">
        <v>37</v>
      </c>
      <c r="B7071" t="str">
        <f>"9:01:12.935035"</f>
        <v>9:01:12.935035</v>
      </c>
      <c r="C7071">
        <v>-44</v>
      </c>
    </row>
    <row r="7072" spans="1:3" x14ac:dyDescent="0.25">
      <c r="A7072">
        <v>38</v>
      </c>
      <c r="B7072" t="str">
        <f>"9:01:12.936062"</f>
        <v>9:01:12.936062</v>
      </c>
      <c r="C7072">
        <v>-41</v>
      </c>
    </row>
    <row r="7073" spans="1:3" x14ac:dyDescent="0.25">
      <c r="A7073">
        <v>39</v>
      </c>
      <c r="B7073" t="str">
        <f>"9:01:12.937088"</f>
        <v>9:01:12.937088</v>
      </c>
      <c r="C7073">
        <v>-45</v>
      </c>
    </row>
    <row r="7074" spans="1:3" x14ac:dyDescent="0.25">
      <c r="A7074">
        <v>37</v>
      </c>
      <c r="B7074" t="str">
        <f>"9:01:13.290650"</f>
        <v>9:01:13.290650</v>
      </c>
      <c r="C7074">
        <v>-44</v>
      </c>
    </row>
    <row r="7075" spans="1:3" x14ac:dyDescent="0.25">
      <c r="A7075">
        <v>37</v>
      </c>
      <c r="B7075" t="str">
        <f>"9:01:13.291169"</f>
        <v>9:01:13.291169</v>
      </c>
      <c r="C7075">
        <v>-79</v>
      </c>
    </row>
    <row r="7076" spans="1:3" x14ac:dyDescent="0.25">
      <c r="A7076">
        <v>37</v>
      </c>
      <c r="B7076" t="str">
        <f>"9:01:13.291494"</f>
        <v>9:01:13.291494</v>
      </c>
      <c r="C7076">
        <v>-45</v>
      </c>
    </row>
    <row r="7077" spans="1:3" x14ac:dyDescent="0.25">
      <c r="A7077">
        <v>38</v>
      </c>
      <c r="B7077" t="str">
        <f>"9:01:13.292271"</f>
        <v>9:01:13.292271</v>
      </c>
      <c r="C7077">
        <v>-41</v>
      </c>
    </row>
    <row r="7078" spans="1:3" x14ac:dyDescent="0.25">
      <c r="A7078">
        <v>39</v>
      </c>
      <c r="B7078" t="str">
        <f>"9:01:13.293297"</f>
        <v>9:01:13.293297</v>
      </c>
      <c r="C7078">
        <v>-45</v>
      </c>
    </row>
    <row r="7079" spans="1:3" x14ac:dyDescent="0.25">
      <c r="A7079">
        <v>39</v>
      </c>
      <c r="B7079" t="str">
        <f>"9:01:13.293815"</f>
        <v>9:01:13.293815</v>
      </c>
      <c r="C7079">
        <v>-31</v>
      </c>
    </row>
    <row r="7080" spans="1:3" x14ac:dyDescent="0.25">
      <c r="A7080">
        <v>39</v>
      </c>
      <c r="B7080" t="str">
        <f>"9:01:13.294141"</f>
        <v>9:01:13.294141</v>
      </c>
      <c r="C7080">
        <v>-45</v>
      </c>
    </row>
    <row r="7081" spans="1:3" x14ac:dyDescent="0.25">
      <c r="A7081">
        <v>37</v>
      </c>
      <c r="B7081" t="str">
        <f>"9:01:13.645044"</f>
        <v>9:01:13.645044</v>
      </c>
      <c r="C7081">
        <v>-44</v>
      </c>
    </row>
    <row r="7082" spans="1:3" x14ac:dyDescent="0.25">
      <c r="A7082">
        <v>38</v>
      </c>
      <c r="B7082" t="str">
        <f>"9:01:13.646071"</f>
        <v>9:01:13.646071</v>
      </c>
      <c r="C7082">
        <v>-41</v>
      </c>
    </row>
    <row r="7083" spans="1:3" x14ac:dyDescent="0.25">
      <c r="A7083">
        <v>39</v>
      </c>
      <c r="B7083" t="str">
        <f>"9:01:13.647097"</f>
        <v>9:01:13.647097</v>
      </c>
      <c r="C7083">
        <v>-45</v>
      </c>
    </row>
    <row r="7084" spans="1:3" x14ac:dyDescent="0.25">
      <c r="A7084">
        <v>39</v>
      </c>
      <c r="B7084" t="str">
        <f>"9:01:13.647615"</f>
        <v>9:01:13.647615</v>
      </c>
      <c r="C7084">
        <v>-31</v>
      </c>
    </row>
    <row r="7085" spans="1:3" x14ac:dyDescent="0.25">
      <c r="A7085">
        <v>39</v>
      </c>
      <c r="B7085" t="str">
        <f>"9:01:13.647942"</f>
        <v>9:01:13.647942</v>
      </c>
      <c r="C7085">
        <v>-45</v>
      </c>
    </row>
    <row r="7086" spans="1:3" x14ac:dyDescent="0.25">
      <c r="A7086">
        <v>37</v>
      </c>
      <c r="B7086" t="str">
        <f>"9:01:13.997543"</f>
        <v>9:01:13.997543</v>
      </c>
      <c r="C7086">
        <v>-44</v>
      </c>
    </row>
    <row r="7087" spans="1:3" x14ac:dyDescent="0.25">
      <c r="A7087">
        <v>37</v>
      </c>
      <c r="B7087" t="str">
        <f>"9:01:13.998389"</f>
        <v>9:01:13.998389</v>
      </c>
      <c r="C7087">
        <v>-45</v>
      </c>
    </row>
    <row r="7088" spans="1:3" x14ac:dyDescent="0.25">
      <c r="A7088">
        <v>38</v>
      </c>
      <c r="B7088" t="str">
        <f>"9:01:13.999165"</f>
        <v>9:01:13.999165</v>
      </c>
      <c r="C7088">
        <v>-41</v>
      </c>
    </row>
    <row r="7089" spans="1:3" x14ac:dyDescent="0.25">
      <c r="A7089">
        <v>39</v>
      </c>
      <c r="B7089" t="str">
        <f>"9:01:14.000191"</f>
        <v>9:01:14.000191</v>
      </c>
      <c r="C7089">
        <v>-45</v>
      </c>
    </row>
    <row r="7090" spans="1:3" x14ac:dyDescent="0.25">
      <c r="A7090">
        <v>37</v>
      </c>
      <c r="B7090" t="str">
        <f>"9:01:14.350548"</f>
        <v>9:01:14.350548</v>
      </c>
      <c r="C7090">
        <v>-45</v>
      </c>
    </row>
    <row r="7091" spans="1:3" x14ac:dyDescent="0.25">
      <c r="A7091">
        <v>38</v>
      </c>
      <c r="B7091" t="str">
        <f>"9:01:14.351576"</f>
        <v>9:01:14.351576</v>
      </c>
      <c r="C7091">
        <v>-41</v>
      </c>
    </row>
    <row r="7092" spans="1:3" x14ac:dyDescent="0.25">
      <c r="A7092">
        <v>39</v>
      </c>
      <c r="B7092" t="str">
        <f>"9:01:14.352602"</f>
        <v>9:01:14.352602</v>
      </c>
      <c r="C7092">
        <v>-45</v>
      </c>
    </row>
    <row r="7093" spans="1:3" x14ac:dyDescent="0.25">
      <c r="A7093">
        <v>39</v>
      </c>
      <c r="B7093" t="str">
        <f>"9:01:14.353120"</f>
        <v>9:01:14.353120</v>
      </c>
      <c r="C7093">
        <v>-31</v>
      </c>
    </row>
    <row r="7094" spans="1:3" x14ac:dyDescent="0.25">
      <c r="A7094">
        <v>39</v>
      </c>
      <c r="B7094" t="str">
        <f>"9:01:14.353446"</f>
        <v>9:01:14.353446</v>
      </c>
      <c r="C7094">
        <v>-45</v>
      </c>
    </row>
    <row r="7095" spans="1:3" x14ac:dyDescent="0.25">
      <c r="A7095">
        <v>37</v>
      </c>
      <c r="B7095" t="str">
        <f>"9:01:14.704082"</f>
        <v>9:01:14.704082</v>
      </c>
      <c r="C7095">
        <v>-44</v>
      </c>
    </row>
    <row r="7096" spans="1:3" x14ac:dyDescent="0.25">
      <c r="A7096">
        <v>37</v>
      </c>
      <c r="B7096" t="str">
        <f>"9:01:14.704601"</f>
        <v>9:01:14.704601</v>
      </c>
      <c r="C7096">
        <v>-40</v>
      </c>
    </row>
    <row r="7097" spans="1:3" x14ac:dyDescent="0.25">
      <c r="A7097">
        <v>37</v>
      </c>
      <c r="B7097" t="str">
        <f>"9:01:14.704927"</f>
        <v>9:01:14.704927</v>
      </c>
      <c r="C7097">
        <v>-45</v>
      </c>
    </row>
    <row r="7098" spans="1:3" x14ac:dyDescent="0.25">
      <c r="A7098">
        <v>38</v>
      </c>
      <c r="B7098" t="str">
        <f>"9:01:14.705703"</f>
        <v>9:01:14.705703</v>
      </c>
      <c r="C7098">
        <v>-41</v>
      </c>
    </row>
    <row r="7099" spans="1:3" x14ac:dyDescent="0.25">
      <c r="A7099">
        <v>39</v>
      </c>
      <c r="B7099" t="str">
        <f>"9:01:14.706729"</f>
        <v>9:01:14.706729</v>
      </c>
      <c r="C7099">
        <v>-46</v>
      </c>
    </row>
    <row r="7100" spans="1:3" x14ac:dyDescent="0.25">
      <c r="A7100">
        <v>37</v>
      </c>
      <c r="B7100" t="str">
        <f>"9:01:15.059388"</f>
        <v>9:01:15.059388</v>
      </c>
      <c r="C7100">
        <v>-44</v>
      </c>
    </row>
    <row r="7101" spans="1:3" x14ac:dyDescent="0.25">
      <c r="A7101">
        <v>37</v>
      </c>
      <c r="B7101" t="str">
        <f>"9:01:15.059906"</f>
        <v>9:01:15.059906</v>
      </c>
      <c r="C7101">
        <v>-40</v>
      </c>
    </row>
    <row r="7102" spans="1:3" x14ac:dyDescent="0.25">
      <c r="A7102">
        <v>37</v>
      </c>
      <c r="B7102" t="str">
        <f>"9:01:15.060232"</f>
        <v>9:01:15.060232</v>
      </c>
      <c r="C7102">
        <v>-44</v>
      </c>
    </row>
    <row r="7103" spans="1:3" x14ac:dyDescent="0.25">
      <c r="A7103">
        <v>38</v>
      </c>
      <c r="B7103" t="str">
        <f>"9:01:15.061008"</f>
        <v>9:01:15.061008</v>
      </c>
      <c r="C7103">
        <v>-41</v>
      </c>
    </row>
    <row r="7104" spans="1:3" x14ac:dyDescent="0.25">
      <c r="A7104">
        <v>39</v>
      </c>
      <c r="B7104" t="str">
        <f>"9:01:15.062034"</f>
        <v>9:01:15.062034</v>
      </c>
      <c r="C7104">
        <v>-46</v>
      </c>
    </row>
    <row r="7105" spans="1:3" x14ac:dyDescent="0.25">
      <c r="A7105">
        <v>37</v>
      </c>
      <c r="B7105" t="str">
        <f>"9:01:15.415820"</f>
        <v>9:01:15.415820</v>
      </c>
      <c r="C7105">
        <v>-44</v>
      </c>
    </row>
    <row r="7106" spans="1:3" x14ac:dyDescent="0.25">
      <c r="A7106">
        <v>37</v>
      </c>
      <c r="B7106" t="str">
        <f>"9:01:15.416338"</f>
        <v>9:01:15.416338</v>
      </c>
      <c r="C7106">
        <v>-40</v>
      </c>
    </row>
    <row r="7107" spans="1:3" x14ac:dyDescent="0.25">
      <c r="A7107">
        <v>37</v>
      </c>
      <c r="B7107" t="str">
        <f>"9:01:15.416664"</f>
        <v>9:01:15.416664</v>
      </c>
      <c r="C7107">
        <v>-44</v>
      </c>
    </row>
    <row r="7108" spans="1:3" x14ac:dyDescent="0.25">
      <c r="A7108">
        <v>38</v>
      </c>
      <c r="B7108" t="str">
        <f>"9:01:15.417440"</f>
        <v>9:01:15.417440</v>
      </c>
      <c r="C7108">
        <v>-41</v>
      </c>
    </row>
    <row r="7109" spans="1:3" x14ac:dyDescent="0.25">
      <c r="A7109">
        <v>39</v>
      </c>
      <c r="B7109" t="str">
        <f>"9:01:15.418466"</f>
        <v>9:01:15.418466</v>
      </c>
      <c r="C7109">
        <v>-46</v>
      </c>
    </row>
    <row r="7110" spans="1:3" x14ac:dyDescent="0.25">
      <c r="A7110">
        <v>37</v>
      </c>
      <c r="B7110" t="str">
        <f>"9:01:15.768161"</f>
        <v>9:01:15.768161</v>
      </c>
      <c r="C7110">
        <v>-44</v>
      </c>
    </row>
    <row r="7111" spans="1:3" x14ac:dyDescent="0.25">
      <c r="A7111">
        <v>37</v>
      </c>
      <c r="B7111" t="str">
        <f>"9:01:15.768680"</f>
        <v>9:01:15.768680</v>
      </c>
      <c r="C7111">
        <v>-40</v>
      </c>
    </row>
    <row r="7112" spans="1:3" x14ac:dyDescent="0.25">
      <c r="A7112">
        <v>37</v>
      </c>
      <c r="B7112" t="str">
        <f>"9:01:15.769006"</f>
        <v>9:01:15.769006</v>
      </c>
      <c r="C7112">
        <v>-44</v>
      </c>
    </row>
    <row r="7113" spans="1:3" x14ac:dyDescent="0.25">
      <c r="A7113">
        <v>38</v>
      </c>
      <c r="B7113" t="str">
        <f>"9:01:15.769782"</f>
        <v>9:01:15.769782</v>
      </c>
      <c r="C7113">
        <v>-41</v>
      </c>
    </row>
    <row r="7114" spans="1:3" x14ac:dyDescent="0.25">
      <c r="A7114">
        <v>39</v>
      </c>
      <c r="B7114" t="str">
        <f>"9:01:15.770809"</f>
        <v>9:01:15.770809</v>
      </c>
      <c r="C7114">
        <v>-46</v>
      </c>
    </row>
    <row r="7115" spans="1:3" x14ac:dyDescent="0.25">
      <c r="A7115">
        <v>37</v>
      </c>
      <c r="B7115" t="str">
        <f>"9:01:16.120182"</f>
        <v>9:01:16.120182</v>
      </c>
      <c r="C7115">
        <v>-44</v>
      </c>
    </row>
    <row r="7116" spans="1:3" x14ac:dyDescent="0.25">
      <c r="A7116">
        <v>37</v>
      </c>
      <c r="B7116" t="str">
        <f>"9:01:16.120701"</f>
        <v>9:01:16.120701</v>
      </c>
      <c r="C7116">
        <v>-40</v>
      </c>
    </row>
    <row r="7117" spans="1:3" x14ac:dyDescent="0.25">
      <c r="A7117">
        <v>37</v>
      </c>
      <c r="B7117" t="str">
        <f>"9:01:16.121026"</f>
        <v>9:01:16.121026</v>
      </c>
      <c r="C7117">
        <v>-44</v>
      </c>
    </row>
    <row r="7118" spans="1:3" x14ac:dyDescent="0.25">
      <c r="A7118">
        <v>38</v>
      </c>
      <c r="B7118" t="str">
        <f>"9:01:16.121803"</f>
        <v>9:01:16.121803</v>
      </c>
      <c r="C7118">
        <v>-41</v>
      </c>
    </row>
    <row r="7119" spans="1:3" x14ac:dyDescent="0.25">
      <c r="A7119">
        <v>39</v>
      </c>
      <c r="B7119" t="str">
        <f>"9:01:16.122829"</f>
        <v>9:01:16.122829</v>
      </c>
      <c r="C7119">
        <v>-45</v>
      </c>
    </row>
    <row r="7120" spans="1:3" x14ac:dyDescent="0.25">
      <c r="A7120">
        <v>37</v>
      </c>
      <c r="B7120" t="str">
        <f>"9:01:16.472999"</f>
        <v>9:01:16.472999</v>
      </c>
      <c r="C7120">
        <v>-44</v>
      </c>
    </row>
    <row r="7121" spans="1:3" x14ac:dyDescent="0.25">
      <c r="A7121">
        <v>37</v>
      </c>
      <c r="B7121" t="str">
        <f>"9:01:16.473517"</f>
        <v>9:01:16.473517</v>
      </c>
      <c r="C7121">
        <v>-40</v>
      </c>
    </row>
    <row r="7122" spans="1:3" x14ac:dyDescent="0.25">
      <c r="A7122">
        <v>37</v>
      </c>
      <c r="B7122" t="str">
        <f>"9:01:16.473843"</f>
        <v>9:01:16.473843</v>
      </c>
      <c r="C7122">
        <v>-44</v>
      </c>
    </row>
    <row r="7123" spans="1:3" x14ac:dyDescent="0.25">
      <c r="A7123">
        <v>38</v>
      </c>
      <c r="B7123" t="str">
        <f>"9:01:16.474619"</f>
        <v>9:01:16.474619</v>
      </c>
      <c r="C7123">
        <v>-41</v>
      </c>
    </row>
    <row r="7124" spans="1:3" x14ac:dyDescent="0.25">
      <c r="A7124">
        <v>39</v>
      </c>
      <c r="B7124" t="str">
        <f>"9:01:16.475645"</f>
        <v>9:01:16.475645</v>
      </c>
      <c r="C7124">
        <v>-45</v>
      </c>
    </row>
    <row r="7125" spans="1:3" x14ac:dyDescent="0.25">
      <c r="A7125">
        <v>37</v>
      </c>
      <c r="B7125" t="str">
        <f>"9:01:16.831428"</f>
        <v>9:01:16.831428</v>
      </c>
      <c r="C7125">
        <v>-44</v>
      </c>
    </row>
    <row r="7126" spans="1:3" x14ac:dyDescent="0.25">
      <c r="A7126">
        <v>37</v>
      </c>
      <c r="B7126" t="str">
        <f>"9:01:16.831946"</f>
        <v>9:01:16.831946</v>
      </c>
      <c r="C7126">
        <v>-38</v>
      </c>
    </row>
    <row r="7127" spans="1:3" x14ac:dyDescent="0.25">
      <c r="A7127">
        <v>37</v>
      </c>
      <c r="B7127" t="str">
        <f>"9:01:16.832272"</f>
        <v>9:01:16.832272</v>
      </c>
      <c r="C7127">
        <v>-44</v>
      </c>
    </row>
    <row r="7128" spans="1:3" x14ac:dyDescent="0.25">
      <c r="A7128">
        <v>38</v>
      </c>
      <c r="B7128" t="str">
        <f>"9:01:16.833049"</f>
        <v>9:01:16.833049</v>
      </c>
      <c r="C7128">
        <v>-41</v>
      </c>
    </row>
    <row r="7129" spans="1:3" x14ac:dyDescent="0.25">
      <c r="A7129">
        <v>39</v>
      </c>
      <c r="B7129" t="str">
        <f>"9:01:16.834075"</f>
        <v>9:01:16.834075</v>
      </c>
      <c r="C7129">
        <v>-45</v>
      </c>
    </row>
    <row r="7130" spans="1:3" x14ac:dyDescent="0.25">
      <c r="A7130">
        <v>37</v>
      </c>
      <c r="B7130" t="str">
        <f>"9:01:17.190855"</f>
        <v>9:01:17.190855</v>
      </c>
      <c r="C7130">
        <v>-44</v>
      </c>
    </row>
    <row r="7131" spans="1:3" x14ac:dyDescent="0.25">
      <c r="A7131">
        <v>37</v>
      </c>
      <c r="B7131" t="str">
        <f>"9:01:17.191374"</f>
        <v>9:01:17.191374</v>
      </c>
      <c r="C7131">
        <v>-38</v>
      </c>
    </row>
    <row r="7132" spans="1:3" x14ac:dyDescent="0.25">
      <c r="A7132">
        <v>37</v>
      </c>
      <c r="B7132" t="str">
        <f>"9:01:17.191700"</f>
        <v>9:01:17.191700</v>
      </c>
      <c r="C7132">
        <v>-44</v>
      </c>
    </row>
    <row r="7133" spans="1:3" x14ac:dyDescent="0.25">
      <c r="A7133">
        <v>38</v>
      </c>
      <c r="B7133" t="str">
        <f>"9:01:17.192476"</f>
        <v>9:01:17.192476</v>
      </c>
      <c r="C7133">
        <v>-41</v>
      </c>
    </row>
    <row r="7134" spans="1:3" x14ac:dyDescent="0.25">
      <c r="A7134">
        <v>39</v>
      </c>
      <c r="B7134" t="str">
        <f>"9:01:17.193502"</f>
        <v>9:01:17.193502</v>
      </c>
      <c r="C7134">
        <v>-45</v>
      </c>
    </row>
    <row r="7135" spans="1:3" x14ac:dyDescent="0.25">
      <c r="A7135">
        <v>37</v>
      </c>
      <c r="B7135" t="str">
        <f>"9:01:17.541594"</f>
        <v>9:01:17.541594</v>
      </c>
      <c r="C7135">
        <v>-44</v>
      </c>
    </row>
    <row r="7136" spans="1:3" x14ac:dyDescent="0.25">
      <c r="A7136">
        <v>37</v>
      </c>
      <c r="B7136" t="str">
        <f>"9:01:17.542113"</f>
        <v>9:01:17.542113</v>
      </c>
      <c r="C7136">
        <v>-38</v>
      </c>
    </row>
    <row r="7137" spans="1:3" x14ac:dyDescent="0.25">
      <c r="A7137">
        <v>37</v>
      </c>
      <c r="B7137" t="str">
        <f>"9:01:17.542439"</f>
        <v>9:01:17.542439</v>
      </c>
      <c r="C7137">
        <v>-44</v>
      </c>
    </row>
    <row r="7138" spans="1:3" x14ac:dyDescent="0.25">
      <c r="A7138">
        <v>38</v>
      </c>
      <c r="B7138" t="str">
        <f>"9:01:17.543215"</f>
        <v>9:01:17.543215</v>
      </c>
      <c r="C7138">
        <v>-41</v>
      </c>
    </row>
    <row r="7139" spans="1:3" x14ac:dyDescent="0.25">
      <c r="A7139">
        <v>39</v>
      </c>
      <c r="B7139" t="str">
        <f>"9:01:17.544241"</f>
        <v>9:01:17.544241</v>
      </c>
      <c r="C7139">
        <v>-45</v>
      </c>
    </row>
    <row r="7140" spans="1:3" x14ac:dyDescent="0.25">
      <c r="A7140">
        <v>37</v>
      </c>
      <c r="B7140" t="str">
        <f>"9:01:17.894921"</f>
        <v>9:01:17.894921</v>
      </c>
      <c r="C7140">
        <v>-44</v>
      </c>
    </row>
    <row r="7141" spans="1:3" x14ac:dyDescent="0.25">
      <c r="A7141">
        <v>37</v>
      </c>
      <c r="B7141" t="str">
        <f>"9:01:17.895439"</f>
        <v>9:01:17.895439</v>
      </c>
      <c r="C7141">
        <v>-38</v>
      </c>
    </row>
    <row r="7142" spans="1:3" x14ac:dyDescent="0.25">
      <c r="A7142">
        <v>37</v>
      </c>
      <c r="B7142" t="str">
        <f>"9:01:17.895765"</f>
        <v>9:01:17.895765</v>
      </c>
      <c r="C7142">
        <v>-44</v>
      </c>
    </row>
    <row r="7143" spans="1:3" x14ac:dyDescent="0.25">
      <c r="A7143">
        <v>38</v>
      </c>
      <c r="B7143" t="str">
        <f>"9:01:17.896541"</f>
        <v>9:01:17.896541</v>
      </c>
      <c r="C7143">
        <v>-41</v>
      </c>
    </row>
    <row r="7144" spans="1:3" x14ac:dyDescent="0.25">
      <c r="A7144">
        <v>39</v>
      </c>
      <c r="B7144" t="str">
        <f>"9:01:17.897567"</f>
        <v>9:01:17.897567</v>
      </c>
      <c r="C7144">
        <v>-45</v>
      </c>
    </row>
    <row r="7145" spans="1:3" x14ac:dyDescent="0.25">
      <c r="A7145">
        <v>37</v>
      </c>
      <c r="B7145" t="str">
        <f>"9:01:18.253873"</f>
        <v>9:01:18.253873</v>
      </c>
      <c r="C7145">
        <v>-44</v>
      </c>
    </row>
    <row r="7146" spans="1:3" x14ac:dyDescent="0.25">
      <c r="A7146">
        <v>37</v>
      </c>
      <c r="B7146" t="str">
        <f>"9:01:18.254392"</f>
        <v>9:01:18.254392</v>
      </c>
      <c r="C7146">
        <v>-37</v>
      </c>
    </row>
    <row r="7147" spans="1:3" x14ac:dyDescent="0.25">
      <c r="A7147">
        <v>37</v>
      </c>
      <c r="B7147" t="str">
        <f>"9:01:18.254718"</f>
        <v>9:01:18.254718</v>
      </c>
      <c r="C7147">
        <v>-45</v>
      </c>
    </row>
    <row r="7148" spans="1:3" x14ac:dyDescent="0.25">
      <c r="A7148">
        <v>38</v>
      </c>
      <c r="B7148" t="str">
        <f>"9:01:18.255494"</f>
        <v>9:01:18.255494</v>
      </c>
      <c r="C7148">
        <v>-41</v>
      </c>
    </row>
    <row r="7149" spans="1:3" x14ac:dyDescent="0.25">
      <c r="A7149">
        <v>39</v>
      </c>
      <c r="B7149" t="str">
        <f>"9:01:18.256520"</f>
        <v>9:01:18.256520</v>
      </c>
      <c r="C7149">
        <v>-45</v>
      </c>
    </row>
    <row r="7150" spans="1:3" x14ac:dyDescent="0.25">
      <c r="A7150">
        <v>37</v>
      </c>
      <c r="B7150" t="str">
        <f>"9:01:18.611063"</f>
        <v>9:01:18.611063</v>
      </c>
      <c r="C7150">
        <v>-44</v>
      </c>
    </row>
    <row r="7151" spans="1:3" x14ac:dyDescent="0.25">
      <c r="A7151">
        <v>37</v>
      </c>
      <c r="B7151" t="str">
        <f>"9:01:18.611582"</f>
        <v>9:01:18.611582</v>
      </c>
      <c r="C7151">
        <v>-37</v>
      </c>
    </row>
    <row r="7152" spans="1:3" x14ac:dyDescent="0.25">
      <c r="A7152">
        <v>37</v>
      </c>
      <c r="B7152" t="str">
        <f>"9:01:18.611908"</f>
        <v>9:01:18.611908</v>
      </c>
      <c r="C7152">
        <v>-44</v>
      </c>
    </row>
    <row r="7153" spans="1:3" x14ac:dyDescent="0.25">
      <c r="A7153">
        <v>38</v>
      </c>
      <c r="B7153" t="str">
        <f>"9:01:18.612685"</f>
        <v>9:01:18.612685</v>
      </c>
      <c r="C7153">
        <v>-41</v>
      </c>
    </row>
    <row r="7154" spans="1:3" x14ac:dyDescent="0.25">
      <c r="A7154">
        <v>39</v>
      </c>
      <c r="B7154" t="str">
        <f>"9:01:18.613711"</f>
        <v>9:01:18.613711</v>
      </c>
      <c r="C7154">
        <v>-45</v>
      </c>
    </row>
    <row r="7155" spans="1:3" x14ac:dyDescent="0.25">
      <c r="A7155">
        <v>37</v>
      </c>
      <c r="B7155" t="str">
        <f>"9:01:18.961315"</f>
        <v>9:01:18.961315</v>
      </c>
      <c r="C7155">
        <v>-44</v>
      </c>
    </row>
    <row r="7156" spans="1:3" x14ac:dyDescent="0.25">
      <c r="A7156">
        <v>37</v>
      </c>
      <c r="B7156" t="str">
        <f>"9:01:18.961833"</f>
        <v>9:01:18.961833</v>
      </c>
      <c r="C7156">
        <v>-37</v>
      </c>
    </row>
    <row r="7157" spans="1:3" x14ac:dyDescent="0.25">
      <c r="A7157">
        <v>37</v>
      </c>
      <c r="B7157" t="str">
        <f>"9:01:18.962160"</f>
        <v>9:01:18.962160</v>
      </c>
      <c r="C7157">
        <v>-44</v>
      </c>
    </row>
    <row r="7158" spans="1:3" x14ac:dyDescent="0.25">
      <c r="A7158">
        <v>38</v>
      </c>
      <c r="B7158" t="str">
        <f>"9:01:18.962936"</f>
        <v>9:01:18.962936</v>
      </c>
      <c r="C7158">
        <v>-41</v>
      </c>
    </row>
    <row r="7159" spans="1:3" x14ac:dyDescent="0.25">
      <c r="A7159">
        <v>39</v>
      </c>
      <c r="B7159" t="str">
        <f>"9:01:18.963962"</f>
        <v>9:01:18.963962</v>
      </c>
      <c r="C7159">
        <v>-45</v>
      </c>
    </row>
    <row r="7160" spans="1:3" x14ac:dyDescent="0.25">
      <c r="A7160">
        <v>37</v>
      </c>
      <c r="B7160" t="str">
        <f>"9:01:19.317919"</f>
        <v>9:01:19.317919</v>
      </c>
      <c r="C7160">
        <v>-44</v>
      </c>
    </row>
    <row r="7161" spans="1:3" x14ac:dyDescent="0.25">
      <c r="A7161">
        <v>37</v>
      </c>
      <c r="B7161" t="str">
        <f>"9:01:19.318438"</f>
        <v>9:01:19.318438</v>
      </c>
      <c r="C7161">
        <v>-38</v>
      </c>
    </row>
    <row r="7162" spans="1:3" x14ac:dyDescent="0.25">
      <c r="A7162">
        <v>37</v>
      </c>
      <c r="B7162" t="str">
        <f>"9:01:19.318764"</f>
        <v>9:01:19.318764</v>
      </c>
      <c r="C7162">
        <v>-45</v>
      </c>
    </row>
    <row r="7163" spans="1:3" x14ac:dyDescent="0.25">
      <c r="A7163">
        <v>38</v>
      </c>
      <c r="B7163" t="str">
        <f>"9:01:19.319540"</f>
        <v>9:01:19.319540</v>
      </c>
      <c r="C7163">
        <v>-41</v>
      </c>
    </row>
    <row r="7164" spans="1:3" x14ac:dyDescent="0.25">
      <c r="A7164">
        <v>39</v>
      </c>
      <c r="B7164" t="str">
        <f>"9:01:19.320567"</f>
        <v>9:01:19.320567</v>
      </c>
      <c r="C7164">
        <v>-45</v>
      </c>
    </row>
    <row r="7165" spans="1:3" x14ac:dyDescent="0.25">
      <c r="A7165">
        <v>37</v>
      </c>
      <c r="B7165" t="str">
        <f>"9:01:19.668367"</f>
        <v>9:01:19.668367</v>
      </c>
      <c r="C7165">
        <v>-45</v>
      </c>
    </row>
    <row r="7166" spans="1:3" x14ac:dyDescent="0.25">
      <c r="A7166">
        <v>38</v>
      </c>
      <c r="B7166" t="str">
        <f>"9:01:19.669394"</f>
        <v>9:01:19.669394</v>
      </c>
      <c r="C7166">
        <v>-41</v>
      </c>
    </row>
    <row r="7167" spans="1:3" x14ac:dyDescent="0.25">
      <c r="A7167">
        <v>38</v>
      </c>
      <c r="B7167" t="str">
        <f>"9:01:19.669913"</f>
        <v>9:01:19.669913</v>
      </c>
      <c r="C7167">
        <v>-32</v>
      </c>
    </row>
    <row r="7168" spans="1:3" x14ac:dyDescent="0.25">
      <c r="A7168">
        <v>38</v>
      </c>
      <c r="B7168" t="str">
        <f>"9:01:19.670239"</f>
        <v>9:01:19.670239</v>
      </c>
      <c r="C7168">
        <v>-41</v>
      </c>
    </row>
    <row r="7169" spans="1:3" x14ac:dyDescent="0.25">
      <c r="A7169">
        <v>39</v>
      </c>
      <c r="B7169" t="str">
        <f>"9:01:19.671015"</f>
        <v>9:01:19.671015</v>
      </c>
      <c r="C7169">
        <v>-45</v>
      </c>
    </row>
    <row r="7170" spans="1:3" x14ac:dyDescent="0.25">
      <c r="A7170">
        <v>37</v>
      </c>
      <c r="B7170" t="str">
        <f>"9:01:20.027037"</f>
        <v>9:01:20.027037</v>
      </c>
      <c r="C7170">
        <v>-45</v>
      </c>
    </row>
    <row r="7171" spans="1:3" x14ac:dyDescent="0.25">
      <c r="A7171">
        <v>38</v>
      </c>
      <c r="B7171" t="str">
        <f>"9:01:20.028064"</f>
        <v>9:01:20.028064</v>
      </c>
      <c r="C7171">
        <v>-41</v>
      </c>
    </row>
    <row r="7172" spans="1:3" x14ac:dyDescent="0.25">
      <c r="A7172">
        <v>38</v>
      </c>
      <c r="B7172" t="str">
        <f>"9:01:20.028583"</f>
        <v>9:01:20.028583</v>
      </c>
      <c r="C7172">
        <v>-32</v>
      </c>
    </row>
    <row r="7173" spans="1:3" x14ac:dyDescent="0.25">
      <c r="A7173">
        <v>38</v>
      </c>
      <c r="B7173" t="str">
        <f>"9:01:20.028909"</f>
        <v>9:01:20.028909</v>
      </c>
      <c r="C7173">
        <v>-41</v>
      </c>
    </row>
    <row r="7174" spans="1:3" x14ac:dyDescent="0.25">
      <c r="A7174">
        <v>39</v>
      </c>
      <c r="B7174" t="str">
        <f>"9:01:20.029685"</f>
        <v>9:01:20.029685</v>
      </c>
      <c r="C7174">
        <v>-45</v>
      </c>
    </row>
    <row r="7175" spans="1:3" x14ac:dyDescent="0.25">
      <c r="A7175">
        <v>37</v>
      </c>
      <c r="B7175" t="str">
        <f>"9:01:20.384474"</f>
        <v>9:01:20.384474</v>
      </c>
      <c r="C7175">
        <v>-45</v>
      </c>
    </row>
    <row r="7176" spans="1:3" x14ac:dyDescent="0.25">
      <c r="A7176">
        <v>38</v>
      </c>
      <c r="B7176" t="str">
        <f>"9:01:20.385501"</f>
        <v>9:01:20.385501</v>
      </c>
      <c r="C7176">
        <v>-41</v>
      </c>
    </row>
    <row r="7177" spans="1:3" x14ac:dyDescent="0.25">
      <c r="A7177">
        <v>38</v>
      </c>
      <c r="B7177" t="str">
        <f>"9:01:20.386020"</f>
        <v>9:01:20.386020</v>
      </c>
      <c r="C7177">
        <v>-31</v>
      </c>
    </row>
    <row r="7178" spans="1:3" x14ac:dyDescent="0.25">
      <c r="A7178">
        <v>38</v>
      </c>
      <c r="B7178" t="str">
        <f>"9:01:20.386347"</f>
        <v>9:01:20.386347</v>
      </c>
      <c r="C7178">
        <v>-41</v>
      </c>
    </row>
    <row r="7179" spans="1:3" x14ac:dyDescent="0.25">
      <c r="A7179">
        <v>39</v>
      </c>
      <c r="B7179" t="str">
        <f>"9:01:20.387123"</f>
        <v>9:01:20.387123</v>
      </c>
      <c r="C7179">
        <v>-45</v>
      </c>
    </row>
    <row r="7180" spans="1:3" x14ac:dyDescent="0.25">
      <c r="A7180">
        <v>37</v>
      </c>
      <c r="B7180" t="str">
        <f>"9:01:20.738535"</f>
        <v>9:01:20.738535</v>
      </c>
      <c r="C7180">
        <v>-44</v>
      </c>
    </row>
    <row r="7181" spans="1:3" x14ac:dyDescent="0.25">
      <c r="A7181">
        <v>38</v>
      </c>
      <c r="B7181" t="str">
        <f>"9:01:20.739562"</f>
        <v>9:01:20.739562</v>
      </c>
      <c r="C7181">
        <v>-41</v>
      </c>
    </row>
    <row r="7182" spans="1:3" x14ac:dyDescent="0.25">
      <c r="A7182">
        <v>38</v>
      </c>
      <c r="B7182" t="str">
        <f>"9:01:20.740080"</f>
        <v>9:01:20.740080</v>
      </c>
      <c r="C7182">
        <v>-31</v>
      </c>
    </row>
    <row r="7183" spans="1:3" x14ac:dyDescent="0.25">
      <c r="A7183">
        <v>38</v>
      </c>
      <c r="B7183" t="str">
        <f>"9:01:20.740406"</f>
        <v>9:01:20.740406</v>
      </c>
      <c r="C7183">
        <v>-41</v>
      </c>
    </row>
    <row r="7184" spans="1:3" x14ac:dyDescent="0.25">
      <c r="A7184">
        <v>39</v>
      </c>
      <c r="B7184" t="str">
        <f>"9:01:20.741182"</f>
        <v>9:01:20.741182</v>
      </c>
      <c r="C7184">
        <v>-45</v>
      </c>
    </row>
    <row r="7185" spans="1:3" x14ac:dyDescent="0.25">
      <c r="A7185">
        <v>37</v>
      </c>
      <c r="B7185" t="str">
        <f>"9:01:21.090516"</f>
        <v>9:01:21.090516</v>
      </c>
      <c r="C7185">
        <v>-44</v>
      </c>
    </row>
    <row r="7186" spans="1:3" x14ac:dyDescent="0.25">
      <c r="A7186">
        <v>37</v>
      </c>
      <c r="B7186" t="str">
        <f>"9:01:21.091360"</f>
        <v>9:01:21.091360</v>
      </c>
      <c r="C7186">
        <v>-45</v>
      </c>
    </row>
    <row r="7187" spans="1:3" x14ac:dyDescent="0.25">
      <c r="A7187">
        <v>38</v>
      </c>
      <c r="B7187" t="str">
        <f>"9:01:21.092137"</f>
        <v>9:01:21.092137</v>
      </c>
      <c r="C7187">
        <v>-41</v>
      </c>
    </row>
    <row r="7188" spans="1:3" x14ac:dyDescent="0.25">
      <c r="A7188">
        <v>38</v>
      </c>
      <c r="B7188" t="str">
        <f>"9:01:21.092656"</f>
        <v>9:01:21.092656</v>
      </c>
      <c r="C7188">
        <v>-31</v>
      </c>
    </row>
    <row r="7189" spans="1:3" x14ac:dyDescent="0.25">
      <c r="A7189">
        <v>38</v>
      </c>
      <c r="B7189" t="str">
        <f>"9:01:21.092982"</f>
        <v>9:01:21.092982</v>
      </c>
      <c r="C7189">
        <v>-41</v>
      </c>
    </row>
    <row r="7190" spans="1:3" x14ac:dyDescent="0.25">
      <c r="A7190">
        <v>39</v>
      </c>
      <c r="B7190" t="str">
        <f>"9:01:21.093758"</f>
        <v>9:01:21.093758</v>
      </c>
      <c r="C7190">
        <v>-45</v>
      </c>
    </row>
    <row r="7191" spans="1:3" x14ac:dyDescent="0.25">
      <c r="A7191">
        <v>37</v>
      </c>
      <c r="B7191" t="str">
        <f>"9:01:21.450529"</f>
        <v>9:01:21.450529</v>
      </c>
      <c r="C7191">
        <v>-44</v>
      </c>
    </row>
    <row r="7192" spans="1:3" x14ac:dyDescent="0.25">
      <c r="A7192">
        <v>38</v>
      </c>
      <c r="B7192" t="str">
        <f>"9:01:21.451556"</f>
        <v>9:01:21.451556</v>
      </c>
      <c r="C7192">
        <v>-41</v>
      </c>
    </row>
    <row r="7193" spans="1:3" x14ac:dyDescent="0.25">
      <c r="A7193">
        <v>38</v>
      </c>
      <c r="B7193" t="str">
        <f>"9:01:21.452075"</f>
        <v>9:01:21.452075</v>
      </c>
      <c r="C7193">
        <v>-32</v>
      </c>
    </row>
    <row r="7194" spans="1:3" x14ac:dyDescent="0.25">
      <c r="A7194">
        <v>38</v>
      </c>
      <c r="B7194" t="str">
        <f>"9:01:21.452400"</f>
        <v>9:01:21.452400</v>
      </c>
      <c r="C7194">
        <v>-41</v>
      </c>
    </row>
    <row r="7195" spans="1:3" x14ac:dyDescent="0.25">
      <c r="A7195">
        <v>39</v>
      </c>
      <c r="B7195" t="str">
        <f>"9:01:21.453176"</f>
        <v>9:01:21.453176</v>
      </c>
      <c r="C7195">
        <v>-46</v>
      </c>
    </row>
    <row r="7196" spans="1:3" x14ac:dyDescent="0.25">
      <c r="A7196">
        <v>39</v>
      </c>
      <c r="B7196" t="str">
        <f>"9:01:21.453695"</f>
        <v>9:01:21.453695</v>
      </c>
      <c r="C7196">
        <v>-71</v>
      </c>
    </row>
    <row r="7197" spans="1:3" x14ac:dyDescent="0.25">
      <c r="A7197">
        <v>39</v>
      </c>
      <c r="B7197" t="str">
        <f>"9:01:21.454021"</f>
        <v>9:01:21.454021</v>
      </c>
      <c r="C7197">
        <v>-45</v>
      </c>
    </row>
    <row r="7198" spans="1:3" x14ac:dyDescent="0.25">
      <c r="A7198">
        <v>37</v>
      </c>
      <c r="B7198" t="str">
        <f>"9:01:21.809191"</f>
        <v>9:01:21.809191</v>
      </c>
      <c r="C7198">
        <v>-44</v>
      </c>
    </row>
    <row r="7199" spans="1:3" x14ac:dyDescent="0.25">
      <c r="A7199">
        <v>38</v>
      </c>
      <c r="B7199" t="str">
        <f>"9:01:21.810218"</f>
        <v>9:01:21.810218</v>
      </c>
      <c r="C7199">
        <v>-41</v>
      </c>
    </row>
    <row r="7200" spans="1:3" x14ac:dyDescent="0.25">
      <c r="A7200">
        <v>38</v>
      </c>
      <c r="B7200" t="str">
        <f>"9:01:21.810736"</f>
        <v>9:01:21.810736</v>
      </c>
      <c r="C7200">
        <v>-31</v>
      </c>
    </row>
    <row r="7201" spans="1:3" x14ac:dyDescent="0.25">
      <c r="A7201">
        <v>38</v>
      </c>
      <c r="B7201" t="str">
        <f>"9:01:21.811062"</f>
        <v>9:01:21.811062</v>
      </c>
      <c r="C7201">
        <v>-41</v>
      </c>
    </row>
    <row r="7202" spans="1:3" x14ac:dyDescent="0.25">
      <c r="A7202">
        <v>39</v>
      </c>
      <c r="B7202" t="str">
        <f>"9:01:21.811838"</f>
        <v>9:01:21.811838</v>
      </c>
      <c r="C7202">
        <v>-45</v>
      </c>
    </row>
    <row r="7203" spans="1:3" x14ac:dyDescent="0.25">
      <c r="A7203">
        <v>37</v>
      </c>
      <c r="B7203" t="str">
        <f>"9:01:22.160967"</f>
        <v>9:01:22.160967</v>
      </c>
      <c r="C7203">
        <v>-45</v>
      </c>
    </row>
    <row r="7204" spans="1:3" x14ac:dyDescent="0.25">
      <c r="A7204">
        <v>38</v>
      </c>
      <c r="B7204" t="str">
        <f>"9:01:22.161995"</f>
        <v>9:01:22.161995</v>
      </c>
      <c r="C7204">
        <v>-41</v>
      </c>
    </row>
    <row r="7205" spans="1:3" x14ac:dyDescent="0.25">
      <c r="A7205">
        <v>38</v>
      </c>
      <c r="B7205" t="str">
        <f>"9:01:22.162513"</f>
        <v>9:01:22.162513</v>
      </c>
      <c r="C7205">
        <v>-31</v>
      </c>
    </row>
    <row r="7206" spans="1:3" x14ac:dyDescent="0.25">
      <c r="A7206">
        <v>38</v>
      </c>
      <c r="B7206" t="str">
        <f>"9:01:22.162839"</f>
        <v>9:01:22.162839</v>
      </c>
      <c r="C7206">
        <v>-41</v>
      </c>
    </row>
    <row r="7207" spans="1:3" x14ac:dyDescent="0.25">
      <c r="A7207">
        <v>39</v>
      </c>
      <c r="B7207" t="str">
        <f>"9:01:22.163615"</f>
        <v>9:01:22.163615</v>
      </c>
      <c r="C7207">
        <v>-45</v>
      </c>
    </row>
    <row r="7208" spans="1:3" x14ac:dyDescent="0.25">
      <c r="A7208">
        <v>37</v>
      </c>
      <c r="B7208" t="str">
        <f>"9:01:22.514319"</f>
        <v>9:01:22.514319</v>
      </c>
      <c r="C7208">
        <v>-44</v>
      </c>
    </row>
    <row r="7209" spans="1:3" x14ac:dyDescent="0.25">
      <c r="A7209">
        <v>37</v>
      </c>
      <c r="B7209" t="str">
        <f>"9:01:22.514838"</f>
        <v>9:01:22.514838</v>
      </c>
      <c r="C7209">
        <v>-78</v>
      </c>
    </row>
    <row r="7210" spans="1:3" x14ac:dyDescent="0.25">
      <c r="A7210">
        <v>37</v>
      </c>
      <c r="B7210" t="str">
        <f>"9:01:22.515164"</f>
        <v>9:01:22.515164</v>
      </c>
      <c r="C7210">
        <v>-45</v>
      </c>
    </row>
    <row r="7211" spans="1:3" x14ac:dyDescent="0.25">
      <c r="A7211">
        <v>38</v>
      </c>
      <c r="B7211" t="str">
        <f>"9:01:22.515941"</f>
        <v>9:01:22.515941</v>
      </c>
      <c r="C7211">
        <v>-41</v>
      </c>
    </row>
    <row r="7212" spans="1:3" x14ac:dyDescent="0.25">
      <c r="A7212">
        <v>38</v>
      </c>
      <c r="B7212" t="str">
        <f>"9:01:22.516459"</f>
        <v>9:01:22.516459</v>
      </c>
      <c r="C7212">
        <v>-32</v>
      </c>
    </row>
    <row r="7213" spans="1:3" x14ac:dyDescent="0.25">
      <c r="A7213">
        <v>38</v>
      </c>
      <c r="B7213" t="str">
        <f>"9:01:22.516785"</f>
        <v>9:01:22.516785</v>
      </c>
      <c r="C7213">
        <v>-41</v>
      </c>
    </row>
    <row r="7214" spans="1:3" x14ac:dyDescent="0.25">
      <c r="A7214">
        <v>39</v>
      </c>
      <c r="B7214" t="str">
        <f>"9:01:22.517561"</f>
        <v>9:01:22.517561</v>
      </c>
      <c r="C7214">
        <v>-45</v>
      </c>
    </row>
    <row r="7215" spans="1:3" x14ac:dyDescent="0.25">
      <c r="A7215">
        <v>37</v>
      </c>
      <c r="B7215" t="str">
        <f>"9:01:22.867596"</f>
        <v>9:01:22.867596</v>
      </c>
      <c r="C7215">
        <v>-45</v>
      </c>
    </row>
    <row r="7216" spans="1:3" x14ac:dyDescent="0.25">
      <c r="A7216">
        <v>38</v>
      </c>
      <c r="B7216" t="str">
        <f>"9:01:22.868624"</f>
        <v>9:01:22.868624</v>
      </c>
      <c r="C7216">
        <v>-41</v>
      </c>
    </row>
    <row r="7217" spans="1:3" x14ac:dyDescent="0.25">
      <c r="A7217">
        <v>38</v>
      </c>
      <c r="B7217" t="str">
        <f>"9:01:22.869142"</f>
        <v>9:01:22.869142</v>
      </c>
      <c r="C7217">
        <v>-31</v>
      </c>
    </row>
    <row r="7218" spans="1:3" x14ac:dyDescent="0.25">
      <c r="A7218">
        <v>38</v>
      </c>
      <c r="B7218" t="str">
        <f>"9:01:22.869468"</f>
        <v>9:01:22.869468</v>
      </c>
      <c r="C7218">
        <v>-41</v>
      </c>
    </row>
    <row r="7219" spans="1:3" x14ac:dyDescent="0.25">
      <c r="A7219">
        <v>39</v>
      </c>
      <c r="B7219" t="str">
        <f>"9:01:22.870244"</f>
        <v>9:01:22.870244</v>
      </c>
      <c r="C7219">
        <v>-46</v>
      </c>
    </row>
    <row r="7220" spans="1:3" x14ac:dyDescent="0.25">
      <c r="A7220">
        <v>37</v>
      </c>
      <c r="B7220" t="str">
        <f>"9:01:23.223240"</f>
        <v>9:01:23.223240</v>
      </c>
      <c r="C7220">
        <v>-45</v>
      </c>
    </row>
    <row r="7221" spans="1:3" x14ac:dyDescent="0.25">
      <c r="A7221">
        <v>38</v>
      </c>
      <c r="B7221" t="str">
        <f>"9:01:23.224267"</f>
        <v>9:01:23.224267</v>
      </c>
      <c r="C7221">
        <v>-41</v>
      </c>
    </row>
    <row r="7222" spans="1:3" x14ac:dyDescent="0.25">
      <c r="A7222">
        <v>38</v>
      </c>
      <c r="B7222" t="str">
        <f>"9:01:23.224786"</f>
        <v>9:01:23.224786</v>
      </c>
      <c r="C7222">
        <v>-31</v>
      </c>
    </row>
    <row r="7223" spans="1:3" x14ac:dyDescent="0.25">
      <c r="A7223">
        <v>38</v>
      </c>
      <c r="B7223" t="str">
        <f>"9:01:23.225111"</f>
        <v>9:01:23.225111</v>
      </c>
      <c r="C7223">
        <v>-41</v>
      </c>
    </row>
    <row r="7224" spans="1:3" x14ac:dyDescent="0.25">
      <c r="A7224">
        <v>39</v>
      </c>
      <c r="B7224" t="str">
        <f>"9:01:23.225887"</f>
        <v>9:01:23.225887</v>
      </c>
      <c r="C7224">
        <v>-45</v>
      </c>
    </row>
    <row r="7225" spans="1:3" x14ac:dyDescent="0.25">
      <c r="A7225">
        <v>37</v>
      </c>
      <c r="B7225" t="str">
        <f>"9:01:23.582996"</f>
        <v>9:01:23.582996</v>
      </c>
      <c r="C7225">
        <v>-44</v>
      </c>
    </row>
    <row r="7226" spans="1:3" x14ac:dyDescent="0.25">
      <c r="A7226">
        <v>38</v>
      </c>
      <c r="B7226" t="str">
        <f>"9:01:23.584023"</f>
        <v>9:01:23.584023</v>
      </c>
      <c r="C7226">
        <v>-41</v>
      </c>
    </row>
    <row r="7227" spans="1:3" x14ac:dyDescent="0.25">
      <c r="A7227">
        <v>39</v>
      </c>
      <c r="B7227" t="str">
        <f>"9:01:23.585049"</f>
        <v>9:01:23.585049</v>
      </c>
      <c r="C7227">
        <v>-45</v>
      </c>
    </row>
    <row r="7228" spans="1:3" x14ac:dyDescent="0.25">
      <c r="A7228">
        <v>37</v>
      </c>
      <c r="B7228" t="str">
        <f>"9:01:23.933445"</f>
        <v>9:01:23.933445</v>
      </c>
      <c r="C7228">
        <v>-44</v>
      </c>
    </row>
    <row r="7229" spans="1:3" x14ac:dyDescent="0.25">
      <c r="A7229">
        <v>38</v>
      </c>
      <c r="B7229" t="str">
        <f>"9:01:23.934473"</f>
        <v>9:01:23.934473</v>
      </c>
      <c r="C7229">
        <v>-41</v>
      </c>
    </row>
    <row r="7230" spans="1:3" x14ac:dyDescent="0.25">
      <c r="A7230">
        <v>39</v>
      </c>
      <c r="B7230" t="str">
        <f>"9:01:23.935499"</f>
        <v>9:01:23.935499</v>
      </c>
      <c r="C7230">
        <v>-45</v>
      </c>
    </row>
    <row r="7231" spans="1:3" x14ac:dyDescent="0.25">
      <c r="A7231">
        <v>37</v>
      </c>
      <c r="B7231" t="str">
        <f>"9:01:24.287285"</f>
        <v>9:01:24.287285</v>
      </c>
      <c r="C7231">
        <v>-44</v>
      </c>
    </row>
    <row r="7232" spans="1:3" x14ac:dyDescent="0.25">
      <c r="A7232">
        <v>38</v>
      </c>
      <c r="B7232" t="str">
        <f>"9:01:24.288312"</f>
        <v>9:01:24.288312</v>
      </c>
      <c r="C7232">
        <v>-41</v>
      </c>
    </row>
    <row r="7233" spans="1:3" x14ac:dyDescent="0.25">
      <c r="A7233">
        <v>39</v>
      </c>
      <c r="B7233" t="str">
        <f>"9:01:24.289338"</f>
        <v>9:01:24.289338</v>
      </c>
      <c r="C7233">
        <v>-45</v>
      </c>
    </row>
    <row r="7234" spans="1:3" x14ac:dyDescent="0.25">
      <c r="A7234">
        <v>37</v>
      </c>
      <c r="B7234" t="str">
        <f>"9:01:24.642338"</f>
        <v>9:01:24.642338</v>
      </c>
      <c r="C7234">
        <v>-44</v>
      </c>
    </row>
    <row r="7235" spans="1:3" x14ac:dyDescent="0.25">
      <c r="A7235">
        <v>37</v>
      </c>
      <c r="B7235" t="str">
        <f>"9:01:24.642858"</f>
        <v>9:01:24.642858</v>
      </c>
      <c r="C7235">
        <v>-79</v>
      </c>
    </row>
    <row r="7236" spans="1:3" x14ac:dyDescent="0.25">
      <c r="A7236">
        <v>37</v>
      </c>
      <c r="B7236" t="str">
        <f>"9:01:24.643183"</f>
        <v>9:01:24.643183</v>
      </c>
      <c r="C7236">
        <v>-44</v>
      </c>
    </row>
    <row r="7237" spans="1:3" x14ac:dyDescent="0.25">
      <c r="A7237">
        <v>38</v>
      </c>
      <c r="B7237" t="str">
        <f>"9:01:24.643960"</f>
        <v>9:01:24.643960</v>
      </c>
      <c r="C7237">
        <v>-41</v>
      </c>
    </row>
    <row r="7238" spans="1:3" x14ac:dyDescent="0.25">
      <c r="A7238">
        <v>39</v>
      </c>
      <c r="B7238" t="str">
        <f>"9:01:24.644986"</f>
        <v>9:01:24.644986</v>
      </c>
      <c r="C7238">
        <v>-46</v>
      </c>
    </row>
    <row r="7239" spans="1:3" x14ac:dyDescent="0.25">
      <c r="A7239">
        <v>39</v>
      </c>
      <c r="B7239" t="str">
        <f>"9:01:24.645504"</f>
        <v>9:01:24.645504</v>
      </c>
      <c r="C7239">
        <v>-30</v>
      </c>
    </row>
    <row r="7240" spans="1:3" x14ac:dyDescent="0.25">
      <c r="A7240">
        <v>39</v>
      </c>
      <c r="B7240" t="str">
        <f>"9:01:24.645830"</f>
        <v>9:01:24.645830</v>
      </c>
      <c r="C7240">
        <v>-45</v>
      </c>
    </row>
    <row r="7241" spans="1:3" x14ac:dyDescent="0.25">
      <c r="A7241">
        <v>37</v>
      </c>
      <c r="B7241" t="str">
        <f>"9:01:24.994362"</f>
        <v>9:01:24.994362</v>
      </c>
      <c r="C7241">
        <v>-44</v>
      </c>
    </row>
    <row r="7242" spans="1:3" x14ac:dyDescent="0.25">
      <c r="A7242">
        <v>38</v>
      </c>
      <c r="B7242" t="str">
        <f>"9:01:24.995389"</f>
        <v>9:01:24.995389</v>
      </c>
      <c r="C7242">
        <v>-41</v>
      </c>
    </row>
    <row r="7243" spans="1:3" x14ac:dyDescent="0.25">
      <c r="A7243">
        <v>39</v>
      </c>
      <c r="B7243" t="str">
        <f>"9:01:24.996416"</f>
        <v>9:01:24.996416</v>
      </c>
      <c r="C7243">
        <v>-46</v>
      </c>
    </row>
    <row r="7244" spans="1:3" x14ac:dyDescent="0.25">
      <c r="A7244">
        <v>39</v>
      </c>
      <c r="B7244" t="str">
        <f>"9:01:24.996934"</f>
        <v>9:01:24.996934</v>
      </c>
      <c r="C7244">
        <v>-30</v>
      </c>
    </row>
    <row r="7245" spans="1:3" x14ac:dyDescent="0.25">
      <c r="A7245">
        <v>39</v>
      </c>
      <c r="B7245" t="str">
        <f>"9:01:24.997260"</f>
        <v>9:01:24.997260</v>
      </c>
      <c r="C7245">
        <v>-45</v>
      </c>
    </row>
    <row r="7246" spans="1:3" x14ac:dyDescent="0.25">
      <c r="A7246">
        <v>37</v>
      </c>
      <c r="B7246" t="str">
        <f>"9:01:25.345905"</f>
        <v>9:01:25.345905</v>
      </c>
      <c r="C7246">
        <v>-44</v>
      </c>
    </row>
    <row r="7247" spans="1:3" x14ac:dyDescent="0.25">
      <c r="A7247">
        <v>38</v>
      </c>
      <c r="B7247" t="str">
        <f>"9:01:25.346932"</f>
        <v>9:01:25.346932</v>
      </c>
      <c r="C7247">
        <v>-41</v>
      </c>
    </row>
    <row r="7248" spans="1:3" x14ac:dyDescent="0.25">
      <c r="A7248">
        <v>39</v>
      </c>
      <c r="B7248" t="str">
        <f>"9:01:25.347958"</f>
        <v>9:01:25.347958</v>
      </c>
      <c r="C7248">
        <v>-45</v>
      </c>
    </row>
    <row r="7249" spans="1:3" x14ac:dyDescent="0.25">
      <c r="A7249">
        <v>39</v>
      </c>
      <c r="B7249" t="str">
        <f>"9:01:25.348476"</f>
        <v>9:01:25.348476</v>
      </c>
      <c r="C7249">
        <v>-30</v>
      </c>
    </row>
    <row r="7250" spans="1:3" x14ac:dyDescent="0.25">
      <c r="A7250">
        <v>39</v>
      </c>
      <c r="B7250" t="str">
        <f>"9:01:25.348802"</f>
        <v>9:01:25.348802</v>
      </c>
      <c r="C7250">
        <v>-45</v>
      </c>
    </row>
    <row r="7251" spans="1:3" x14ac:dyDescent="0.25">
      <c r="A7251">
        <v>37</v>
      </c>
      <c r="B7251" t="str">
        <f>"9:01:25.699243"</f>
        <v>9:01:25.699243</v>
      </c>
      <c r="C7251">
        <v>-44</v>
      </c>
    </row>
    <row r="7252" spans="1:3" x14ac:dyDescent="0.25">
      <c r="A7252">
        <v>38</v>
      </c>
      <c r="B7252" t="str">
        <f>"9:01:25.700270"</f>
        <v>9:01:25.700270</v>
      </c>
      <c r="C7252">
        <v>-41</v>
      </c>
    </row>
    <row r="7253" spans="1:3" x14ac:dyDescent="0.25">
      <c r="A7253">
        <v>38</v>
      </c>
      <c r="B7253" t="str">
        <f>"9:01:25.700789"</f>
        <v>9:01:25.700789</v>
      </c>
      <c r="C7253">
        <v>-76</v>
      </c>
    </row>
    <row r="7254" spans="1:3" x14ac:dyDescent="0.25">
      <c r="A7254">
        <v>38</v>
      </c>
      <c r="B7254" t="str">
        <f>"9:01:25.701115"</f>
        <v>9:01:25.701115</v>
      </c>
      <c r="C7254">
        <v>-41</v>
      </c>
    </row>
    <row r="7255" spans="1:3" x14ac:dyDescent="0.25">
      <c r="A7255">
        <v>39</v>
      </c>
      <c r="B7255" t="str">
        <f>"9:01:25.701890"</f>
        <v>9:01:25.701890</v>
      </c>
      <c r="C7255">
        <v>-46</v>
      </c>
    </row>
    <row r="7256" spans="1:3" x14ac:dyDescent="0.25">
      <c r="A7256">
        <v>39</v>
      </c>
      <c r="B7256" t="str">
        <f>"9:01:25.702409"</f>
        <v>9:01:25.702409</v>
      </c>
      <c r="C7256">
        <v>-30</v>
      </c>
    </row>
    <row r="7257" spans="1:3" x14ac:dyDescent="0.25">
      <c r="A7257">
        <v>39</v>
      </c>
      <c r="B7257" t="str">
        <f>"9:01:25.702736"</f>
        <v>9:01:25.702736</v>
      </c>
      <c r="C7257">
        <v>-45</v>
      </c>
    </row>
    <row r="7258" spans="1:3" x14ac:dyDescent="0.25">
      <c r="A7258">
        <v>37</v>
      </c>
      <c r="B7258" t="str">
        <f>"9:01:26.051058"</f>
        <v>9:01:26.051058</v>
      </c>
      <c r="C7258">
        <v>-44</v>
      </c>
    </row>
    <row r="7259" spans="1:3" x14ac:dyDescent="0.25">
      <c r="A7259">
        <v>38</v>
      </c>
      <c r="B7259" t="str">
        <f>"9:01:26.052085"</f>
        <v>9:01:26.052085</v>
      </c>
      <c r="C7259">
        <v>-41</v>
      </c>
    </row>
    <row r="7260" spans="1:3" x14ac:dyDescent="0.25">
      <c r="A7260">
        <v>39</v>
      </c>
      <c r="B7260" t="str">
        <f>"9:01:26.053111"</f>
        <v>9:01:26.053111</v>
      </c>
      <c r="C7260">
        <v>-45</v>
      </c>
    </row>
    <row r="7261" spans="1:3" x14ac:dyDescent="0.25">
      <c r="A7261">
        <v>37</v>
      </c>
      <c r="B7261" t="str">
        <f>"9:01:26.403290"</f>
        <v>9:01:26.403290</v>
      </c>
      <c r="C7261">
        <v>-44</v>
      </c>
    </row>
    <row r="7262" spans="1:3" x14ac:dyDescent="0.25">
      <c r="A7262">
        <v>38</v>
      </c>
      <c r="B7262" t="str">
        <f>"9:01:26.404318"</f>
        <v>9:01:26.404318</v>
      </c>
      <c r="C7262">
        <v>-41</v>
      </c>
    </row>
    <row r="7263" spans="1:3" x14ac:dyDescent="0.25">
      <c r="A7263">
        <v>39</v>
      </c>
      <c r="B7263" t="str">
        <f>"9:01:26.405344"</f>
        <v>9:01:26.405344</v>
      </c>
      <c r="C7263">
        <v>-45</v>
      </c>
    </row>
    <row r="7264" spans="1:3" x14ac:dyDescent="0.25">
      <c r="A7264">
        <v>39</v>
      </c>
      <c r="B7264" t="str">
        <f>"9:01:26.405862"</f>
        <v>9:01:26.405862</v>
      </c>
      <c r="C7264">
        <v>-31</v>
      </c>
    </row>
    <row r="7265" spans="1:3" x14ac:dyDescent="0.25">
      <c r="A7265">
        <v>39</v>
      </c>
      <c r="B7265" t="str">
        <f>"9:01:26.406189"</f>
        <v>9:01:26.406189</v>
      </c>
      <c r="C7265">
        <v>-45</v>
      </c>
    </row>
    <row r="7266" spans="1:3" x14ac:dyDescent="0.25">
      <c r="A7266">
        <v>37</v>
      </c>
      <c r="B7266" t="str">
        <f>"9:01:26.757912"</f>
        <v>9:01:26.757912</v>
      </c>
      <c r="C7266">
        <v>-44</v>
      </c>
    </row>
    <row r="7267" spans="1:3" x14ac:dyDescent="0.25">
      <c r="A7267">
        <v>38</v>
      </c>
      <c r="B7267" t="str">
        <f>"9:01:26.758939"</f>
        <v>9:01:26.758939</v>
      </c>
      <c r="C7267">
        <v>-41</v>
      </c>
    </row>
    <row r="7268" spans="1:3" x14ac:dyDescent="0.25">
      <c r="A7268">
        <v>39</v>
      </c>
      <c r="B7268" t="str">
        <f>"9:01:26.759965"</f>
        <v>9:01:26.759965</v>
      </c>
      <c r="C7268">
        <v>-45</v>
      </c>
    </row>
    <row r="7269" spans="1:3" x14ac:dyDescent="0.25">
      <c r="A7269">
        <v>39</v>
      </c>
      <c r="B7269" t="str">
        <f>"9:01:26.760484"</f>
        <v>9:01:26.760484</v>
      </c>
      <c r="C7269">
        <v>-31</v>
      </c>
    </row>
    <row r="7270" spans="1:3" x14ac:dyDescent="0.25">
      <c r="A7270">
        <v>39</v>
      </c>
      <c r="B7270" t="str">
        <f>"9:01:26.760809"</f>
        <v>9:01:26.760809</v>
      </c>
      <c r="C7270">
        <v>-45</v>
      </c>
    </row>
    <row r="7271" spans="1:3" x14ac:dyDescent="0.25">
      <c r="A7271">
        <v>37</v>
      </c>
      <c r="B7271" t="str">
        <f>"9:01:27.108435"</f>
        <v>9:01:27.108435</v>
      </c>
      <c r="C7271">
        <v>-44</v>
      </c>
    </row>
    <row r="7272" spans="1:3" x14ac:dyDescent="0.25">
      <c r="A7272">
        <v>38</v>
      </c>
      <c r="B7272" t="str">
        <f>"9:01:27.109462"</f>
        <v>9:01:27.109462</v>
      </c>
      <c r="C7272">
        <v>-41</v>
      </c>
    </row>
    <row r="7273" spans="1:3" x14ac:dyDescent="0.25">
      <c r="A7273">
        <v>39</v>
      </c>
      <c r="B7273" t="str">
        <f>"9:01:27.110488"</f>
        <v>9:01:27.110488</v>
      </c>
      <c r="C7273">
        <v>-45</v>
      </c>
    </row>
    <row r="7274" spans="1:3" x14ac:dyDescent="0.25">
      <c r="A7274">
        <v>37</v>
      </c>
      <c r="B7274" t="str">
        <f>"9:01:27.463563"</f>
        <v>9:01:27.463563</v>
      </c>
      <c r="C7274">
        <v>-44</v>
      </c>
    </row>
    <row r="7275" spans="1:3" x14ac:dyDescent="0.25">
      <c r="A7275">
        <v>38</v>
      </c>
      <c r="B7275" t="str">
        <f>"9:01:27.464590"</f>
        <v>9:01:27.464590</v>
      </c>
      <c r="C7275">
        <v>-41</v>
      </c>
    </row>
    <row r="7276" spans="1:3" x14ac:dyDescent="0.25">
      <c r="A7276">
        <v>39</v>
      </c>
      <c r="B7276" t="str">
        <f>"9:01:27.465617"</f>
        <v>9:01:27.465617</v>
      </c>
      <c r="C7276">
        <v>-45</v>
      </c>
    </row>
    <row r="7277" spans="1:3" x14ac:dyDescent="0.25">
      <c r="A7277">
        <v>39</v>
      </c>
      <c r="B7277" t="str">
        <f>"9:01:27.466135"</f>
        <v>9:01:27.466135</v>
      </c>
      <c r="C7277">
        <v>-31</v>
      </c>
    </row>
    <row r="7278" spans="1:3" x14ac:dyDescent="0.25">
      <c r="A7278">
        <v>39</v>
      </c>
      <c r="B7278" t="str">
        <f>"9:01:27.466461"</f>
        <v>9:01:27.466461</v>
      </c>
      <c r="C7278">
        <v>-45</v>
      </c>
    </row>
    <row r="7279" spans="1:3" x14ac:dyDescent="0.25">
      <c r="A7279">
        <v>37</v>
      </c>
      <c r="B7279" t="str">
        <f>"9:01:27.816600"</f>
        <v>9:01:27.816600</v>
      </c>
      <c r="C7279">
        <v>-44</v>
      </c>
    </row>
    <row r="7280" spans="1:3" x14ac:dyDescent="0.25">
      <c r="A7280">
        <v>38</v>
      </c>
      <c r="B7280" t="str">
        <f>"9:01:27.817627"</f>
        <v>9:01:27.817627</v>
      </c>
      <c r="C7280">
        <v>-41</v>
      </c>
    </row>
    <row r="7281" spans="1:3" x14ac:dyDescent="0.25">
      <c r="A7281">
        <v>38</v>
      </c>
      <c r="B7281" t="str">
        <f>"9:01:27.818147"</f>
        <v>9:01:27.818147</v>
      </c>
      <c r="C7281">
        <v>-78</v>
      </c>
    </row>
    <row r="7282" spans="1:3" x14ac:dyDescent="0.25">
      <c r="A7282">
        <v>38</v>
      </c>
      <c r="B7282" t="str">
        <f>"9:01:27.818472"</f>
        <v>9:01:27.818472</v>
      </c>
      <c r="C7282">
        <v>-41</v>
      </c>
    </row>
    <row r="7283" spans="1:3" x14ac:dyDescent="0.25">
      <c r="A7283">
        <v>39</v>
      </c>
      <c r="B7283" t="str">
        <f>"9:01:27.819248"</f>
        <v>9:01:27.819248</v>
      </c>
      <c r="C7283">
        <v>-46</v>
      </c>
    </row>
    <row r="7284" spans="1:3" x14ac:dyDescent="0.25">
      <c r="A7284">
        <v>39</v>
      </c>
      <c r="B7284" t="str">
        <f>"9:01:27.819767"</f>
        <v>9:01:27.819767</v>
      </c>
      <c r="C7284">
        <v>-31</v>
      </c>
    </row>
    <row r="7285" spans="1:3" x14ac:dyDescent="0.25">
      <c r="A7285">
        <v>39</v>
      </c>
      <c r="B7285" t="str">
        <f>"9:01:27.820092"</f>
        <v>9:01:27.820092</v>
      </c>
      <c r="C7285">
        <v>-45</v>
      </c>
    </row>
    <row r="7286" spans="1:3" x14ac:dyDescent="0.25">
      <c r="A7286">
        <v>37</v>
      </c>
      <c r="B7286" t="str">
        <f>"9:01:28.172995"</f>
        <v>9:01:28.172995</v>
      </c>
      <c r="C7286">
        <v>-44</v>
      </c>
    </row>
    <row r="7287" spans="1:3" x14ac:dyDescent="0.25">
      <c r="A7287">
        <v>38</v>
      </c>
      <c r="B7287" t="str">
        <f>"9:01:28.174023"</f>
        <v>9:01:28.174023</v>
      </c>
      <c r="C7287">
        <v>-41</v>
      </c>
    </row>
    <row r="7288" spans="1:3" x14ac:dyDescent="0.25">
      <c r="A7288">
        <v>39</v>
      </c>
      <c r="B7288" t="str">
        <f>"9:01:28.175049"</f>
        <v>9:01:28.175049</v>
      </c>
      <c r="C7288">
        <v>-45</v>
      </c>
    </row>
    <row r="7289" spans="1:3" x14ac:dyDescent="0.25">
      <c r="A7289">
        <v>39</v>
      </c>
      <c r="B7289" t="str">
        <f>"9:01:28.175567"</f>
        <v>9:01:28.175567</v>
      </c>
      <c r="C7289">
        <v>-31</v>
      </c>
    </row>
    <row r="7290" spans="1:3" x14ac:dyDescent="0.25">
      <c r="A7290">
        <v>39</v>
      </c>
      <c r="B7290" t="str">
        <f>"9:01:28.175893"</f>
        <v>9:01:28.175893</v>
      </c>
      <c r="C7290">
        <v>-45</v>
      </c>
    </row>
    <row r="7291" spans="1:3" x14ac:dyDescent="0.25">
      <c r="A7291">
        <v>37</v>
      </c>
      <c r="B7291" t="str">
        <f>"9:01:28.527328"</f>
        <v>9:01:28.527328</v>
      </c>
      <c r="C7291">
        <v>-44</v>
      </c>
    </row>
    <row r="7292" spans="1:3" x14ac:dyDescent="0.25">
      <c r="A7292">
        <v>37</v>
      </c>
      <c r="B7292" t="str">
        <f>"9:01:28.528174"</f>
        <v>9:01:28.528174</v>
      </c>
      <c r="C7292">
        <v>-44</v>
      </c>
    </row>
    <row r="7293" spans="1:3" x14ac:dyDescent="0.25">
      <c r="A7293">
        <v>38</v>
      </c>
      <c r="B7293" t="str">
        <f>"9:01:28.528951"</f>
        <v>9:01:28.528951</v>
      </c>
      <c r="C7293">
        <v>-41</v>
      </c>
    </row>
    <row r="7294" spans="1:3" x14ac:dyDescent="0.25">
      <c r="A7294">
        <v>39</v>
      </c>
      <c r="B7294" t="str">
        <f>"9:01:28.529977"</f>
        <v>9:01:28.529977</v>
      </c>
      <c r="C7294">
        <v>-46</v>
      </c>
    </row>
    <row r="7295" spans="1:3" x14ac:dyDescent="0.25">
      <c r="A7295">
        <v>39</v>
      </c>
      <c r="B7295" t="str">
        <f>"9:01:28.530495"</f>
        <v>9:01:28.530495</v>
      </c>
      <c r="C7295">
        <v>-31</v>
      </c>
    </row>
    <row r="7296" spans="1:3" x14ac:dyDescent="0.25">
      <c r="A7296">
        <v>39</v>
      </c>
      <c r="B7296" t="str">
        <f>"9:01:28.530821"</f>
        <v>9:01:28.530821</v>
      </c>
      <c r="C7296">
        <v>-45</v>
      </c>
    </row>
    <row r="7297" spans="1:3" x14ac:dyDescent="0.25">
      <c r="A7297">
        <v>37</v>
      </c>
      <c r="B7297" t="str">
        <f>"9:01:28.885292"</f>
        <v>9:01:28.885292</v>
      </c>
      <c r="C7297">
        <v>-44</v>
      </c>
    </row>
    <row r="7298" spans="1:3" x14ac:dyDescent="0.25">
      <c r="A7298">
        <v>38</v>
      </c>
      <c r="B7298" t="str">
        <f>"9:01:28.886319"</f>
        <v>9:01:28.886319</v>
      </c>
      <c r="C7298">
        <v>-41</v>
      </c>
    </row>
    <row r="7299" spans="1:3" x14ac:dyDescent="0.25">
      <c r="A7299">
        <v>39</v>
      </c>
      <c r="B7299" t="str">
        <f>"9:01:28.887346"</f>
        <v>9:01:28.887346</v>
      </c>
      <c r="C7299">
        <v>-45</v>
      </c>
    </row>
    <row r="7300" spans="1:3" x14ac:dyDescent="0.25">
      <c r="A7300">
        <v>39</v>
      </c>
      <c r="B7300" t="str">
        <f>"9:01:28.887864"</f>
        <v>9:01:28.887864</v>
      </c>
      <c r="C7300">
        <v>-31</v>
      </c>
    </row>
    <row r="7301" spans="1:3" x14ac:dyDescent="0.25">
      <c r="A7301">
        <v>39</v>
      </c>
      <c r="B7301" t="str">
        <f>"9:01:28.888190"</f>
        <v>9:01:28.888190</v>
      </c>
      <c r="C7301">
        <v>-45</v>
      </c>
    </row>
    <row r="7302" spans="1:3" x14ac:dyDescent="0.25">
      <c r="A7302">
        <v>37</v>
      </c>
      <c r="B7302" t="str">
        <f>"9:01:29.243254"</f>
        <v>9:01:29.243254</v>
      </c>
      <c r="C7302">
        <v>-44</v>
      </c>
    </row>
    <row r="7303" spans="1:3" x14ac:dyDescent="0.25">
      <c r="A7303">
        <v>38</v>
      </c>
      <c r="B7303" t="str">
        <f>"9:01:29.244281"</f>
        <v>9:01:29.244281</v>
      </c>
      <c r="C7303">
        <v>-41</v>
      </c>
    </row>
    <row r="7304" spans="1:3" x14ac:dyDescent="0.25">
      <c r="A7304">
        <v>39</v>
      </c>
      <c r="B7304" t="str">
        <f>"9:01:29.245307"</f>
        <v>9:01:29.245307</v>
      </c>
      <c r="C7304">
        <v>-46</v>
      </c>
    </row>
    <row r="7305" spans="1:3" x14ac:dyDescent="0.25">
      <c r="A7305">
        <v>39</v>
      </c>
      <c r="B7305" t="str">
        <f>"9:01:29.245826"</f>
        <v>9:01:29.245826</v>
      </c>
      <c r="C7305">
        <v>-31</v>
      </c>
    </row>
    <row r="7306" spans="1:3" x14ac:dyDescent="0.25">
      <c r="A7306">
        <v>39</v>
      </c>
      <c r="B7306" t="str">
        <f>"9:01:29.246152"</f>
        <v>9:01:29.246152</v>
      </c>
      <c r="C7306">
        <v>-45</v>
      </c>
    </row>
    <row r="7307" spans="1:3" x14ac:dyDescent="0.25">
      <c r="A7307">
        <v>37</v>
      </c>
      <c r="B7307" t="str">
        <f>"9:01:29.603235"</f>
        <v>9:01:29.603235</v>
      </c>
      <c r="C7307">
        <v>-44</v>
      </c>
    </row>
    <row r="7308" spans="1:3" x14ac:dyDescent="0.25">
      <c r="A7308">
        <v>37</v>
      </c>
      <c r="B7308" t="str">
        <f>"9:01:29.603753"</f>
        <v>9:01:29.603753</v>
      </c>
      <c r="C7308">
        <v>-39</v>
      </c>
    </row>
    <row r="7309" spans="1:3" x14ac:dyDescent="0.25">
      <c r="A7309">
        <v>37</v>
      </c>
      <c r="B7309" t="str">
        <f>"9:01:29.604079"</f>
        <v>9:01:29.604079</v>
      </c>
      <c r="C7309">
        <v>-44</v>
      </c>
    </row>
    <row r="7310" spans="1:3" x14ac:dyDescent="0.25">
      <c r="A7310">
        <v>38</v>
      </c>
      <c r="B7310" t="str">
        <f>"9:01:29.604855"</f>
        <v>9:01:29.604855</v>
      </c>
      <c r="C7310">
        <v>-41</v>
      </c>
    </row>
    <row r="7311" spans="1:3" x14ac:dyDescent="0.25">
      <c r="A7311">
        <v>39</v>
      </c>
      <c r="B7311" t="str">
        <f>"9:01:29.605881"</f>
        <v>9:01:29.605881</v>
      </c>
      <c r="C7311">
        <v>-45</v>
      </c>
    </row>
    <row r="7312" spans="1:3" x14ac:dyDescent="0.25">
      <c r="A7312">
        <v>39</v>
      </c>
      <c r="B7312" t="str">
        <f>"9:01:29.606727"</f>
        <v>9:01:29.606727</v>
      </c>
      <c r="C7312">
        <v>-45</v>
      </c>
    </row>
    <row r="7313" spans="1:3" x14ac:dyDescent="0.25">
      <c r="A7313">
        <v>37</v>
      </c>
      <c r="B7313" t="str">
        <f>"9:01:29.957362"</f>
        <v>9:01:29.957362</v>
      </c>
      <c r="C7313">
        <v>-44</v>
      </c>
    </row>
    <row r="7314" spans="1:3" x14ac:dyDescent="0.25">
      <c r="A7314">
        <v>37</v>
      </c>
      <c r="B7314" t="str">
        <f>"9:01:29.957881"</f>
        <v>9:01:29.957881</v>
      </c>
      <c r="C7314">
        <v>-39</v>
      </c>
    </row>
    <row r="7315" spans="1:3" x14ac:dyDescent="0.25">
      <c r="A7315">
        <v>37</v>
      </c>
      <c r="B7315" t="str">
        <f>"9:01:29.958207"</f>
        <v>9:01:29.958207</v>
      </c>
      <c r="C7315">
        <v>-44</v>
      </c>
    </row>
    <row r="7316" spans="1:3" x14ac:dyDescent="0.25">
      <c r="A7316">
        <v>38</v>
      </c>
      <c r="B7316" t="str">
        <f>"9:01:29.958984"</f>
        <v>9:01:29.958984</v>
      </c>
      <c r="C7316">
        <v>-41</v>
      </c>
    </row>
    <row r="7317" spans="1:3" x14ac:dyDescent="0.25">
      <c r="A7317">
        <v>39</v>
      </c>
      <c r="B7317" t="str">
        <f>"9:01:29.960010"</f>
        <v>9:01:29.960010</v>
      </c>
      <c r="C7317">
        <v>-46</v>
      </c>
    </row>
    <row r="7318" spans="1:3" x14ac:dyDescent="0.25">
      <c r="A7318">
        <v>37</v>
      </c>
      <c r="B7318" t="str">
        <f>"9:01:30.312250"</f>
        <v>9:01:30.312250</v>
      </c>
      <c r="C7318">
        <v>-44</v>
      </c>
    </row>
    <row r="7319" spans="1:3" x14ac:dyDescent="0.25">
      <c r="A7319">
        <v>38</v>
      </c>
      <c r="B7319" t="str">
        <f>"9:01:30.313278"</f>
        <v>9:01:30.313278</v>
      </c>
      <c r="C7319">
        <v>-41</v>
      </c>
    </row>
    <row r="7320" spans="1:3" x14ac:dyDescent="0.25">
      <c r="A7320">
        <v>39</v>
      </c>
      <c r="B7320" t="str">
        <f>"9:01:30.314304"</f>
        <v>9:01:30.314304</v>
      </c>
      <c r="C7320">
        <v>-46</v>
      </c>
    </row>
    <row r="7321" spans="1:3" x14ac:dyDescent="0.25">
      <c r="A7321">
        <v>37</v>
      </c>
      <c r="B7321" t="str">
        <f>"9:01:30.667156"</f>
        <v>9:01:30.667156</v>
      </c>
      <c r="C7321">
        <v>-44</v>
      </c>
    </row>
    <row r="7322" spans="1:3" x14ac:dyDescent="0.25">
      <c r="A7322">
        <v>37</v>
      </c>
      <c r="B7322" t="str">
        <f>"9:01:30.667674"</f>
        <v>9:01:30.667674</v>
      </c>
      <c r="C7322">
        <v>-39</v>
      </c>
    </row>
    <row r="7323" spans="1:3" x14ac:dyDescent="0.25">
      <c r="A7323">
        <v>37</v>
      </c>
      <c r="B7323" t="str">
        <f>"9:01:30.668000"</f>
        <v>9:01:30.668000</v>
      </c>
      <c r="C7323">
        <v>-44</v>
      </c>
    </row>
    <row r="7324" spans="1:3" x14ac:dyDescent="0.25">
      <c r="A7324">
        <v>38</v>
      </c>
      <c r="B7324" t="str">
        <f>"9:01:30.668776"</f>
        <v>9:01:30.668776</v>
      </c>
      <c r="C7324">
        <v>-41</v>
      </c>
    </row>
    <row r="7325" spans="1:3" x14ac:dyDescent="0.25">
      <c r="A7325">
        <v>39</v>
      </c>
      <c r="B7325" t="str">
        <f>"9:01:30.669802"</f>
        <v>9:01:30.669802</v>
      </c>
      <c r="C7325">
        <v>-46</v>
      </c>
    </row>
    <row r="7326" spans="1:3" x14ac:dyDescent="0.25">
      <c r="A7326">
        <v>37</v>
      </c>
      <c r="B7326" t="str">
        <f>"9:01:31.025873"</f>
        <v>9:01:31.025873</v>
      </c>
      <c r="C7326">
        <v>-44</v>
      </c>
    </row>
    <row r="7327" spans="1:3" x14ac:dyDescent="0.25">
      <c r="A7327">
        <v>38</v>
      </c>
      <c r="B7327" t="str">
        <f>"9:01:31.026900"</f>
        <v>9:01:31.026900</v>
      </c>
      <c r="C7327">
        <v>-41</v>
      </c>
    </row>
    <row r="7328" spans="1:3" x14ac:dyDescent="0.25">
      <c r="A7328">
        <v>39</v>
      </c>
      <c r="B7328" t="str">
        <f>"9:01:31.027926"</f>
        <v>9:01:31.027926</v>
      </c>
      <c r="C7328">
        <v>-46</v>
      </c>
    </row>
    <row r="7329" spans="1:3" x14ac:dyDescent="0.25">
      <c r="A7329">
        <v>37</v>
      </c>
      <c r="B7329" t="str">
        <f>"9:01:31.383600"</f>
        <v>9:01:31.383600</v>
      </c>
      <c r="C7329">
        <v>-44</v>
      </c>
    </row>
    <row r="7330" spans="1:3" x14ac:dyDescent="0.25">
      <c r="A7330">
        <v>38</v>
      </c>
      <c r="B7330" t="str">
        <f>"9:01:31.384627"</f>
        <v>9:01:31.384627</v>
      </c>
      <c r="C7330">
        <v>-41</v>
      </c>
    </row>
    <row r="7331" spans="1:3" x14ac:dyDescent="0.25">
      <c r="A7331">
        <v>39</v>
      </c>
      <c r="B7331" t="str">
        <f>"9:01:31.385653"</f>
        <v>9:01:31.385653</v>
      </c>
      <c r="C7331">
        <v>-46</v>
      </c>
    </row>
    <row r="7332" spans="1:3" x14ac:dyDescent="0.25">
      <c r="A7332">
        <v>37</v>
      </c>
      <c r="B7332" t="str">
        <f>"9:01:31.742306"</f>
        <v>9:01:31.742306</v>
      </c>
      <c r="C7332">
        <v>-44</v>
      </c>
    </row>
    <row r="7333" spans="1:3" x14ac:dyDescent="0.25">
      <c r="A7333">
        <v>38</v>
      </c>
      <c r="B7333" t="str">
        <f>"9:01:31.743333"</f>
        <v>9:01:31.743333</v>
      </c>
      <c r="C7333">
        <v>-41</v>
      </c>
    </row>
    <row r="7334" spans="1:3" x14ac:dyDescent="0.25">
      <c r="A7334">
        <v>39</v>
      </c>
      <c r="B7334" t="str">
        <f>"9:01:31.744359"</f>
        <v>9:01:31.744359</v>
      </c>
      <c r="C7334">
        <v>-46</v>
      </c>
    </row>
    <row r="7335" spans="1:3" x14ac:dyDescent="0.25">
      <c r="A7335">
        <v>37</v>
      </c>
      <c r="B7335" t="str">
        <f>"9:01:32.097924"</f>
        <v>9:01:32.097924</v>
      </c>
      <c r="C7335">
        <v>-44</v>
      </c>
    </row>
    <row r="7336" spans="1:3" x14ac:dyDescent="0.25">
      <c r="A7336">
        <v>38</v>
      </c>
      <c r="B7336" t="str">
        <f>"9:01:32.098951"</f>
        <v>9:01:32.098951</v>
      </c>
      <c r="C7336">
        <v>-41</v>
      </c>
    </row>
    <row r="7337" spans="1:3" x14ac:dyDescent="0.25">
      <c r="A7337">
        <v>39</v>
      </c>
      <c r="B7337" t="str">
        <f>"9:01:32.099977"</f>
        <v>9:01:32.099977</v>
      </c>
      <c r="C7337">
        <v>-46</v>
      </c>
    </row>
    <row r="7338" spans="1:3" x14ac:dyDescent="0.25">
      <c r="A7338">
        <v>37</v>
      </c>
      <c r="B7338" t="str">
        <f>"9:01:32.447974"</f>
        <v>9:01:32.447974</v>
      </c>
      <c r="C7338">
        <v>-44</v>
      </c>
    </row>
    <row r="7339" spans="1:3" x14ac:dyDescent="0.25">
      <c r="A7339">
        <v>37</v>
      </c>
      <c r="B7339" t="str">
        <f>"9:01:32.448493"</f>
        <v>9:01:32.448493</v>
      </c>
      <c r="C7339">
        <v>-38</v>
      </c>
    </row>
    <row r="7340" spans="1:3" x14ac:dyDescent="0.25">
      <c r="A7340">
        <v>37</v>
      </c>
      <c r="B7340" t="str">
        <f>"9:01:32.448819"</f>
        <v>9:01:32.448819</v>
      </c>
      <c r="C7340">
        <v>-44</v>
      </c>
    </row>
    <row r="7341" spans="1:3" x14ac:dyDescent="0.25">
      <c r="A7341">
        <v>38</v>
      </c>
      <c r="B7341" t="str">
        <f>"9:01:32.449596"</f>
        <v>9:01:32.449596</v>
      </c>
      <c r="C7341">
        <v>-41</v>
      </c>
    </row>
    <row r="7342" spans="1:3" x14ac:dyDescent="0.25">
      <c r="A7342">
        <v>39</v>
      </c>
      <c r="B7342" t="str">
        <f>"9:01:32.450622"</f>
        <v>9:01:32.450622</v>
      </c>
      <c r="C7342">
        <v>-46</v>
      </c>
    </row>
    <row r="7343" spans="1:3" x14ac:dyDescent="0.25">
      <c r="A7343">
        <v>37</v>
      </c>
      <c r="B7343" t="str">
        <f>"9:01:32.807975"</f>
        <v>9:01:32.807975</v>
      </c>
      <c r="C7343">
        <v>-44</v>
      </c>
    </row>
    <row r="7344" spans="1:3" x14ac:dyDescent="0.25">
      <c r="A7344">
        <v>37</v>
      </c>
      <c r="B7344" t="str">
        <f>"9:01:32.808494"</f>
        <v>9:01:32.808494</v>
      </c>
      <c r="C7344">
        <v>-37</v>
      </c>
    </row>
    <row r="7345" spans="1:3" x14ac:dyDescent="0.25">
      <c r="A7345">
        <v>37</v>
      </c>
      <c r="B7345" t="str">
        <f>"9:01:32.808819"</f>
        <v>9:01:32.808819</v>
      </c>
      <c r="C7345">
        <v>-44</v>
      </c>
    </row>
    <row r="7346" spans="1:3" x14ac:dyDescent="0.25">
      <c r="A7346">
        <v>38</v>
      </c>
      <c r="B7346" t="str">
        <f>"9:01:32.809596"</f>
        <v>9:01:32.809596</v>
      </c>
      <c r="C7346">
        <v>-41</v>
      </c>
    </row>
    <row r="7347" spans="1:3" x14ac:dyDescent="0.25">
      <c r="A7347">
        <v>39</v>
      </c>
      <c r="B7347" t="str">
        <f>"9:01:32.810622"</f>
        <v>9:01:32.810622</v>
      </c>
      <c r="C7347">
        <v>-45</v>
      </c>
    </row>
    <row r="7348" spans="1:3" x14ac:dyDescent="0.25">
      <c r="A7348">
        <v>37</v>
      </c>
      <c r="B7348" t="str">
        <f>"9:01:33.165138"</f>
        <v>9:01:33.165138</v>
      </c>
      <c r="C7348">
        <v>-44</v>
      </c>
    </row>
    <row r="7349" spans="1:3" x14ac:dyDescent="0.25">
      <c r="A7349">
        <v>37</v>
      </c>
      <c r="B7349" t="str">
        <f>"9:01:33.165657"</f>
        <v>9:01:33.165657</v>
      </c>
      <c r="C7349">
        <v>-36</v>
      </c>
    </row>
    <row r="7350" spans="1:3" x14ac:dyDescent="0.25">
      <c r="A7350">
        <v>37</v>
      </c>
      <c r="B7350" t="str">
        <f>"9:01:33.165983"</f>
        <v>9:01:33.165983</v>
      </c>
      <c r="C7350">
        <v>-44</v>
      </c>
    </row>
    <row r="7351" spans="1:3" x14ac:dyDescent="0.25">
      <c r="A7351">
        <v>38</v>
      </c>
      <c r="B7351" t="str">
        <f>"9:01:33.166759"</f>
        <v>9:01:33.166759</v>
      </c>
      <c r="C7351">
        <v>-41</v>
      </c>
    </row>
    <row r="7352" spans="1:3" x14ac:dyDescent="0.25">
      <c r="A7352">
        <v>39</v>
      </c>
      <c r="B7352" t="str">
        <f>"9:01:33.167786"</f>
        <v>9:01:33.167786</v>
      </c>
      <c r="C7352">
        <v>-46</v>
      </c>
    </row>
    <row r="7353" spans="1:3" x14ac:dyDescent="0.25">
      <c r="A7353">
        <v>37</v>
      </c>
      <c r="B7353" t="str">
        <f>"9:01:33.524597"</f>
        <v>9:01:33.524597</v>
      </c>
      <c r="C7353">
        <v>-44</v>
      </c>
    </row>
    <row r="7354" spans="1:3" x14ac:dyDescent="0.25">
      <c r="A7354">
        <v>37</v>
      </c>
      <c r="B7354" t="str">
        <f>"9:01:33.525115"</f>
        <v>9:01:33.525115</v>
      </c>
      <c r="C7354">
        <v>-36</v>
      </c>
    </row>
    <row r="7355" spans="1:3" x14ac:dyDescent="0.25">
      <c r="A7355">
        <v>37</v>
      </c>
      <c r="B7355" t="str">
        <f>"9:01:33.525441"</f>
        <v>9:01:33.525441</v>
      </c>
      <c r="C7355">
        <v>-44</v>
      </c>
    </row>
    <row r="7356" spans="1:3" x14ac:dyDescent="0.25">
      <c r="A7356">
        <v>38</v>
      </c>
      <c r="B7356" t="str">
        <f>"9:01:33.526217"</f>
        <v>9:01:33.526217</v>
      </c>
      <c r="C7356">
        <v>-41</v>
      </c>
    </row>
    <row r="7357" spans="1:3" x14ac:dyDescent="0.25">
      <c r="A7357">
        <v>39</v>
      </c>
      <c r="B7357" t="str">
        <f>"9:01:33.527243"</f>
        <v>9:01:33.527243</v>
      </c>
      <c r="C7357">
        <v>-46</v>
      </c>
    </row>
    <row r="7358" spans="1:3" x14ac:dyDescent="0.25">
      <c r="A7358">
        <v>37</v>
      </c>
      <c r="B7358" t="str">
        <f>"9:01:33.878677"</f>
        <v>9:01:33.878677</v>
      </c>
      <c r="C7358">
        <v>-44</v>
      </c>
    </row>
    <row r="7359" spans="1:3" x14ac:dyDescent="0.25">
      <c r="A7359">
        <v>37</v>
      </c>
      <c r="B7359" t="str">
        <f>"9:01:33.879196"</f>
        <v>9:01:33.879196</v>
      </c>
      <c r="C7359">
        <v>-36</v>
      </c>
    </row>
    <row r="7360" spans="1:3" x14ac:dyDescent="0.25">
      <c r="A7360">
        <v>37</v>
      </c>
      <c r="B7360" t="str">
        <f>"9:01:33.879522"</f>
        <v>9:01:33.879522</v>
      </c>
      <c r="C7360">
        <v>-44</v>
      </c>
    </row>
    <row r="7361" spans="1:3" x14ac:dyDescent="0.25">
      <c r="A7361">
        <v>38</v>
      </c>
      <c r="B7361" t="str">
        <f>"9:01:33.880298"</f>
        <v>9:01:33.880298</v>
      </c>
      <c r="C7361">
        <v>-41</v>
      </c>
    </row>
    <row r="7362" spans="1:3" x14ac:dyDescent="0.25">
      <c r="A7362">
        <v>39</v>
      </c>
      <c r="B7362" t="str">
        <f>"9:01:33.881324"</f>
        <v>9:01:33.881324</v>
      </c>
      <c r="C7362">
        <v>-45</v>
      </c>
    </row>
    <row r="7363" spans="1:3" x14ac:dyDescent="0.25">
      <c r="A7363">
        <v>37</v>
      </c>
      <c r="B7363" t="str">
        <f>"9:01:34.235062"</f>
        <v>9:01:34.235062</v>
      </c>
      <c r="C7363">
        <v>-44</v>
      </c>
    </row>
    <row r="7364" spans="1:3" x14ac:dyDescent="0.25">
      <c r="A7364">
        <v>37</v>
      </c>
      <c r="B7364" t="str">
        <f>"9:01:34.235581"</f>
        <v>9:01:34.235581</v>
      </c>
      <c r="C7364">
        <v>-36</v>
      </c>
    </row>
    <row r="7365" spans="1:3" x14ac:dyDescent="0.25">
      <c r="A7365">
        <v>37</v>
      </c>
      <c r="B7365" t="str">
        <f>"9:01:34.235907"</f>
        <v>9:01:34.235907</v>
      </c>
      <c r="C7365">
        <v>-44</v>
      </c>
    </row>
    <row r="7366" spans="1:3" x14ac:dyDescent="0.25">
      <c r="A7366">
        <v>38</v>
      </c>
      <c r="B7366" t="str">
        <f>"9:01:34.236683"</f>
        <v>9:01:34.236683</v>
      </c>
      <c r="C7366">
        <v>-41</v>
      </c>
    </row>
    <row r="7367" spans="1:3" x14ac:dyDescent="0.25">
      <c r="A7367">
        <v>39</v>
      </c>
      <c r="B7367" t="str">
        <f>"9:01:34.237709"</f>
        <v>9:01:34.237709</v>
      </c>
      <c r="C7367">
        <v>-46</v>
      </c>
    </row>
    <row r="7368" spans="1:3" x14ac:dyDescent="0.25">
      <c r="A7368">
        <v>37</v>
      </c>
      <c r="B7368" t="str">
        <f>"9:01:34.589175"</f>
        <v>9:01:34.589175</v>
      </c>
      <c r="C7368">
        <v>-44</v>
      </c>
    </row>
    <row r="7369" spans="1:3" x14ac:dyDescent="0.25">
      <c r="A7369">
        <v>38</v>
      </c>
      <c r="B7369" t="str">
        <f>"9:01:34.590202"</f>
        <v>9:01:34.590202</v>
      </c>
      <c r="C7369">
        <v>-41</v>
      </c>
    </row>
    <row r="7370" spans="1:3" x14ac:dyDescent="0.25">
      <c r="A7370">
        <v>38</v>
      </c>
      <c r="B7370" t="str">
        <f>"9:01:34.590721"</f>
        <v>9:01:34.590721</v>
      </c>
      <c r="C7370">
        <v>-31</v>
      </c>
    </row>
    <row r="7371" spans="1:3" x14ac:dyDescent="0.25">
      <c r="A7371">
        <v>38</v>
      </c>
      <c r="B7371" t="str">
        <f>"9:01:34.591047"</f>
        <v>9:01:34.591047</v>
      </c>
      <c r="C7371">
        <v>-41</v>
      </c>
    </row>
    <row r="7372" spans="1:3" x14ac:dyDescent="0.25">
      <c r="A7372">
        <v>39</v>
      </c>
      <c r="B7372" t="str">
        <f>"9:01:34.591823"</f>
        <v>9:01:34.591823</v>
      </c>
      <c r="C7372">
        <v>-46</v>
      </c>
    </row>
    <row r="7373" spans="1:3" x14ac:dyDescent="0.25">
      <c r="A7373">
        <v>37</v>
      </c>
      <c r="B7373" t="str">
        <f>"9:01:34.941171"</f>
        <v>9:01:34.941171</v>
      </c>
      <c r="C7373">
        <v>-44</v>
      </c>
    </row>
    <row r="7374" spans="1:3" x14ac:dyDescent="0.25">
      <c r="A7374">
        <v>38</v>
      </c>
      <c r="B7374" t="str">
        <f>"9:01:34.942199"</f>
        <v>9:01:34.942199</v>
      </c>
      <c r="C7374">
        <v>-41</v>
      </c>
    </row>
    <row r="7375" spans="1:3" x14ac:dyDescent="0.25">
      <c r="A7375">
        <v>38</v>
      </c>
      <c r="B7375" t="str">
        <f>"9:01:34.942717"</f>
        <v>9:01:34.942717</v>
      </c>
      <c r="C7375">
        <v>-31</v>
      </c>
    </row>
    <row r="7376" spans="1:3" x14ac:dyDescent="0.25">
      <c r="A7376">
        <v>38</v>
      </c>
      <c r="B7376" t="str">
        <f>"9:01:34.943043"</f>
        <v>9:01:34.943043</v>
      </c>
      <c r="C7376">
        <v>-41</v>
      </c>
    </row>
    <row r="7377" spans="1:3" x14ac:dyDescent="0.25">
      <c r="A7377">
        <v>39</v>
      </c>
      <c r="B7377" t="str">
        <f>"9:01:34.943819"</f>
        <v>9:01:34.943819</v>
      </c>
      <c r="C7377">
        <v>-46</v>
      </c>
    </row>
    <row r="7378" spans="1:3" x14ac:dyDescent="0.25">
      <c r="A7378">
        <v>37</v>
      </c>
      <c r="B7378" t="str">
        <f>"9:01:35.300415"</f>
        <v>9:01:35.300415</v>
      </c>
      <c r="C7378">
        <v>-44</v>
      </c>
    </row>
    <row r="7379" spans="1:3" x14ac:dyDescent="0.25">
      <c r="A7379">
        <v>38</v>
      </c>
      <c r="B7379" t="str">
        <f>"9:01:35.301442"</f>
        <v>9:01:35.301442</v>
      </c>
      <c r="C7379">
        <v>-41</v>
      </c>
    </row>
    <row r="7380" spans="1:3" x14ac:dyDescent="0.25">
      <c r="A7380">
        <v>38</v>
      </c>
      <c r="B7380" t="str">
        <f>"9:01:35.301960"</f>
        <v>9:01:35.301960</v>
      </c>
      <c r="C7380">
        <v>-31</v>
      </c>
    </row>
    <row r="7381" spans="1:3" x14ac:dyDescent="0.25">
      <c r="A7381">
        <v>38</v>
      </c>
      <c r="B7381" t="str">
        <f>"9:01:35.302286"</f>
        <v>9:01:35.302286</v>
      </c>
      <c r="C7381">
        <v>-41</v>
      </c>
    </row>
    <row r="7382" spans="1:3" x14ac:dyDescent="0.25">
      <c r="A7382">
        <v>39</v>
      </c>
      <c r="B7382" t="str">
        <f>"9:01:35.303062"</f>
        <v>9:01:35.303062</v>
      </c>
      <c r="C7382">
        <v>-46</v>
      </c>
    </row>
    <row r="7383" spans="1:3" x14ac:dyDescent="0.25">
      <c r="A7383">
        <v>37</v>
      </c>
      <c r="B7383" t="str">
        <f>"9:01:35.659617"</f>
        <v>9:01:35.659617</v>
      </c>
      <c r="C7383">
        <v>-44</v>
      </c>
    </row>
    <row r="7384" spans="1:3" x14ac:dyDescent="0.25">
      <c r="A7384">
        <v>38</v>
      </c>
      <c r="B7384" t="str">
        <f>"9:01:35.660645"</f>
        <v>9:01:35.660645</v>
      </c>
      <c r="C7384">
        <v>-41</v>
      </c>
    </row>
    <row r="7385" spans="1:3" x14ac:dyDescent="0.25">
      <c r="A7385">
        <v>38</v>
      </c>
      <c r="B7385" t="str">
        <f>"9:01:35.661163"</f>
        <v>9:01:35.661163</v>
      </c>
      <c r="C7385">
        <v>-31</v>
      </c>
    </row>
    <row r="7386" spans="1:3" x14ac:dyDescent="0.25">
      <c r="A7386">
        <v>38</v>
      </c>
      <c r="B7386" t="str">
        <f>"9:01:35.661490"</f>
        <v>9:01:35.661490</v>
      </c>
      <c r="C7386">
        <v>-41</v>
      </c>
    </row>
    <row r="7387" spans="1:3" x14ac:dyDescent="0.25">
      <c r="A7387">
        <v>39</v>
      </c>
      <c r="B7387" t="str">
        <f>"9:01:35.662266"</f>
        <v>9:01:35.662266</v>
      </c>
      <c r="C7387">
        <v>-45</v>
      </c>
    </row>
    <row r="7388" spans="1:3" x14ac:dyDescent="0.25">
      <c r="A7388">
        <v>37</v>
      </c>
      <c r="B7388" t="str">
        <f>"9:01:36.018537"</f>
        <v>9:01:36.018537</v>
      </c>
      <c r="C7388">
        <v>-44</v>
      </c>
    </row>
    <row r="7389" spans="1:3" x14ac:dyDescent="0.25">
      <c r="A7389">
        <v>38</v>
      </c>
      <c r="B7389" t="str">
        <f>"9:01:36.019565"</f>
        <v>9:01:36.019565</v>
      </c>
      <c r="C7389">
        <v>-41</v>
      </c>
    </row>
    <row r="7390" spans="1:3" x14ac:dyDescent="0.25">
      <c r="A7390">
        <v>38</v>
      </c>
      <c r="B7390" t="str">
        <f>"9:01:36.020084"</f>
        <v>9:01:36.020084</v>
      </c>
      <c r="C7390">
        <v>-31</v>
      </c>
    </row>
    <row r="7391" spans="1:3" x14ac:dyDescent="0.25">
      <c r="A7391">
        <v>38</v>
      </c>
      <c r="B7391" t="str">
        <f>"9:01:36.020410"</f>
        <v>9:01:36.020410</v>
      </c>
      <c r="C7391">
        <v>-41</v>
      </c>
    </row>
    <row r="7392" spans="1:3" x14ac:dyDescent="0.25">
      <c r="A7392">
        <v>39</v>
      </c>
      <c r="B7392" t="str">
        <f>"9:01:36.021186"</f>
        <v>9:01:36.021186</v>
      </c>
      <c r="C7392">
        <v>-45</v>
      </c>
    </row>
    <row r="7393" spans="1:3" x14ac:dyDescent="0.25">
      <c r="A7393">
        <v>37</v>
      </c>
      <c r="B7393" t="str">
        <f>"9:01:36.370088"</f>
        <v>9:01:36.370088</v>
      </c>
      <c r="C7393">
        <v>-44</v>
      </c>
    </row>
    <row r="7394" spans="1:3" x14ac:dyDescent="0.25">
      <c r="A7394">
        <v>38</v>
      </c>
      <c r="B7394" t="str">
        <f>"9:01:36.371116"</f>
        <v>9:01:36.371116</v>
      </c>
      <c r="C7394">
        <v>-41</v>
      </c>
    </row>
    <row r="7395" spans="1:3" x14ac:dyDescent="0.25">
      <c r="A7395">
        <v>38</v>
      </c>
      <c r="B7395" t="str">
        <f>"9:01:36.371635"</f>
        <v>9:01:36.371635</v>
      </c>
      <c r="C7395">
        <v>-31</v>
      </c>
    </row>
    <row r="7396" spans="1:3" x14ac:dyDescent="0.25">
      <c r="A7396">
        <v>38</v>
      </c>
      <c r="B7396" t="str">
        <f>"9:01:36.371961"</f>
        <v>9:01:36.371961</v>
      </c>
      <c r="C7396">
        <v>-41</v>
      </c>
    </row>
    <row r="7397" spans="1:3" x14ac:dyDescent="0.25">
      <c r="A7397">
        <v>39</v>
      </c>
      <c r="B7397" t="str">
        <f>"9:01:36.372737"</f>
        <v>9:01:36.372737</v>
      </c>
      <c r="C7397">
        <v>-45</v>
      </c>
    </row>
    <row r="7398" spans="1:3" x14ac:dyDescent="0.25">
      <c r="A7398">
        <v>37</v>
      </c>
      <c r="B7398" t="str">
        <f>"9:01:36.728768"</f>
        <v>9:01:36.728768</v>
      </c>
      <c r="C7398">
        <v>-44</v>
      </c>
    </row>
    <row r="7399" spans="1:3" x14ac:dyDescent="0.25">
      <c r="A7399">
        <v>38</v>
      </c>
      <c r="B7399" t="str">
        <f>"9:01:36.729796"</f>
        <v>9:01:36.729796</v>
      </c>
      <c r="C7399">
        <v>-41</v>
      </c>
    </row>
    <row r="7400" spans="1:3" x14ac:dyDescent="0.25">
      <c r="A7400">
        <v>39</v>
      </c>
      <c r="B7400" t="str">
        <f>"9:01:36.730822"</f>
        <v>9:01:36.730822</v>
      </c>
      <c r="C7400">
        <v>-45</v>
      </c>
    </row>
    <row r="7401" spans="1:3" x14ac:dyDescent="0.25">
      <c r="A7401">
        <v>37</v>
      </c>
      <c r="B7401" t="str">
        <f>"9:01:37.082059"</f>
        <v>9:01:37.082059</v>
      </c>
      <c r="C7401">
        <v>-44</v>
      </c>
    </row>
    <row r="7402" spans="1:3" x14ac:dyDescent="0.25">
      <c r="A7402">
        <v>38</v>
      </c>
      <c r="B7402" t="str">
        <f>"9:01:37.083086"</f>
        <v>9:01:37.083086</v>
      </c>
      <c r="C7402">
        <v>-41</v>
      </c>
    </row>
    <row r="7403" spans="1:3" x14ac:dyDescent="0.25">
      <c r="A7403">
        <v>38</v>
      </c>
      <c r="B7403" t="str">
        <f>"9:01:37.083605"</f>
        <v>9:01:37.083605</v>
      </c>
      <c r="C7403">
        <v>-31</v>
      </c>
    </row>
    <row r="7404" spans="1:3" x14ac:dyDescent="0.25">
      <c r="A7404">
        <v>38</v>
      </c>
      <c r="B7404" t="str">
        <f>"9:01:37.083930"</f>
        <v>9:01:37.083930</v>
      </c>
      <c r="C7404">
        <v>-41</v>
      </c>
    </row>
    <row r="7405" spans="1:3" x14ac:dyDescent="0.25">
      <c r="A7405">
        <v>39</v>
      </c>
      <c r="B7405" t="str">
        <f>"9:01:37.084706"</f>
        <v>9:01:37.084706</v>
      </c>
      <c r="C7405">
        <v>-46</v>
      </c>
    </row>
    <row r="7406" spans="1:3" x14ac:dyDescent="0.25">
      <c r="A7406">
        <v>37</v>
      </c>
      <c r="B7406" t="str">
        <f>"9:01:37.432550"</f>
        <v>9:01:37.432550</v>
      </c>
      <c r="C7406">
        <v>-44</v>
      </c>
    </row>
    <row r="7407" spans="1:3" x14ac:dyDescent="0.25">
      <c r="A7407">
        <v>38</v>
      </c>
      <c r="B7407" t="str">
        <f>"9:01:37.433577"</f>
        <v>9:01:37.433577</v>
      </c>
      <c r="C7407">
        <v>-41</v>
      </c>
    </row>
    <row r="7408" spans="1:3" x14ac:dyDescent="0.25">
      <c r="A7408">
        <v>38</v>
      </c>
      <c r="B7408" t="str">
        <f>"9:01:37.434096"</f>
        <v>9:01:37.434096</v>
      </c>
      <c r="C7408">
        <v>-32</v>
      </c>
    </row>
    <row r="7409" spans="1:3" x14ac:dyDescent="0.25">
      <c r="A7409">
        <v>38</v>
      </c>
      <c r="B7409" t="str">
        <f>"9:01:37.434421"</f>
        <v>9:01:37.434421</v>
      </c>
      <c r="C7409">
        <v>-41</v>
      </c>
    </row>
    <row r="7410" spans="1:3" x14ac:dyDescent="0.25">
      <c r="A7410">
        <v>39</v>
      </c>
      <c r="B7410" t="str">
        <f>"9:01:37.435197"</f>
        <v>9:01:37.435197</v>
      </c>
      <c r="C7410">
        <v>-46</v>
      </c>
    </row>
    <row r="7411" spans="1:3" x14ac:dyDescent="0.25">
      <c r="A7411">
        <v>37</v>
      </c>
      <c r="B7411" t="str">
        <f>"9:01:37.790748"</f>
        <v>9:01:37.790748</v>
      </c>
      <c r="C7411">
        <v>-44</v>
      </c>
    </row>
    <row r="7412" spans="1:3" x14ac:dyDescent="0.25">
      <c r="A7412">
        <v>39</v>
      </c>
      <c r="B7412" t="str">
        <f>"9:01:37.792801"</f>
        <v>9:01:37.792801</v>
      </c>
      <c r="C7412">
        <v>-46</v>
      </c>
    </row>
    <row r="7413" spans="1:3" x14ac:dyDescent="0.25">
      <c r="A7413">
        <v>37</v>
      </c>
      <c r="B7413" t="str">
        <f>"9:01:38.148198"</f>
        <v>9:01:38.148198</v>
      </c>
      <c r="C7413">
        <v>-44</v>
      </c>
    </row>
    <row r="7414" spans="1:3" x14ac:dyDescent="0.25">
      <c r="A7414">
        <v>38</v>
      </c>
      <c r="B7414" t="str">
        <f>"9:01:38.149226"</f>
        <v>9:01:38.149226</v>
      </c>
      <c r="C7414">
        <v>-41</v>
      </c>
    </row>
    <row r="7415" spans="1:3" x14ac:dyDescent="0.25">
      <c r="A7415">
        <v>38</v>
      </c>
      <c r="B7415" t="str">
        <f>"9:01:38.149744"</f>
        <v>9:01:38.149744</v>
      </c>
      <c r="C7415">
        <v>-31</v>
      </c>
    </row>
    <row r="7416" spans="1:3" x14ac:dyDescent="0.25">
      <c r="A7416">
        <v>38</v>
      </c>
      <c r="B7416" t="str">
        <f>"9:01:38.150070"</f>
        <v>9:01:38.150070</v>
      </c>
      <c r="C7416">
        <v>-41</v>
      </c>
    </row>
    <row r="7417" spans="1:3" x14ac:dyDescent="0.25">
      <c r="A7417">
        <v>39</v>
      </c>
      <c r="B7417" t="str">
        <f>"9:01:38.150846"</f>
        <v>9:01:38.150846</v>
      </c>
      <c r="C7417">
        <v>-46</v>
      </c>
    </row>
    <row r="7418" spans="1:3" x14ac:dyDescent="0.25">
      <c r="A7418">
        <v>39</v>
      </c>
      <c r="B7418" t="str">
        <f>"9:01:38.151364"</f>
        <v>9:01:38.151364</v>
      </c>
      <c r="C7418">
        <v>-79</v>
      </c>
    </row>
    <row r="7419" spans="1:3" x14ac:dyDescent="0.25">
      <c r="A7419">
        <v>39</v>
      </c>
      <c r="B7419" t="str">
        <f>"9:01:38.151691"</f>
        <v>9:01:38.151691</v>
      </c>
      <c r="C7419">
        <v>-45</v>
      </c>
    </row>
    <row r="7420" spans="1:3" x14ac:dyDescent="0.25">
      <c r="A7420">
        <v>37</v>
      </c>
      <c r="B7420" t="str">
        <f>"9:01:38.508209"</f>
        <v>9:01:38.508209</v>
      </c>
      <c r="C7420">
        <v>-44</v>
      </c>
    </row>
    <row r="7421" spans="1:3" x14ac:dyDescent="0.25">
      <c r="A7421">
        <v>38</v>
      </c>
      <c r="B7421" t="str">
        <f>"9:01:38.509236"</f>
        <v>9:01:38.509236</v>
      </c>
      <c r="C7421">
        <v>-41</v>
      </c>
    </row>
    <row r="7422" spans="1:3" x14ac:dyDescent="0.25">
      <c r="A7422">
        <v>38</v>
      </c>
      <c r="B7422" t="str">
        <f>"9:01:38.509755"</f>
        <v>9:01:38.509755</v>
      </c>
      <c r="C7422">
        <v>-31</v>
      </c>
    </row>
    <row r="7423" spans="1:3" x14ac:dyDescent="0.25">
      <c r="A7423">
        <v>38</v>
      </c>
      <c r="B7423" t="str">
        <f>"9:01:38.510081"</f>
        <v>9:01:38.510081</v>
      </c>
      <c r="C7423">
        <v>-41</v>
      </c>
    </row>
    <row r="7424" spans="1:3" x14ac:dyDescent="0.25">
      <c r="A7424">
        <v>39</v>
      </c>
      <c r="B7424" t="str">
        <f>"9:01:38.510856"</f>
        <v>9:01:38.510856</v>
      </c>
      <c r="C7424">
        <v>-46</v>
      </c>
    </row>
    <row r="7425" spans="1:3" x14ac:dyDescent="0.25">
      <c r="A7425">
        <v>37</v>
      </c>
      <c r="B7425" t="str">
        <f>"9:01:38.862828"</f>
        <v>9:01:38.862828</v>
      </c>
      <c r="C7425">
        <v>-44</v>
      </c>
    </row>
    <row r="7426" spans="1:3" x14ac:dyDescent="0.25">
      <c r="A7426">
        <v>38</v>
      </c>
      <c r="B7426" t="str">
        <f>"9:01:38.863856"</f>
        <v>9:01:38.863856</v>
      </c>
      <c r="C7426">
        <v>-41</v>
      </c>
    </row>
    <row r="7427" spans="1:3" x14ac:dyDescent="0.25">
      <c r="A7427">
        <v>38</v>
      </c>
      <c r="B7427" t="str">
        <f>"9:01:38.864374"</f>
        <v>9:01:38.864374</v>
      </c>
      <c r="C7427">
        <v>-31</v>
      </c>
    </row>
    <row r="7428" spans="1:3" x14ac:dyDescent="0.25">
      <c r="A7428">
        <v>38</v>
      </c>
      <c r="B7428" t="str">
        <f>"9:01:38.864700"</f>
        <v>9:01:38.864700</v>
      </c>
      <c r="C7428">
        <v>-41</v>
      </c>
    </row>
    <row r="7429" spans="1:3" x14ac:dyDescent="0.25">
      <c r="A7429">
        <v>39</v>
      </c>
      <c r="B7429" t="str">
        <f>"9:01:38.865476"</f>
        <v>9:01:38.865476</v>
      </c>
      <c r="C7429">
        <v>-46</v>
      </c>
    </row>
    <row r="7430" spans="1:3" x14ac:dyDescent="0.25">
      <c r="A7430">
        <v>37</v>
      </c>
      <c r="B7430" t="str">
        <f>"9:01:39.219000"</f>
        <v>9:01:39.219000</v>
      </c>
      <c r="C7430">
        <v>-44</v>
      </c>
    </row>
    <row r="7431" spans="1:3" x14ac:dyDescent="0.25">
      <c r="A7431">
        <v>38</v>
      </c>
      <c r="B7431" t="str">
        <f>"9:01:39.220027"</f>
        <v>9:01:39.220027</v>
      </c>
      <c r="C7431">
        <v>-41</v>
      </c>
    </row>
    <row r="7432" spans="1:3" x14ac:dyDescent="0.25">
      <c r="A7432">
        <v>38</v>
      </c>
      <c r="B7432" t="str">
        <f>"9:01:39.220546"</f>
        <v>9:01:39.220546</v>
      </c>
      <c r="C7432">
        <v>-31</v>
      </c>
    </row>
    <row r="7433" spans="1:3" x14ac:dyDescent="0.25">
      <c r="A7433">
        <v>38</v>
      </c>
      <c r="B7433" t="str">
        <f>"9:01:39.220872"</f>
        <v>9:01:39.220872</v>
      </c>
      <c r="C7433">
        <v>-41</v>
      </c>
    </row>
    <row r="7434" spans="1:3" x14ac:dyDescent="0.25">
      <c r="A7434">
        <v>39</v>
      </c>
      <c r="B7434" t="str">
        <f>"9:01:39.221648"</f>
        <v>9:01:39.221648</v>
      </c>
      <c r="C7434">
        <v>-46</v>
      </c>
    </row>
    <row r="7435" spans="1:3" x14ac:dyDescent="0.25">
      <c r="A7435">
        <v>37</v>
      </c>
      <c r="B7435" t="str">
        <f>"9:01:39.577970"</f>
        <v>9:01:39.577970</v>
      </c>
      <c r="C7435">
        <v>-44</v>
      </c>
    </row>
    <row r="7436" spans="1:3" x14ac:dyDescent="0.25">
      <c r="A7436">
        <v>38</v>
      </c>
      <c r="B7436" t="str">
        <f>"9:01:39.578997"</f>
        <v>9:01:39.578997</v>
      </c>
      <c r="C7436">
        <v>-41</v>
      </c>
    </row>
    <row r="7437" spans="1:3" x14ac:dyDescent="0.25">
      <c r="A7437">
        <v>39</v>
      </c>
      <c r="B7437" t="str">
        <f>"9:01:39.580024"</f>
        <v>9:01:39.580024</v>
      </c>
      <c r="C7437">
        <v>-46</v>
      </c>
    </row>
    <row r="7438" spans="1:3" x14ac:dyDescent="0.25">
      <c r="A7438">
        <v>39</v>
      </c>
      <c r="B7438" t="str">
        <f>"9:01:39.580542"</f>
        <v>9:01:39.580542</v>
      </c>
      <c r="C7438">
        <v>-31</v>
      </c>
    </row>
    <row r="7439" spans="1:3" x14ac:dyDescent="0.25">
      <c r="A7439">
        <v>39</v>
      </c>
      <c r="B7439" t="str">
        <f>"9:01:39.580869"</f>
        <v>9:01:39.580869</v>
      </c>
      <c r="C7439">
        <v>-45</v>
      </c>
    </row>
    <row r="7440" spans="1:3" x14ac:dyDescent="0.25">
      <c r="A7440">
        <v>37</v>
      </c>
      <c r="B7440" t="str">
        <f>"9:01:39.933852"</f>
        <v>9:01:39.933852</v>
      </c>
      <c r="C7440">
        <v>-44</v>
      </c>
    </row>
    <row r="7441" spans="1:3" x14ac:dyDescent="0.25">
      <c r="A7441">
        <v>38</v>
      </c>
      <c r="B7441" t="str">
        <f>"9:01:39.935012"</f>
        <v>9:01:39.935012</v>
      </c>
      <c r="C7441">
        <v>-41</v>
      </c>
    </row>
    <row r="7442" spans="1:3" x14ac:dyDescent="0.25">
      <c r="A7442">
        <v>39</v>
      </c>
      <c r="B7442" t="str">
        <f>"9:01:39.936038"</f>
        <v>9:01:39.936038</v>
      </c>
      <c r="C7442">
        <v>-46</v>
      </c>
    </row>
    <row r="7443" spans="1:3" x14ac:dyDescent="0.25">
      <c r="A7443">
        <v>37</v>
      </c>
      <c r="B7443" t="str">
        <f>"9:01:40.289467"</f>
        <v>9:01:40.289467</v>
      </c>
      <c r="C7443">
        <v>-44</v>
      </c>
    </row>
    <row r="7444" spans="1:3" x14ac:dyDescent="0.25">
      <c r="A7444">
        <v>38</v>
      </c>
      <c r="B7444" t="str">
        <f>"9:01:40.290494"</f>
        <v>9:01:40.290494</v>
      </c>
      <c r="C7444">
        <v>-41</v>
      </c>
    </row>
    <row r="7445" spans="1:3" x14ac:dyDescent="0.25">
      <c r="A7445">
        <v>39</v>
      </c>
      <c r="B7445" t="str">
        <f>"9:01:40.291520"</f>
        <v>9:01:40.291520</v>
      </c>
      <c r="C7445">
        <v>-46</v>
      </c>
    </row>
    <row r="7446" spans="1:3" x14ac:dyDescent="0.25">
      <c r="A7446">
        <v>39</v>
      </c>
      <c r="B7446" t="str">
        <f>"9:01:40.292038"</f>
        <v>9:01:40.292038</v>
      </c>
      <c r="C7446">
        <v>-30</v>
      </c>
    </row>
    <row r="7447" spans="1:3" x14ac:dyDescent="0.25">
      <c r="A7447">
        <v>39</v>
      </c>
      <c r="B7447" t="str">
        <f>"9:01:40.292364"</f>
        <v>9:01:40.292364</v>
      </c>
      <c r="C7447">
        <v>-45</v>
      </c>
    </row>
    <row r="7448" spans="1:3" x14ac:dyDescent="0.25">
      <c r="A7448">
        <v>37</v>
      </c>
      <c r="B7448" t="str">
        <f>"9:01:40.647186"</f>
        <v>9:01:40.647186</v>
      </c>
      <c r="C7448">
        <v>-44</v>
      </c>
    </row>
    <row r="7449" spans="1:3" x14ac:dyDescent="0.25">
      <c r="A7449">
        <v>38</v>
      </c>
      <c r="B7449" t="str">
        <f>"9:01:40.648213"</f>
        <v>9:01:40.648213</v>
      </c>
      <c r="C7449">
        <v>-41</v>
      </c>
    </row>
    <row r="7450" spans="1:3" x14ac:dyDescent="0.25">
      <c r="A7450">
        <v>39</v>
      </c>
      <c r="B7450" t="str">
        <f>"9:01:40.649240"</f>
        <v>9:01:40.649240</v>
      </c>
      <c r="C7450">
        <v>-46</v>
      </c>
    </row>
    <row r="7451" spans="1:3" x14ac:dyDescent="0.25">
      <c r="A7451">
        <v>39</v>
      </c>
      <c r="B7451" t="str">
        <f>"9:01:40.649757"</f>
        <v>9:01:40.649757</v>
      </c>
      <c r="C7451">
        <v>-30</v>
      </c>
    </row>
    <row r="7452" spans="1:3" x14ac:dyDescent="0.25">
      <c r="A7452">
        <v>39</v>
      </c>
      <c r="B7452" t="str">
        <f>"9:01:40.650084"</f>
        <v>9:01:40.650084</v>
      </c>
      <c r="C7452">
        <v>-45</v>
      </c>
    </row>
    <row r="7453" spans="1:3" x14ac:dyDescent="0.25">
      <c r="A7453">
        <v>37</v>
      </c>
      <c r="B7453" t="str">
        <f>"9:01:41.000519"</f>
        <v>9:01:41.000519</v>
      </c>
      <c r="C7453">
        <v>-44</v>
      </c>
    </row>
    <row r="7454" spans="1:3" x14ac:dyDescent="0.25">
      <c r="A7454">
        <v>38</v>
      </c>
      <c r="B7454" t="str">
        <f>"9:01:41.001546"</f>
        <v>9:01:41.001546</v>
      </c>
      <c r="C7454">
        <v>-41</v>
      </c>
    </row>
    <row r="7455" spans="1:3" x14ac:dyDescent="0.25">
      <c r="A7455">
        <v>39</v>
      </c>
      <c r="B7455" t="str">
        <f>"9:01:41.002572"</f>
        <v>9:01:41.002572</v>
      </c>
      <c r="C7455">
        <v>-46</v>
      </c>
    </row>
    <row r="7456" spans="1:3" x14ac:dyDescent="0.25">
      <c r="A7456">
        <v>39</v>
      </c>
      <c r="B7456" t="str">
        <f>"9:01:41.003090"</f>
        <v>9:01:41.003090</v>
      </c>
      <c r="C7456">
        <v>-30</v>
      </c>
    </row>
    <row r="7457" spans="1:3" x14ac:dyDescent="0.25">
      <c r="A7457">
        <v>39</v>
      </c>
      <c r="B7457" t="str">
        <f>"9:01:41.003416"</f>
        <v>9:01:41.003416</v>
      </c>
      <c r="C7457">
        <v>-45</v>
      </c>
    </row>
    <row r="7458" spans="1:3" x14ac:dyDescent="0.25">
      <c r="A7458">
        <v>37</v>
      </c>
      <c r="B7458" t="str">
        <f>"9:01:41.352091"</f>
        <v>9:01:41.352091</v>
      </c>
      <c r="C7458">
        <v>-44</v>
      </c>
    </row>
    <row r="7459" spans="1:3" x14ac:dyDescent="0.25">
      <c r="A7459">
        <v>38</v>
      </c>
      <c r="B7459" t="str">
        <f>"9:01:41.353118"</f>
        <v>9:01:41.353118</v>
      </c>
      <c r="C7459">
        <v>-41</v>
      </c>
    </row>
    <row r="7460" spans="1:3" x14ac:dyDescent="0.25">
      <c r="A7460">
        <v>39</v>
      </c>
      <c r="B7460" t="str">
        <f>"9:01:41.354144"</f>
        <v>9:01:41.354144</v>
      </c>
      <c r="C7460">
        <v>-46</v>
      </c>
    </row>
    <row r="7461" spans="1:3" x14ac:dyDescent="0.25">
      <c r="A7461">
        <v>39</v>
      </c>
      <c r="B7461" t="str">
        <f>"9:01:41.354663"</f>
        <v>9:01:41.354663</v>
      </c>
      <c r="C7461">
        <v>-31</v>
      </c>
    </row>
    <row r="7462" spans="1:3" x14ac:dyDescent="0.25">
      <c r="A7462">
        <v>39</v>
      </c>
      <c r="B7462" t="str">
        <f>"9:01:41.354988"</f>
        <v>9:01:41.354988</v>
      </c>
      <c r="C7462">
        <v>-45</v>
      </c>
    </row>
    <row r="7463" spans="1:3" x14ac:dyDescent="0.25">
      <c r="A7463">
        <v>37</v>
      </c>
      <c r="B7463" t="str">
        <f>"9:01:41.707765"</f>
        <v>9:01:41.707765</v>
      </c>
      <c r="C7463">
        <v>-44</v>
      </c>
    </row>
    <row r="7464" spans="1:3" x14ac:dyDescent="0.25">
      <c r="A7464">
        <v>38</v>
      </c>
      <c r="B7464" t="str">
        <f>"9:01:41.708793"</f>
        <v>9:01:41.708793</v>
      </c>
      <c r="C7464">
        <v>-41</v>
      </c>
    </row>
    <row r="7465" spans="1:3" x14ac:dyDescent="0.25">
      <c r="A7465">
        <v>39</v>
      </c>
      <c r="B7465" t="str">
        <f>"9:01:41.709819"</f>
        <v>9:01:41.709819</v>
      </c>
      <c r="C7465">
        <v>-46</v>
      </c>
    </row>
    <row r="7466" spans="1:3" x14ac:dyDescent="0.25">
      <c r="A7466">
        <v>37</v>
      </c>
      <c r="B7466" t="str">
        <f>"9:01:42.062055"</f>
        <v>9:01:42.062055</v>
      </c>
      <c r="C7466">
        <v>-44</v>
      </c>
    </row>
    <row r="7467" spans="1:3" x14ac:dyDescent="0.25">
      <c r="A7467">
        <v>37</v>
      </c>
      <c r="B7467" t="str">
        <f>"9:01:42.062901"</f>
        <v>9:01:42.062901</v>
      </c>
      <c r="C7467">
        <v>-44</v>
      </c>
    </row>
    <row r="7468" spans="1:3" x14ac:dyDescent="0.25">
      <c r="A7468">
        <v>38</v>
      </c>
      <c r="B7468" t="str">
        <f>"9:01:42.063677"</f>
        <v>9:01:42.063677</v>
      </c>
      <c r="C7468">
        <v>-41</v>
      </c>
    </row>
    <row r="7469" spans="1:3" x14ac:dyDescent="0.25">
      <c r="A7469">
        <v>39</v>
      </c>
      <c r="B7469" t="str">
        <f>"9:01:42.064703"</f>
        <v>9:01:42.064703</v>
      </c>
      <c r="C7469">
        <v>-46</v>
      </c>
    </row>
    <row r="7470" spans="1:3" x14ac:dyDescent="0.25">
      <c r="A7470">
        <v>39</v>
      </c>
      <c r="B7470" t="str">
        <f>"9:01:42.065221"</f>
        <v>9:01:42.065221</v>
      </c>
      <c r="C7470">
        <v>-30</v>
      </c>
    </row>
    <row r="7471" spans="1:3" x14ac:dyDescent="0.25">
      <c r="A7471">
        <v>39</v>
      </c>
      <c r="B7471" t="str">
        <f>"9:01:42.065547"</f>
        <v>9:01:42.065547</v>
      </c>
      <c r="C7471">
        <v>-45</v>
      </c>
    </row>
    <row r="7472" spans="1:3" x14ac:dyDescent="0.25">
      <c r="A7472">
        <v>37</v>
      </c>
      <c r="B7472" t="str">
        <f>"9:01:42.413854"</f>
        <v>9:01:42.413854</v>
      </c>
      <c r="C7472">
        <v>-44</v>
      </c>
    </row>
    <row r="7473" spans="1:3" x14ac:dyDescent="0.25">
      <c r="A7473">
        <v>38</v>
      </c>
      <c r="B7473" t="str">
        <f>"9:01:42.414881"</f>
        <v>9:01:42.414881</v>
      </c>
      <c r="C7473">
        <v>-41</v>
      </c>
    </row>
    <row r="7474" spans="1:3" x14ac:dyDescent="0.25">
      <c r="A7474">
        <v>39</v>
      </c>
      <c r="B7474" t="str">
        <f>"9:01:42.415907"</f>
        <v>9:01:42.415907</v>
      </c>
      <c r="C7474">
        <v>-46</v>
      </c>
    </row>
    <row r="7475" spans="1:3" x14ac:dyDescent="0.25">
      <c r="A7475">
        <v>39</v>
      </c>
      <c r="B7475" t="str">
        <f>"9:01:42.416425"</f>
        <v>9:01:42.416425</v>
      </c>
      <c r="C7475">
        <v>-31</v>
      </c>
    </row>
    <row r="7476" spans="1:3" x14ac:dyDescent="0.25">
      <c r="A7476">
        <v>39</v>
      </c>
      <c r="B7476" t="str">
        <f>"9:01:42.416751"</f>
        <v>9:01:42.416751</v>
      </c>
      <c r="C7476">
        <v>-45</v>
      </c>
    </row>
    <row r="7477" spans="1:3" x14ac:dyDescent="0.25">
      <c r="A7477">
        <v>37</v>
      </c>
      <c r="B7477" t="str">
        <f>"9:01:42.768465"</f>
        <v>9:01:42.768465</v>
      </c>
      <c r="C7477">
        <v>-44</v>
      </c>
    </row>
    <row r="7478" spans="1:3" x14ac:dyDescent="0.25">
      <c r="A7478">
        <v>38</v>
      </c>
      <c r="B7478" t="str">
        <f>"9:01:42.769492"</f>
        <v>9:01:42.769492</v>
      </c>
      <c r="C7478">
        <v>-41</v>
      </c>
    </row>
    <row r="7479" spans="1:3" x14ac:dyDescent="0.25">
      <c r="A7479">
        <v>39</v>
      </c>
      <c r="B7479" t="str">
        <f>"9:01:42.770518"</f>
        <v>9:01:42.770518</v>
      </c>
      <c r="C7479">
        <v>-45</v>
      </c>
    </row>
    <row r="7480" spans="1:3" x14ac:dyDescent="0.25">
      <c r="A7480">
        <v>39</v>
      </c>
      <c r="B7480" t="str">
        <f>"9:01:42.771037"</f>
        <v>9:01:42.771037</v>
      </c>
      <c r="C7480">
        <v>-31</v>
      </c>
    </row>
    <row r="7481" spans="1:3" x14ac:dyDescent="0.25">
      <c r="A7481">
        <v>39</v>
      </c>
      <c r="B7481" t="str">
        <f>"9:01:42.771363"</f>
        <v>9:01:42.771363</v>
      </c>
      <c r="C7481">
        <v>-45</v>
      </c>
    </row>
    <row r="7482" spans="1:3" x14ac:dyDescent="0.25">
      <c r="A7482">
        <v>37</v>
      </c>
      <c r="B7482" t="str">
        <f>"9:01:43.123066"</f>
        <v>9:01:43.123066</v>
      </c>
      <c r="C7482">
        <v>-44</v>
      </c>
    </row>
    <row r="7483" spans="1:3" x14ac:dyDescent="0.25">
      <c r="A7483">
        <v>38</v>
      </c>
      <c r="B7483" t="str">
        <f>"9:01:43.124093"</f>
        <v>9:01:43.124093</v>
      </c>
      <c r="C7483">
        <v>-41</v>
      </c>
    </row>
    <row r="7484" spans="1:3" x14ac:dyDescent="0.25">
      <c r="A7484">
        <v>39</v>
      </c>
      <c r="B7484" t="str">
        <f>"9:01:43.125119"</f>
        <v>9:01:43.125119</v>
      </c>
      <c r="C7484">
        <v>-46</v>
      </c>
    </row>
    <row r="7485" spans="1:3" x14ac:dyDescent="0.25">
      <c r="A7485">
        <v>37</v>
      </c>
      <c r="B7485" t="str">
        <f>"9:01:43.477439"</f>
        <v>9:01:43.477439</v>
      </c>
      <c r="C7485">
        <v>-44</v>
      </c>
    </row>
    <row r="7486" spans="1:3" x14ac:dyDescent="0.25">
      <c r="A7486">
        <v>38</v>
      </c>
      <c r="B7486" t="str">
        <f>"9:01:43.478467"</f>
        <v>9:01:43.478467</v>
      </c>
      <c r="C7486">
        <v>-41</v>
      </c>
    </row>
    <row r="7487" spans="1:3" x14ac:dyDescent="0.25">
      <c r="A7487">
        <v>39</v>
      </c>
      <c r="B7487" t="str">
        <f>"9:01:43.479493"</f>
        <v>9:01:43.479493</v>
      </c>
      <c r="C7487">
        <v>-46</v>
      </c>
    </row>
    <row r="7488" spans="1:3" x14ac:dyDescent="0.25">
      <c r="A7488">
        <v>39</v>
      </c>
      <c r="B7488" t="str">
        <f>"9:01:43.480011"</f>
        <v>9:01:43.480011</v>
      </c>
      <c r="C7488">
        <v>-30</v>
      </c>
    </row>
    <row r="7489" spans="1:3" x14ac:dyDescent="0.25">
      <c r="A7489">
        <v>39</v>
      </c>
      <c r="B7489" t="str">
        <f>"9:01:43.480337"</f>
        <v>9:01:43.480337</v>
      </c>
      <c r="C7489">
        <v>-45</v>
      </c>
    </row>
    <row r="7490" spans="1:3" x14ac:dyDescent="0.25">
      <c r="A7490">
        <v>37</v>
      </c>
      <c r="B7490" t="str">
        <f>"9:01:43.836877"</f>
        <v>9:01:43.836877</v>
      </c>
      <c r="C7490">
        <v>-44</v>
      </c>
    </row>
    <row r="7491" spans="1:3" x14ac:dyDescent="0.25">
      <c r="A7491">
        <v>38</v>
      </c>
      <c r="B7491" t="str">
        <f>"9:01:43.837904"</f>
        <v>9:01:43.837904</v>
      </c>
      <c r="C7491">
        <v>-41</v>
      </c>
    </row>
    <row r="7492" spans="1:3" x14ac:dyDescent="0.25">
      <c r="A7492">
        <v>39</v>
      </c>
      <c r="B7492" t="str">
        <f>"9:01:43.838930"</f>
        <v>9:01:43.838930</v>
      </c>
      <c r="C7492">
        <v>-46</v>
      </c>
    </row>
    <row r="7493" spans="1:3" x14ac:dyDescent="0.25">
      <c r="A7493">
        <v>39</v>
      </c>
      <c r="B7493" t="str">
        <f>"9:01:43.839448"</f>
        <v>9:01:43.839448</v>
      </c>
      <c r="C7493">
        <v>-30</v>
      </c>
    </row>
    <row r="7494" spans="1:3" x14ac:dyDescent="0.25">
      <c r="A7494">
        <v>39</v>
      </c>
      <c r="B7494" t="str">
        <f>"9:01:43.839774"</f>
        <v>9:01:43.839774</v>
      </c>
      <c r="C7494">
        <v>-45</v>
      </c>
    </row>
    <row r="7495" spans="1:3" x14ac:dyDescent="0.25">
      <c r="A7495">
        <v>37</v>
      </c>
      <c r="B7495" t="str">
        <f>"9:01:44.187908"</f>
        <v>9:01:44.187908</v>
      </c>
      <c r="C7495">
        <v>-45</v>
      </c>
    </row>
    <row r="7496" spans="1:3" x14ac:dyDescent="0.25">
      <c r="A7496">
        <v>38</v>
      </c>
      <c r="B7496" t="str">
        <f>"9:01:44.188936"</f>
        <v>9:01:44.188936</v>
      </c>
      <c r="C7496">
        <v>-41</v>
      </c>
    </row>
    <row r="7497" spans="1:3" x14ac:dyDescent="0.25">
      <c r="A7497">
        <v>39</v>
      </c>
      <c r="B7497" t="str">
        <f>"9:01:44.189962"</f>
        <v>9:01:44.189962</v>
      </c>
      <c r="C7497">
        <v>-46</v>
      </c>
    </row>
    <row r="7498" spans="1:3" x14ac:dyDescent="0.25">
      <c r="A7498">
        <v>37</v>
      </c>
      <c r="B7498" t="str">
        <f>"9:01:44.542036"</f>
        <v>9:01:44.542036</v>
      </c>
      <c r="C7498">
        <v>-44</v>
      </c>
    </row>
    <row r="7499" spans="1:3" x14ac:dyDescent="0.25">
      <c r="A7499">
        <v>37</v>
      </c>
      <c r="B7499" t="str">
        <f>"9:01:44.542555"</f>
        <v>9:01:44.542555</v>
      </c>
      <c r="C7499">
        <v>-36</v>
      </c>
    </row>
    <row r="7500" spans="1:3" x14ac:dyDescent="0.25">
      <c r="A7500">
        <v>37</v>
      </c>
      <c r="B7500" t="str">
        <f>"9:01:44.542881"</f>
        <v>9:01:44.542881</v>
      </c>
      <c r="C7500">
        <v>-44</v>
      </c>
    </row>
    <row r="7501" spans="1:3" x14ac:dyDescent="0.25">
      <c r="A7501">
        <v>38</v>
      </c>
      <c r="B7501" t="str">
        <f>"9:01:44.543658"</f>
        <v>9:01:44.543658</v>
      </c>
      <c r="C7501">
        <v>-41</v>
      </c>
    </row>
    <row r="7502" spans="1:3" x14ac:dyDescent="0.25">
      <c r="A7502">
        <v>39</v>
      </c>
      <c r="B7502" t="str">
        <f>"9:01:44.544684"</f>
        <v>9:01:44.544684</v>
      </c>
      <c r="C7502">
        <v>-46</v>
      </c>
    </row>
    <row r="7503" spans="1:3" x14ac:dyDescent="0.25">
      <c r="A7503">
        <v>38</v>
      </c>
      <c r="B7503" t="str">
        <f>"9:01:44.896603"</f>
        <v>9:01:44.896603</v>
      </c>
      <c r="C7503">
        <v>-41</v>
      </c>
    </row>
    <row r="7504" spans="1:3" x14ac:dyDescent="0.25">
      <c r="A7504">
        <v>38</v>
      </c>
      <c r="B7504" t="str">
        <f>"9:01:44.897447"</f>
        <v>9:01:44.897447</v>
      </c>
      <c r="C7504">
        <v>-41</v>
      </c>
    </row>
    <row r="7505" spans="1:3" x14ac:dyDescent="0.25">
      <c r="A7505">
        <v>39</v>
      </c>
      <c r="B7505" t="str">
        <f>"9:01:44.898223"</f>
        <v>9:01:44.898223</v>
      </c>
      <c r="C7505">
        <v>-45</v>
      </c>
    </row>
    <row r="7506" spans="1:3" x14ac:dyDescent="0.25">
      <c r="A7506">
        <v>37</v>
      </c>
      <c r="B7506" t="str">
        <f>"9:01:45.245802"</f>
        <v>9:01:45.245802</v>
      </c>
      <c r="C7506">
        <v>-44</v>
      </c>
    </row>
    <row r="7507" spans="1:3" x14ac:dyDescent="0.25">
      <c r="A7507">
        <v>37</v>
      </c>
      <c r="B7507" t="str">
        <f>"9:01:45.246321"</f>
        <v>9:01:45.246321</v>
      </c>
      <c r="C7507">
        <v>-36</v>
      </c>
    </row>
    <row r="7508" spans="1:3" x14ac:dyDescent="0.25">
      <c r="A7508">
        <v>37</v>
      </c>
      <c r="B7508" t="str">
        <f>"9:01:45.246646"</f>
        <v>9:01:45.246646</v>
      </c>
      <c r="C7508">
        <v>-44</v>
      </c>
    </row>
    <row r="7509" spans="1:3" x14ac:dyDescent="0.25">
      <c r="A7509">
        <v>38</v>
      </c>
      <c r="B7509" t="str">
        <f>"9:01:45.247422"</f>
        <v>9:01:45.247422</v>
      </c>
      <c r="C7509">
        <v>-41</v>
      </c>
    </row>
    <row r="7510" spans="1:3" x14ac:dyDescent="0.25">
      <c r="A7510">
        <v>39</v>
      </c>
      <c r="B7510" t="str">
        <f>"9:01:45.248448"</f>
        <v>9:01:45.248448</v>
      </c>
      <c r="C7510">
        <v>-45</v>
      </c>
    </row>
    <row r="7511" spans="1:3" x14ac:dyDescent="0.25">
      <c r="A7511">
        <v>37</v>
      </c>
      <c r="B7511" t="str">
        <f>"9:01:45.599684"</f>
        <v>9:01:45.599684</v>
      </c>
      <c r="C7511">
        <v>-44</v>
      </c>
    </row>
    <row r="7512" spans="1:3" x14ac:dyDescent="0.25">
      <c r="A7512">
        <v>37</v>
      </c>
      <c r="B7512" t="str">
        <f>"9:01:45.600203"</f>
        <v>9:01:45.600203</v>
      </c>
      <c r="C7512">
        <v>-36</v>
      </c>
    </row>
    <row r="7513" spans="1:3" x14ac:dyDescent="0.25">
      <c r="A7513">
        <v>37</v>
      </c>
      <c r="B7513" t="str">
        <f>"9:01:45.600529"</f>
        <v>9:01:45.600529</v>
      </c>
      <c r="C7513">
        <v>-44</v>
      </c>
    </row>
    <row r="7514" spans="1:3" x14ac:dyDescent="0.25">
      <c r="A7514">
        <v>38</v>
      </c>
      <c r="B7514" t="str">
        <f>"9:01:45.601305"</f>
        <v>9:01:45.601305</v>
      </c>
      <c r="C7514">
        <v>-41</v>
      </c>
    </row>
    <row r="7515" spans="1:3" x14ac:dyDescent="0.25">
      <c r="A7515">
        <v>39</v>
      </c>
      <c r="B7515" t="str">
        <f>"9:01:45.602331"</f>
        <v>9:01:45.602331</v>
      </c>
      <c r="C7515">
        <v>-46</v>
      </c>
    </row>
    <row r="7516" spans="1:3" x14ac:dyDescent="0.25">
      <c r="A7516">
        <v>39</v>
      </c>
      <c r="B7516" t="str">
        <f>"9:01:45.603175"</f>
        <v>9:01:45.603175</v>
      </c>
      <c r="C7516">
        <v>-46</v>
      </c>
    </row>
    <row r="7517" spans="1:3" x14ac:dyDescent="0.25">
      <c r="A7517">
        <v>37</v>
      </c>
      <c r="B7517" t="str">
        <f>"9:01:45.952961"</f>
        <v>9:01:45.952961</v>
      </c>
      <c r="C7517">
        <v>-44</v>
      </c>
    </row>
    <row r="7518" spans="1:3" x14ac:dyDescent="0.25">
      <c r="A7518">
        <v>37</v>
      </c>
      <c r="B7518" t="str">
        <f>"9:01:45.953480"</f>
        <v>9:01:45.953480</v>
      </c>
      <c r="C7518">
        <v>-36</v>
      </c>
    </row>
    <row r="7519" spans="1:3" x14ac:dyDescent="0.25">
      <c r="A7519">
        <v>37</v>
      </c>
      <c r="B7519" t="str">
        <f>"9:01:45.953805"</f>
        <v>9:01:45.953805</v>
      </c>
      <c r="C7519">
        <v>-44</v>
      </c>
    </row>
    <row r="7520" spans="1:3" x14ac:dyDescent="0.25">
      <c r="A7520">
        <v>38</v>
      </c>
      <c r="B7520" t="str">
        <f>"9:01:45.954582"</f>
        <v>9:01:45.954582</v>
      </c>
      <c r="C7520">
        <v>-41</v>
      </c>
    </row>
    <row r="7521" spans="1:3" x14ac:dyDescent="0.25">
      <c r="A7521">
        <v>39</v>
      </c>
      <c r="B7521" t="str">
        <f>"9:01:45.955608"</f>
        <v>9:01:45.955608</v>
      </c>
      <c r="C7521">
        <v>-46</v>
      </c>
    </row>
    <row r="7522" spans="1:3" x14ac:dyDescent="0.25">
      <c r="A7522">
        <v>37</v>
      </c>
      <c r="B7522" t="str">
        <f>"9:01:46.303999"</f>
        <v>9:01:46.303999</v>
      </c>
      <c r="C7522">
        <v>-44</v>
      </c>
    </row>
    <row r="7523" spans="1:3" x14ac:dyDescent="0.25">
      <c r="A7523">
        <v>37</v>
      </c>
      <c r="B7523" t="str">
        <f>"9:01:46.304518"</f>
        <v>9:01:46.304518</v>
      </c>
      <c r="C7523">
        <v>-36</v>
      </c>
    </row>
    <row r="7524" spans="1:3" x14ac:dyDescent="0.25">
      <c r="A7524">
        <v>37</v>
      </c>
      <c r="B7524" t="str">
        <f>"9:01:46.304844"</f>
        <v>9:01:46.304844</v>
      </c>
      <c r="C7524">
        <v>-45</v>
      </c>
    </row>
    <row r="7525" spans="1:3" x14ac:dyDescent="0.25">
      <c r="A7525">
        <v>38</v>
      </c>
      <c r="B7525" t="str">
        <f>"9:01:46.305620"</f>
        <v>9:01:46.305620</v>
      </c>
      <c r="C7525">
        <v>-41</v>
      </c>
    </row>
    <row r="7526" spans="1:3" x14ac:dyDescent="0.25">
      <c r="A7526">
        <v>39</v>
      </c>
      <c r="B7526" t="str">
        <f>"9:01:46.306646"</f>
        <v>9:01:46.306646</v>
      </c>
      <c r="C7526">
        <v>-46</v>
      </c>
    </row>
    <row r="7527" spans="1:3" x14ac:dyDescent="0.25">
      <c r="A7527">
        <v>37</v>
      </c>
      <c r="B7527" t="str">
        <f>"9:01:46.654206"</f>
        <v>9:01:46.654206</v>
      </c>
      <c r="C7527">
        <v>-44</v>
      </c>
    </row>
    <row r="7528" spans="1:3" x14ac:dyDescent="0.25">
      <c r="A7528">
        <v>37</v>
      </c>
      <c r="B7528" t="str">
        <f>"9:01:46.654725"</f>
        <v>9:01:46.654725</v>
      </c>
      <c r="C7528">
        <v>-36</v>
      </c>
    </row>
    <row r="7529" spans="1:3" x14ac:dyDescent="0.25">
      <c r="A7529">
        <v>37</v>
      </c>
      <c r="B7529" t="str">
        <f>"9:01:46.655051"</f>
        <v>9:01:46.655051</v>
      </c>
      <c r="C7529">
        <v>-44</v>
      </c>
    </row>
    <row r="7530" spans="1:3" x14ac:dyDescent="0.25">
      <c r="A7530">
        <v>38</v>
      </c>
      <c r="B7530" t="str">
        <f>"9:01:46.655828"</f>
        <v>9:01:46.655828</v>
      </c>
      <c r="C7530">
        <v>-41</v>
      </c>
    </row>
    <row r="7531" spans="1:3" x14ac:dyDescent="0.25">
      <c r="A7531">
        <v>39</v>
      </c>
      <c r="B7531" t="str">
        <f>"9:01:46.656854"</f>
        <v>9:01:46.656854</v>
      </c>
      <c r="C7531">
        <v>-46</v>
      </c>
    </row>
    <row r="7532" spans="1:3" x14ac:dyDescent="0.25">
      <c r="A7532">
        <v>37</v>
      </c>
      <c r="B7532" t="str">
        <f>"9:01:47.005979"</f>
        <v>9:01:47.005979</v>
      </c>
      <c r="C7532">
        <v>-44</v>
      </c>
    </row>
    <row r="7533" spans="1:3" x14ac:dyDescent="0.25">
      <c r="A7533">
        <v>37</v>
      </c>
      <c r="B7533" t="str">
        <f>"9:01:47.006498"</f>
        <v>9:01:47.006498</v>
      </c>
      <c r="C7533">
        <v>-39</v>
      </c>
    </row>
    <row r="7534" spans="1:3" x14ac:dyDescent="0.25">
      <c r="A7534">
        <v>37</v>
      </c>
      <c r="B7534" t="str">
        <f>"9:01:47.006824"</f>
        <v>9:01:47.006824</v>
      </c>
      <c r="C7534">
        <v>-44</v>
      </c>
    </row>
    <row r="7535" spans="1:3" x14ac:dyDescent="0.25">
      <c r="A7535">
        <v>38</v>
      </c>
      <c r="B7535" t="str">
        <f>"9:01:47.007600"</f>
        <v>9:01:47.007600</v>
      </c>
      <c r="C7535">
        <v>-41</v>
      </c>
    </row>
    <row r="7536" spans="1:3" x14ac:dyDescent="0.25">
      <c r="A7536">
        <v>39</v>
      </c>
      <c r="B7536" t="str">
        <f>"9:01:47.008626"</f>
        <v>9:01:47.008626</v>
      </c>
      <c r="C7536">
        <v>-45</v>
      </c>
    </row>
    <row r="7537" spans="1:3" x14ac:dyDescent="0.25">
      <c r="A7537">
        <v>37</v>
      </c>
      <c r="B7537" t="str">
        <f>"9:01:47.365638"</f>
        <v>9:01:47.365638</v>
      </c>
      <c r="C7537">
        <v>-44</v>
      </c>
    </row>
    <row r="7538" spans="1:3" x14ac:dyDescent="0.25">
      <c r="A7538">
        <v>37</v>
      </c>
      <c r="B7538" t="str">
        <f>"9:01:47.366157"</f>
        <v>9:01:47.366157</v>
      </c>
      <c r="C7538">
        <v>-39</v>
      </c>
    </row>
    <row r="7539" spans="1:3" x14ac:dyDescent="0.25">
      <c r="A7539">
        <v>37</v>
      </c>
      <c r="B7539" t="str">
        <f>"9:01:47.366483"</f>
        <v>9:01:47.366483</v>
      </c>
      <c r="C7539">
        <v>-44</v>
      </c>
    </row>
    <row r="7540" spans="1:3" x14ac:dyDescent="0.25">
      <c r="A7540">
        <v>38</v>
      </c>
      <c r="B7540" t="str">
        <f>"9:01:47.367260"</f>
        <v>9:01:47.367260</v>
      </c>
      <c r="C7540">
        <v>-41</v>
      </c>
    </row>
    <row r="7541" spans="1:3" x14ac:dyDescent="0.25">
      <c r="A7541">
        <v>39</v>
      </c>
      <c r="B7541" t="str">
        <f>"9:01:47.368286"</f>
        <v>9:01:47.368286</v>
      </c>
      <c r="C7541">
        <v>-45</v>
      </c>
    </row>
    <row r="7542" spans="1:3" x14ac:dyDescent="0.25">
      <c r="A7542">
        <v>37</v>
      </c>
      <c r="B7542" t="str">
        <f>"9:01:47.719651"</f>
        <v>9:01:47.719651</v>
      </c>
      <c r="C7542">
        <v>-44</v>
      </c>
    </row>
    <row r="7543" spans="1:3" x14ac:dyDescent="0.25">
      <c r="A7543">
        <v>37</v>
      </c>
      <c r="B7543" t="str">
        <f>"9:01:47.720169"</f>
        <v>9:01:47.720169</v>
      </c>
      <c r="C7543">
        <v>-39</v>
      </c>
    </row>
    <row r="7544" spans="1:3" x14ac:dyDescent="0.25">
      <c r="A7544">
        <v>37</v>
      </c>
      <c r="B7544" t="str">
        <f>"9:01:47.720495"</f>
        <v>9:01:47.720495</v>
      </c>
      <c r="C7544">
        <v>-44</v>
      </c>
    </row>
    <row r="7545" spans="1:3" x14ac:dyDescent="0.25">
      <c r="A7545">
        <v>38</v>
      </c>
      <c r="B7545" t="str">
        <f>"9:01:47.721271"</f>
        <v>9:01:47.721271</v>
      </c>
      <c r="C7545">
        <v>-41</v>
      </c>
    </row>
    <row r="7546" spans="1:3" x14ac:dyDescent="0.25">
      <c r="A7546">
        <v>39</v>
      </c>
      <c r="B7546" t="str">
        <f>"9:01:47.722297"</f>
        <v>9:01:47.722297</v>
      </c>
      <c r="C7546">
        <v>-45</v>
      </c>
    </row>
    <row r="7547" spans="1:3" x14ac:dyDescent="0.25">
      <c r="A7547">
        <v>37</v>
      </c>
      <c r="B7547" t="str">
        <f>"9:01:48.073955"</f>
        <v>9:01:48.073955</v>
      </c>
      <c r="C7547">
        <v>-44</v>
      </c>
    </row>
    <row r="7548" spans="1:3" x14ac:dyDescent="0.25">
      <c r="A7548">
        <v>37</v>
      </c>
      <c r="B7548" t="str">
        <f>"9:01:48.074473"</f>
        <v>9:01:48.074473</v>
      </c>
      <c r="C7548">
        <v>-39</v>
      </c>
    </row>
    <row r="7549" spans="1:3" x14ac:dyDescent="0.25">
      <c r="A7549">
        <v>37</v>
      </c>
      <c r="B7549" t="str">
        <f>"9:01:48.074800"</f>
        <v>9:01:48.074800</v>
      </c>
      <c r="C7549">
        <v>-44</v>
      </c>
    </row>
    <row r="7550" spans="1:3" x14ac:dyDescent="0.25">
      <c r="A7550">
        <v>38</v>
      </c>
      <c r="B7550" t="str">
        <f>"9:01:48.075576"</f>
        <v>9:01:48.075576</v>
      </c>
      <c r="C7550">
        <v>-41</v>
      </c>
    </row>
    <row r="7551" spans="1:3" x14ac:dyDescent="0.25">
      <c r="A7551">
        <v>39</v>
      </c>
      <c r="B7551" t="str">
        <f>"9:01:48.076602"</f>
        <v>9:01:48.076602</v>
      </c>
      <c r="C7551">
        <v>-45</v>
      </c>
    </row>
    <row r="7552" spans="1:3" x14ac:dyDescent="0.25">
      <c r="A7552">
        <v>37</v>
      </c>
      <c r="B7552" t="str">
        <f>"9:01:48.425683"</f>
        <v>9:01:48.425683</v>
      </c>
      <c r="C7552">
        <v>-44</v>
      </c>
    </row>
    <row r="7553" spans="1:3" x14ac:dyDescent="0.25">
      <c r="A7553">
        <v>37</v>
      </c>
      <c r="B7553" t="str">
        <f>"9:01:48.426201"</f>
        <v>9:01:48.426201</v>
      </c>
      <c r="C7553">
        <v>-39</v>
      </c>
    </row>
    <row r="7554" spans="1:3" x14ac:dyDescent="0.25">
      <c r="A7554">
        <v>37</v>
      </c>
      <c r="B7554" t="str">
        <f>"9:01:48.426527"</f>
        <v>9:01:48.426527</v>
      </c>
      <c r="C7554">
        <v>-44</v>
      </c>
    </row>
    <row r="7555" spans="1:3" x14ac:dyDescent="0.25">
      <c r="A7555">
        <v>38</v>
      </c>
      <c r="B7555" t="str">
        <f>"9:01:48.427304"</f>
        <v>9:01:48.427304</v>
      </c>
      <c r="C7555">
        <v>-41</v>
      </c>
    </row>
    <row r="7556" spans="1:3" x14ac:dyDescent="0.25">
      <c r="A7556">
        <v>39</v>
      </c>
      <c r="B7556" t="str">
        <f>"9:01:48.428330"</f>
        <v>9:01:48.428330</v>
      </c>
      <c r="C7556">
        <v>-45</v>
      </c>
    </row>
    <row r="7557" spans="1:3" x14ac:dyDescent="0.25">
      <c r="A7557">
        <v>37</v>
      </c>
      <c r="B7557" t="str">
        <f>"9:01:48.776464"</f>
        <v>9:01:48.776464</v>
      </c>
      <c r="C7557">
        <v>-44</v>
      </c>
    </row>
    <row r="7558" spans="1:3" x14ac:dyDescent="0.25">
      <c r="A7558">
        <v>37</v>
      </c>
      <c r="B7558" t="str">
        <f>"9:01:48.776982"</f>
        <v>9:01:48.776982</v>
      </c>
      <c r="C7558">
        <v>-39</v>
      </c>
    </row>
    <row r="7559" spans="1:3" x14ac:dyDescent="0.25">
      <c r="A7559">
        <v>37</v>
      </c>
      <c r="B7559" t="str">
        <f>"9:01:48.777308"</f>
        <v>9:01:48.777308</v>
      </c>
      <c r="C7559">
        <v>-44</v>
      </c>
    </row>
    <row r="7560" spans="1:3" x14ac:dyDescent="0.25">
      <c r="A7560">
        <v>38</v>
      </c>
      <c r="B7560" t="str">
        <f>"9:01:48.778084"</f>
        <v>9:01:48.778084</v>
      </c>
      <c r="C7560">
        <v>-41</v>
      </c>
    </row>
    <row r="7561" spans="1:3" x14ac:dyDescent="0.25">
      <c r="A7561">
        <v>39</v>
      </c>
      <c r="B7561" t="str">
        <f>"9:01:48.779110"</f>
        <v>9:01:48.779110</v>
      </c>
      <c r="C7561">
        <v>-45</v>
      </c>
    </row>
    <row r="7562" spans="1:3" x14ac:dyDescent="0.25">
      <c r="A7562">
        <v>37</v>
      </c>
      <c r="B7562" t="str">
        <f>"9:01:49.132055"</f>
        <v>9:01:49.132055</v>
      </c>
      <c r="C7562">
        <v>-44</v>
      </c>
    </row>
    <row r="7563" spans="1:3" x14ac:dyDescent="0.25">
      <c r="A7563">
        <v>38</v>
      </c>
      <c r="B7563" t="str">
        <f>"9:01:49.133082"</f>
        <v>9:01:49.133082</v>
      </c>
      <c r="C7563">
        <v>-41</v>
      </c>
    </row>
    <row r="7564" spans="1:3" x14ac:dyDescent="0.25">
      <c r="A7564">
        <v>39</v>
      </c>
      <c r="B7564" t="str">
        <f>"9:01:49.134108"</f>
        <v>9:01:49.134108</v>
      </c>
      <c r="C7564">
        <v>-46</v>
      </c>
    </row>
    <row r="7565" spans="1:3" x14ac:dyDescent="0.25">
      <c r="A7565">
        <v>37</v>
      </c>
      <c r="B7565" t="str">
        <f>"9:01:49.490491"</f>
        <v>9:01:49.490491</v>
      </c>
      <c r="C7565">
        <v>-44</v>
      </c>
    </row>
    <row r="7566" spans="1:3" x14ac:dyDescent="0.25">
      <c r="A7566">
        <v>38</v>
      </c>
      <c r="B7566" t="str">
        <f>"9:01:49.491519"</f>
        <v>9:01:49.491519</v>
      </c>
      <c r="C7566">
        <v>-41</v>
      </c>
    </row>
    <row r="7567" spans="1:3" x14ac:dyDescent="0.25">
      <c r="A7567">
        <v>38</v>
      </c>
      <c r="B7567" t="str">
        <f>"9:01:49.492037"</f>
        <v>9:01:49.492037</v>
      </c>
      <c r="C7567">
        <v>-33</v>
      </c>
    </row>
    <row r="7568" spans="1:3" x14ac:dyDescent="0.25">
      <c r="A7568">
        <v>38</v>
      </c>
      <c r="B7568" t="str">
        <f>"9:01:49.492363"</f>
        <v>9:01:49.492363</v>
      </c>
      <c r="C7568">
        <v>-41</v>
      </c>
    </row>
    <row r="7569" spans="1:3" x14ac:dyDescent="0.25">
      <c r="A7569">
        <v>39</v>
      </c>
      <c r="B7569" t="str">
        <f>"9:01:49.493139"</f>
        <v>9:01:49.493139</v>
      </c>
      <c r="C7569">
        <v>-45</v>
      </c>
    </row>
    <row r="7570" spans="1:3" x14ac:dyDescent="0.25">
      <c r="A7570">
        <v>37</v>
      </c>
      <c r="B7570" t="str">
        <f>"9:01:49.849434"</f>
        <v>9:01:49.849434</v>
      </c>
      <c r="C7570">
        <v>-44</v>
      </c>
    </row>
    <row r="7571" spans="1:3" x14ac:dyDescent="0.25">
      <c r="A7571">
        <v>38</v>
      </c>
      <c r="B7571" t="str">
        <f>"9:01:49.850462"</f>
        <v>9:01:49.850462</v>
      </c>
      <c r="C7571">
        <v>-41</v>
      </c>
    </row>
    <row r="7572" spans="1:3" x14ac:dyDescent="0.25">
      <c r="A7572">
        <v>38</v>
      </c>
      <c r="B7572" t="str">
        <f>"9:01:49.850980"</f>
        <v>9:01:49.850980</v>
      </c>
      <c r="C7572">
        <v>-32</v>
      </c>
    </row>
    <row r="7573" spans="1:3" x14ac:dyDescent="0.25">
      <c r="A7573">
        <v>38</v>
      </c>
      <c r="B7573" t="str">
        <f>"9:01:49.851306"</f>
        <v>9:01:49.851306</v>
      </c>
      <c r="C7573">
        <v>-41</v>
      </c>
    </row>
    <row r="7574" spans="1:3" x14ac:dyDescent="0.25">
      <c r="A7574">
        <v>39</v>
      </c>
      <c r="B7574" t="str">
        <f>"9:01:49.852082"</f>
        <v>9:01:49.852082</v>
      </c>
      <c r="C7574">
        <v>-46</v>
      </c>
    </row>
    <row r="7575" spans="1:3" x14ac:dyDescent="0.25">
      <c r="A7575">
        <v>37</v>
      </c>
      <c r="B7575" t="str">
        <f>"9:01:50.205510"</f>
        <v>9:01:50.205510</v>
      </c>
      <c r="C7575">
        <v>-44</v>
      </c>
    </row>
    <row r="7576" spans="1:3" x14ac:dyDescent="0.25">
      <c r="A7576">
        <v>38</v>
      </c>
      <c r="B7576" t="str">
        <f>"9:01:50.206538"</f>
        <v>9:01:50.206538</v>
      </c>
      <c r="C7576">
        <v>-41</v>
      </c>
    </row>
    <row r="7577" spans="1:3" x14ac:dyDescent="0.25">
      <c r="A7577">
        <v>38</v>
      </c>
      <c r="B7577" t="str">
        <f>"9:01:50.207057"</f>
        <v>9:01:50.207057</v>
      </c>
      <c r="C7577">
        <v>-32</v>
      </c>
    </row>
    <row r="7578" spans="1:3" x14ac:dyDescent="0.25">
      <c r="A7578">
        <v>38</v>
      </c>
      <c r="B7578" t="str">
        <f>"9:01:50.207383"</f>
        <v>9:01:50.207383</v>
      </c>
      <c r="C7578">
        <v>-41</v>
      </c>
    </row>
    <row r="7579" spans="1:3" x14ac:dyDescent="0.25">
      <c r="A7579">
        <v>39</v>
      </c>
      <c r="B7579" t="str">
        <f>"9:01:50.208159"</f>
        <v>9:01:50.208159</v>
      </c>
      <c r="C7579">
        <v>-46</v>
      </c>
    </row>
    <row r="7580" spans="1:3" x14ac:dyDescent="0.25">
      <c r="A7580">
        <v>37</v>
      </c>
      <c r="B7580" t="str">
        <f>"9:01:50.559274"</f>
        <v>9:01:50.559274</v>
      </c>
      <c r="C7580">
        <v>-44</v>
      </c>
    </row>
    <row r="7581" spans="1:3" x14ac:dyDescent="0.25">
      <c r="A7581">
        <v>38</v>
      </c>
      <c r="B7581" t="str">
        <f>"9:01:50.560301"</f>
        <v>9:01:50.560301</v>
      </c>
      <c r="C7581">
        <v>-41</v>
      </c>
    </row>
    <row r="7582" spans="1:3" x14ac:dyDescent="0.25">
      <c r="A7582">
        <v>38</v>
      </c>
      <c r="B7582" t="str">
        <f>"9:01:50.560820"</f>
        <v>9:01:50.560820</v>
      </c>
      <c r="C7582">
        <v>-32</v>
      </c>
    </row>
    <row r="7583" spans="1:3" x14ac:dyDescent="0.25">
      <c r="A7583">
        <v>38</v>
      </c>
      <c r="B7583" t="str">
        <f>"9:01:50.561145"</f>
        <v>9:01:50.561145</v>
      </c>
      <c r="C7583">
        <v>-41</v>
      </c>
    </row>
    <row r="7584" spans="1:3" x14ac:dyDescent="0.25">
      <c r="A7584">
        <v>39</v>
      </c>
      <c r="B7584" t="str">
        <f>"9:01:50.561921"</f>
        <v>9:01:50.561921</v>
      </c>
      <c r="C7584">
        <v>-46</v>
      </c>
    </row>
    <row r="7585" spans="1:3" x14ac:dyDescent="0.25">
      <c r="A7585">
        <v>37</v>
      </c>
      <c r="B7585" t="str">
        <f>"9:01:50.911285"</f>
        <v>9:01:50.911285</v>
      </c>
      <c r="C7585">
        <v>-44</v>
      </c>
    </row>
    <row r="7586" spans="1:3" x14ac:dyDescent="0.25">
      <c r="A7586">
        <v>38</v>
      </c>
      <c r="B7586" t="str">
        <f>"9:01:50.912313"</f>
        <v>9:01:50.912313</v>
      </c>
      <c r="C7586">
        <v>-41</v>
      </c>
    </row>
    <row r="7587" spans="1:3" x14ac:dyDescent="0.25">
      <c r="A7587">
        <v>38</v>
      </c>
      <c r="B7587" t="str">
        <f>"9:01:50.912831"</f>
        <v>9:01:50.912831</v>
      </c>
      <c r="C7587">
        <v>-32</v>
      </c>
    </row>
    <row r="7588" spans="1:3" x14ac:dyDescent="0.25">
      <c r="A7588">
        <v>38</v>
      </c>
      <c r="B7588" t="str">
        <f>"9:01:50.913157"</f>
        <v>9:01:50.913157</v>
      </c>
      <c r="C7588">
        <v>-41</v>
      </c>
    </row>
    <row r="7589" spans="1:3" x14ac:dyDescent="0.25">
      <c r="A7589">
        <v>39</v>
      </c>
      <c r="B7589" t="str">
        <f>"9:01:50.913933"</f>
        <v>9:01:50.913933</v>
      </c>
      <c r="C7589">
        <v>-46</v>
      </c>
    </row>
    <row r="7590" spans="1:3" x14ac:dyDescent="0.25">
      <c r="A7590">
        <v>37</v>
      </c>
      <c r="B7590" t="str">
        <f>"9:01:51.264607"</f>
        <v>9:01:51.264607</v>
      </c>
      <c r="C7590">
        <v>-44</v>
      </c>
    </row>
    <row r="7591" spans="1:3" x14ac:dyDescent="0.25">
      <c r="A7591">
        <v>38</v>
      </c>
      <c r="B7591" t="str">
        <f>"9:01:51.265635"</f>
        <v>9:01:51.265635</v>
      </c>
      <c r="C7591">
        <v>-41</v>
      </c>
    </row>
    <row r="7592" spans="1:3" x14ac:dyDescent="0.25">
      <c r="A7592">
        <v>38</v>
      </c>
      <c r="B7592" t="str">
        <f>"9:01:51.266153"</f>
        <v>9:01:51.266153</v>
      </c>
      <c r="C7592">
        <v>-32</v>
      </c>
    </row>
    <row r="7593" spans="1:3" x14ac:dyDescent="0.25">
      <c r="A7593">
        <v>38</v>
      </c>
      <c r="B7593" t="str">
        <f>"9:01:51.266479"</f>
        <v>9:01:51.266479</v>
      </c>
      <c r="C7593">
        <v>-41</v>
      </c>
    </row>
    <row r="7594" spans="1:3" x14ac:dyDescent="0.25">
      <c r="A7594">
        <v>39</v>
      </c>
      <c r="B7594" t="str">
        <f>"9:01:51.267255"</f>
        <v>9:01:51.267255</v>
      </c>
      <c r="C7594">
        <v>-46</v>
      </c>
    </row>
    <row r="7595" spans="1:3" x14ac:dyDescent="0.25">
      <c r="A7595">
        <v>39</v>
      </c>
      <c r="B7595" t="str">
        <f>"9:01:51.267775"</f>
        <v>9:01:51.267775</v>
      </c>
      <c r="C7595">
        <v>-90</v>
      </c>
    </row>
    <row r="7596" spans="1:3" x14ac:dyDescent="0.25">
      <c r="A7596">
        <v>37</v>
      </c>
      <c r="B7596" t="str">
        <f>"9:01:51.621002"</f>
        <v>9:01:51.621002</v>
      </c>
      <c r="C7596">
        <v>-44</v>
      </c>
    </row>
    <row r="7597" spans="1:3" x14ac:dyDescent="0.25">
      <c r="A7597">
        <v>38</v>
      </c>
      <c r="B7597" t="str">
        <f>"9:01:51.622030"</f>
        <v>9:01:51.622030</v>
      </c>
      <c r="C7597">
        <v>-41</v>
      </c>
    </row>
    <row r="7598" spans="1:3" x14ac:dyDescent="0.25">
      <c r="A7598">
        <v>39</v>
      </c>
      <c r="B7598" t="str">
        <f>"9:01:51.623056"</f>
        <v>9:01:51.623056</v>
      </c>
      <c r="C7598">
        <v>-46</v>
      </c>
    </row>
    <row r="7599" spans="1:3" x14ac:dyDescent="0.25">
      <c r="A7599">
        <v>37</v>
      </c>
      <c r="B7599" t="str">
        <f>"9:01:51.977873"</f>
        <v>9:01:51.977873</v>
      </c>
      <c r="C7599">
        <v>-44</v>
      </c>
    </row>
    <row r="7600" spans="1:3" x14ac:dyDescent="0.25">
      <c r="A7600">
        <v>38</v>
      </c>
      <c r="B7600" t="str">
        <f>"9:01:51.978901"</f>
        <v>9:01:51.978901</v>
      </c>
      <c r="C7600">
        <v>-41</v>
      </c>
    </row>
    <row r="7601" spans="1:3" x14ac:dyDescent="0.25">
      <c r="A7601">
        <v>38</v>
      </c>
      <c r="B7601" t="str">
        <f>"9:01:51.979419"</f>
        <v>9:01:51.979419</v>
      </c>
      <c r="C7601">
        <v>-32</v>
      </c>
    </row>
    <row r="7602" spans="1:3" x14ac:dyDescent="0.25">
      <c r="A7602">
        <v>38</v>
      </c>
      <c r="B7602" t="str">
        <f>"9:01:51.979746"</f>
        <v>9:01:51.979746</v>
      </c>
      <c r="C7602">
        <v>-41</v>
      </c>
    </row>
    <row r="7603" spans="1:3" x14ac:dyDescent="0.25">
      <c r="A7603">
        <v>39</v>
      </c>
      <c r="B7603" t="str">
        <f>"9:01:51.980522"</f>
        <v>9:01:51.980522</v>
      </c>
      <c r="C7603">
        <v>-45</v>
      </c>
    </row>
    <row r="7604" spans="1:3" x14ac:dyDescent="0.25">
      <c r="A7604">
        <v>37</v>
      </c>
      <c r="B7604" t="str">
        <f>"9:01:52.331962"</f>
        <v>9:01:52.331962</v>
      </c>
      <c r="C7604">
        <v>-44</v>
      </c>
    </row>
    <row r="7605" spans="1:3" x14ac:dyDescent="0.25">
      <c r="A7605">
        <v>38</v>
      </c>
      <c r="B7605" t="str">
        <f>"9:01:52.332990"</f>
        <v>9:01:52.332990</v>
      </c>
      <c r="C7605">
        <v>-41</v>
      </c>
    </row>
    <row r="7606" spans="1:3" x14ac:dyDescent="0.25">
      <c r="A7606">
        <v>38</v>
      </c>
      <c r="B7606" t="str">
        <f>"9:01:52.333509"</f>
        <v>9:01:52.333509</v>
      </c>
      <c r="C7606">
        <v>-32</v>
      </c>
    </row>
    <row r="7607" spans="1:3" x14ac:dyDescent="0.25">
      <c r="A7607">
        <v>38</v>
      </c>
      <c r="B7607" t="str">
        <f>"9:01:52.333835"</f>
        <v>9:01:52.333835</v>
      </c>
      <c r="C7607">
        <v>-41</v>
      </c>
    </row>
    <row r="7608" spans="1:3" x14ac:dyDescent="0.25">
      <c r="A7608">
        <v>39</v>
      </c>
      <c r="B7608" t="str">
        <f>"9:01:52.334611"</f>
        <v>9:01:52.334611</v>
      </c>
      <c r="C7608">
        <v>-46</v>
      </c>
    </row>
    <row r="7609" spans="1:3" x14ac:dyDescent="0.25">
      <c r="A7609">
        <v>37</v>
      </c>
      <c r="B7609" t="str">
        <f>"9:01:52.684184"</f>
        <v>9:01:52.684184</v>
      </c>
      <c r="C7609">
        <v>-44</v>
      </c>
    </row>
    <row r="7610" spans="1:3" x14ac:dyDescent="0.25">
      <c r="A7610">
        <v>37</v>
      </c>
      <c r="B7610" t="str">
        <f>"9:01:52.684703"</f>
        <v>9:01:52.684703</v>
      </c>
      <c r="C7610">
        <v>-80</v>
      </c>
    </row>
    <row r="7611" spans="1:3" x14ac:dyDescent="0.25">
      <c r="A7611">
        <v>37</v>
      </c>
      <c r="B7611" t="str">
        <f>"9:01:52.685029"</f>
        <v>9:01:52.685029</v>
      </c>
      <c r="C7611">
        <v>-44</v>
      </c>
    </row>
    <row r="7612" spans="1:3" x14ac:dyDescent="0.25">
      <c r="A7612">
        <v>38</v>
      </c>
      <c r="B7612" t="str">
        <f>"9:01:52.685805"</f>
        <v>9:01:52.685805</v>
      </c>
      <c r="C7612">
        <v>-41</v>
      </c>
    </row>
    <row r="7613" spans="1:3" x14ac:dyDescent="0.25">
      <c r="A7613">
        <v>38</v>
      </c>
      <c r="B7613" t="str">
        <f>"9:01:52.686324"</f>
        <v>9:01:52.686324</v>
      </c>
      <c r="C7613">
        <v>-32</v>
      </c>
    </row>
    <row r="7614" spans="1:3" x14ac:dyDescent="0.25">
      <c r="A7614">
        <v>38</v>
      </c>
      <c r="B7614" t="str">
        <f>"9:01:52.686650"</f>
        <v>9:01:52.686650</v>
      </c>
      <c r="C7614">
        <v>-41</v>
      </c>
    </row>
    <row r="7615" spans="1:3" x14ac:dyDescent="0.25">
      <c r="A7615">
        <v>39</v>
      </c>
      <c r="B7615" t="str">
        <f>"9:01:52.687426"</f>
        <v>9:01:52.687426</v>
      </c>
      <c r="C7615">
        <v>-46</v>
      </c>
    </row>
    <row r="7616" spans="1:3" x14ac:dyDescent="0.25">
      <c r="A7616">
        <v>37</v>
      </c>
      <c r="B7616" t="str">
        <f>"9:01:53.040040"</f>
        <v>9:01:53.040040</v>
      </c>
      <c r="C7616">
        <v>-44</v>
      </c>
    </row>
    <row r="7617" spans="1:3" x14ac:dyDescent="0.25">
      <c r="A7617">
        <v>38</v>
      </c>
      <c r="B7617" t="str">
        <f>"9:01:53.041067"</f>
        <v>9:01:53.041067</v>
      </c>
      <c r="C7617">
        <v>-41</v>
      </c>
    </row>
    <row r="7618" spans="1:3" x14ac:dyDescent="0.25">
      <c r="A7618">
        <v>39</v>
      </c>
      <c r="B7618" t="str">
        <f>"9:01:53.042093"</f>
        <v>9:01:53.042093</v>
      </c>
      <c r="C7618">
        <v>-46</v>
      </c>
    </row>
    <row r="7619" spans="1:3" x14ac:dyDescent="0.25">
      <c r="A7619">
        <v>39</v>
      </c>
      <c r="B7619" t="str">
        <f>"9:01:53.042940"</f>
        <v>9:01:53.042940</v>
      </c>
      <c r="C7619">
        <v>-45</v>
      </c>
    </row>
    <row r="7620" spans="1:3" x14ac:dyDescent="0.25">
      <c r="A7620">
        <v>37</v>
      </c>
      <c r="B7620" t="str">
        <f>"9:01:53.391799"</f>
        <v>9:01:53.391799</v>
      </c>
      <c r="C7620">
        <v>-44</v>
      </c>
    </row>
    <row r="7621" spans="1:3" x14ac:dyDescent="0.25">
      <c r="A7621">
        <v>38</v>
      </c>
      <c r="B7621" t="str">
        <f>"9:01:53.392826"</f>
        <v>9:01:53.392826</v>
      </c>
      <c r="C7621">
        <v>-41</v>
      </c>
    </row>
    <row r="7622" spans="1:3" x14ac:dyDescent="0.25">
      <c r="A7622">
        <v>38</v>
      </c>
      <c r="B7622" t="str">
        <f>"9:01:53.393345"</f>
        <v>9:01:53.393345</v>
      </c>
      <c r="C7622">
        <v>-32</v>
      </c>
    </row>
    <row r="7623" spans="1:3" x14ac:dyDescent="0.25">
      <c r="A7623">
        <v>38</v>
      </c>
      <c r="B7623" t="str">
        <f>"9:01:53.393670"</f>
        <v>9:01:53.393670</v>
      </c>
      <c r="C7623">
        <v>-41</v>
      </c>
    </row>
    <row r="7624" spans="1:3" x14ac:dyDescent="0.25">
      <c r="A7624">
        <v>39</v>
      </c>
      <c r="B7624" t="str">
        <f>"9:01:53.394446"</f>
        <v>9:01:53.394446</v>
      </c>
      <c r="C7624">
        <v>-45</v>
      </c>
    </row>
    <row r="7625" spans="1:3" x14ac:dyDescent="0.25">
      <c r="A7625">
        <v>37</v>
      </c>
      <c r="B7625" t="str">
        <f>"9:01:53.746082"</f>
        <v>9:01:53.746082</v>
      </c>
      <c r="C7625">
        <v>-44</v>
      </c>
    </row>
    <row r="7626" spans="1:3" x14ac:dyDescent="0.25">
      <c r="A7626">
        <v>38</v>
      </c>
      <c r="B7626" t="str">
        <f>"9:01:53.747110"</f>
        <v>9:01:53.747110</v>
      </c>
      <c r="C7626">
        <v>-41</v>
      </c>
    </row>
    <row r="7627" spans="1:3" x14ac:dyDescent="0.25">
      <c r="A7627">
        <v>38</v>
      </c>
      <c r="B7627" t="str">
        <f>"9:01:53.747628"</f>
        <v>9:01:53.747628</v>
      </c>
      <c r="C7627">
        <v>-32</v>
      </c>
    </row>
    <row r="7628" spans="1:3" x14ac:dyDescent="0.25">
      <c r="A7628">
        <v>38</v>
      </c>
      <c r="B7628" t="str">
        <f>"9:01:53.747954"</f>
        <v>9:01:53.747954</v>
      </c>
      <c r="C7628">
        <v>-41</v>
      </c>
    </row>
    <row r="7629" spans="1:3" x14ac:dyDescent="0.25">
      <c r="A7629">
        <v>39</v>
      </c>
      <c r="B7629" t="str">
        <f>"9:01:53.748730"</f>
        <v>9:01:53.748730</v>
      </c>
      <c r="C7629">
        <v>-45</v>
      </c>
    </row>
    <row r="7630" spans="1:3" x14ac:dyDescent="0.25">
      <c r="A7630">
        <v>37</v>
      </c>
      <c r="B7630" t="str">
        <f>"9:01:54.098667"</f>
        <v>9:01:54.098667</v>
      </c>
      <c r="C7630">
        <v>-44</v>
      </c>
    </row>
    <row r="7631" spans="1:3" x14ac:dyDescent="0.25">
      <c r="A7631">
        <v>38</v>
      </c>
      <c r="B7631" t="str">
        <f>"9:01:54.099694"</f>
        <v>9:01:54.099694</v>
      </c>
      <c r="C7631">
        <v>-41</v>
      </c>
    </row>
    <row r="7632" spans="1:3" x14ac:dyDescent="0.25">
      <c r="A7632">
        <v>38</v>
      </c>
      <c r="B7632" t="str">
        <f>"9:01:54.100212"</f>
        <v>9:01:54.100212</v>
      </c>
      <c r="C7632">
        <v>-32</v>
      </c>
    </row>
    <row r="7633" spans="1:3" x14ac:dyDescent="0.25">
      <c r="A7633">
        <v>38</v>
      </c>
      <c r="B7633" t="str">
        <f>"9:01:54.100538"</f>
        <v>9:01:54.100538</v>
      </c>
      <c r="C7633">
        <v>-41</v>
      </c>
    </row>
    <row r="7634" spans="1:3" x14ac:dyDescent="0.25">
      <c r="A7634">
        <v>39</v>
      </c>
      <c r="B7634" t="str">
        <f>"9:01:54.101314"</f>
        <v>9:01:54.101314</v>
      </c>
      <c r="C7634">
        <v>-45</v>
      </c>
    </row>
    <row r="7635" spans="1:3" x14ac:dyDescent="0.25">
      <c r="A7635">
        <v>37</v>
      </c>
      <c r="B7635" t="str">
        <f>"9:01:54.456884"</f>
        <v>9:01:54.456884</v>
      </c>
      <c r="C7635">
        <v>-44</v>
      </c>
    </row>
    <row r="7636" spans="1:3" x14ac:dyDescent="0.25">
      <c r="A7636">
        <v>38</v>
      </c>
      <c r="B7636" t="str">
        <f>"9:01:54.457912"</f>
        <v>9:01:54.457912</v>
      </c>
      <c r="C7636">
        <v>-41</v>
      </c>
    </row>
    <row r="7637" spans="1:3" x14ac:dyDescent="0.25">
      <c r="A7637">
        <v>39</v>
      </c>
      <c r="B7637" t="str">
        <f>"9:01:54.458938"</f>
        <v>9:01:54.458938</v>
      </c>
      <c r="C7637">
        <v>-45</v>
      </c>
    </row>
    <row r="7638" spans="1:3" x14ac:dyDescent="0.25">
      <c r="A7638">
        <v>39</v>
      </c>
      <c r="B7638" t="str">
        <f>"9:01:54.459456"</f>
        <v>9:01:54.459456</v>
      </c>
      <c r="C7638">
        <v>-31</v>
      </c>
    </row>
    <row r="7639" spans="1:3" x14ac:dyDescent="0.25">
      <c r="A7639">
        <v>39</v>
      </c>
      <c r="B7639" t="str">
        <f>"9:01:54.459782"</f>
        <v>9:01:54.459782</v>
      </c>
      <c r="C7639">
        <v>-45</v>
      </c>
    </row>
    <row r="7640" spans="1:3" x14ac:dyDescent="0.25">
      <c r="A7640">
        <v>37</v>
      </c>
      <c r="B7640" t="str">
        <f>"9:01:54.815552"</f>
        <v>9:01:54.815552</v>
      </c>
      <c r="C7640">
        <v>-45</v>
      </c>
    </row>
    <row r="7641" spans="1:3" x14ac:dyDescent="0.25">
      <c r="A7641">
        <v>38</v>
      </c>
      <c r="B7641" t="str">
        <f>"9:01:54.816579"</f>
        <v>9:01:54.816579</v>
      </c>
      <c r="C7641">
        <v>-41</v>
      </c>
    </row>
    <row r="7642" spans="1:3" x14ac:dyDescent="0.25">
      <c r="A7642">
        <v>39</v>
      </c>
      <c r="B7642" t="str">
        <f>"9:01:54.817605"</f>
        <v>9:01:54.817605</v>
      </c>
      <c r="C7642">
        <v>-45</v>
      </c>
    </row>
    <row r="7643" spans="1:3" x14ac:dyDescent="0.25">
      <c r="A7643">
        <v>39</v>
      </c>
      <c r="B7643" t="str">
        <f>"9:01:54.818123"</f>
        <v>9:01:54.818123</v>
      </c>
      <c r="C7643">
        <v>-31</v>
      </c>
    </row>
    <row r="7644" spans="1:3" x14ac:dyDescent="0.25">
      <c r="A7644">
        <v>39</v>
      </c>
      <c r="B7644" t="str">
        <f>"9:01:54.818449"</f>
        <v>9:01:54.818449</v>
      </c>
      <c r="C7644">
        <v>-45</v>
      </c>
    </row>
    <row r="7645" spans="1:3" x14ac:dyDescent="0.25">
      <c r="A7645">
        <v>37</v>
      </c>
      <c r="B7645" t="str">
        <f>"9:01:55.172974"</f>
        <v>9:01:55.172974</v>
      </c>
      <c r="C7645">
        <v>-45</v>
      </c>
    </row>
    <row r="7646" spans="1:3" x14ac:dyDescent="0.25">
      <c r="A7646">
        <v>38</v>
      </c>
      <c r="B7646" t="str">
        <f>"9:01:55.174002"</f>
        <v>9:01:55.174002</v>
      </c>
      <c r="C7646">
        <v>-41</v>
      </c>
    </row>
    <row r="7647" spans="1:3" x14ac:dyDescent="0.25">
      <c r="A7647">
        <v>39</v>
      </c>
      <c r="B7647" t="str">
        <f>"9:01:55.175028"</f>
        <v>9:01:55.175028</v>
      </c>
      <c r="C7647">
        <v>-45</v>
      </c>
    </row>
    <row r="7648" spans="1:3" x14ac:dyDescent="0.25">
      <c r="A7648">
        <v>39</v>
      </c>
      <c r="B7648" t="str">
        <f>"9:01:55.175545"</f>
        <v>9:01:55.175545</v>
      </c>
      <c r="C7648">
        <v>-31</v>
      </c>
    </row>
    <row r="7649" spans="1:3" x14ac:dyDescent="0.25">
      <c r="A7649">
        <v>39</v>
      </c>
      <c r="B7649" t="str">
        <f>"9:01:55.175872"</f>
        <v>9:01:55.175872</v>
      </c>
      <c r="C7649">
        <v>-45</v>
      </c>
    </row>
    <row r="7650" spans="1:3" x14ac:dyDescent="0.25">
      <c r="A7650">
        <v>37</v>
      </c>
      <c r="B7650" t="str">
        <f>"9:01:55.527776"</f>
        <v>9:01:55.527776</v>
      </c>
      <c r="C7650">
        <v>-45</v>
      </c>
    </row>
    <row r="7651" spans="1:3" x14ac:dyDescent="0.25">
      <c r="A7651">
        <v>38</v>
      </c>
      <c r="B7651" t="str">
        <f>"9:01:55.528803"</f>
        <v>9:01:55.528803</v>
      </c>
      <c r="C7651">
        <v>-41</v>
      </c>
    </row>
    <row r="7652" spans="1:3" x14ac:dyDescent="0.25">
      <c r="A7652">
        <v>39</v>
      </c>
      <c r="B7652" t="str">
        <f>"9:01:55.529829"</f>
        <v>9:01:55.529829</v>
      </c>
      <c r="C7652">
        <v>-45</v>
      </c>
    </row>
    <row r="7653" spans="1:3" x14ac:dyDescent="0.25">
      <c r="A7653">
        <v>39</v>
      </c>
      <c r="B7653" t="str">
        <f>"9:01:55.530348"</f>
        <v>9:01:55.530348</v>
      </c>
      <c r="C7653">
        <v>-30</v>
      </c>
    </row>
    <row r="7654" spans="1:3" x14ac:dyDescent="0.25">
      <c r="A7654">
        <v>39</v>
      </c>
      <c r="B7654" t="str">
        <f>"9:01:55.530673"</f>
        <v>9:01:55.530673</v>
      </c>
      <c r="C7654">
        <v>-45</v>
      </c>
    </row>
    <row r="7655" spans="1:3" x14ac:dyDescent="0.25">
      <c r="A7655">
        <v>37</v>
      </c>
      <c r="B7655" t="str">
        <f>"9:01:55.881382"</f>
        <v>9:01:55.881382</v>
      </c>
      <c r="C7655">
        <v>-45</v>
      </c>
    </row>
    <row r="7656" spans="1:3" x14ac:dyDescent="0.25">
      <c r="A7656">
        <v>38</v>
      </c>
      <c r="B7656" t="str">
        <f>"9:01:55.882409"</f>
        <v>9:01:55.882409</v>
      </c>
      <c r="C7656">
        <v>-41</v>
      </c>
    </row>
    <row r="7657" spans="1:3" x14ac:dyDescent="0.25">
      <c r="A7657">
        <v>39</v>
      </c>
      <c r="B7657" t="str">
        <f>"9:01:55.883436"</f>
        <v>9:01:55.883436</v>
      </c>
      <c r="C7657">
        <v>-45</v>
      </c>
    </row>
    <row r="7658" spans="1:3" x14ac:dyDescent="0.25">
      <c r="A7658">
        <v>39</v>
      </c>
      <c r="B7658" t="str">
        <f>"9:01:55.883954"</f>
        <v>9:01:55.883954</v>
      </c>
      <c r="C7658">
        <v>-31</v>
      </c>
    </row>
    <row r="7659" spans="1:3" x14ac:dyDescent="0.25">
      <c r="A7659">
        <v>39</v>
      </c>
      <c r="B7659" t="str">
        <f>"9:01:55.884280"</f>
        <v>9:01:55.884280</v>
      </c>
      <c r="C7659">
        <v>-45</v>
      </c>
    </row>
    <row r="7660" spans="1:3" x14ac:dyDescent="0.25">
      <c r="A7660">
        <v>37</v>
      </c>
      <c r="B7660" t="str">
        <f>"9:01:56.240306"</f>
        <v>9:01:56.240306</v>
      </c>
      <c r="C7660">
        <v>-44</v>
      </c>
    </row>
    <row r="7661" spans="1:3" x14ac:dyDescent="0.25">
      <c r="A7661">
        <v>38</v>
      </c>
      <c r="B7661" t="str">
        <f>"9:01:56.241333"</f>
        <v>9:01:56.241333</v>
      </c>
      <c r="C7661">
        <v>-41</v>
      </c>
    </row>
    <row r="7662" spans="1:3" x14ac:dyDescent="0.25">
      <c r="A7662">
        <v>39</v>
      </c>
      <c r="B7662" t="str">
        <f>"9:01:56.242359"</f>
        <v>9:01:56.242359</v>
      </c>
      <c r="C7662">
        <v>-45</v>
      </c>
    </row>
    <row r="7663" spans="1:3" x14ac:dyDescent="0.25">
      <c r="A7663">
        <v>39</v>
      </c>
      <c r="B7663" t="str">
        <f>"9:01:56.242878"</f>
        <v>9:01:56.242878</v>
      </c>
      <c r="C7663">
        <v>-31</v>
      </c>
    </row>
    <row r="7664" spans="1:3" x14ac:dyDescent="0.25">
      <c r="A7664">
        <v>39</v>
      </c>
      <c r="B7664" t="str">
        <f>"9:01:56.243204"</f>
        <v>9:01:56.243204</v>
      </c>
      <c r="C7664">
        <v>-45</v>
      </c>
    </row>
    <row r="7665" spans="1:3" x14ac:dyDescent="0.25">
      <c r="A7665">
        <v>37</v>
      </c>
      <c r="B7665" t="str">
        <f>"9:01:56.594085"</f>
        <v>9:01:56.594085</v>
      </c>
      <c r="C7665">
        <v>-44</v>
      </c>
    </row>
    <row r="7666" spans="1:3" x14ac:dyDescent="0.25">
      <c r="A7666">
        <v>38</v>
      </c>
      <c r="B7666" t="str">
        <f>"9:01:56.595112"</f>
        <v>9:01:56.595112</v>
      </c>
      <c r="C7666">
        <v>-41</v>
      </c>
    </row>
    <row r="7667" spans="1:3" x14ac:dyDescent="0.25">
      <c r="A7667">
        <v>39</v>
      </c>
      <c r="B7667" t="str">
        <f>"9:01:56.596138"</f>
        <v>9:01:56.596138</v>
      </c>
      <c r="C7667">
        <v>-45</v>
      </c>
    </row>
    <row r="7668" spans="1:3" x14ac:dyDescent="0.25">
      <c r="A7668">
        <v>39</v>
      </c>
      <c r="B7668" t="str">
        <f>"9:01:56.596657"</f>
        <v>9:01:56.596657</v>
      </c>
      <c r="C7668">
        <v>-31</v>
      </c>
    </row>
    <row r="7669" spans="1:3" x14ac:dyDescent="0.25">
      <c r="A7669">
        <v>39</v>
      </c>
      <c r="B7669" t="str">
        <f>"9:01:56.596982"</f>
        <v>9:01:56.596982</v>
      </c>
      <c r="C7669">
        <v>-45</v>
      </c>
    </row>
    <row r="7670" spans="1:3" x14ac:dyDescent="0.25">
      <c r="A7670">
        <v>37</v>
      </c>
      <c r="B7670" t="str">
        <f>"9:01:56.950726"</f>
        <v>9:01:56.950726</v>
      </c>
      <c r="C7670">
        <v>-44</v>
      </c>
    </row>
    <row r="7671" spans="1:3" x14ac:dyDescent="0.25">
      <c r="A7671">
        <v>38</v>
      </c>
      <c r="B7671" t="str">
        <f>"9:01:56.951753"</f>
        <v>9:01:56.951753</v>
      </c>
      <c r="C7671">
        <v>-41</v>
      </c>
    </row>
    <row r="7672" spans="1:3" x14ac:dyDescent="0.25">
      <c r="A7672">
        <v>39</v>
      </c>
      <c r="B7672" t="str">
        <f>"9:01:56.952779"</f>
        <v>9:01:56.952779</v>
      </c>
      <c r="C7672">
        <v>-45</v>
      </c>
    </row>
    <row r="7673" spans="1:3" x14ac:dyDescent="0.25">
      <c r="A7673">
        <v>39</v>
      </c>
      <c r="B7673" t="str">
        <f>"9:01:56.953298"</f>
        <v>9:01:56.953298</v>
      </c>
      <c r="C7673">
        <v>-31</v>
      </c>
    </row>
    <row r="7674" spans="1:3" x14ac:dyDescent="0.25">
      <c r="A7674">
        <v>39</v>
      </c>
      <c r="B7674" t="str">
        <f>"9:01:56.953623"</f>
        <v>9:01:56.953623</v>
      </c>
      <c r="C7674">
        <v>-45</v>
      </c>
    </row>
    <row r="7675" spans="1:3" x14ac:dyDescent="0.25">
      <c r="A7675">
        <v>37</v>
      </c>
      <c r="B7675" t="str">
        <f>"9:01:57.303557"</f>
        <v>9:01:57.303557</v>
      </c>
      <c r="C7675">
        <v>-44</v>
      </c>
    </row>
    <row r="7676" spans="1:3" x14ac:dyDescent="0.25">
      <c r="A7676">
        <v>38</v>
      </c>
      <c r="B7676" t="str">
        <f>"9:01:57.304585"</f>
        <v>9:01:57.304585</v>
      </c>
      <c r="C7676">
        <v>-41</v>
      </c>
    </row>
    <row r="7677" spans="1:3" x14ac:dyDescent="0.25">
      <c r="A7677">
        <v>39</v>
      </c>
      <c r="B7677" t="str">
        <f>"9:01:57.305611"</f>
        <v>9:01:57.305611</v>
      </c>
      <c r="C7677">
        <v>-45</v>
      </c>
    </row>
    <row r="7678" spans="1:3" x14ac:dyDescent="0.25">
      <c r="A7678">
        <v>39</v>
      </c>
      <c r="B7678" t="str">
        <f>"9:01:57.306129"</f>
        <v>9:01:57.306129</v>
      </c>
      <c r="C7678">
        <v>-31</v>
      </c>
    </row>
    <row r="7679" spans="1:3" x14ac:dyDescent="0.25">
      <c r="A7679">
        <v>39</v>
      </c>
      <c r="B7679" t="str">
        <f>"9:01:57.306455"</f>
        <v>9:01:57.306455</v>
      </c>
      <c r="C7679">
        <v>-45</v>
      </c>
    </row>
    <row r="7680" spans="1:3" x14ac:dyDescent="0.25">
      <c r="A7680">
        <v>37</v>
      </c>
      <c r="B7680" t="str">
        <f>"9:01:57.653999"</f>
        <v>9:01:57.653999</v>
      </c>
      <c r="C7680">
        <v>-44</v>
      </c>
    </row>
    <row r="7681" spans="1:3" x14ac:dyDescent="0.25">
      <c r="A7681">
        <v>38</v>
      </c>
      <c r="B7681" t="str">
        <f>"9:01:57.655026"</f>
        <v>9:01:57.655026</v>
      </c>
      <c r="C7681">
        <v>-41</v>
      </c>
    </row>
    <row r="7682" spans="1:3" x14ac:dyDescent="0.25">
      <c r="A7682">
        <v>39</v>
      </c>
      <c r="B7682" t="str">
        <f>"9:01:57.656052"</f>
        <v>9:01:57.656052</v>
      </c>
      <c r="C7682">
        <v>-45</v>
      </c>
    </row>
    <row r="7683" spans="1:3" x14ac:dyDescent="0.25">
      <c r="A7683">
        <v>39</v>
      </c>
      <c r="B7683" t="str">
        <f>"9:01:57.656571"</f>
        <v>9:01:57.656571</v>
      </c>
      <c r="C7683">
        <v>-31</v>
      </c>
    </row>
    <row r="7684" spans="1:3" x14ac:dyDescent="0.25">
      <c r="A7684">
        <v>39</v>
      </c>
      <c r="B7684" t="str">
        <f>"9:01:57.656897"</f>
        <v>9:01:57.656897</v>
      </c>
      <c r="C7684">
        <v>-45</v>
      </c>
    </row>
    <row r="7685" spans="1:3" x14ac:dyDescent="0.25">
      <c r="A7685">
        <v>37</v>
      </c>
      <c r="B7685" t="str">
        <f>"9:01:58.007824"</f>
        <v>9:01:58.007824</v>
      </c>
      <c r="C7685">
        <v>-44</v>
      </c>
    </row>
    <row r="7686" spans="1:3" x14ac:dyDescent="0.25">
      <c r="A7686">
        <v>38</v>
      </c>
      <c r="B7686" t="str">
        <f>"9:01:58.008851"</f>
        <v>9:01:58.008851</v>
      </c>
      <c r="C7686">
        <v>-41</v>
      </c>
    </row>
    <row r="7687" spans="1:3" x14ac:dyDescent="0.25">
      <c r="A7687">
        <v>39</v>
      </c>
      <c r="B7687" t="str">
        <f>"9:01:58.009877"</f>
        <v>9:01:58.009877</v>
      </c>
      <c r="C7687">
        <v>-45</v>
      </c>
    </row>
    <row r="7688" spans="1:3" x14ac:dyDescent="0.25">
      <c r="A7688">
        <v>39</v>
      </c>
      <c r="B7688" t="str">
        <f>"9:01:58.010395"</f>
        <v>9:01:58.010395</v>
      </c>
      <c r="C7688">
        <v>-31</v>
      </c>
    </row>
    <row r="7689" spans="1:3" x14ac:dyDescent="0.25">
      <c r="A7689">
        <v>39</v>
      </c>
      <c r="B7689" t="str">
        <f>"9:01:58.010721"</f>
        <v>9:01:58.010721</v>
      </c>
      <c r="C7689">
        <v>-45</v>
      </c>
    </row>
    <row r="7690" spans="1:3" x14ac:dyDescent="0.25">
      <c r="A7690">
        <v>37</v>
      </c>
      <c r="B7690" t="str">
        <f>"9:01:58.364448"</f>
        <v>9:01:58.364448</v>
      </c>
      <c r="C7690">
        <v>-44</v>
      </c>
    </row>
    <row r="7691" spans="1:3" x14ac:dyDescent="0.25">
      <c r="A7691">
        <v>38</v>
      </c>
      <c r="B7691" t="str">
        <f>"9:01:58.365475"</f>
        <v>9:01:58.365475</v>
      </c>
      <c r="C7691">
        <v>-41</v>
      </c>
    </row>
    <row r="7692" spans="1:3" x14ac:dyDescent="0.25">
      <c r="A7692">
        <v>39</v>
      </c>
      <c r="B7692" t="str">
        <f>"9:01:58.366501"</f>
        <v>9:01:58.366501</v>
      </c>
      <c r="C7692">
        <v>-45</v>
      </c>
    </row>
    <row r="7693" spans="1:3" x14ac:dyDescent="0.25">
      <c r="A7693">
        <v>39</v>
      </c>
      <c r="B7693" t="str">
        <f>"9:01:58.367019"</f>
        <v>9:01:58.367019</v>
      </c>
      <c r="C7693">
        <v>-31</v>
      </c>
    </row>
    <row r="7694" spans="1:3" x14ac:dyDescent="0.25">
      <c r="A7694">
        <v>39</v>
      </c>
      <c r="B7694" t="str">
        <f>"9:01:58.367345"</f>
        <v>9:01:58.367345</v>
      </c>
      <c r="C7694">
        <v>-45</v>
      </c>
    </row>
    <row r="7695" spans="1:3" x14ac:dyDescent="0.25">
      <c r="A7695">
        <v>37</v>
      </c>
      <c r="B7695" t="str">
        <f>"9:01:58.718485"</f>
        <v>9:01:58.718485</v>
      </c>
      <c r="C7695">
        <v>-44</v>
      </c>
    </row>
    <row r="7696" spans="1:3" x14ac:dyDescent="0.25">
      <c r="A7696">
        <v>38</v>
      </c>
      <c r="B7696" t="str">
        <f>"9:01:58.719512"</f>
        <v>9:01:58.719512</v>
      </c>
      <c r="C7696">
        <v>-41</v>
      </c>
    </row>
    <row r="7697" spans="1:3" x14ac:dyDescent="0.25">
      <c r="A7697">
        <v>39</v>
      </c>
      <c r="B7697" t="str">
        <f>"9:01:58.720538"</f>
        <v>9:01:58.720538</v>
      </c>
      <c r="C7697">
        <v>-46</v>
      </c>
    </row>
    <row r="7698" spans="1:3" x14ac:dyDescent="0.25">
      <c r="A7698">
        <v>39</v>
      </c>
      <c r="B7698" t="str">
        <f>"9:01:58.721056"</f>
        <v>9:01:58.721056</v>
      </c>
      <c r="C7698">
        <v>-31</v>
      </c>
    </row>
    <row r="7699" spans="1:3" x14ac:dyDescent="0.25">
      <c r="A7699">
        <v>39</v>
      </c>
      <c r="B7699" t="str">
        <f>"9:01:58.721382"</f>
        <v>9:01:58.721382</v>
      </c>
      <c r="C7699">
        <v>-45</v>
      </c>
    </row>
    <row r="7700" spans="1:3" x14ac:dyDescent="0.25">
      <c r="A7700">
        <v>37</v>
      </c>
      <c r="B7700" t="str">
        <f>"9:01:59.076647"</f>
        <v>9:01:59.076647</v>
      </c>
      <c r="C7700">
        <v>-44</v>
      </c>
    </row>
    <row r="7701" spans="1:3" x14ac:dyDescent="0.25">
      <c r="A7701">
        <v>38</v>
      </c>
      <c r="B7701" t="str">
        <f>"9:01:59.077674"</f>
        <v>9:01:59.077674</v>
      </c>
      <c r="C7701">
        <v>-41</v>
      </c>
    </row>
    <row r="7702" spans="1:3" x14ac:dyDescent="0.25">
      <c r="A7702">
        <v>39</v>
      </c>
      <c r="B7702" t="str">
        <f>"9:01:59.078700"</f>
        <v>9:01:59.078700</v>
      </c>
      <c r="C7702">
        <v>-46</v>
      </c>
    </row>
    <row r="7703" spans="1:3" x14ac:dyDescent="0.25">
      <c r="A7703">
        <v>39</v>
      </c>
      <c r="B7703" t="str">
        <f>"9:01:59.079218"</f>
        <v>9:01:59.079218</v>
      </c>
      <c r="C7703">
        <v>-31</v>
      </c>
    </row>
    <row r="7704" spans="1:3" x14ac:dyDescent="0.25">
      <c r="A7704">
        <v>39</v>
      </c>
      <c r="B7704" t="str">
        <f>"9:01:59.079544"</f>
        <v>9:01:59.079544</v>
      </c>
      <c r="C7704">
        <v>-45</v>
      </c>
    </row>
    <row r="7705" spans="1:3" x14ac:dyDescent="0.25">
      <c r="A7705">
        <v>37</v>
      </c>
      <c r="B7705" t="str">
        <f>"9:01:59.436138"</f>
        <v>9:01:59.436138</v>
      </c>
      <c r="C7705">
        <v>-44</v>
      </c>
    </row>
    <row r="7706" spans="1:3" x14ac:dyDescent="0.25">
      <c r="A7706">
        <v>38</v>
      </c>
      <c r="B7706" t="str">
        <f>"9:01:59.437165"</f>
        <v>9:01:59.437165</v>
      </c>
      <c r="C7706">
        <v>-41</v>
      </c>
    </row>
    <row r="7707" spans="1:3" x14ac:dyDescent="0.25">
      <c r="A7707">
        <v>39</v>
      </c>
      <c r="B7707" t="str">
        <f>"9:01:59.438191"</f>
        <v>9:01:59.438191</v>
      </c>
      <c r="C7707">
        <v>-46</v>
      </c>
    </row>
    <row r="7708" spans="1:3" x14ac:dyDescent="0.25">
      <c r="A7708">
        <v>37</v>
      </c>
      <c r="B7708" t="str">
        <f>"9:01:59.795336"</f>
        <v>9:01:59.795336</v>
      </c>
      <c r="C7708">
        <v>-44</v>
      </c>
    </row>
    <row r="7709" spans="1:3" x14ac:dyDescent="0.25">
      <c r="A7709">
        <v>37</v>
      </c>
      <c r="B7709" t="str">
        <f>"9:01:59.795855"</f>
        <v>9:01:59.795855</v>
      </c>
      <c r="C7709">
        <v>-40</v>
      </c>
    </row>
    <row r="7710" spans="1:3" x14ac:dyDescent="0.25">
      <c r="A7710">
        <v>37</v>
      </c>
      <c r="B7710" t="str">
        <f>"9:01:59.796181"</f>
        <v>9:01:59.796181</v>
      </c>
      <c r="C7710">
        <v>-44</v>
      </c>
    </row>
    <row r="7711" spans="1:3" x14ac:dyDescent="0.25">
      <c r="A7711">
        <v>38</v>
      </c>
      <c r="B7711" t="str">
        <f>"9:01:59.796957"</f>
        <v>9:01:59.796957</v>
      </c>
      <c r="C7711">
        <v>-41</v>
      </c>
    </row>
    <row r="7712" spans="1:3" x14ac:dyDescent="0.25">
      <c r="A7712">
        <v>39</v>
      </c>
      <c r="B7712" t="str">
        <f>"9:01:59.797983"</f>
        <v>9:01:59.797983</v>
      </c>
      <c r="C7712">
        <v>-46</v>
      </c>
    </row>
    <row r="7713" spans="1:3" x14ac:dyDescent="0.25">
      <c r="A7713">
        <v>37</v>
      </c>
      <c r="B7713" t="str">
        <f>"9:02:00.150456"</f>
        <v>9:02:00.150456</v>
      </c>
      <c r="C7713">
        <v>-44</v>
      </c>
    </row>
    <row r="7714" spans="1:3" x14ac:dyDescent="0.25">
      <c r="A7714">
        <v>37</v>
      </c>
      <c r="B7714" t="str">
        <f>"9:02:00.150975"</f>
        <v>9:02:00.150975</v>
      </c>
      <c r="C7714">
        <v>-40</v>
      </c>
    </row>
    <row r="7715" spans="1:3" x14ac:dyDescent="0.25">
      <c r="A7715">
        <v>37</v>
      </c>
      <c r="B7715" t="str">
        <f>"9:02:00.151300"</f>
        <v>9:02:00.151300</v>
      </c>
      <c r="C7715">
        <v>-44</v>
      </c>
    </row>
    <row r="7716" spans="1:3" x14ac:dyDescent="0.25">
      <c r="A7716">
        <v>38</v>
      </c>
      <c r="B7716" t="str">
        <f>"9:02:00.152077"</f>
        <v>9:02:00.152077</v>
      </c>
      <c r="C7716">
        <v>-41</v>
      </c>
    </row>
    <row r="7717" spans="1:3" x14ac:dyDescent="0.25">
      <c r="A7717">
        <v>39</v>
      </c>
      <c r="B7717" t="str">
        <f>"9:02:00.153103"</f>
        <v>9:02:00.153103</v>
      </c>
      <c r="C7717">
        <v>-46</v>
      </c>
    </row>
    <row r="7718" spans="1:3" x14ac:dyDescent="0.25">
      <c r="A7718">
        <v>37</v>
      </c>
      <c r="B7718" t="str">
        <f>"9:02:00.508105"</f>
        <v>9:02:00.508105</v>
      </c>
      <c r="C7718">
        <v>-44</v>
      </c>
    </row>
    <row r="7719" spans="1:3" x14ac:dyDescent="0.25">
      <c r="A7719">
        <v>37</v>
      </c>
      <c r="B7719" t="str">
        <f>"9:02:00.508624"</f>
        <v>9:02:00.508624</v>
      </c>
      <c r="C7719">
        <v>-40</v>
      </c>
    </row>
    <row r="7720" spans="1:3" x14ac:dyDescent="0.25">
      <c r="A7720">
        <v>37</v>
      </c>
      <c r="B7720" t="str">
        <f>"9:02:00.508950"</f>
        <v>9:02:00.508950</v>
      </c>
      <c r="C7720">
        <v>-44</v>
      </c>
    </row>
    <row r="7721" spans="1:3" x14ac:dyDescent="0.25">
      <c r="A7721">
        <v>38</v>
      </c>
      <c r="B7721" t="str">
        <f>"9:02:00.509726"</f>
        <v>9:02:00.509726</v>
      </c>
      <c r="C7721">
        <v>-41</v>
      </c>
    </row>
    <row r="7722" spans="1:3" x14ac:dyDescent="0.25">
      <c r="A7722">
        <v>39</v>
      </c>
      <c r="B7722" t="str">
        <f>"9:02:00.510752"</f>
        <v>9:02:00.510752</v>
      </c>
      <c r="C7722">
        <v>-46</v>
      </c>
    </row>
    <row r="7723" spans="1:3" x14ac:dyDescent="0.25">
      <c r="A7723">
        <v>37</v>
      </c>
      <c r="B7723" t="str">
        <f>"9:02:00.861128"</f>
        <v>9:02:00.861128</v>
      </c>
      <c r="C7723">
        <v>-44</v>
      </c>
    </row>
    <row r="7724" spans="1:3" x14ac:dyDescent="0.25">
      <c r="A7724">
        <v>38</v>
      </c>
      <c r="B7724" t="str">
        <f>"9:02:00.862156"</f>
        <v>9:02:00.862156</v>
      </c>
      <c r="C7724">
        <v>-41</v>
      </c>
    </row>
    <row r="7725" spans="1:3" x14ac:dyDescent="0.25">
      <c r="A7725">
        <v>39</v>
      </c>
      <c r="B7725" t="str">
        <f>"9:02:00.863182"</f>
        <v>9:02:00.863182</v>
      </c>
      <c r="C7725">
        <v>-46</v>
      </c>
    </row>
    <row r="7726" spans="1:3" x14ac:dyDescent="0.25">
      <c r="A7726">
        <v>37</v>
      </c>
      <c r="B7726" t="str">
        <f>"9:02:01.213665"</f>
        <v>9:02:01.213665</v>
      </c>
      <c r="C7726">
        <v>-44</v>
      </c>
    </row>
    <row r="7727" spans="1:3" x14ac:dyDescent="0.25">
      <c r="A7727">
        <v>37</v>
      </c>
      <c r="B7727" t="str">
        <f>"9:02:01.214183"</f>
        <v>9:02:01.214183</v>
      </c>
      <c r="C7727">
        <v>-40</v>
      </c>
    </row>
    <row r="7728" spans="1:3" x14ac:dyDescent="0.25">
      <c r="A7728">
        <v>37</v>
      </c>
      <c r="B7728" t="str">
        <f>"9:02:01.214509"</f>
        <v>9:02:01.214509</v>
      </c>
      <c r="C7728">
        <v>-44</v>
      </c>
    </row>
    <row r="7729" spans="1:3" x14ac:dyDescent="0.25">
      <c r="A7729">
        <v>38</v>
      </c>
      <c r="B7729" t="str">
        <f>"9:02:01.215285"</f>
        <v>9:02:01.215285</v>
      </c>
      <c r="C7729">
        <v>-41</v>
      </c>
    </row>
    <row r="7730" spans="1:3" x14ac:dyDescent="0.25">
      <c r="A7730">
        <v>39</v>
      </c>
      <c r="B7730" t="str">
        <f>"9:02:01.216311"</f>
        <v>9:02:01.216311</v>
      </c>
      <c r="C7730">
        <v>-45</v>
      </c>
    </row>
    <row r="7731" spans="1:3" x14ac:dyDescent="0.25">
      <c r="A7731">
        <v>37</v>
      </c>
      <c r="B7731" t="str">
        <f>"9:02:01.571035"</f>
        <v>9:02:01.571035</v>
      </c>
      <c r="C7731">
        <v>-44</v>
      </c>
    </row>
    <row r="7732" spans="1:3" x14ac:dyDescent="0.25">
      <c r="A7732">
        <v>37</v>
      </c>
      <c r="B7732" t="str">
        <f>"9:02:01.571553"</f>
        <v>9:02:01.571553</v>
      </c>
      <c r="C7732">
        <v>-40</v>
      </c>
    </row>
    <row r="7733" spans="1:3" x14ac:dyDescent="0.25">
      <c r="A7733">
        <v>37</v>
      </c>
      <c r="B7733" t="str">
        <f>"9:02:01.571879"</f>
        <v>9:02:01.571879</v>
      </c>
      <c r="C7733">
        <v>-44</v>
      </c>
    </row>
    <row r="7734" spans="1:3" x14ac:dyDescent="0.25">
      <c r="A7734">
        <v>38</v>
      </c>
      <c r="B7734" t="str">
        <f>"9:02:01.572655"</f>
        <v>9:02:01.572655</v>
      </c>
      <c r="C7734">
        <v>-41</v>
      </c>
    </row>
    <row r="7735" spans="1:3" x14ac:dyDescent="0.25">
      <c r="A7735">
        <v>39</v>
      </c>
      <c r="B7735" t="str">
        <f>"9:02:01.573681"</f>
        <v>9:02:01.573681</v>
      </c>
      <c r="C7735">
        <v>-45</v>
      </c>
    </row>
    <row r="7736" spans="1:3" x14ac:dyDescent="0.25">
      <c r="A7736">
        <v>37</v>
      </c>
      <c r="B7736" t="str">
        <f>"9:02:01.925061"</f>
        <v>9:02:01.925061</v>
      </c>
      <c r="C7736">
        <v>-44</v>
      </c>
    </row>
    <row r="7737" spans="1:3" x14ac:dyDescent="0.25">
      <c r="A7737">
        <v>37</v>
      </c>
      <c r="B7737" t="str">
        <f>"9:02:01.925579"</f>
        <v>9:02:01.925579</v>
      </c>
      <c r="C7737">
        <v>-40</v>
      </c>
    </row>
    <row r="7738" spans="1:3" x14ac:dyDescent="0.25">
      <c r="A7738">
        <v>37</v>
      </c>
      <c r="B7738" t="str">
        <f>"9:02:01.925905"</f>
        <v>9:02:01.925905</v>
      </c>
      <c r="C7738">
        <v>-44</v>
      </c>
    </row>
    <row r="7739" spans="1:3" x14ac:dyDescent="0.25">
      <c r="A7739">
        <v>38</v>
      </c>
      <c r="B7739" t="str">
        <f>"9:02:01.926681"</f>
        <v>9:02:01.926681</v>
      </c>
      <c r="C7739">
        <v>-41</v>
      </c>
    </row>
    <row r="7740" spans="1:3" x14ac:dyDescent="0.25">
      <c r="A7740">
        <v>39</v>
      </c>
      <c r="B7740" t="str">
        <f>"9:02:01.927707"</f>
        <v>9:02:01.927707</v>
      </c>
      <c r="C7740">
        <v>-45</v>
      </c>
    </row>
    <row r="7741" spans="1:3" x14ac:dyDescent="0.25">
      <c r="A7741">
        <v>37</v>
      </c>
      <c r="B7741" t="str">
        <f>"9:02:02.283707"</f>
        <v>9:02:02.283707</v>
      </c>
      <c r="C7741">
        <v>-44</v>
      </c>
    </row>
    <row r="7742" spans="1:3" x14ac:dyDescent="0.25">
      <c r="A7742">
        <v>38</v>
      </c>
      <c r="B7742" t="str">
        <f>"9:02:02.284734"</f>
        <v>9:02:02.284734</v>
      </c>
      <c r="C7742">
        <v>-41</v>
      </c>
    </row>
    <row r="7743" spans="1:3" x14ac:dyDescent="0.25">
      <c r="A7743">
        <v>39</v>
      </c>
      <c r="B7743" t="str">
        <f>"9:02:02.285760"</f>
        <v>9:02:02.285760</v>
      </c>
      <c r="C7743">
        <v>-45</v>
      </c>
    </row>
    <row r="7744" spans="1:3" x14ac:dyDescent="0.25">
      <c r="A7744">
        <v>37</v>
      </c>
      <c r="B7744" t="str">
        <f>"9:02:02.640553"</f>
        <v>9:02:02.640553</v>
      </c>
      <c r="C7744">
        <v>-44</v>
      </c>
    </row>
    <row r="7745" spans="1:3" x14ac:dyDescent="0.25">
      <c r="A7745">
        <v>37</v>
      </c>
      <c r="B7745" t="str">
        <f>"9:02:02.641072"</f>
        <v>9:02:02.641072</v>
      </c>
      <c r="C7745">
        <v>-38</v>
      </c>
    </row>
    <row r="7746" spans="1:3" x14ac:dyDescent="0.25">
      <c r="A7746">
        <v>37</v>
      </c>
      <c r="B7746" t="str">
        <f>"9:02:02.641397"</f>
        <v>9:02:02.641397</v>
      </c>
      <c r="C7746">
        <v>-44</v>
      </c>
    </row>
    <row r="7747" spans="1:3" x14ac:dyDescent="0.25">
      <c r="A7747">
        <v>38</v>
      </c>
      <c r="B7747" t="str">
        <f>"9:02:02.642173"</f>
        <v>9:02:02.642173</v>
      </c>
      <c r="C7747">
        <v>-41</v>
      </c>
    </row>
    <row r="7748" spans="1:3" x14ac:dyDescent="0.25">
      <c r="A7748">
        <v>39</v>
      </c>
      <c r="B7748" t="str">
        <f>"9:02:02.643199"</f>
        <v>9:02:02.643199</v>
      </c>
      <c r="C7748">
        <v>-46</v>
      </c>
    </row>
    <row r="7749" spans="1:3" x14ac:dyDescent="0.25">
      <c r="A7749">
        <v>37</v>
      </c>
      <c r="B7749" t="str">
        <f>"9:02:02.992047"</f>
        <v>9:02:02.992047</v>
      </c>
      <c r="C7749">
        <v>-44</v>
      </c>
    </row>
    <row r="7750" spans="1:3" x14ac:dyDescent="0.25">
      <c r="A7750">
        <v>37</v>
      </c>
      <c r="B7750" t="str">
        <f>"9:02:02.992565"</f>
        <v>9:02:02.992565</v>
      </c>
      <c r="C7750">
        <v>-38</v>
      </c>
    </row>
    <row r="7751" spans="1:3" x14ac:dyDescent="0.25">
      <c r="A7751">
        <v>37</v>
      </c>
      <c r="B7751" t="str">
        <f>"9:02:02.992891"</f>
        <v>9:02:02.992891</v>
      </c>
      <c r="C7751">
        <v>-44</v>
      </c>
    </row>
    <row r="7752" spans="1:3" x14ac:dyDescent="0.25">
      <c r="A7752">
        <v>38</v>
      </c>
      <c r="B7752" t="str">
        <f>"9:02:02.993667"</f>
        <v>9:02:02.993667</v>
      </c>
      <c r="C7752">
        <v>-41</v>
      </c>
    </row>
    <row r="7753" spans="1:3" x14ac:dyDescent="0.25">
      <c r="A7753">
        <v>39</v>
      </c>
      <c r="B7753" t="str">
        <f>"9:02:02.994693"</f>
        <v>9:02:02.994693</v>
      </c>
      <c r="C7753">
        <v>-45</v>
      </c>
    </row>
    <row r="7754" spans="1:3" x14ac:dyDescent="0.25">
      <c r="A7754">
        <v>37</v>
      </c>
      <c r="B7754" t="str">
        <f>"9:02:03.344303"</f>
        <v>9:02:03.344303</v>
      </c>
      <c r="C7754">
        <v>-44</v>
      </c>
    </row>
    <row r="7755" spans="1:3" x14ac:dyDescent="0.25">
      <c r="A7755">
        <v>37</v>
      </c>
      <c r="B7755" t="str">
        <f>"9:02:03.344822"</f>
        <v>9:02:03.344822</v>
      </c>
      <c r="C7755">
        <v>-38</v>
      </c>
    </row>
    <row r="7756" spans="1:3" x14ac:dyDescent="0.25">
      <c r="A7756">
        <v>37</v>
      </c>
      <c r="B7756" t="str">
        <f>"9:02:03.345148"</f>
        <v>9:02:03.345148</v>
      </c>
      <c r="C7756">
        <v>-45</v>
      </c>
    </row>
    <row r="7757" spans="1:3" x14ac:dyDescent="0.25">
      <c r="A7757">
        <v>38</v>
      </c>
      <c r="B7757" t="str">
        <f>"9:02:03.345925"</f>
        <v>9:02:03.345925</v>
      </c>
      <c r="C7757">
        <v>-41</v>
      </c>
    </row>
    <row r="7758" spans="1:3" x14ac:dyDescent="0.25">
      <c r="A7758">
        <v>39</v>
      </c>
      <c r="B7758" t="str">
        <f>"9:02:03.346951"</f>
        <v>9:02:03.346951</v>
      </c>
      <c r="C7758">
        <v>-45</v>
      </c>
    </row>
    <row r="7759" spans="1:3" x14ac:dyDescent="0.25">
      <c r="A7759">
        <v>37</v>
      </c>
      <c r="B7759" t="str">
        <f>"9:02:03.694739"</f>
        <v>9:02:03.694739</v>
      </c>
      <c r="C7759">
        <v>-45</v>
      </c>
    </row>
    <row r="7760" spans="1:3" x14ac:dyDescent="0.25">
      <c r="A7760">
        <v>38</v>
      </c>
      <c r="B7760" t="str">
        <f>"9:02:03.695766"</f>
        <v>9:02:03.695766</v>
      </c>
      <c r="C7760">
        <v>-41</v>
      </c>
    </row>
    <row r="7761" spans="1:3" x14ac:dyDescent="0.25">
      <c r="A7761">
        <v>39</v>
      </c>
      <c r="B7761" t="str">
        <f>"9:02:03.696792"</f>
        <v>9:02:03.696792</v>
      </c>
      <c r="C7761">
        <v>-46</v>
      </c>
    </row>
    <row r="7762" spans="1:3" x14ac:dyDescent="0.25">
      <c r="A7762">
        <v>37</v>
      </c>
      <c r="B7762" t="str">
        <f>"9:02:04.047045"</f>
        <v>9:02:04.047045</v>
      </c>
      <c r="C7762">
        <v>-45</v>
      </c>
    </row>
    <row r="7763" spans="1:3" x14ac:dyDescent="0.25">
      <c r="A7763">
        <v>37</v>
      </c>
      <c r="B7763" t="str">
        <f>"9:02:04.047564"</f>
        <v>9:02:04.047564</v>
      </c>
      <c r="C7763">
        <v>-37</v>
      </c>
    </row>
    <row r="7764" spans="1:3" x14ac:dyDescent="0.25">
      <c r="A7764">
        <v>37</v>
      </c>
      <c r="B7764" t="str">
        <f>"9:02:04.047889"</f>
        <v>9:02:04.047889</v>
      </c>
      <c r="C7764">
        <v>-45</v>
      </c>
    </row>
    <row r="7765" spans="1:3" x14ac:dyDescent="0.25">
      <c r="A7765">
        <v>38</v>
      </c>
      <c r="B7765" t="str">
        <f>"9:02:04.048666"</f>
        <v>9:02:04.048666</v>
      </c>
      <c r="C7765">
        <v>-41</v>
      </c>
    </row>
    <row r="7766" spans="1:3" x14ac:dyDescent="0.25">
      <c r="A7766">
        <v>39</v>
      </c>
      <c r="B7766" t="str">
        <f>"9:02:04.049692"</f>
        <v>9:02:04.049692</v>
      </c>
      <c r="C7766">
        <v>-45</v>
      </c>
    </row>
    <row r="7767" spans="1:3" x14ac:dyDescent="0.25">
      <c r="A7767">
        <v>37</v>
      </c>
      <c r="B7767" t="str">
        <f>"9:02:04.401094"</f>
        <v>9:02:04.401094</v>
      </c>
      <c r="C7767">
        <v>-45</v>
      </c>
    </row>
    <row r="7768" spans="1:3" x14ac:dyDescent="0.25">
      <c r="A7768">
        <v>37</v>
      </c>
      <c r="B7768" t="str">
        <f>"9:02:04.401612"</f>
        <v>9:02:04.401612</v>
      </c>
      <c r="C7768">
        <v>-37</v>
      </c>
    </row>
    <row r="7769" spans="1:3" x14ac:dyDescent="0.25">
      <c r="A7769">
        <v>37</v>
      </c>
      <c r="B7769" t="str">
        <f>"9:02:04.401938"</f>
        <v>9:02:04.401938</v>
      </c>
      <c r="C7769">
        <v>-45</v>
      </c>
    </row>
    <row r="7770" spans="1:3" x14ac:dyDescent="0.25">
      <c r="A7770">
        <v>38</v>
      </c>
      <c r="B7770" t="str">
        <f>"9:02:04.402714"</f>
        <v>9:02:04.402714</v>
      </c>
      <c r="C7770">
        <v>-41</v>
      </c>
    </row>
    <row r="7771" spans="1:3" x14ac:dyDescent="0.25">
      <c r="A7771">
        <v>39</v>
      </c>
      <c r="B7771" t="str">
        <f>"9:02:04.403740"</f>
        <v>9:02:04.403740</v>
      </c>
      <c r="C7771">
        <v>-45</v>
      </c>
    </row>
    <row r="7772" spans="1:3" x14ac:dyDescent="0.25">
      <c r="A7772">
        <v>37</v>
      </c>
      <c r="B7772" t="str">
        <f>"9:02:04.760588"</f>
        <v>9:02:04.760588</v>
      </c>
      <c r="C7772">
        <v>-44</v>
      </c>
    </row>
    <row r="7773" spans="1:3" x14ac:dyDescent="0.25">
      <c r="A7773">
        <v>38</v>
      </c>
      <c r="B7773" t="str">
        <f>"9:02:04.761615"</f>
        <v>9:02:04.761615</v>
      </c>
      <c r="C7773">
        <v>-41</v>
      </c>
    </row>
    <row r="7774" spans="1:3" x14ac:dyDescent="0.25">
      <c r="A7774">
        <v>38</v>
      </c>
      <c r="B7774" t="str">
        <f>"9:02:04.762133"</f>
        <v>9:02:04.762133</v>
      </c>
      <c r="C7774">
        <v>-32</v>
      </c>
    </row>
    <row r="7775" spans="1:3" x14ac:dyDescent="0.25">
      <c r="A7775">
        <v>38</v>
      </c>
      <c r="B7775" t="str">
        <f>"9:02:04.762459"</f>
        <v>9:02:04.762459</v>
      </c>
      <c r="C7775">
        <v>-41</v>
      </c>
    </row>
    <row r="7776" spans="1:3" x14ac:dyDescent="0.25">
      <c r="A7776">
        <v>39</v>
      </c>
      <c r="B7776" t="str">
        <f>"9:02:04.763235"</f>
        <v>9:02:04.763235</v>
      </c>
      <c r="C7776">
        <v>-46</v>
      </c>
    </row>
    <row r="7777" spans="1:3" x14ac:dyDescent="0.25">
      <c r="A7777">
        <v>37</v>
      </c>
      <c r="B7777" t="str">
        <f>"9:02:05.120317"</f>
        <v>9:02:05.120317</v>
      </c>
      <c r="C7777">
        <v>-44</v>
      </c>
    </row>
    <row r="7778" spans="1:3" x14ac:dyDescent="0.25">
      <c r="A7778">
        <v>38</v>
      </c>
      <c r="B7778" t="str">
        <f>"9:02:05.121345"</f>
        <v>9:02:05.121345</v>
      </c>
      <c r="C7778">
        <v>-41</v>
      </c>
    </row>
    <row r="7779" spans="1:3" x14ac:dyDescent="0.25">
      <c r="A7779">
        <v>38</v>
      </c>
      <c r="B7779" t="str">
        <f>"9:02:05.121864"</f>
        <v>9:02:05.121864</v>
      </c>
      <c r="C7779">
        <v>-32</v>
      </c>
    </row>
    <row r="7780" spans="1:3" x14ac:dyDescent="0.25">
      <c r="A7780">
        <v>38</v>
      </c>
      <c r="B7780" t="str">
        <f>"9:02:05.122190"</f>
        <v>9:02:05.122190</v>
      </c>
      <c r="C7780">
        <v>-41</v>
      </c>
    </row>
    <row r="7781" spans="1:3" x14ac:dyDescent="0.25">
      <c r="A7781">
        <v>39</v>
      </c>
      <c r="B7781" t="str">
        <f>"9:02:05.122966"</f>
        <v>9:02:05.122966</v>
      </c>
      <c r="C7781">
        <v>-46</v>
      </c>
    </row>
    <row r="7782" spans="1:3" x14ac:dyDescent="0.25">
      <c r="A7782">
        <v>37</v>
      </c>
      <c r="B7782" t="str">
        <f>"9:02:05.478531"</f>
        <v>9:02:05.478531</v>
      </c>
      <c r="C7782">
        <v>-44</v>
      </c>
    </row>
    <row r="7783" spans="1:3" x14ac:dyDescent="0.25">
      <c r="A7783">
        <v>38</v>
      </c>
      <c r="B7783" t="str">
        <f>"9:02:05.479558"</f>
        <v>9:02:05.479558</v>
      </c>
      <c r="C7783">
        <v>-41</v>
      </c>
    </row>
    <row r="7784" spans="1:3" x14ac:dyDescent="0.25">
      <c r="A7784">
        <v>38</v>
      </c>
      <c r="B7784" t="str">
        <f>"9:02:05.480077"</f>
        <v>9:02:05.480077</v>
      </c>
      <c r="C7784">
        <v>-32</v>
      </c>
    </row>
    <row r="7785" spans="1:3" x14ac:dyDescent="0.25">
      <c r="A7785">
        <v>38</v>
      </c>
      <c r="B7785" t="str">
        <f>"9:02:05.480402"</f>
        <v>9:02:05.480402</v>
      </c>
      <c r="C7785">
        <v>-41</v>
      </c>
    </row>
    <row r="7786" spans="1:3" x14ac:dyDescent="0.25">
      <c r="A7786">
        <v>39</v>
      </c>
      <c r="B7786" t="str">
        <f>"9:02:05.481178"</f>
        <v>9:02:05.481178</v>
      </c>
      <c r="C7786">
        <v>-46</v>
      </c>
    </row>
    <row r="7787" spans="1:3" x14ac:dyDescent="0.25">
      <c r="A7787">
        <v>37</v>
      </c>
      <c r="B7787" t="str">
        <f>"9:02:05.834935"</f>
        <v>9:02:05.834935</v>
      </c>
      <c r="C7787">
        <v>-45</v>
      </c>
    </row>
    <row r="7788" spans="1:3" x14ac:dyDescent="0.25">
      <c r="A7788">
        <v>38</v>
      </c>
      <c r="B7788" t="str">
        <f>"9:02:05.835962"</f>
        <v>9:02:05.835962</v>
      </c>
      <c r="C7788">
        <v>-41</v>
      </c>
    </row>
    <row r="7789" spans="1:3" x14ac:dyDescent="0.25">
      <c r="A7789">
        <v>38</v>
      </c>
      <c r="B7789" t="str">
        <f>"9:02:05.836481"</f>
        <v>9:02:05.836481</v>
      </c>
      <c r="C7789">
        <v>-32</v>
      </c>
    </row>
    <row r="7790" spans="1:3" x14ac:dyDescent="0.25">
      <c r="A7790">
        <v>38</v>
      </c>
      <c r="B7790" t="str">
        <f>"9:02:05.836807"</f>
        <v>9:02:05.836807</v>
      </c>
      <c r="C7790">
        <v>-41</v>
      </c>
    </row>
    <row r="7791" spans="1:3" x14ac:dyDescent="0.25">
      <c r="A7791">
        <v>39</v>
      </c>
      <c r="B7791" t="str">
        <f>"9:02:05.837583"</f>
        <v>9:02:05.837583</v>
      </c>
      <c r="C7791">
        <v>-46</v>
      </c>
    </row>
    <row r="7792" spans="1:3" x14ac:dyDescent="0.25">
      <c r="A7792">
        <v>37</v>
      </c>
      <c r="B7792" t="str">
        <f>"9:02:06.187700"</f>
        <v>9:02:06.187700</v>
      </c>
      <c r="C7792">
        <v>-45</v>
      </c>
    </row>
    <row r="7793" spans="1:3" x14ac:dyDescent="0.25">
      <c r="A7793">
        <v>38</v>
      </c>
      <c r="B7793" t="str">
        <f>"9:02:06.188727"</f>
        <v>9:02:06.188727</v>
      </c>
      <c r="C7793">
        <v>-41</v>
      </c>
    </row>
    <row r="7794" spans="1:3" x14ac:dyDescent="0.25">
      <c r="A7794">
        <v>38</v>
      </c>
      <c r="B7794" t="str">
        <f>"9:02:06.189246"</f>
        <v>9:02:06.189246</v>
      </c>
      <c r="C7794">
        <v>-32</v>
      </c>
    </row>
    <row r="7795" spans="1:3" x14ac:dyDescent="0.25">
      <c r="A7795">
        <v>38</v>
      </c>
      <c r="B7795" t="str">
        <f>"9:02:06.189572"</f>
        <v>9:02:06.189572</v>
      </c>
      <c r="C7795">
        <v>-41</v>
      </c>
    </row>
    <row r="7796" spans="1:3" x14ac:dyDescent="0.25">
      <c r="A7796">
        <v>39</v>
      </c>
      <c r="B7796" t="str">
        <f>"9:02:06.190348"</f>
        <v>9:02:06.190348</v>
      </c>
      <c r="C7796">
        <v>-46</v>
      </c>
    </row>
    <row r="7797" spans="1:3" x14ac:dyDescent="0.25">
      <c r="A7797">
        <v>37</v>
      </c>
      <c r="B7797" t="str">
        <f>"9:02:06.541454"</f>
        <v>9:02:06.541454</v>
      </c>
      <c r="C7797">
        <v>-44</v>
      </c>
    </row>
    <row r="7798" spans="1:3" x14ac:dyDescent="0.25">
      <c r="A7798">
        <v>38</v>
      </c>
      <c r="B7798" t="str">
        <f>"9:02:06.542482"</f>
        <v>9:02:06.542482</v>
      </c>
      <c r="C7798">
        <v>-41</v>
      </c>
    </row>
    <row r="7799" spans="1:3" x14ac:dyDescent="0.25">
      <c r="A7799">
        <v>39</v>
      </c>
      <c r="B7799" t="str">
        <f>"9:02:06.543508"</f>
        <v>9:02:06.543508</v>
      </c>
      <c r="C7799">
        <v>-45</v>
      </c>
    </row>
    <row r="7800" spans="1:3" x14ac:dyDescent="0.25">
      <c r="A7800">
        <v>37</v>
      </c>
      <c r="B7800" t="str">
        <f>"9:02:06.892396"</f>
        <v>9:02:06.892396</v>
      </c>
      <c r="C7800">
        <v>-44</v>
      </c>
    </row>
    <row r="7801" spans="1:3" x14ac:dyDescent="0.25">
      <c r="A7801">
        <v>38</v>
      </c>
      <c r="B7801" t="str">
        <f>"9:02:06.893424"</f>
        <v>9:02:06.893424</v>
      </c>
      <c r="C7801">
        <v>-41</v>
      </c>
    </row>
    <row r="7802" spans="1:3" x14ac:dyDescent="0.25">
      <c r="A7802">
        <v>38</v>
      </c>
      <c r="B7802" t="str">
        <f>"9:02:06.893942"</f>
        <v>9:02:06.893942</v>
      </c>
      <c r="C7802">
        <v>-32</v>
      </c>
    </row>
    <row r="7803" spans="1:3" x14ac:dyDescent="0.25">
      <c r="A7803">
        <v>38</v>
      </c>
      <c r="B7803" t="str">
        <f>"9:02:06.894268"</f>
        <v>9:02:06.894268</v>
      </c>
      <c r="C7803">
        <v>-42</v>
      </c>
    </row>
    <row r="7804" spans="1:3" x14ac:dyDescent="0.25">
      <c r="A7804">
        <v>39</v>
      </c>
      <c r="B7804" t="str">
        <f>"9:02:06.895044"</f>
        <v>9:02:06.895044</v>
      </c>
      <c r="C7804">
        <v>-45</v>
      </c>
    </row>
    <row r="7805" spans="1:3" x14ac:dyDescent="0.25">
      <c r="A7805">
        <v>37</v>
      </c>
      <c r="B7805" t="str">
        <f>"9:02:07.250602"</f>
        <v>9:02:07.250602</v>
      </c>
      <c r="C7805">
        <v>-44</v>
      </c>
    </row>
    <row r="7806" spans="1:3" x14ac:dyDescent="0.25">
      <c r="A7806">
        <v>38</v>
      </c>
      <c r="B7806" t="str">
        <f>"9:02:07.251630"</f>
        <v>9:02:07.251630</v>
      </c>
      <c r="C7806">
        <v>-41</v>
      </c>
    </row>
    <row r="7807" spans="1:3" x14ac:dyDescent="0.25">
      <c r="A7807">
        <v>38</v>
      </c>
      <c r="B7807" t="str">
        <f>"9:02:07.252148"</f>
        <v>9:02:07.252148</v>
      </c>
      <c r="C7807">
        <v>-32</v>
      </c>
    </row>
    <row r="7808" spans="1:3" x14ac:dyDescent="0.25">
      <c r="A7808">
        <v>38</v>
      </c>
      <c r="B7808" t="str">
        <f>"9:02:07.252474"</f>
        <v>9:02:07.252474</v>
      </c>
      <c r="C7808">
        <v>-41</v>
      </c>
    </row>
    <row r="7809" spans="1:3" x14ac:dyDescent="0.25">
      <c r="A7809">
        <v>39</v>
      </c>
      <c r="B7809" t="str">
        <f>"9:02:07.253250"</f>
        <v>9:02:07.253250</v>
      </c>
      <c r="C7809">
        <v>-45</v>
      </c>
    </row>
    <row r="7810" spans="1:3" x14ac:dyDescent="0.25">
      <c r="A7810">
        <v>37</v>
      </c>
      <c r="B7810" t="str">
        <f>"9:02:07.602841"</f>
        <v>9:02:07.602841</v>
      </c>
      <c r="C7810">
        <v>-44</v>
      </c>
    </row>
    <row r="7811" spans="1:3" x14ac:dyDescent="0.25">
      <c r="A7811">
        <v>38</v>
      </c>
      <c r="B7811" t="str">
        <f>"9:02:07.603868"</f>
        <v>9:02:07.603868</v>
      </c>
      <c r="C7811">
        <v>-41</v>
      </c>
    </row>
    <row r="7812" spans="1:3" x14ac:dyDescent="0.25">
      <c r="A7812">
        <v>38</v>
      </c>
      <c r="B7812" t="str">
        <f>"9:02:07.604386"</f>
        <v>9:02:07.604386</v>
      </c>
      <c r="C7812">
        <v>-32</v>
      </c>
    </row>
    <row r="7813" spans="1:3" x14ac:dyDescent="0.25">
      <c r="A7813">
        <v>38</v>
      </c>
      <c r="B7813" t="str">
        <f>"9:02:07.604712"</f>
        <v>9:02:07.604712</v>
      </c>
      <c r="C7813">
        <v>-41</v>
      </c>
    </row>
    <row r="7814" spans="1:3" x14ac:dyDescent="0.25">
      <c r="A7814">
        <v>39</v>
      </c>
      <c r="B7814" t="str">
        <f>"9:02:07.605488"</f>
        <v>9:02:07.605488</v>
      </c>
      <c r="C7814">
        <v>-45</v>
      </c>
    </row>
    <row r="7815" spans="1:3" x14ac:dyDescent="0.25">
      <c r="A7815">
        <v>37</v>
      </c>
      <c r="B7815" t="str">
        <f>"9:02:07.956153"</f>
        <v>9:02:07.956153</v>
      </c>
      <c r="C7815">
        <v>-44</v>
      </c>
    </row>
    <row r="7816" spans="1:3" x14ac:dyDescent="0.25">
      <c r="A7816">
        <v>38</v>
      </c>
      <c r="B7816" t="str">
        <f>"9:02:07.957180"</f>
        <v>9:02:07.957180</v>
      </c>
      <c r="C7816">
        <v>-41</v>
      </c>
    </row>
    <row r="7817" spans="1:3" x14ac:dyDescent="0.25">
      <c r="A7817">
        <v>38</v>
      </c>
      <c r="B7817" t="str">
        <f>"9:02:07.957698"</f>
        <v>9:02:07.957698</v>
      </c>
      <c r="C7817">
        <v>-32</v>
      </c>
    </row>
    <row r="7818" spans="1:3" x14ac:dyDescent="0.25">
      <c r="A7818">
        <v>38</v>
      </c>
      <c r="B7818" t="str">
        <f>"9:02:07.958024"</f>
        <v>9:02:07.958024</v>
      </c>
      <c r="C7818">
        <v>-41</v>
      </c>
    </row>
    <row r="7819" spans="1:3" x14ac:dyDescent="0.25">
      <c r="A7819">
        <v>39</v>
      </c>
      <c r="B7819" t="str">
        <f>"9:02:07.958800"</f>
        <v>9:02:07.958800</v>
      </c>
      <c r="C7819">
        <v>-45</v>
      </c>
    </row>
    <row r="7820" spans="1:3" x14ac:dyDescent="0.25">
      <c r="A7820">
        <v>37</v>
      </c>
      <c r="B7820" t="str">
        <f>"9:02:08.312524"</f>
        <v>9:02:08.312524</v>
      </c>
      <c r="C7820">
        <v>-44</v>
      </c>
    </row>
    <row r="7821" spans="1:3" x14ac:dyDescent="0.25">
      <c r="A7821">
        <v>38</v>
      </c>
      <c r="B7821" t="str">
        <f>"9:02:08.313551"</f>
        <v>9:02:08.313551</v>
      </c>
      <c r="C7821">
        <v>-42</v>
      </c>
    </row>
    <row r="7822" spans="1:3" x14ac:dyDescent="0.25">
      <c r="A7822">
        <v>38</v>
      </c>
      <c r="B7822" t="str">
        <f>"9:02:08.314069"</f>
        <v>9:02:08.314069</v>
      </c>
      <c r="C7822">
        <v>-32</v>
      </c>
    </row>
    <row r="7823" spans="1:3" x14ac:dyDescent="0.25">
      <c r="A7823">
        <v>38</v>
      </c>
      <c r="B7823" t="str">
        <f>"9:02:08.314395"</f>
        <v>9:02:08.314395</v>
      </c>
      <c r="C7823">
        <v>-42</v>
      </c>
    </row>
    <row r="7824" spans="1:3" x14ac:dyDescent="0.25">
      <c r="A7824">
        <v>39</v>
      </c>
      <c r="B7824" t="str">
        <f>"9:02:08.315171"</f>
        <v>9:02:08.315171</v>
      </c>
      <c r="C7824">
        <v>-45</v>
      </c>
    </row>
    <row r="7825" spans="1:3" x14ac:dyDescent="0.25">
      <c r="A7825">
        <v>39</v>
      </c>
      <c r="B7825" t="str">
        <f>"9:02:08.315690"</f>
        <v>9:02:08.315690</v>
      </c>
      <c r="C7825">
        <v>-74</v>
      </c>
    </row>
    <row r="7826" spans="1:3" x14ac:dyDescent="0.25">
      <c r="A7826">
        <v>39</v>
      </c>
      <c r="B7826" t="str">
        <f>"9:02:08.316016"</f>
        <v>9:02:08.316016</v>
      </c>
      <c r="C7826">
        <v>-45</v>
      </c>
    </row>
    <row r="7827" spans="1:3" x14ac:dyDescent="0.25">
      <c r="A7827">
        <v>37</v>
      </c>
      <c r="B7827" t="str">
        <f>"9:02:08.670202"</f>
        <v>9:02:08.670202</v>
      </c>
      <c r="C7827">
        <v>-44</v>
      </c>
    </row>
    <row r="7828" spans="1:3" x14ac:dyDescent="0.25">
      <c r="A7828">
        <v>38</v>
      </c>
      <c r="B7828" t="str">
        <f>"9:02:08.671230"</f>
        <v>9:02:08.671230</v>
      </c>
      <c r="C7828">
        <v>-41</v>
      </c>
    </row>
    <row r="7829" spans="1:3" x14ac:dyDescent="0.25">
      <c r="A7829">
        <v>38</v>
      </c>
      <c r="B7829" t="str">
        <f>"9:02:08.671749"</f>
        <v>9:02:08.671749</v>
      </c>
      <c r="C7829">
        <v>-32</v>
      </c>
    </row>
    <row r="7830" spans="1:3" x14ac:dyDescent="0.25">
      <c r="A7830">
        <v>38</v>
      </c>
      <c r="B7830" t="str">
        <f>"9:02:08.672075"</f>
        <v>9:02:08.672075</v>
      </c>
      <c r="C7830">
        <v>-41</v>
      </c>
    </row>
    <row r="7831" spans="1:3" x14ac:dyDescent="0.25">
      <c r="A7831">
        <v>39</v>
      </c>
      <c r="B7831" t="str">
        <f>"9:02:08.672851"</f>
        <v>9:02:08.672851</v>
      </c>
      <c r="C7831">
        <v>-45</v>
      </c>
    </row>
    <row r="7832" spans="1:3" x14ac:dyDescent="0.25">
      <c r="A7832">
        <v>37</v>
      </c>
      <c r="B7832" t="str">
        <f>"9:02:09.028131"</f>
        <v>9:02:09.028131</v>
      </c>
      <c r="C7832">
        <v>-44</v>
      </c>
    </row>
    <row r="7833" spans="1:3" x14ac:dyDescent="0.25">
      <c r="A7833">
        <v>38</v>
      </c>
      <c r="B7833" t="str">
        <f>"9:02:09.029158"</f>
        <v>9:02:09.029158</v>
      </c>
      <c r="C7833">
        <v>-42</v>
      </c>
    </row>
    <row r="7834" spans="1:3" x14ac:dyDescent="0.25">
      <c r="A7834">
        <v>38</v>
      </c>
      <c r="B7834" t="str">
        <f>"9:02:09.029677"</f>
        <v>9:02:09.029677</v>
      </c>
      <c r="C7834">
        <v>-32</v>
      </c>
    </row>
    <row r="7835" spans="1:3" x14ac:dyDescent="0.25">
      <c r="A7835">
        <v>38</v>
      </c>
      <c r="B7835" t="str">
        <f>"9:02:09.030002"</f>
        <v>9:02:09.030002</v>
      </c>
      <c r="C7835">
        <v>-41</v>
      </c>
    </row>
    <row r="7836" spans="1:3" x14ac:dyDescent="0.25">
      <c r="A7836">
        <v>39</v>
      </c>
      <c r="B7836" t="str">
        <f>"9:02:09.030778"</f>
        <v>9:02:09.030778</v>
      </c>
      <c r="C7836">
        <v>-46</v>
      </c>
    </row>
    <row r="7837" spans="1:3" x14ac:dyDescent="0.25">
      <c r="A7837">
        <v>37</v>
      </c>
      <c r="B7837" t="str">
        <f>"9:02:09.384016"</f>
        <v>9:02:09.384016</v>
      </c>
      <c r="C7837">
        <v>-44</v>
      </c>
    </row>
    <row r="7838" spans="1:3" x14ac:dyDescent="0.25">
      <c r="A7838">
        <v>38</v>
      </c>
      <c r="B7838" t="str">
        <f>"9:02:09.385043"</f>
        <v>9:02:09.385043</v>
      </c>
      <c r="C7838">
        <v>-41</v>
      </c>
    </row>
    <row r="7839" spans="1:3" x14ac:dyDescent="0.25">
      <c r="A7839">
        <v>38</v>
      </c>
      <c r="B7839" t="str">
        <f>"9:02:09.385562"</f>
        <v>9:02:09.385562</v>
      </c>
      <c r="C7839">
        <v>-32</v>
      </c>
    </row>
    <row r="7840" spans="1:3" x14ac:dyDescent="0.25">
      <c r="A7840">
        <v>38</v>
      </c>
      <c r="B7840" t="str">
        <f>"9:02:09.385887"</f>
        <v>9:02:09.385887</v>
      </c>
      <c r="C7840">
        <v>-41</v>
      </c>
    </row>
    <row r="7841" spans="1:3" x14ac:dyDescent="0.25">
      <c r="A7841">
        <v>39</v>
      </c>
      <c r="B7841" t="str">
        <f>"9:02:09.386663"</f>
        <v>9:02:09.386663</v>
      </c>
      <c r="C7841">
        <v>-46</v>
      </c>
    </row>
    <row r="7842" spans="1:3" x14ac:dyDescent="0.25">
      <c r="A7842">
        <v>37</v>
      </c>
      <c r="B7842" t="str">
        <f>"9:02:09.740411"</f>
        <v>9:02:09.740411</v>
      </c>
      <c r="C7842">
        <v>-44</v>
      </c>
    </row>
    <row r="7843" spans="1:3" x14ac:dyDescent="0.25">
      <c r="A7843">
        <v>38</v>
      </c>
      <c r="B7843" t="str">
        <f>"9:02:09.741439"</f>
        <v>9:02:09.741439</v>
      </c>
      <c r="C7843">
        <v>-41</v>
      </c>
    </row>
    <row r="7844" spans="1:3" x14ac:dyDescent="0.25">
      <c r="A7844">
        <v>39</v>
      </c>
      <c r="B7844" t="str">
        <f>"9:02:09.742465"</f>
        <v>9:02:09.742465</v>
      </c>
      <c r="C7844">
        <v>-46</v>
      </c>
    </row>
    <row r="7845" spans="1:3" x14ac:dyDescent="0.25">
      <c r="A7845">
        <v>37</v>
      </c>
      <c r="B7845" t="str">
        <f>"9:02:10.091195"</f>
        <v>9:02:10.091195</v>
      </c>
      <c r="C7845">
        <v>-44</v>
      </c>
    </row>
    <row r="7846" spans="1:3" x14ac:dyDescent="0.25">
      <c r="A7846">
        <v>38</v>
      </c>
      <c r="B7846" t="str">
        <f>"9:02:10.092222"</f>
        <v>9:02:10.092222</v>
      </c>
      <c r="C7846">
        <v>-41</v>
      </c>
    </row>
    <row r="7847" spans="1:3" x14ac:dyDescent="0.25">
      <c r="A7847">
        <v>37</v>
      </c>
      <c r="B7847" t="str">
        <f>"9:02:10.447887"</f>
        <v>9:02:10.447887</v>
      </c>
      <c r="C7847">
        <v>-44</v>
      </c>
    </row>
    <row r="7848" spans="1:3" x14ac:dyDescent="0.25">
      <c r="A7848">
        <v>38</v>
      </c>
      <c r="B7848" t="str">
        <f>"9:02:10.448914"</f>
        <v>9:02:10.448914</v>
      </c>
      <c r="C7848">
        <v>-41</v>
      </c>
    </row>
    <row r="7849" spans="1:3" x14ac:dyDescent="0.25">
      <c r="A7849">
        <v>39</v>
      </c>
      <c r="B7849" t="str">
        <f>"9:02:10.449940"</f>
        <v>9:02:10.449940</v>
      </c>
      <c r="C7849">
        <v>-46</v>
      </c>
    </row>
    <row r="7850" spans="1:3" x14ac:dyDescent="0.25">
      <c r="A7850">
        <v>39</v>
      </c>
      <c r="B7850" t="str">
        <f>"9:02:10.450459"</f>
        <v>9:02:10.450459</v>
      </c>
      <c r="C7850">
        <v>-31</v>
      </c>
    </row>
    <row r="7851" spans="1:3" x14ac:dyDescent="0.25">
      <c r="A7851">
        <v>39</v>
      </c>
      <c r="B7851" t="str">
        <f>"9:02:10.450785"</f>
        <v>9:02:10.450785</v>
      </c>
      <c r="C7851">
        <v>-45</v>
      </c>
    </row>
    <row r="7852" spans="1:3" x14ac:dyDescent="0.25">
      <c r="A7852">
        <v>37</v>
      </c>
      <c r="B7852" t="str">
        <f>"9:02:10.804515"</f>
        <v>9:02:10.804515</v>
      </c>
      <c r="C7852">
        <v>-44</v>
      </c>
    </row>
    <row r="7853" spans="1:3" x14ac:dyDescent="0.25">
      <c r="A7853">
        <v>38</v>
      </c>
      <c r="B7853" t="str">
        <f>"9:02:10.805542"</f>
        <v>9:02:10.805542</v>
      </c>
      <c r="C7853">
        <v>-41</v>
      </c>
    </row>
    <row r="7854" spans="1:3" x14ac:dyDescent="0.25">
      <c r="A7854">
        <v>39</v>
      </c>
      <c r="B7854" t="str">
        <f>"9:02:10.806568"</f>
        <v>9:02:10.806568</v>
      </c>
      <c r="C7854">
        <v>-45</v>
      </c>
    </row>
    <row r="7855" spans="1:3" x14ac:dyDescent="0.25">
      <c r="A7855">
        <v>39</v>
      </c>
      <c r="B7855" t="str">
        <f>"9:02:10.807086"</f>
        <v>9:02:10.807086</v>
      </c>
      <c r="C7855">
        <v>-31</v>
      </c>
    </row>
    <row r="7856" spans="1:3" x14ac:dyDescent="0.25">
      <c r="A7856">
        <v>39</v>
      </c>
      <c r="B7856" t="str">
        <f>"9:02:10.807412"</f>
        <v>9:02:10.807412</v>
      </c>
      <c r="C7856">
        <v>-45</v>
      </c>
    </row>
    <row r="7857" spans="1:3" x14ac:dyDescent="0.25">
      <c r="A7857">
        <v>37</v>
      </c>
      <c r="B7857" t="str">
        <f>"9:02:11.163004"</f>
        <v>9:02:11.163004</v>
      </c>
      <c r="C7857">
        <v>-44</v>
      </c>
    </row>
    <row r="7858" spans="1:3" x14ac:dyDescent="0.25">
      <c r="A7858">
        <v>38</v>
      </c>
      <c r="B7858" t="str">
        <f>"9:02:11.164031"</f>
        <v>9:02:11.164031</v>
      </c>
      <c r="C7858">
        <v>-41</v>
      </c>
    </row>
    <row r="7859" spans="1:3" x14ac:dyDescent="0.25">
      <c r="A7859">
        <v>39</v>
      </c>
      <c r="B7859" t="str">
        <f>"9:02:11.165057"</f>
        <v>9:02:11.165057</v>
      </c>
      <c r="C7859">
        <v>-46</v>
      </c>
    </row>
    <row r="7860" spans="1:3" x14ac:dyDescent="0.25">
      <c r="A7860">
        <v>39</v>
      </c>
      <c r="B7860" t="str">
        <f>"9:02:11.165575"</f>
        <v>9:02:11.165575</v>
      </c>
      <c r="C7860">
        <v>-31</v>
      </c>
    </row>
    <row r="7861" spans="1:3" x14ac:dyDescent="0.25">
      <c r="A7861">
        <v>39</v>
      </c>
      <c r="B7861" t="str">
        <f>"9:02:11.165901"</f>
        <v>9:02:11.165901</v>
      </c>
      <c r="C7861">
        <v>-45</v>
      </c>
    </row>
    <row r="7862" spans="1:3" x14ac:dyDescent="0.25">
      <c r="A7862">
        <v>37</v>
      </c>
      <c r="B7862" t="str">
        <f>"9:02:11.516598"</f>
        <v>9:02:11.516598</v>
      </c>
      <c r="C7862">
        <v>-44</v>
      </c>
    </row>
    <row r="7863" spans="1:3" x14ac:dyDescent="0.25">
      <c r="A7863">
        <v>37</v>
      </c>
      <c r="B7863" t="str">
        <f>"9:02:11.517118"</f>
        <v>9:02:11.517118</v>
      </c>
      <c r="C7863">
        <v>-82</v>
      </c>
    </row>
    <row r="7864" spans="1:3" x14ac:dyDescent="0.25">
      <c r="A7864">
        <v>37</v>
      </c>
      <c r="B7864" t="str">
        <f>"9:02:11.517444"</f>
        <v>9:02:11.517444</v>
      </c>
      <c r="C7864">
        <v>-44</v>
      </c>
    </row>
    <row r="7865" spans="1:3" x14ac:dyDescent="0.25">
      <c r="A7865">
        <v>38</v>
      </c>
      <c r="B7865" t="str">
        <f>"9:02:11.518220"</f>
        <v>9:02:11.518220</v>
      </c>
      <c r="C7865">
        <v>-41</v>
      </c>
    </row>
    <row r="7866" spans="1:3" x14ac:dyDescent="0.25">
      <c r="A7866">
        <v>39</v>
      </c>
      <c r="B7866" t="str">
        <f>"9:02:11.519246"</f>
        <v>9:02:11.519246</v>
      </c>
      <c r="C7866">
        <v>-46</v>
      </c>
    </row>
    <row r="7867" spans="1:3" x14ac:dyDescent="0.25">
      <c r="A7867">
        <v>39</v>
      </c>
      <c r="B7867" t="str">
        <f>"9:02:11.519764"</f>
        <v>9:02:11.519764</v>
      </c>
      <c r="C7867">
        <v>-31</v>
      </c>
    </row>
    <row r="7868" spans="1:3" x14ac:dyDescent="0.25">
      <c r="A7868">
        <v>39</v>
      </c>
      <c r="B7868" t="str">
        <f>"9:02:11.520090"</f>
        <v>9:02:11.520090</v>
      </c>
      <c r="C7868">
        <v>-45</v>
      </c>
    </row>
    <row r="7869" spans="1:3" x14ac:dyDescent="0.25">
      <c r="A7869">
        <v>37</v>
      </c>
      <c r="B7869" t="str">
        <f>"9:02:11.875341"</f>
        <v>9:02:11.875341</v>
      </c>
      <c r="C7869">
        <v>-44</v>
      </c>
    </row>
    <row r="7870" spans="1:3" x14ac:dyDescent="0.25">
      <c r="A7870">
        <v>38</v>
      </c>
      <c r="B7870" t="str">
        <f>"9:02:11.876368"</f>
        <v>9:02:11.876368</v>
      </c>
      <c r="C7870">
        <v>-41</v>
      </c>
    </row>
    <row r="7871" spans="1:3" x14ac:dyDescent="0.25">
      <c r="A7871">
        <v>39</v>
      </c>
      <c r="B7871" t="str">
        <f>"9:02:11.877394"</f>
        <v>9:02:11.877394</v>
      </c>
      <c r="C7871">
        <v>-46</v>
      </c>
    </row>
    <row r="7872" spans="1:3" x14ac:dyDescent="0.25">
      <c r="A7872">
        <v>39</v>
      </c>
      <c r="B7872" t="str">
        <f>"9:02:11.877912"</f>
        <v>9:02:11.877912</v>
      </c>
      <c r="C7872">
        <v>-31</v>
      </c>
    </row>
    <row r="7873" spans="1:3" x14ac:dyDescent="0.25">
      <c r="A7873">
        <v>39</v>
      </c>
      <c r="B7873" t="str">
        <f>"9:02:11.878238"</f>
        <v>9:02:11.878238</v>
      </c>
      <c r="C7873">
        <v>-45</v>
      </c>
    </row>
    <row r="7874" spans="1:3" x14ac:dyDescent="0.25">
      <c r="A7874">
        <v>37</v>
      </c>
      <c r="B7874" t="str">
        <f>"9:02:12.233515"</f>
        <v>9:02:12.233515</v>
      </c>
      <c r="C7874">
        <v>-44</v>
      </c>
    </row>
    <row r="7875" spans="1:3" x14ac:dyDescent="0.25">
      <c r="A7875">
        <v>38</v>
      </c>
      <c r="B7875" t="str">
        <f>"9:02:12.234542"</f>
        <v>9:02:12.234542</v>
      </c>
      <c r="C7875">
        <v>-41</v>
      </c>
    </row>
    <row r="7876" spans="1:3" x14ac:dyDescent="0.25">
      <c r="A7876">
        <v>39</v>
      </c>
      <c r="B7876" t="str">
        <f>"9:02:12.235568"</f>
        <v>9:02:12.235568</v>
      </c>
      <c r="C7876">
        <v>-46</v>
      </c>
    </row>
    <row r="7877" spans="1:3" x14ac:dyDescent="0.25">
      <c r="A7877">
        <v>39</v>
      </c>
      <c r="B7877" t="str">
        <f>"9:02:12.236087"</f>
        <v>9:02:12.236087</v>
      </c>
      <c r="C7877">
        <v>-31</v>
      </c>
    </row>
    <row r="7878" spans="1:3" x14ac:dyDescent="0.25">
      <c r="A7878">
        <v>39</v>
      </c>
      <c r="B7878" t="str">
        <f>"9:02:12.236412"</f>
        <v>9:02:12.236412</v>
      </c>
      <c r="C7878">
        <v>-45</v>
      </c>
    </row>
    <row r="7879" spans="1:3" x14ac:dyDescent="0.25">
      <c r="A7879">
        <v>37</v>
      </c>
      <c r="B7879" t="str">
        <f>"9:02:12.587095"</f>
        <v>9:02:12.587095</v>
      </c>
      <c r="C7879">
        <v>-44</v>
      </c>
    </row>
    <row r="7880" spans="1:3" x14ac:dyDescent="0.25">
      <c r="A7880">
        <v>38</v>
      </c>
      <c r="B7880" t="str">
        <f>"9:02:12.588123"</f>
        <v>9:02:12.588123</v>
      </c>
      <c r="C7880">
        <v>-41</v>
      </c>
    </row>
    <row r="7881" spans="1:3" x14ac:dyDescent="0.25">
      <c r="A7881">
        <v>39</v>
      </c>
      <c r="B7881" t="str">
        <f>"9:02:12.589149"</f>
        <v>9:02:12.589149</v>
      </c>
      <c r="C7881">
        <v>-46</v>
      </c>
    </row>
    <row r="7882" spans="1:3" x14ac:dyDescent="0.25">
      <c r="A7882">
        <v>37</v>
      </c>
      <c r="B7882" t="str">
        <f>"9:02:12.941432"</f>
        <v>9:02:12.941432</v>
      </c>
      <c r="C7882">
        <v>-44</v>
      </c>
    </row>
    <row r="7883" spans="1:3" x14ac:dyDescent="0.25">
      <c r="A7883">
        <v>38</v>
      </c>
      <c r="B7883" t="str">
        <f>"9:02:12.942459"</f>
        <v>9:02:12.942459</v>
      </c>
      <c r="C7883">
        <v>-41</v>
      </c>
    </row>
    <row r="7884" spans="1:3" x14ac:dyDescent="0.25">
      <c r="A7884">
        <v>39</v>
      </c>
      <c r="B7884" t="str">
        <f>"9:02:12.943485"</f>
        <v>9:02:12.943485</v>
      </c>
      <c r="C7884">
        <v>-46</v>
      </c>
    </row>
    <row r="7885" spans="1:3" x14ac:dyDescent="0.25">
      <c r="A7885">
        <v>39</v>
      </c>
      <c r="B7885" t="str">
        <f>"9:02:12.944003"</f>
        <v>9:02:12.944003</v>
      </c>
      <c r="C7885">
        <v>-31</v>
      </c>
    </row>
    <row r="7886" spans="1:3" x14ac:dyDescent="0.25">
      <c r="A7886">
        <v>39</v>
      </c>
      <c r="B7886" t="str">
        <f>"9:02:12.944329"</f>
        <v>9:02:12.944329</v>
      </c>
      <c r="C7886">
        <v>-45</v>
      </c>
    </row>
    <row r="7887" spans="1:3" x14ac:dyDescent="0.25">
      <c r="A7887">
        <v>37</v>
      </c>
      <c r="B7887" t="str">
        <f>"9:02:13.299657"</f>
        <v>9:02:13.299657</v>
      </c>
      <c r="C7887">
        <v>-44</v>
      </c>
    </row>
    <row r="7888" spans="1:3" x14ac:dyDescent="0.25">
      <c r="A7888">
        <v>38</v>
      </c>
      <c r="B7888" t="str">
        <f>"9:02:13.300684"</f>
        <v>9:02:13.300684</v>
      </c>
      <c r="C7888">
        <v>-41</v>
      </c>
    </row>
    <row r="7889" spans="1:3" x14ac:dyDescent="0.25">
      <c r="A7889">
        <v>39</v>
      </c>
      <c r="B7889" t="str">
        <f>"9:02:13.301710"</f>
        <v>9:02:13.301710</v>
      </c>
      <c r="C7889">
        <v>-46</v>
      </c>
    </row>
    <row r="7890" spans="1:3" x14ac:dyDescent="0.25">
      <c r="A7890">
        <v>39</v>
      </c>
      <c r="B7890" t="str">
        <f>"9:02:13.302229"</f>
        <v>9:02:13.302229</v>
      </c>
      <c r="C7890">
        <v>-31</v>
      </c>
    </row>
    <row r="7891" spans="1:3" x14ac:dyDescent="0.25">
      <c r="A7891">
        <v>39</v>
      </c>
      <c r="B7891" t="str">
        <f>"9:02:13.302554"</f>
        <v>9:02:13.302554</v>
      </c>
      <c r="C7891">
        <v>-45</v>
      </c>
    </row>
    <row r="7892" spans="1:3" x14ac:dyDescent="0.25">
      <c r="A7892">
        <v>37</v>
      </c>
      <c r="B7892" t="str">
        <f>"9:02:13.659114"</f>
        <v>9:02:13.659114</v>
      </c>
      <c r="C7892">
        <v>-44</v>
      </c>
    </row>
    <row r="7893" spans="1:3" x14ac:dyDescent="0.25">
      <c r="A7893">
        <v>38</v>
      </c>
      <c r="B7893" t="str">
        <f>"9:02:13.660142"</f>
        <v>9:02:13.660142</v>
      </c>
      <c r="C7893">
        <v>-41</v>
      </c>
    </row>
    <row r="7894" spans="1:3" x14ac:dyDescent="0.25">
      <c r="A7894">
        <v>39</v>
      </c>
      <c r="B7894" t="str">
        <f>"9:02:13.661168"</f>
        <v>9:02:13.661168</v>
      </c>
      <c r="C7894">
        <v>-46</v>
      </c>
    </row>
    <row r="7895" spans="1:3" x14ac:dyDescent="0.25">
      <c r="A7895">
        <v>39</v>
      </c>
      <c r="B7895" t="str">
        <f>"9:02:13.661686"</f>
        <v>9:02:13.661686</v>
      </c>
      <c r="C7895">
        <v>-31</v>
      </c>
    </row>
    <row r="7896" spans="1:3" x14ac:dyDescent="0.25">
      <c r="A7896">
        <v>39</v>
      </c>
      <c r="B7896" t="str">
        <f>"9:02:13.662012"</f>
        <v>9:02:13.662012</v>
      </c>
      <c r="C7896">
        <v>-45</v>
      </c>
    </row>
    <row r="7897" spans="1:3" x14ac:dyDescent="0.25">
      <c r="A7897">
        <v>37</v>
      </c>
      <c r="B7897" t="str">
        <f>"9:02:14.011382"</f>
        <v>9:02:14.011382</v>
      </c>
      <c r="C7897">
        <v>-44</v>
      </c>
    </row>
    <row r="7898" spans="1:3" x14ac:dyDescent="0.25">
      <c r="A7898">
        <v>38</v>
      </c>
      <c r="B7898" t="str">
        <f>"9:02:14.012409"</f>
        <v>9:02:14.012409</v>
      </c>
      <c r="C7898">
        <v>-41</v>
      </c>
    </row>
    <row r="7899" spans="1:3" x14ac:dyDescent="0.25">
      <c r="A7899">
        <v>39</v>
      </c>
      <c r="B7899" t="str">
        <f>"9:02:14.013435"</f>
        <v>9:02:14.013435</v>
      </c>
      <c r="C7899">
        <v>-45</v>
      </c>
    </row>
    <row r="7900" spans="1:3" x14ac:dyDescent="0.25">
      <c r="A7900">
        <v>39</v>
      </c>
      <c r="B7900" t="str">
        <f>"9:02:14.013953"</f>
        <v>9:02:14.013953</v>
      </c>
      <c r="C7900">
        <v>-31</v>
      </c>
    </row>
    <row r="7901" spans="1:3" x14ac:dyDescent="0.25">
      <c r="A7901">
        <v>39</v>
      </c>
      <c r="B7901" t="str">
        <f>"9:02:14.014279"</f>
        <v>9:02:14.014279</v>
      </c>
      <c r="C7901">
        <v>-45</v>
      </c>
    </row>
    <row r="7902" spans="1:3" x14ac:dyDescent="0.25">
      <c r="A7902">
        <v>37</v>
      </c>
      <c r="B7902" t="str">
        <f>"9:02:14.368066"</f>
        <v>9:02:14.368066</v>
      </c>
      <c r="C7902">
        <v>-44</v>
      </c>
    </row>
    <row r="7903" spans="1:3" x14ac:dyDescent="0.25">
      <c r="A7903">
        <v>38</v>
      </c>
      <c r="B7903" t="str">
        <f>"9:02:14.369094"</f>
        <v>9:02:14.369094</v>
      </c>
      <c r="C7903">
        <v>-41</v>
      </c>
    </row>
    <row r="7904" spans="1:3" x14ac:dyDescent="0.25">
      <c r="A7904">
        <v>39</v>
      </c>
      <c r="B7904" t="str">
        <f>"9:02:14.370120"</f>
        <v>9:02:14.370120</v>
      </c>
      <c r="C7904">
        <v>-46</v>
      </c>
    </row>
    <row r="7905" spans="1:3" x14ac:dyDescent="0.25">
      <c r="A7905">
        <v>39</v>
      </c>
      <c r="B7905" t="str">
        <f>"9:02:14.370639"</f>
        <v>9:02:14.370639</v>
      </c>
      <c r="C7905">
        <v>-31</v>
      </c>
    </row>
    <row r="7906" spans="1:3" x14ac:dyDescent="0.25">
      <c r="A7906">
        <v>39</v>
      </c>
      <c r="B7906" t="str">
        <f>"9:02:14.370965"</f>
        <v>9:02:14.370965</v>
      </c>
      <c r="C7906">
        <v>-45</v>
      </c>
    </row>
    <row r="7907" spans="1:3" x14ac:dyDescent="0.25">
      <c r="A7907">
        <v>37</v>
      </c>
      <c r="B7907" t="str">
        <f>"9:02:14.722705"</f>
        <v>9:02:14.722705</v>
      </c>
      <c r="C7907">
        <v>-45</v>
      </c>
    </row>
    <row r="7908" spans="1:3" x14ac:dyDescent="0.25">
      <c r="A7908">
        <v>37</v>
      </c>
      <c r="B7908" t="str">
        <f>"9:02:14.723224"</f>
        <v>9:02:14.723224</v>
      </c>
      <c r="C7908">
        <v>-37</v>
      </c>
    </row>
    <row r="7909" spans="1:3" x14ac:dyDescent="0.25">
      <c r="A7909">
        <v>37</v>
      </c>
      <c r="B7909" t="str">
        <f>"9:02:14.723549"</f>
        <v>9:02:14.723549</v>
      </c>
      <c r="C7909">
        <v>-45</v>
      </c>
    </row>
    <row r="7910" spans="1:3" x14ac:dyDescent="0.25">
      <c r="A7910">
        <v>38</v>
      </c>
      <c r="B7910" t="str">
        <f>"9:02:14.724326"</f>
        <v>9:02:14.724326</v>
      </c>
      <c r="C7910">
        <v>-41</v>
      </c>
    </row>
    <row r="7911" spans="1:3" x14ac:dyDescent="0.25">
      <c r="A7911">
        <v>39</v>
      </c>
      <c r="B7911" t="str">
        <f>"9:02:14.725352"</f>
        <v>9:02:14.725352</v>
      </c>
      <c r="C7911">
        <v>-46</v>
      </c>
    </row>
    <row r="7912" spans="1:3" x14ac:dyDescent="0.25">
      <c r="A7912">
        <v>37</v>
      </c>
      <c r="B7912" t="str">
        <f>"9:02:15.077841"</f>
        <v>9:02:15.077841</v>
      </c>
      <c r="C7912">
        <v>-45</v>
      </c>
    </row>
    <row r="7913" spans="1:3" x14ac:dyDescent="0.25">
      <c r="A7913">
        <v>37</v>
      </c>
      <c r="B7913" t="str">
        <f>"9:02:15.078360"</f>
        <v>9:02:15.078360</v>
      </c>
      <c r="C7913">
        <v>-37</v>
      </c>
    </row>
    <row r="7914" spans="1:3" x14ac:dyDescent="0.25">
      <c r="A7914">
        <v>37</v>
      </c>
      <c r="B7914" t="str">
        <f>"9:02:15.078686"</f>
        <v>9:02:15.078686</v>
      </c>
      <c r="C7914">
        <v>-45</v>
      </c>
    </row>
    <row r="7915" spans="1:3" x14ac:dyDescent="0.25">
      <c r="A7915">
        <v>38</v>
      </c>
      <c r="B7915" t="str">
        <f>"9:02:15.079462"</f>
        <v>9:02:15.079462</v>
      </c>
      <c r="C7915">
        <v>-41</v>
      </c>
    </row>
    <row r="7916" spans="1:3" x14ac:dyDescent="0.25">
      <c r="A7916">
        <v>39</v>
      </c>
      <c r="B7916" t="str">
        <f>"9:02:15.080488"</f>
        <v>9:02:15.080488</v>
      </c>
      <c r="C7916">
        <v>-46</v>
      </c>
    </row>
    <row r="7917" spans="1:3" x14ac:dyDescent="0.25">
      <c r="A7917">
        <v>37</v>
      </c>
      <c r="B7917" t="str">
        <f>"9:02:15.429091"</f>
        <v>9:02:15.429091</v>
      </c>
      <c r="C7917">
        <v>-45</v>
      </c>
    </row>
    <row r="7918" spans="1:3" x14ac:dyDescent="0.25">
      <c r="A7918">
        <v>37</v>
      </c>
      <c r="B7918" t="str">
        <f>"9:02:15.429610"</f>
        <v>9:02:15.429610</v>
      </c>
      <c r="C7918">
        <v>-37</v>
      </c>
    </row>
    <row r="7919" spans="1:3" x14ac:dyDescent="0.25">
      <c r="A7919">
        <v>37</v>
      </c>
      <c r="B7919" t="str">
        <f>"9:02:15.429936"</f>
        <v>9:02:15.429936</v>
      </c>
      <c r="C7919">
        <v>-45</v>
      </c>
    </row>
    <row r="7920" spans="1:3" x14ac:dyDescent="0.25">
      <c r="A7920">
        <v>38</v>
      </c>
      <c r="B7920" t="str">
        <f>"9:02:15.430713"</f>
        <v>9:02:15.430713</v>
      </c>
      <c r="C7920">
        <v>-41</v>
      </c>
    </row>
    <row r="7921" spans="1:3" x14ac:dyDescent="0.25">
      <c r="A7921">
        <v>39</v>
      </c>
      <c r="B7921" t="str">
        <f>"9:02:15.431739"</f>
        <v>9:02:15.431739</v>
      </c>
      <c r="C7921">
        <v>-46</v>
      </c>
    </row>
    <row r="7922" spans="1:3" x14ac:dyDescent="0.25">
      <c r="A7922">
        <v>37</v>
      </c>
      <c r="B7922" t="str">
        <f>"9:02:15.785251"</f>
        <v>9:02:15.785251</v>
      </c>
      <c r="C7922">
        <v>-45</v>
      </c>
    </row>
    <row r="7923" spans="1:3" x14ac:dyDescent="0.25">
      <c r="A7923">
        <v>37</v>
      </c>
      <c r="B7923" t="str">
        <f>"9:02:15.785770"</f>
        <v>9:02:15.785770</v>
      </c>
      <c r="C7923">
        <v>-37</v>
      </c>
    </row>
    <row r="7924" spans="1:3" x14ac:dyDescent="0.25">
      <c r="A7924">
        <v>37</v>
      </c>
      <c r="B7924" t="str">
        <f>"9:02:15.786096"</f>
        <v>9:02:15.786096</v>
      </c>
      <c r="C7924">
        <v>-45</v>
      </c>
    </row>
    <row r="7925" spans="1:3" x14ac:dyDescent="0.25">
      <c r="A7925">
        <v>38</v>
      </c>
      <c r="B7925" t="str">
        <f>"9:02:15.786872"</f>
        <v>9:02:15.786872</v>
      </c>
      <c r="C7925">
        <v>-41</v>
      </c>
    </row>
    <row r="7926" spans="1:3" x14ac:dyDescent="0.25">
      <c r="A7926">
        <v>39</v>
      </c>
      <c r="B7926" t="str">
        <f>"9:02:15.787898"</f>
        <v>9:02:15.787898</v>
      </c>
      <c r="C7926">
        <v>-46</v>
      </c>
    </row>
    <row r="7927" spans="1:3" x14ac:dyDescent="0.25">
      <c r="A7927">
        <v>37</v>
      </c>
      <c r="B7927" t="str">
        <f>"9:02:16.142402"</f>
        <v>9:02:16.142402</v>
      </c>
      <c r="C7927">
        <v>-44</v>
      </c>
    </row>
    <row r="7928" spans="1:3" x14ac:dyDescent="0.25">
      <c r="A7928">
        <v>37</v>
      </c>
      <c r="B7928" t="str">
        <f>"9:02:16.142920"</f>
        <v>9:02:16.142920</v>
      </c>
      <c r="C7928">
        <v>-40</v>
      </c>
    </row>
    <row r="7929" spans="1:3" x14ac:dyDescent="0.25">
      <c r="A7929">
        <v>37</v>
      </c>
      <c r="B7929" t="str">
        <f>"9:02:16.143246"</f>
        <v>9:02:16.143246</v>
      </c>
      <c r="C7929">
        <v>-44</v>
      </c>
    </row>
    <row r="7930" spans="1:3" x14ac:dyDescent="0.25">
      <c r="A7930">
        <v>38</v>
      </c>
      <c r="B7930" t="str">
        <f>"9:02:16.144022"</f>
        <v>9:02:16.144022</v>
      </c>
      <c r="C7930">
        <v>-41</v>
      </c>
    </row>
    <row r="7931" spans="1:3" x14ac:dyDescent="0.25">
      <c r="A7931">
        <v>39</v>
      </c>
      <c r="B7931" t="str">
        <f>"9:02:16.145048"</f>
        <v>9:02:16.145048</v>
      </c>
      <c r="C7931">
        <v>-45</v>
      </c>
    </row>
    <row r="7932" spans="1:3" x14ac:dyDescent="0.25">
      <c r="A7932">
        <v>37</v>
      </c>
      <c r="B7932" t="str">
        <f>"9:02:16.497709"</f>
        <v>9:02:16.497709</v>
      </c>
      <c r="C7932">
        <v>-44</v>
      </c>
    </row>
    <row r="7933" spans="1:3" x14ac:dyDescent="0.25">
      <c r="A7933">
        <v>37</v>
      </c>
      <c r="B7933" t="str">
        <f>"9:02:16.498227"</f>
        <v>9:02:16.498227</v>
      </c>
      <c r="C7933">
        <v>-40</v>
      </c>
    </row>
    <row r="7934" spans="1:3" x14ac:dyDescent="0.25">
      <c r="A7934">
        <v>37</v>
      </c>
      <c r="B7934" t="str">
        <f>"9:02:16.498554"</f>
        <v>9:02:16.498554</v>
      </c>
      <c r="C7934">
        <v>-44</v>
      </c>
    </row>
    <row r="7935" spans="1:3" x14ac:dyDescent="0.25">
      <c r="A7935">
        <v>38</v>
      </c>
      <c r="B7935" t="str">
        <f>"9:02:16.499330"</f>
        <v>9:02:16.499330</v>
      </c>
      <c r="C7935">
        <v>-41</v>
      </c>
    </row>
    <row r="7936" spans="1:3" x14ac:dyDescent="0.25">
      <c r="A7936">
        <v>39</v>
      </c>
      <c r="B7936" t="str">
        <f>"9:02:16.500356"</f>
        <v>9:02:16.500356</v>
      </c>
      <c r="C7936">
        <v>-45</v>
      </c>
    </row>
    <row r="7937" spans="1:3" x14ac:dyDescent="0.25">
      <c r="A7937">
        <v>37</v>
      </c>
      <c r="B7937" t="str">
        <f>"9:02:16.857389"</f>
        <v>9:02:16.857389</v>
      </c>
      <c r="C7937">
        <v>-44</v>
      </c>
    </row>
    <row r="7938" spans="1:3" x14ac:dyDescent="0.25">
      <c r="A7938">
        <v>37</v>
      </c>
      <c r="B7938" t="str">
        <f>"9:02:16.857907"</f>
        <v>9:02:16.857907</v>
      </c>
      <c r="C7938">
        <v>-40</v>
      </c>
    </row>
    <row r="7939" spans="1:3" x14ac:dyDescent="0.25">
      <c r="A7939">
        <v>37</v>
      </c>
      <c r="B7939" t="str">
        <f>"9:02:16.858233"</f>
        <v>9:02:16.858233</v>
      </c>
      <c r="C7939">
        <v>-44</v>
      </c>
    </row>
    <row r="7940" spans="1:3" x14ac:dyDescent="0.25">
      <c r="A7940">
        <v>38</v>
      </c>
      <c r="B7940" t="str">
        <f>"9:02:16.859009"</f>
        <v>9:02:16.859009</v>
      </c>
      <c r="C7940">
        <v>-41</v>
      </c>
    </row>
    <row r="7941" spans="1:3" x14ac:dyDescent="0.25">
      <c r="A7941">
        <v>39</v>
      </c>
      <c r="B7941" t="str">
        <f>"9:02:16.860035"</f>
        <v>9:02:16.860035</v>
      </c>
      <c r="C7941">
        <v>-45</v>
      </c>
    </row>
    <row r="7942" spans="1:3" x14ac:dyDescent="0.25">
      <c r="A7942">
        <v>37</v>
      </c>
      <c r="B7942" t="str">
        <f>"9:02:17.211453"</f>
        <v>9:02:17.211453</v>
      </c>
      <c r="C7942">
        <v>-44</v>
      </c>
    </row>
    <row r="7943" spans="1:3" x14ac:dyDescent="0.25">
      <c r="A7943">
        <v>37</v>
      </c>
      <c r="B7943" t="str">
        <f>"9:02:17.211971"</f>
        <v>9:02:17.211971</v>
      </c>
      <c r="C7943">
        <v>-40</v>
      </c>
    </row>
    <row r="7944" spans="1:3" x14ac:dyDescent="0.25">
      <c r="A7944">
        <v>37</v>
      </c>
      <c r="B7944" t="str">
        <f>"9:02:17.212297"</f>
        <v>9:02:17.212297</v>
      </c>
      <c r="C7944">
        <v>-44</v>
      </c>
    </row>
    <row r="7945" spans="1:3" x14ac:dyDescent="0.25">
      <c r="A7945">
        <v>38</v>
      </c>
      <c r="B7945" t="str">
        <f>"9:02:17.213074"</f>
        <v>9:02:17.213074</v>
      </c>
      <c r="C7945">
        <v>-41</v>
      </c>
    </row>
    <row r="7946" spans="1:3" x14ac:dyDescent="0.25">
      <c r="A7946">
        <v>39</v>
      </c>
      <c r="B7946" t="str">
        <f>"9:02:17.214100"</f>
        <v>9:02:17.214100</v>
      </c>
      <c r="C7946">
        <v>-45</v>
      </c>
    </row>
    <row r="7947" spans="1:3" x14ac:dyDescent="0.25">
      <c r="A7947">
        <v>37</v>
      </c>
      <c r="B7947" t="str">
        <f>"9:02:17.563273"</f>
        <v>9:02:17.563273</v>
      </c>
      <c r="C7947">
        <v>-44</v>
      </c>
    </row>
    <row r="7948" spans="1:3" x14ac:dyDescent="0.25">
      <c r="A7948">
        <v>37</v>
      </c>
      <c r="B7948" t="str">
        <f>"9:02:17.563792"</f>
        <v>9:02:17.563792</v>
      </c>
      <c r="C7948">
        <v>-40</v>
      </c>
    </row>
    <row r="7949" spans="1:3" x14ac:dyDescent="0.25">
      <c r="A7949">
        <v>37</v>
      </c>
      <c r="B7949" t="str">
        <f>"9:02:17.564118"</f>
        <v>9:02:17.564118</v>
      </c>
      <c r="C7949">
        <v>-44</v>
      </c>
    </row>
    <row r="7950" spans="1:3" x14ac:dyDescent="0.25">
      <c r="A7950">
        <v>38</v>
      </c>
      <c r="B7950" t="str">
        <f>"9:02:17.564894"</f>
        <v>9:02:17.564894</v>
      </c>
      <c r="C7950">
        <v>-41</v>
      </c>
    </row>
    <row r="7951" spans="1:3" x14ac:dyDescent="0.25">
      <c r="A7951">
        <v>39</v>
      </c>
      <c r="B7951" t="str">
        <f>"9:02:17.565920"</f>
        <v>9:02:17.565920</v>
      </c>
      <c r="C7951">
        <v>-45</v>
      </c>
    </row>
    <row r="7952" spans="1:3" x14ac:dyDescent="0.25">
      <c r="A7952">
        <v>37</v>
      </c>
      <c r="B7952" t="str">
        <f>"9:02:17.918582"</f>
        <v>9:02:17.918582</v>
      </c>
      <c r="C7952">
        <v>-44</v>
      </c>
    </row>
    <row r="7953" spans="1:3" x14ac:dyDescent="0.25">
      <c r="A7953">
        <v>37</v>
      </c>
      <c r="B7953" t="str">
        <f>"9:02:17.919101"</f>
        <v>9:02:17.919101</v>
      </c>
      <c r="C7953">
        <v>-40</v>
      </c>
    </row>
    <row r="7954" spans="1:3" x14ac:dyDescent="0.25">
      <c r="A7954">
        <v>37</v>
      </c>
      <c r="B7954" t="str">
        <f>"9:02:17.919426"</f>
        <v>9:02:17.919426</v>
      </c>
      <c r="C7954">
        <v>-44</v>
      </c>
    </row>
    <row r="7955" spans="1:3" x14ac:dyDescent="0.25">
      <c r="A7955">
        <v>38</v>
      </c>
      <c r="B7955" t="str">
        <f>"9:02:17.920202"</f>
        <v>9:02:17.920202</v>
      </c>
      <c r="C7955">
        <v>-41</v>
      </c>
    </row>
    <row r="7956" spans="1:3" x14ac:dyDescent="0.25">
      <c r="A7956">
        <v>39</v>
      </c>
      <c r="B7956" t="str">
        <f>"9:02:17.921228"</f>
        <v>9:02:17.921228</v>
      </c>
      <c r="C7956">
        <v>-45</v>
      </c>
    </row>
    <row r="7957" spans="1:3" x14ac:dyDescent="0.25">
      <c r="A7957">
        <v>37</v>
      </c>
      <c r="B7957" t="str">
        <f>"9:02:18.270615"</f>
        <v>9:02:18.270615</v>
      </c>
      <c r="C7957">
        <v>-44</v>
      </c>
    </row>
    <row r="7958" spans="1:3" x14ac:dyDescent="0.25">
      <c r="A7958">
        <v>38</v>
      </c>
      <c r="B7958" t="str">
        <f>"9:02:18.271642"</f>
        <v>9:02:18.271642</v>
      </c>
      <c r="C7958">
        <v>-41</v>
      </c>
    </row>
    <row r="7959" spans="1:3" x14ac:dyDescent="0.25">
      <c r="A7959">
        <v>39</v>
      </c>
      <c r="B7959" t="str">
        <f>"9:02:18.272668"</f>
        <v>9:02:18.272668</v>
      </c>
      <c r="C7959">
        <v>-45</v>
      </c>
    </row>
    <row r="7960" spans="1:3" x14ac:dyDescent="0.25">
      <c r="A7960">
        <v>37</v>
      </c>
      <c r="B7960" t="str">
        <f>"9:02:18.626780"</f>
        <v>9:02:18.626780</v>
      </c>
      <c r="C7960">
        <v>-44</v>
      </c>
    </row>
    <row r="7961" spans="1:3" x14ac:dyDescent="0.25">
      <c r="A7961">
        <v>37</v>
      </c>
      <c r="B7961" t="str">
        <f>"9:02:18.627299"</f>
        <v>9:02:18.627299</v>
      </c>
      <c r="C7961">
        <v>-40</v>
      </c>
    </row>
    <row r="7962" spans="1:3" x14ac:dyDescent="0.25">
      <c r="A7962">
        <v>37</v>
      </c>
      <c r="B7962" t="str">
        <f>"9:02:18.627625"</f>
        <v>9:02:18.627625</v>
      </c>
      <c r="C7962">
        <v>-44</v>
      </c>
    </row>
    <row r="7963" spans="1:3" x14ac:dyDescent="0.25">
      <c r="A7963">
        <v>38</v>
      </c>
      <c r="B7963" t="str">
        <f>"9:02:18.628401"</f>
        <v>9:02:18.628401</v>
      </c>
      <c r="C7963">
        <v>-41</v>
      </c>
    </row>
    <row r="7964" spans="1:3" x14ac:dyDescent="0.25">
      <c r="A7964">
        <v>39</v>
      </c>
      <c r="B7964" t="str">
        <f>"9:02:18.629427"</f>
        <v>9:02:18.629427</v>
      </c>
      <c r="C7964">
        <v>-45</v>
      </c>
    </row>
    <row r="7965" spans="1:3" x14ac:dyDescent="0.25">
      <c r="A7965">
        <v>37</v>
      </c>
      <c r="B7965" t="str">
        <f>"9:02:18.984969"</f>
        <v>9:02:18.984969</v>
      </c>
      <c r="C7965">
        <v>-44</v>
      </c>
    </row>
    <row r="7966" spans="1:3" x14ac:dyDescent="0.25">
      <c r="A7966">
        <v>37</v>
      </c>
      <c r="B7966" t="str">
        <f>"9:02:18.985488"</f>
        <v>9:02:18.985488</v>
      </c>
      <c r="C7966">
        <v>-40</v>
      </c>
    </row>
    <row r="7967" spans="1:3" x14ac:dyDescent="0.25">
      <c r="A7967">
        <v>37</v>
      </c>
      <c r="B7967" t="str">
        <f>"9:02:18.985814"</f>
        <v>9:02:18.985814</v>
      </c>
      <c r="C7967">
        <v>-44</v>
      </c>
    </row>
    <row r="7968" spans="1:3" x14ac:dyDescent="0.25">
      <c r="A7968">
        <v>38</v>
      </c>
      <c r="B7968" t="str">
        <f>"9:02:18.986590"</f>
        <v>9:02:18.986590</v>
      </c>
      <c r="C7968">
        <v>-41</v>
      </c>
    </row>
    <row r="7969" spans="1:3" x14ac:dyDescent="0.25">
      <c r="A7969">
        <v>39</v>
      </c>
      <c r="B7969" t="str">
        <f>"9:02:18.987616"</f>
        <v>9:02:18.987616</v>
      </c>
      <c r="C7969">
        <v>-45</v>
      </c>
    </row>
    <row r="7970" spans="1:3" x14ac:dyDescent="0.25">
      <c r="A7970">
        <v>37</v>
      </c>
      <c r="B7970" t="str">
        <f>"9:02:19.335198"</f>
        <v>9:02:19.335198</v>
      </c>
      <c r="C7970">
        <v>-44</v>
      </c>
    </row>
    <row r="7971" spans="1:3" x14ac:dyDescent="0.25">
      <c r="A7971">
        <v>37</v>
      </c>
      <c r="B7971" t="str">
        <f>"9:02:19.335717"</f>
        <v>9:02:19.335717</v>
      </c>
      <c r="C7971">
        <v>-42</v>
      </c>
    </row>
    <row r="7972" spans="1:3" x14ac:dyDescent="0.25">
      <c r="A7972">
        <v>37</v>
      </c>
      <c r="B7972" t="str">
        <f>"9:02:19.336042"</f>
        <v>9:02:19.336042</v>
      </c>
      <c r="C7972">
        <v>-44</v>
      </c>
    </row>
    <row r="7973" spans="1:3" x14ac:dyDescent="0.25">
      <c r="A7973">
        <v>38</v>
      </c>
      <c r="B7973" t="str">
        <f>"9:02:19.336819"</f>
        <v>9:02:19.336819</v>
      </c>
      <c r="C7973">
        <v>-41</v>
      </c>
    </row>
    <row r="7974" spans="1:3" x14ac:dyDescent="0.25">
      <c r="A7974">
        <v>39</v>
      </c>
      <c r="B7974" t="str">
        <f>"9:02:19.337845"</f>
        <v>9:02:19.337845</v>
      </c>
      <c r="C7974">
        <v>-46</v>
      </c>
    </row>
    <row r="7975" spans="1:3" x14ac:dyDescent="0.25">
      <c r="A7975">
        <v>39</v>
      </c>
      <c r="B7975" t="str">
        <f>"9:02:19.338365"</f>
        <v>9:02:19.338365</v>
      </c>
      <c r="C7975">
        <v>-91</v>
      </c>
    </row>
    <row r="7976" spans="1:3" x14ac:dyDescent="0.25">
      <c r="A7976">
        <v>39</v>
      </c>
      <c r="B7976" t="str">
        <f>"9:02:19.338691"</f>
        <v>9:02:19.338691</v>
      </c>
      <c r="C7976">
        <v>-45</v>
      </c>
    </row>
    <row r="7977" spans="1:3" x14ac:dyDescent="0.25">
      <c r="A7977">
        <v>37</v>
      </c>
      <c r="B7977" t="str">
        <f>"9:02:19.690289"</f>
        <v>9:02:19.690289</v>
      </c>
      <c r="C7977">
        <v>-44</v>
      </c>
    </row>
    <row r="7978" spans="1:3" x14ac:dyDescent="0.25">
      <c r="A7978">
        <v>38</v>
      </c>
      <c r="B7978" t="str">
        <f>"9:02:19.691317"</f>
        <v>9:02:19.691317</v>
      </c>
      <c r="C7978">
        <v>-41</v>
      </c>
    </row>
    <row r="7979" spans="1:3" x14ac:dyDescent="0.25">
      <c r="A7979">
        <v>38</v>
      </c>
      <c r="B7979" t="str">
        <f>"9:02:19.691835"</f>
        <v>9:02:19.691835</v>
      </c>
      <c r="C7979">
        <v>-33</v>
      </c>
    </row>
    <row r="7980" spans="1:3" x14ac:dyDescent="0.25">
      <c r="A7980">
        <v>38</v>
      </c>
      <c r="B7980" t="str">
        <f>"9:02:19.692161"</f>
        <v>9:02:19.692161</v>
      </c>
      <c r="C7980">
        <v>-41</v>
      </c>
    </row>
    <row r="7981" spans="1:3" x14ac:dyDescent="0.25">
      <c r="A7981">
        <v>39</v>
      </c>
      <c r="B7981" t="str">
        <f>"9:02:19.692937"</f>
        <v>9:02:19.692937</v>
      </c>
      <c r="C7981">
        <v>-46</v>
      </c>
    </row>
    <row r="7982" spans="1:3" x14ac:dyDescent="0.25">
      <c r="A7982">
        <v>37</v>
      </c>
      <c r="B7982" t="str">
        <f>"9:02:20.044594"</f>
        <v>9:02:20.044594</v>
      </c>
      <c r="C7982">
        <v>-44</v>
      </c>
    </row>
    <row r="7983" spans="1:3" x14ac:dyDescent="0.25">
      <c r="A7983">
        <v>38</v>
      </c>
      <c r="B7983" t="str">
        <f>"9:02:20.045621"</f>
        <v>9:02:20.045621</v>
      </c>
      <c r="C7983">
        <v>-41</v>
      </c>
    </row>
    <row r="7984" spans="1:3" x14ac:dyDescent="0.25">
      <c r="A7984">
        <v>38</v>
      </c>
      <c r="B7984" t="str">
        <f>"9:02:20.046140"</f>
        <v>9:02:20.046140</v>
      </c>
      <c r="C7984">
        <v>-33</v>
      </c>
    </row>
    <row r="7985" spans="1:3" x14ac:dyDescent="0.25">
      <c r="A7985">
        <v>38</v>
      </c>
      <c r="B7985" t="str">
        <f>"9:02:20.046466"</f>
        <v>9:02:20.046466</v>
      </c>
      <c r="C7985">
        <v>-41</v>
      </c>
    </row>
    <row r="7986" spans="1:3" x14ac:dyDescent="0.25">
      <c r="A7986">
        <v>39</v>
      </c>
      <c r="B7986" t="str">
        <f>"9:02:20.047241"</f>
        <v>9:02:20.047241</v>
      </c>
      <c r="C7986">
        <v>-46</v>
      </c>
    </row>
    <row r="7987" spans="1:3" x14ac:dyDescent="0.25">
      <c r="A7987">
        <v>37</v>
      </c>
      <c r="B7987" t="str">
        <f>"9:02:20.399978"</f>
        <v>9:02:20.399978</v>
      </c>
      <c r="C7987">
        <v>-44</v>
      </c>
    </row>
    <row r="7988" spans="1:3" x14ac:dyDescent="0.25">
      <c r="A7988">
        <v>38</v>
      </c>
      <c r="B7988" t="str">
        <f>"9:02:20.401005"</f>
        <v>9:02:20.401005</v>
      </c>
      <c r="C7988">
        <v>-41</v>
      </c>
    </row>
    <row r="7989" spans="1:3" x14ac:dyDescent="0.25">
      <c r="A7989">
        <v>38</v>
      </c>
      <c r="B7989" t="str">
        <f>"9:02:20.401524"</f>
        <v>9:02:20.401524</v>
      </c>
      <c r="C7989">
        <v>-32</v>
      </c>
    </row>
    <row r="7990" spans="1:3" x14ac:dyDescent="0.25">
      <c r="A7990">
        <v>38</v>
      </c>
      <c r="B7990" t="str">
        <f>"9:02:20.401850"</f>
        <v>9:02:20.401850</v>
      </c>
      <c r="C7990">
        <v>-41</v>
      </c>
    </row>
    <row r="7991" spans="1:3" x14ac:dyDescent="0.25">
      <c r="A7991">
        <v>39</v>
      </c>
      <c r="B7991" t="str">
        <f>"9:02:20.402626"</f>
        <v>9:02:20.402626</v>
      </c>
      <c r="C7991">
        <v>-46</v>
      </c>
    </row>
    <row r="7992" spans="1:3" x14ac:dyDescent="0.25">
      <c r="A7992">
        <v>37</v>
      </c>
      <c r="B7992" t="str">
        <f>"9:02:20.753309"</f>
        <v>9:02:20.753309</v>
      </c>
      <c r="C7992">
        <v>-44</v>
      </c>
    </row>
    <row r="7993" spans="1:3" x14ac:dyDescent="0.25">
      <c r="A7993">
        <v>38</v>
      </c>
      <c r="B7993" t="str">
        <f>"9:02:20.754336"</f>
        <v>9:02:20.754336</v>
      </c>
      <c r="C7993">
        <v>-41</v>
      </c>
    </row>
    <row r="7994" spans="1:3" x14ac:dyDescent="0.25">
      <c r="A7994">
        <v>38</v>
      </c>
      <c r="B7994" t="str">
        <f>"9:02:20.754854"</f>
        <v>9:02:20.754854</v>
      </c>
      <c r="C7994">
        <v>-32</v>
      </c>
    </row>
    <row r="7995" spans="1:3" x14ac:dyDescent="0.25">
      <c r="A7995">
        <v>38</v>
      </c>
      <c r="B7995" t="str">
        <f>"9:02:20.755180"</f>
        <v>9:02:20.755180</v>
      </c>
      <c r="C7995">
        <v>-41</v>
      </c>
    </row>
    <row r="7996" spans="1:3" x14ac:dyDescent="0.25">
      <c r="A7996">
        <v>39</v>
      </c>
      <c r="B7996" t="str">
        <f>"9:02:20.755956"</f>
        <v>9:02:20.755956</v>
      </c>
      <c r="C7996">
        <v>-45</v>
      </c>
    </row>
    <row r="7997" spans="1:3" x14ac:dyDescent="0.25">
      <c r="A7997">
        <v>37</v>
      </c>
      <c r="B7997" t="str">
        <f>"9:02:21.111265"</f>
        <v>9:02:21.111265</v>
      </c>
      <c r="C7997">
        <v>-43</v>
      </c>
    </row>
    <row r="7998" spans="1:3" x14ac:dyDescent="0.25">
      <c r="A7998">
        <v>38</v>
      </c>
      <c r="B7998" t="str">
        <f>"9:02:21.112293"</f>
        <v>9:02:21.112293</v>
      </c>
      <c r="C7998">
        <v>-41</v>
      </c>
    </row>
    <row r="7999" spans="1:3" x14ac:dyDescent="0.25">
      <c r="A7999">
        <v>38</v>
      </c>
      <c r="B7999" t="str">
        <f>"9:02:21.112811"</f>
        <v>9:02:21.112811</v>
      </c>
      <c r="C7999">
        <v>-32</v>
      </c>
    </row>
    <row r="8000" spans="1:3" x14ac:dyDescent="0.25">
      <c r="A8000">
        <v>38</v>
      </c>
      <c r="B8000" t="str">
        <f>"9:02:21.113137"</f>
        <v>9:02:21.113137</v>
      </c>
      <c r="C8000">
        <v>-41</v>
      </c>
    </row>
    <row r="8001" spans="1:3" x14ac:dyDescent="0.25">
      <c r="A8001">
        <v>39</v>
      </c>
      <c r="B8001" t="str">
        <f>"9:02:21.113913"</f>
        <v>9:02:21.113913</v>
      </c>
      <c r="C8001">
        <v>-45</v>
      </c>
    </row>
    <row r="8002" spans="1:3" x14ac:dyDescent="0.25">
      <c r="A8002">
        <v>37</v>
      </c>
      <c r="B8002" t="str">
        <f>"9:02:21.467114"</f>
        <v>9:02:21.467114</v>
      </c>
      <c r="C8002">
        <v>-44</v>
      </c>
    </row>
    <row r="8003" spans="1:3" x14ac:dyDescent="0.25">
      <c r="A8003">
        <v>38</v>
      </c>
      <c r="B8003" t="str">
        <f>"9:02:21.468141"</f>
        <v>9:02:21.468141</v>
      </c>
      <c r="C8003">
        <v>-41</v>
      </c>
    </row>
    <row r="8004" spans="1:3" x14ac:dyDescent="0.25">
      <c r="A8004">
        <v>39</v>
      </c>
      <c r="B8004" t="str">
        <f>"9:02:21.469167"</f>
        <v>9:02:21.469167</v>
      </c>
      <c r="C8004">
        <v>-46</v>
      </c>
    </row>
    <row r="8005" spans="1:3" x14ac:dyDescent="0.25">
      <c r="A8005">
        <v>37</v>
      </c>
      <c r="B8005" t="str">
        <f>"9:02:21.825256"</f>
        <v>9:02:21.825256</v>
      </c>
      <c r="C8005">
        <v>-44</v>
      </c>
    </row>
    <row r="8006" spans="1:3" x14ac:dyDescent="0.25">
      <c r="A8006">
        <v>38</v>
      </c>
      <c r="B8006" t="str">
        <f>"9:02:21.826283"</f>
        <v>9:02:21.826283</v>
      </c>
      <c r="C8006">
        <v>-41</v>
      </c>
    </row>
    <row r="8007" spans="1:3" x14ac:dyDescent="0.25">
      <c r="A8007">
        <v>38</v>
      </c>
      <c r="B8007" t="str">
        <f>"9:02:21.826802"</f>
        <v>9:02:21.826802</v>
      </c>
      <c r="C8007">
        <v>-32</v>
      </c>
    </row>
    <row r="8008" spans="1:3" x14ac:dyDescent="0.25">
      <c r="A8008">
        <v>38</v>
      </c>
      <c r="B8008" t="str">
        <f>"9:02:21.827127"</f>
        <v>9:02:21.827127</v>
      </c>
      <c r="C8008">
        <v>-41</v>
      </c>
    </row>
    <row r="8009" spans="1:3" x14ac:dyDescent="0.25">
      <c r="A8009">
        <v>39</v>
      </c>
      <c r="B8009" t="str">
        <f>"9:02:21.827903"</f>
        <v>9:02:21.827903</v>
      </c>
      <c r="C8009">
        <v>-46</v>
      </c>
    </row>
    <row r="8010" spans="1:3" x14ac:dyDescent="0.25">
      <c r="A8010">
        <v>37</v>
      </c>
      <c r="B8010" t="str">
        <f>"9:02:22.179572"</f>
        <v>9:02:22.179572</v>
      </c>
      <c r="C8010">
        <v>-44</v>
      </c>
    </row>
    <row r="8011" spans="1:3" x14ac:dyDescent="0.25">
      <c r="A8011">
        <v>38</v>
      </c>
      <c r="B8011" t="str">
        <f>"9:02:22.180599"</f>
        <v>9:02:22.180599</v>
      </c>
      <c r="C8011">
        <v>-41</v>
      </c>
    </row>
    <row r="8012" spans="1:3" x14ac:dyDescent="0.25">
      <c r="A8012">
        <v>38</v>
      </c>
      <c r="B8012" t="str">
        <f>"9:02:22.181117"</f>
        <v>9:02:22.181117</v>
      </c>
      <c r="C8012">
        <v>-32</v>
      </c>
    </row>
    <row r="8013" spans="1:3" x14ac:dyDescent="0.25">
      <c r="A8013">
        <v>38</v>
      </c>
      <c r="B8013" t="str">
        <f>"9:02:22.181443"</f>
        <v>9:02:22.181443</v>
      </c>
      <c r="C8013">
        <v>-41</v>
      </c>
    </row>
    <row r="8014" spans="1:3" x14ac:dyDescent="0.25">
      <c r="A8014">
        <v>39</v>
      </c>
      <c r="B8014" t="str">
        <f>"9:02:22.182219"</f>
        <v>9:02:22.182219</v>
      </c>
      <c r="C8014">
        <v>-46</v>
      </c>
    </row>
    <row r="8015" spans="1:3" x14ac:dyDescent="0.25">
      <c r="A8015">
        <v>37</v>
      </c>
      <c r="B8015" t="str">
        <f>"9:02:22.532356"</f>
        <v>9:02:22.532356</v>
      </c>
      <c r="C8015">
        <v>-44</v>
      </c>
    </row>
    <row r="8016" spans="1:3" x14ac:dyDescent="0.25">
      <c r="A8016">
        <v>38</v>
      </c>
      <c r="B8016" t="str">
        <f>"9:02:22.533383"</f>
        <v>9:02:22.533383</v>
      </c>
      <c r="C8016">
        <v>-41</v>
      </c>
    </row>
    <row r="8017" spans="1:3" x14ac:dyDescent="0.25">
      <c r="A8017">
        <v>39</v>
      </c>
      <c r="B8017" t="str">
        <f>"9:02:22.534409"</f>
        <v>9:02:22.534409</v>
      </c>
      <c r="C8017">
        <v>-46</v>
      </c>
    </row>
    <row r="8018" spans="1:3" x14ac:dyDescent="0.25">
      <c r="A8018">
        <v>37</v>
      </c>
      <c r="B8018" t="str">
        <f>"9:02:22.892340"</f>
        <v>9:02:22.892340</v>
      </c>
      <c r="C8018">
        <v>-44</v>
      </c>
    </row>
    <row r="8019" spans="1:3" x14ac:dyDescent="0.25">
      <c r="A8019">
        <v>38</v>
      </c>
      <c r="B8019" t="str">
        <f>"9:02:22.893368"</f>
        <v>9:02:22.893368</v>
      </c>
      <c r="C8019">
        <v>-41</v>
      </c>
    </row>
    <row r="8020" spans="1:3" x14ac:dyDescent="0.25">
      <c r="A8020">
        <v>38</v>
      </c>
      <c r="B8020" t="str">
        <f>"9:02:22.893886"</f>
        <v>9:02:22.893886</v>
      </c>
      <c r="C8020">
        <v>-32</v>
      </c>
    </row>
    <row r="8021" spans="1:3" x14ac:dyDescent="0.25">
      <c r="A8021">
        <v>38</v>
      </c>
      <c r="B8021" t="str">
        <f>"9:02:22.894212"</f>
        <v>9:02:22.894212</v>
      </c>
      <c r="C8021">
        <v>-41</v>
      </c>
    </row>
    <row r="8022" spans="1:3" x14ac:dyDescent="0.25">
      <c r="A8022">
        <v>39</v>
      </c>
      <c r="B8022" t="str">
        <f>"9:02:22.894988"</f>
        <v>9:02:22.894988</v>
      </c>
      <c r="C8022">
        <v>-46</v>
      </c>
    </row>
    <row r="8023" spans="1:3" x14ac:dyDescent="0.25">
      <c r="A8023">
        <v>37</v>
      </c>
      <c r="B8023" t="str">
        <f>"9:02:23.244162"</f>
        <v>9:02:23.244162</v>
      </c>
      <c r="C8023">
        <v>-44</v>
      </c>
    </row>
    <row r="8024" spans="1:3" x14ac:dyDescent="0.25">
      <c r="A8024">
        <v>38</v>
      </c>
      <c r="B8024" t="str">
        <f>"9:02:23.245190"</f>
        <v>9:02:23.245190</v>
      </c>
      <c r="C8024">
        <v>-41</v>
      </c>
    </row>
    <row r="8025" spans="1:3" x14ac:dyDescent="0.25">
      <c r="A8025">
        <v>38</v>
      </c>
      <c r="B8025" t="str">
        <f>"9:02:23.245708"</f>
        <v>9:02:23.245708</v>
      </c>
      <c r="C8025">
        <v>-32</v>
      </c>
    </row>
    <row r="8026" spans="1:3" x14ac:dyDescent="0.25">
      <c r="A8026">
        <v>38</v>
      </c>
      <c r="B8026" t="str">
        <f>"9:02:23.246034"</f>
        <v>9:02:23.246034</v>
      </c>
      <c r="C8026">
        <v>-41</v>
      </c>
    </row>
    <row r="8027" spans="1:3" x14ac:dyDescent="0.25">
      <c r="A8027">
        <v>39</v>
      </c>
      <c r="B8027" t="str">
        <f>"9:02:23.246810"</f>
        <v>9:02:23.246810</v>
      </c>
      <c r="C8027">
        <v>-46</v>
      </c>
    </row>
    <row r="8028" spans="1:3" x14ac:dyDescent="0.25">
      <c r="A8028">
        <v>37</v>
      </c>
      <c r="B8028" t="str">
        <f>"9:02:23.599573"</f>
        <v>9:02:23.599573</v>
      </c>
      <c r="C8028">
        <v>-44</v>
      </c>
    </row>
    <row r="8029" spans="1:3" x14ac:dyDescent="0.25">
      <c r="A8029">
        <v>38</v>
      </c>
      <c r="B8029" t="str">
        <f>"9:02:23.600600"</f>
        <v>9:02:23.600600</v>
      </c>
      <c r="C8029">
        <v>-41</v>
      </c>
    </row>
    <row r="8030" spans="1:3" x14ac:dyDescent="0.25">
      <c r="A8030">
        <v>38</v>
      </c>
      <c r="B8030" t="str">
        <f>"9:02:23.601118"</f>
        <v>9:02:23.601118</v>
      </c>
      <c r="C8030">
        <v>-32</v>
      </c>
    </row>
    <row r="8031" spans="1:3" x14ac:dyDescent="0.25">
      <c r="A8031">
        <v>38</v>
      </c>
      <c r="B8031" t="str">
        <f>"9:02:23.601444"</f>
        <v>9:02:23.601444</v>
      </c>
      <c r="C8031">
        <v>-41</v>
      </c>
    </row>
    <row r="8032" spans="1:3" x14ac:dyDescent="0.25">
      <c r="A8032">
        <v>39</v>
      </c>
      <c r="B8032" t="str">
        <f>"9:02:23.602220"</f>
        <v>9:02:23.602220</v>
      </c>
      <c r="C8032">
        <v>-46</v>
      </c>
    </row>
    <row r="8033" spans="1:3" x14ac:dyDescent="0.25">
      <c r="A8033">
        <v>37</v>
      </c>
      <c r="B8033" t="str">
        <f>"9:02:23.954406"</f>
        <v>9:02:23.954406</v>
      </c>
      <c r="C8033">
        <v>-44</v>
      </c>
    </row>
    <row r="8034" spans="1:3" x14ac:dyDescent="0.25">
      <c r="A8034">
        <v>38</v>
      </c>
      <c r="B8034" t="str">
        <f>"9:02:23.955434"</f>
        <v>9:02:23.955434</v>
      </c>
      <c r="C8034">
        <v>-41</v>
      </c>
    </row>
    <row r="8035" spans="1:3" x14ac:dyDescent="0.25">
      <c r="A8035">
        <v>38</v>
      </c>
      <c r="B8035" t="str">
        <f>"9:02:23.955953"</f>
        <v>9:02:23.955953</v>
      </c>
      <c r="C8035">
        <v>-32</v>
      </c>
    </row>
    <row r="8036" spans="1:3" x14ac:dyDescent="0.25">
      <c r="A8036">
        <v>38</v>
      </c>
      <c r="B8036" t="str">
        <f>"9:02:23.956279"</f>
        <v>9:02:23.956279</v>
      </c>
      <c r="C8036">
        <v>-41</v>
      </c>
    </row>
    <row r="8037" spans="1:3" x14ac:dyDescent="0.25">
      <c r="A8037">
        <v>39</v>
      </c>
      <c r="B8037" t="str">
        <f>"9:02:23.957055"</f>
        <v>9:02:23.957055</v>
      </c>
      <c r="C8037">
        <v>-46</v>
      </c>
    </row>
    <row r="8038" spans="1:3" x14ac:dyDescent="0.25">
      <c r="A8038">
        <v>37</v>
      </c>
      <c r="B8038" t="str">
        <f>"9:02:24.309482"</f>
        <v>9:02:24.309482</v>
      </c>
      <c r="C8038">
        <v>-44</v>
      </c>
    </row>
    <row r="8039" spans="1:3" x14ac:dyDescent="0.25">
      <c r="A8039">
        <v>38</v>
      </c>
      <c r="B8039" t="str">
        <f>"9:02:24.310509"</f>
        <v>9:02:24.310509</v>
      </c>
      <c r="C8039">
        <v>-41</v>
      </c>
    </row>
    <row r="8040" spans="1:3" x14ac:dyDescent="0.25">
      <c r="A8040">
        <v>38</v>
      </c>
      <c r="B8040" t="str">
        <f>"9:02:24.311028"</f>
        <v>9:02:24.311028</v>
      </c>
      <c r="C8040">
        <v>-32</v>
      </c>
    </row>
    <row r="8041" spans="1:3" x14ac:dyDescent="0.25">
      <c r="A8041">
        <v>38</v>
      </c>
      <c r="B8041" t="str">
        <f>"9:02:24.311354"</f>
        <v>9:02:24.311354</v>
      </c>
      <c r="C8041">
        <v>-41</v>
      </c>
    </row>
    <row r="8042" spans="1:3" x14ac:dyDescent="0.25">
      <c r="A8042">
        <v>39</v>
      </c>
      <c r="B8042" t="str">
        <f>"9:02:24.312130"</f>
        <v>9:02:24.312130</v>
      </c>
      <c r="C8042">
        <v>-46</v>
      </c>
    </row>
    <row r="8043" spans="1:3" x14ac:dyDescent="0.25">
      <c r="A8043">
        <v>37</v>
      </c>
      <c r="B8043" t="str">
        <f>"9:02:24.667151"</f>
        <v>9:02:24.667151</v>
      </c>
      <c r="C8043">
        <v>-44</v>
      </c>
    </row>
    <row r="8044" spans="1:3" x14ac:dyDescent="0.25">
      <c r="A8044">
        <v>38</v>
      </c>
      <c r="B8044" t="str">
        <f>"9:02:24.668178"</f>
        <v>9:02:24.668178</v>
      </c>
      <c r="C8044">
        <v>-41</v>
      </c>
    </row>
    <row r="8045" spans="1:3" x14ac:dyDescent="0.25">
      <c r="A8045">
        <v>39</v>
      </c>
      <c r="B8045" t="str">
        <f>"9:02:24.669205"</f>
        <v>9:02:24.669205</v>
      </c>
      <c r="C8045">
        <v>-46</v>
      </c>
    </row>
    <row r="8046" spans="1:3" x14ac:dyDescent="0.25">
      <c r="A8046">
        <v>37</v>
      </c>
      <c r="B8046" t="str">
        <f>"9:02:25.017630"</f>
        <v>9:02:25.017630</v>
      </c>
      <c r="C8046">
        <v>-44</v>
      </c>
    </row>
    <row r="8047" spans="1:3" x14ac:dyDescent="0.25">
      <c r="A8047">
        <v>38</v>
      </c>
      <c r="B8047" t="str">
        <f>"9:02:25.018657"</f>
        <v>9:02:25.018657</v>
      </c>
      <c r="C8047">
        <v>-41</v>
      </c>
    </row>
    <row r="8048" spans="1:3" x14ac:dyDescent="0.25">
      <c r="A8048">
        <v>39</v>
      </c>
      <c r="B8048" t="str">
        <f>"9:02:25.019683"</f>
        <v>9:02:25.019683</v>
      </c>
      <c r="C8048">
        <v>-46</v>
      </c>
    </row>
    <row r="8049" spans="1:3" x14ac:dyDescent="0.25">
      <c r="A8049">
        <v>39</v>
      </c>
      <c r="B8049" t="str">
        <f>"9:02:25.020201"</f>
        <v>9:02:25.020201</v>
      </c>
      <c r="C8049">
        <v>-30</v>
      </c>
    </row>
    <row r="8050" spans="1:3" x14ac:dyDescent="0.25">
      <c r="A8050">
        <v>39</v>
      </c>
      <c r="B8050" t="str">
        <f>"9:02:25.020527"</f>
        <v>9:02:25.020527</v>
      </c>
      <c r="C8050">
        <v>-45</v>
      </c>
    </row>
    <row r="8051" spans="1:3" x14ac:dyDescent="0.25">
      <c r="A8051">
        <v>37</v>
      </c>
      <c r="B8051" t="str">
        <f>"9:02:25.367887"</f>
        <v>9:02:25.367887</v>
      </c>
      <c r="C8051">
        <v>-44</v>
      </c>
    </row>
    <row r="8052" spans="1:3" x14ac:dyDescent="0.25">
      <c r="A8052">
        <v>38</v>
      </c>
      <c r="B8052" t="str">
        <f>"9:02:25.368915"</f>
        <v>9:02:25.368915</v>
      </c>
      <c r="C8052">
        <v>-41</v>
      </c>
    </row>
    <row r="8053" spans="1:3" x14ac:dyDescent="0.25">
      <c r="A8053">
        <v>39</v>
      </c>
      <c r="B8053" t="str">
        <f>"9:02:25.369941"</f>
        <v>9:02:25.369941</v>
      </c>
      <c r="C8053">
        <v>-46</v>
      </c>
    </row>
    <row r="8054" spans="1:3" x14ac:dyDescent="0.25">
      <c r="A8054">
        <v>37</v>
      </c>
      <c r="B8054" t="str">
        <f>"9:02:25.722194"</f>
        <v>9:02:25.722194</v>
      </c>
      <c r="C8054">
        <v>-44</v>
      </c>
    </row>
    <row r="8055" spans="1:3" x14ac:dyDescent="0.25">
      <c r="A8055">
        <v>37</v>
      </c>
      <c r="B8055" t="str">
        <f>"9:02:25.723040"</f>
        <v>9:02:25.723040</v>
      </c>
      <c r="C8055">
        <v>-45</v>
      </c>
    </row>
    <row r="8056" spans="1:3" x14ac:dyDescent="0.25">
      <c r="A8056">
        <v>38</v>
      </c>
      <c r="B8056" t="str">
        <f>"9:02:25.723817"</f>
        <v>9:02:25.723817</v>
      </c>
      <c r="C8056">
        <v>-41</v>
      </c>
    </row>
    <row r="8057" spans="1:3" x14ac:dyDescent="0.25">
      <c r="A8057">
        <v>39</v>
      </c>
      <c r="B8057" t="str">
        <f>"9:02:25.724843"</f>
        <v>9:02:25.724843</v>
      </c>
      <c r="C8057">
        <v>-46</v>
      </c>
    </row>
    <row r="8058" spans="1:3" x14ac:dyDescent="0.25">
      <c r="A8058">
        <v>39</v>
      </c>
      <c r="B8058" t="str">
        <f>"9:02:25.725361"</f>
        <v>9:02:25.725361</v>
      </c>
      <c r="C8058">
        <v>-31</v>
      </c>
    </row>
    <row r="8059" spans="1:3" x14ac:dyDescent="0.25">
      <c r="A8059">
        <v>39</v>
      </c>
      <c r="B8059" t="str">
        <f>"9:02:25.725688"</f>
        <v>9:02:25.725688</v>
      </c>
      <c r="C8059">
        <v>-46</v>
      </c>
    </row>
    <row r="8060" spans="1:3" x14ac:dyDescent="0.25">
      <c r="A8060">
        <v>37</v>
      </c>
      <c r="B8060" t="str">
        <f>"9:02:26.076538"</f>
        <v>9:02:26.076538</v>
      </c>
      <c r="C8060">
        <v>-44</v>
      </c>
    </row>
    <row r="8061" spans="1:3" x14ac:dyDescent="0.25">
      <c r="A8061">
        <v>38</v>
      </c>
      <c r="B8061" t="str">
        <f>"9:02:26.077565"</f>
        <v>9:02:26.077565</v>
      </c>
      <c r="C8061">
        <v>-41</v>
      </c>
    </row>
    <row r="8062" spans="1:3" x14ac:dyDescent="0.25">
      <c r="A8062">
        <v>39</v>
      </c>
      <c r="B8062" t="str">
        <f>"9:02:26.078592"</f>
        <v>9:02:26.078592</v>
      </c>
      <c r="C8062">
        <v>-46</v>
      </c>
    </row>
    <row r="8063" spans="1:3" x14ac:dyDescent="0.25">
      <c r="A8063">
        <v>39</v>
      </c>
      <c r="B8063" t="str">
        <f>"9:02:26.079110"</f>
        <v>9:02:26.079110</v>
      </c>
      <c r="C8063">
        <v>-30</v>
      </c>
    </row>
    <row r="8064" spans="1:3" x14ac:dyDescent="0.25">
      <c r="A8064">
        <v>39</v>
      </c>
      <c r="B8064" t="str">
        <f>"9:02:26.079436"</f>
        <v>9:02:26.079436</v>
      </c>
      <c r="C8064">
        <v>-45</v>
      </c>
    </row>
    <row r="8065" spans="1:3" x14ac:dyDescent="0.25">
      <c r="A8065">
        <v>37</v>
      </c>
      <c r="B8065" t="str">
        <f>"9:02:26.429819"</f>
        <v>9:02:26.429819</v>
      </c>
      <c r="C8065">
        <v>-44</v>
      </c>
    </row>
    <row r="8066" spans="1:3" x14ac:dyDescent="0.25">
      <c r="A8066">
        <v>38</v>
      </c>
      <c r="B8066" t="str">
        <f>"9:02:26.430846"</f>
        <v>9:02:26.430846</v>
      </c>
      <c r="C8066">
        <v>-41</v>
      </c>
    </row>
    <row r="8067" spans="1:3" x14ac:dyDescent="0.25">
      <c r="A8067">
        <v>39</v>
      </c>
      <c r="B8067" t="str">
        <f>"9:02:26.431872"</f>
        <v>9:02:26.431872</v>
      </c>
      <c r="C8067">
        <v>-46</v>
      </c>
    </row>
    <row r="8068" spans="1:3" x14ac:dyDescent="0.25">
      <c r="A8068">
        <v>39</v>
      </c>
      <c r="B8068" t="str">
        <f>"9:02:26.432391"</f>
        <v>9:02:26.432391</v>
      </c>
      <c r="C8068">
        <v>-31</v>
      </c>
    </row>
    <row r="8069" spans="1:3" x14ac:dyDescent="0.25">
      <c r="A8069">
        <v>39</v>
      </c>
      <c r="B8069" t="str">
        <f>"9:02:26.432717"</f>
        <v>9:02:26.432717</v>
      </c>
      <c r="C8069">
        <v>-45</v>
      </c>
    </row>
    <row r="8070" spans="1:3" x14ac:dyDescent="0.25">
      <c r="A8070">
        <v>37</v>
      </c>
      <c r="B8070" t="str">
        <f>"9:02:26.783669"</f>
        <v>9:02:26.783669</v>
      </c>
      <c r="C8070">
        <v>-44</v>
      </c>
    </row>
    <row r="8071" spans="1:3" x14ac:dyDescent="0.25">
      <c r="A8071">
        <v>38</v>
      </c>
      <c r="B8071" t="str">
        <f>"9:02:26.784697"</f>
        <v>9:02:26.784697</v>
      </c>
      <c r="C8071">
        <v>-41</v>
      </c>
    </row>
    <row r="8072" spans="1:3" x14ac:dyDescent="0.25">
      <c r="A8072">
        <v>39</v>
      </c>
      <c r="B8072" t="str">
        <f>"9:02:26.785723"</f>
        <v>9:02:26.785723</v>
      </c>
      <c r="C8072">
        <v>-46</v>
      </c>
    </row>
    <row r="8073" spans="1:3" x14ac:dyDescent="0.25">
      <c r="A8073">
        <v>39</v>
      </c>
      <c r="B8073" t="str">
        <f>"9:02:26.786241"</f>
        <v>9:02:26.786241</v>
      </c>
      <c r="C8073">
        <v>-31</v>
      </c>
    </row>
    <row r="8074" spans="1:3" x14ac:dyDescent="0.25">
      <c r="A8074">
        <v>39</v>
      </c>
      <c r="B8074" t="str">
        <f>"9:02:26.786567"</f>
        <v>9:02:26.786567</v>
      </c>
      <c r="C8074">
        <v>-45</v>
      </c>
    </row>
    <row r="8075" spans="1:3" x14ac:dyDescent="0.25">
      <c r="A8075">
        <v>37</v>
      </c>
      <c r="B8075" t="str">
        <f>"9:02:27.139287"</f>
        <v>9:02:27.139287</v>
      </c>
      <c r="C8075">
        <v>-44</v>
      </c>
    </row>
    <row r="8076" spans="1:3" x14ac:dyDescent="0.25">
      <c r="A8076">
        <v>38</v>
      </c>
      <c r="B8076" t="str">
        <f>"9:02:27.140315"</f>
        <v>9:02:27.140315</v>
      </c>
      <c r="C8076">
        <v>-41</v>
      </c>
    </row>
    <row r="8077" spans="1:3" x14ac:dyDescent="0.25">
      <c r="A8077">
        <v>39</v>
      </c>
      <c r="B8077" t="str">
        <f>"9:02:27.141341"</f>
        <v>9:02:27.141341</v>
      </c>
      <c r="C8077">
        <v>-46</v>
      </c>
    </row>
    <row r="8078" spans="1:3" x14ac:dyDescent="0.25">
      <c r="A8078">
        <v>39</v>
      </c>
      <c r="B8078" t="str">
        <f>"9:02:27.141859"</f>
        <v>9:02:27.141859</v>
      </c>
      <c r="C8078">
        <v>-31</v>
      </c>
    </row>
    <row r="8079" spans="1:3" x14ac:dyDescent="0.25">
      <c r="A8079">
        <v>39</v>
      </c>
      <c r="B8079" t="str">
        <f>"9:02:27.142185"</f>
        <v>9:02:27.142185</v>
      </c>
      <c r="C8079">
        <v>-45</v>
      </c>
    </row>
    <row r="8080" spans="1:3" x14ac:dyDescent="0.25">
      <c r="A8080">
        <v>37</v>
      </c>
      <c r="B8080" t="str">
        <f>"9:02:27.498985"</f>
        <v>9:02:27.498985</v>
      </c>
      <c r="C8080">
        <v>-44</v>
      </c>
    </row>
    <row r="8081" spans="1:3" x14ac:dyDescent="0.25">
      <c r="A8081">
        <v>38</v>
      </c>
      <c r="B8081" t="str">
        <f>"9:02:27.500012"</f>
        <v>9:02:27.500012</v>
      </c>
      <c r="C8081">
        <v>-41</v>
      </c>
    </row>
    <row r="8082" spans="1:3" x14ac:dyDescent="0.25">
      <c r="A8082">
        <v>39</v>
      </c>
      <c r="B8082" t="str">
        <f>"9:02:27.501039"</f>
        <v>9:02:27.501039</v>
      </c>
      <c r="C8082">
        <v>-46</v>
      </c>
    </row>
    <row r="8083" spans="1:3" x14ac:dyDescent="0.25">
      <c r="A8083">
        <v>39</v>
      </c>
      <c r="B8083" t="str">
        <f>"9:02:27.501557"</f>
        <v>9:02:27.501557</v>
      </c>
      <c r="C8083">
        <v>-31</v>
      </c>
    </row>
    <row r="8084" spans="1:3" x14ac:dyDescent="0.25">
      <c r="A8084">
        <v>39</v>
      </c>
      <c r="B8084" t="str">
        <f>"9:02:27.501883"</f>
        <v>9:02:27.501883</v>
      </c>
      <c r="C8084">
        <v>-45</v>
      </c>
    </row>
    <row r="8085" spans="1:3" x14ac:dyDescent="0.25">
      <c r="A8085">
        <v>37</v>
      </c>
      <c r="B8085" t="str">
        <f>"9:02:27.856397"</f>
        <v>9:02:27.856397</v>
      </c>
      <c r="C8085">
        <v>-44</v>
      </c>
    </row>
    <row r="8086" spans="1:3" x14ac:dyDescent="0.25">
      <c r="A8086">
        <v>38</v>
      </c>
      <c r="B8086" t="str">
        <f>"9:02:27.857425"</f>
        <v>9:02:27.857425</v>
      </c>
      <c r="C8086">
        <v>-41</v>
      </c>
    </row>
    <row r="8087" spans="1:3" x14ac:dyDescent="0.25">
      <c r="A8087">
        <v>39</v>
      </c>
      <c r="B8087" t="str">
        <f>"9:02:27.858451"</f>
        <v>9:02:27.858451</v>
      </c>
      <c r="C8087">
        <v>-46</v>
      </c>
    </row>
    <row r="8088" spans="1:3" x14ac:dyDescent="0.25">
      <c r="A8088">
        <v>39</v>
      </c>
      <c r="B8088" t="str">
        <f>"9:02:27.858969"</f>
        <v>9:02:27.858969</v>
      </c>
      <c r="C8088">
        <v>-31</v>
      </c>
    </row>
    <row r="8089" spans="1:3" x14ac:dyDescent="0.25">
      <c r="A8089">
        <v>39</v>
      </c>
      <c r="B8089" t="str">
        <f>"9:02:27.859295"</f>
        <v>9:02:27.859295</v>
      </c>
      <c r="C8089">
        <v>-45</v>
      </c>
    </row>
    <row r="8090" spans="1:3" x14ac:dyDescent="0.25">
      <c r="A8090">
        <v>37</v>
      </c>
      <c r="B8090" t="str">
        <f>"9:02:28.214546"</f>
        <v>9:02:28.214546</v>
      </c>
      <c r="C8090">
        <v>-44</v>
      </c>
    </row>
    <row r="8091" spans="1:3" x14ac:dyDescent="0.25">
      <c r="A8091">
        <v>38</v>
      </c>
      <c r="B8091" t="str">
        <f>"9:02:28.215573"</f>
        <v>9:02:28.215573</v>
      </c>
      <c r="C8091">
        <v>-41</v>
      </c>
    </row>
    <row r="8092" spans="1:3" x14ac:dyDescent="0.25">
      <c r="A8092">
        <v>39</v>
      </c>
      <c r="B8092" t="str">
        <f>"9:02:28.216599"</f>
        <v>9:02:28.216599</v>
      </c>
      <c r="C8092">
        <v>-46</v>
      </c>
    </row>
    <row r="8093" spans="1:3" x14ac:dyDescent="0.25">
      <c r="A8093">
        <v>39</v>
      </c>
      <c r="B8093" t="str">
        <f>"9:02:28.217118"</f>
        <v>9:02:28.217118</v>
      </c>
      <c r="C8093">
        <v>-31</v>
      </c>
    </row>
    <row r="8094" spans="1:3" x14ac:dyDescent="0.25">
      <c r="A8094">
        <v>39</v>
      </c>
      <c r="B8094" t="str">
        <f>"9:02:28.217444"</f>
        <v>9:02:28.217444</v>
      </c>
      <c r="C8094">
        <v>-46</v>
      </c>
    </row>
    <row r="8095" spans="1:3" x14ac:dyDescent="0.25">
      <c r="A8095">
        <v>37</v>
      </c>
      <c r="B8095" t="str">
        <f>"9:02:28.571451"</f>
        <v>9:02:28.571451</v>
      </c>
      <c r="C8095">
        <v>-44</v>
      </c>
    </row>
    <row r="8096" spans="1:3" x14ac:dyDescent="0.25">
      <c r="A8096">
        <v>38</v>
      </c>
      <c r="B8096" t="str">
        <f>"9:02:28.572478"</f>
        <v>9:02:28.572478</v>
      </c>
      <c r="C8096">
        <v>-41</v>
      </c>
    </row>
    <row r="8097" spans="1:3" x14ac:dyDescent="0.25">
      <c r="A8097">
        <v>39</v>
      </c>
      <c r="B8097" t="str">
        <f>"9:02:28.573504"</f>
        <v>9:02:28.573504</v>
      </c>
      <c r="C8097">
        <v>-46</v>
      </c>
    </row>
    <row r="8098" spans="1:3" x14ac:dyDescent="0.25">
      <c r="A8098">
        <v>39</v>
      </c>
      <c r="B8098" t="str">
        <f>"9:02:28.574022"</f>
        <v>9:02:28.574022</v>
      </c>
      <c r="C8098">
        <v>-31</v>
      </c>
    </row>
    <row r="8099" spans="1:3" x14ac:dyDescent="0.25">
      <c r="A8099">
        <v>39</v>
      </c>
      <c r="B8099" t="str">
        <f>"9:02:28.574348"</f>
        <v>9:02:28.574348</v>
      </c>
      <c r="C8099">
        <v>-45</v>
      </c>
    </row>
    <row r="8100" spans="1:3" x14ac:dyDescent="0.25">
      <c r="A8100">
        <v>37</v>
      </c>
      <c r="B8100" t="str">
        <f>"9:02:28.929144"</f>
        <v>9:02:28.929144</v>
      </c>
      <c r="C8100">
        <v>-44</v>
      </c>
    </row>
    <row r="8101" spans="1:3" x14ac:dyDescent="0.25">
      <c r="A8101">
        <v>38</v>
      </c>
      <c r="B8101" t="str">
        <f>"9:02:28.930171"</f>
        <v>9:02:28.930171</v>
      </c>
      <c r="C8101">
        <v>-41</v>
      </c>
    </row>
    <row r="8102" spans="1:3" x14ac:dyDescent="0.25">
      <c r="A8102">
        <v>39</v>
      </c>
      <c r="B8102" t="str">
        <f>"9:02:28.931197"</f>
        <v>9:02:28.931197</v>
      </c>
      <c r="C8102">
        <v>-46</v>
      </c>
    </row>
    <row r="8103" spans="1:3" x14ac:dyDescent="0.25">
      <c r="A8103">
        <v>39</v>
      </c>
      <c r="B8103" t="str">
        <f>"9:02:28.931715"</f>
        <v>9:02:28.931715</v>
      </c>
      <c r="C8103">
        <v>-31</v>
      </c>
    </row>
    <row r="8104" spans="1:3" x14ac:dyDescent="0.25">
      <c r="A8104">
        <v>39</v>
      </c>
      <c r="B8104" t="str">
        <f>"9:02:28.932041"</f>
        <v>9:02:28.932041</v>
      </c>
      <c r="C8104">
        <v>-45</v>
      </c>
    </row>
    <row r="8105" spans="1:3" x14ac:dyDescent="0.25">
      <c r="A8105">
        <v>37</v>
      </c>
      <c r="B8105" t="str">
        <f>"9:02:29.286523"</f>
        <v>9:02:29.286523</v>
      </c>
      <c r="C8105">
        <v>-44</v>
      </c>
    </row>
    <row r="8106" spans="1:3" x14ac:dyDescent="0.25">
      <c r="A8106">
        <v>38</v>
      </c>
      <c r="B8106" t="str">
        <f>"9:02:29.287550"</f>
        <v>9:02:29.287550</v>
      </c>
      <c r="C8106">
        <v>-41</v>
      </c>
    </row>
    <row r="8107" spans="1:3" x14ac:dyDescent="0.25">
      <c r="A8107">
        <v>39</v>
      </c>
      <c r="B8107" t="str">
        <f>"9:02:29.288577"</f>
        <v>9:02:29.288577</v>
      </c>
      <c r="C8107">
        <v>-46</v>
      </c>
    </row>
    <row r="8108" spans="1:3" x14ac:dyDescent="0.25">
      <c r="A8108">
        <v>39</v>
      </c>
      <c r="B8108" t="str">
        <f>"9:02:29.289095"</f>
        <v>9:02:29.289095</v>
      </c>
      <c r="C8108">
        <v>-31</v>
      </c>
    </row>
    <row r="8109" spans="1:3" x14ac:dyDescent="0.25">
      <c r="A8109">
        <v>39</v>
      </c>
      <c r="B8109" t="str">
        <f>"9:02:29.289422"</f>
        <v>9:02:29.289422</v>
      </c>
      <c r="C8109">
        <v>-45</v>
      </c>
    </row>
    <row r="8110" spans="1:3" x14ac:dyDescent="0.25">
      <c r="A8110">
        <v>37</v>
      </c>
      <c r="B8110" t="str">
        <f>"9:02:29.645247"</f>
        <v>9:02:29.645247</v>
      </c>
      <c r="C8110">
        <v>-44</v>
      </c>
    </row>
    <row r="8111" spans="1:3" x14ac:dyDescent="0.25">
      <c r="A8111">
        <v>38</v>
      </c>
      <c r="B8111" t="str">
        <f>"9:02:29.646275"</f>
        <v>9:02:29.646275</v>
      </c>
      <c r="C8111">
        <v>-41</v>
      </c>
    </row>
    <row r="8112" spans="1:3" x14ac:dyDescent="0.25">
      <c r="A8112">
        <v>39</v>
      </c>
      <c r="B8112" t="str">
        <f>"9:02:29.647301"</f>
        <v>9:02:29.647301</v>
      </c>
      <c r="C8112">
        <v>-46</v>
      </c>
    </row>
    <row r="8113" spans="1:3" x14ac:dyDescent="0.25">
      <c r="A8113">
        <v>37</v>
      </c>
      <c r="B8113" t="str">
        <f>"9:02:30.003396"</f>
        <v>9:02:30.003396</v>
      </c>
      <c r="C8113">
        <v>-44</v>
      </c>
    </row>
    <row r="8114" spans="1:3" x14ac:dyDescent="0.25">
      <c r="A8114">
        <v>37</v>
      </c>
      <c r="B8114" t="str">
        <f>"9:02:30.003915"</f>
        <v>9:02:30.003915</v>
      </c>
      <c r="C8114">
        <v>-40</v>
      </c>
    </row>
    <row r="8115" spans="1:3" x14ac:dyDescent="0.25">
      <c r="A8115">
        <v>37</v>
      </c>
      <c r="B8115" t="str">
        <f>"9:02:30.004240"</f>
        <v>9:02:30.004240</v>
      </c>
      <c r="C8115">
        <v>-44</v>
      </c>
    </row>
    <row r="8116" spans="1:3" x14ac:dyDescent="0.25">
      <c r="A8116">
        <v>38</v>
      </c>
      <c r="B8116" t="str">
        <f>"9:02:30.005016"</f>
        <v>9:02:30.005016</v>
      </c>
      <c r="C8116">
        <v>-41</v>
      </c>
    </row>
    <row r="8117" spans="1:3" x14ac:dyDescent="0.25">
      <c r="A8117">
        <v>39</v>
      </c>
      <c r="B8117" t="str">
        <f>"9:02:30.006042"</f>
        <v>9:02:30.006042</v>
      </c>
      <c r="C8117">
        <v>-46</v>
      </c>
    </row>
    <row r="8118" spans="1:3" x14ac:dyDescent="0.25">
      <c r="A8118">
        <v>37</v>
      </c>
      <c r="B8118" t="str">
        <f>"9:02:30.353575"</f>
        <v>9:02:30.353575</v>
      </c>
      <c r="C8118">
        <v>-44</v>
      </c>
    </row>
    <row r="8119" spans="1:3" x14ac:dyDescent="0.25">
      <c r="A8119">
        <v>37</v>
      </c>
      <c r="B8119" t="str">
        <f>"9:02:30.354094"</f>
        <v>9:02:30.354094</v>
      </c>
      <c r="C8119">
        <v>-40</v>
      </c>
    </row>
    <row r="8120" spans="1:3" x14ac:dyDescent="0.25">
      <c r="A8120">
        <v>37</v>
      </c>
      <c r="B8120" t="str">
        <f>"9:02:30.354420"</f>
        <v>9:02:30.354420</v>
      </c>
      <c r="C8120">
        <v>-44</v>
      </c>
    </row>
    <row r="8121" spans="1:3" x14ac:dyDescent="0.25">
      <c r="A8121">
        <v>38</v>
      </c>
      <c r="B8121" t="str">
        <f>"9:02:30.355196"</f>
        <v>9:02:30.355196</v>
      </c>
      <c r="C8121">
        <v>-41</v>
      </c>
    </row>
    <row r="8122" spans="1:3" x14ac:dyDescent="0.25">
      <c r="A8122">
        <v>39</v>
      </c>
      <c r="B8122" t="str">
        <f>"9:02:30.356222"</f>
        <v>9:02:30.356222</v>
      </c>
      <c r="C8122">
        <v>-46</v>
      </c>
    </row>
    <row r="8123" spans="1:3" x14ac:dyDescent="0.25">
      <c r="A8123">
        <v>37</v>
      </c>
      <c r="B8123" t="str">
        <f>"9:02:30.706317"</f>
        <v>9:02:30.706317</v>
      </c>
      <c r="C8123">
        <v>-44</v>
      </c>
    </row>
    <row r="8124" spans="1:3" x14ac:dyDescent="0.25">
      <c r="A8124">
        <v>37</v>
      </c>
      <c r="B8124" t="str">
        <f>"9:02:30.706836"</f>
        <v>9:02:30.706836</v>
      </c>
      <c r="C8124">
        <v>-40</v>
      </c>
    </row>
    <row r="8125" spans="1:3" x14ac:dyDescent="0.25">
      <c r="A8125">
        <v>37</v>
      </c>
      <c r="B8125" t="str">
        <f>"9:02:30.707162"</f>
        <v>9:02:30.707162</v>
      </c>
      <c r="C8125">
        <v>-44</v>
      </c>
    </row>
    <row r="8126" spans="1:3" x14ac:dyDescent="0.25">
      <c r="A8126">
        <v>38</v>
      </c>
      <c r="B8126" t="str">
        <f>"9:02:30.707938"</f>
        <v>9:02:30.707938</v>
      </c>
      <c r="C8126">
        <v>-41</v>
      </c>
    </row>
    <row r="8127" spans="1:3" x14ac:dyDescent="0.25">
      <c r="A8127">
        <v>39</v>
      </c>
      <c r="B8127" t="str">
        <f>"9:02:30.708964"</f>
        <v>9:02:30.708964</v>
      </c>
      <c r="C8127">
        <v>-46</v>
      </c>
    </row>
    <row r="8128" spans="1:3" x14ac:dyDescent="0.25">
      <c r="A8128">
        <v>37</v>
      </c>
      <c r="B8128" t="str">
        <f>"9:02:31.057826"</f>
        <v>9:02:31.057826</v>
      </c>
      <c r="C8128">
        <v>-44</v>
      </c>
    </row>
    <row r="8129" spans="1:3" x14ac:dyDescent="0.25">
      <c r="A8129">
        <v>37</v>
      </c>
      <c r="B8129" t="str">
        <f>"9:02:31.058345"</f>
        <v>9:02:31.058345</v>
      </c>
      <c r="C8129">
        <v>-40</v>
      </c>
    </row>
    <row r="8130" spans="1:3" x14ac:dyDescent="0.25">
      <c r="A8130">
        <v>37</v>
      </c>
      <c r="B8130" t="str">
        <f>"9:02:31.058671"</f>
        <v>9:02:31.058671</v>
      </c>
      <c r="C8130">
        <v>-44</v>
      </c>
    </row>
    <row r="8131" spans="1:3" x14ac:dyDescent="0.25">
      <c r="A8131">
        <v>38</v>
      </c>
      <c r="B8131" t="str">
        <f>"9:02:31.059447"</f>
        <v>9:02:31.059447</v>
      </c>
      <c r="C8131">
        <v>-41</v>
      </c>
    </row>
    <row r="8132" spans="1:3" x14ac:dyDescent="0.25">
      <c r="A8132">
        <v>39</v>
      </c>
      <c r="B8132" t="str">
        <f>"9:02:31.060473"</f>
        <v>9:02:31.060473</v>
      </c>
      <c r="C8132">
        <v>-46</v>
      </c>
    </row>
    <row r="8133" spans="1:3" x14ac:dyDescent="0.25">
      <c r="A8133">
        <v>37</v>
      </c>
      <c r="B8133" t="str">
        <f>"9:02:31.416245"</f>
        <v>9:02:31.416245</v>
      </c>
      <c r="C8133">
        <v>-44</v>
      </c>
    </row>
    <row r="8134" spans="1:3" x14ac:dyDescent="0.25">
      <c r="A8134">
        <v>38</v>
      </c>
      <c r="B8134" t="str">
        <f>"9:02:31.417273"</f>
        <v>9:02:31.417273</v>
      </c>
      <c r="C8134">
        <v>-41</v>
      </c>
    </row>
    <row r="8135" spans="1:3" x14ac:dyDescent="0.25">
      <c r="A8135">
        <v>39</v>
      </c>
      <c r="B8135" t="str">
        <f>"9:02:31.418299"</f>
        <v>9:02:31.418299</v>
      </c>
      <c r="C8135">
        <v>-46</v>
      </c>
    </row>
    <row r="8136" spans="1:3" x14ac:dyDescent="0.25">
      <c r="A8136">
        <v>37</v>
      </c>
      <c r="B8136" t="str">
        <f>"9:02:31.767463"</f>
        <v>9:02:31.767463</v>
      </c>
      <c r="C8136">
        <v>-44</v>
      </c>
    </row>
    <row r="8137" spans="1:3" x14ac:dyDescent="0.25">
      <c r="A8137">
        <v>38</v>
      </c>
      <c r="B8137" t="str">
        <f>"9:02:31.768490"</f>
        <v>9:02:31.768490</v>
      </c>
      <c r="C8137">
        <v>-41</v>
      </c>
    </row>
    <row r="8138" spans="1:3" x14ac:dyDescent="0.25">
      <c r="A8138">
        <v>39</v>
      </c>
      <c r="B8138" t="str">
        <f>"9:02:31.769516"</f>
        <v>9:02:31.769516</v>
      </c>
      <c r="C8138">
        <v>-46</v>
      </c>
    </row>
    <row r="8139" spans="1:3" x14ac:dyDescent="0.25">
      <c r="A8139">
        <v>37</v>
      </c>
      <c r="B8139" t="str">
        <f>"9:02:32.125339"</f>
        <v>9:02:32.125339</v>
      </c>
      <c r="C8139">
        <v>-44</v>
      </c>
    </row>
    <row r="8140" spans="1:3" x14ac:dyDescent="0.25">
      <c r="A8140">
        <v>37</v>
      </c>
      <c r="B8140" t="str">
        <f>"9:02:32.125857"</f>
        <v>9:02:32.125857</v>
      </c>
      <c r="C8140">
        <v>-38</v>
      </c>
    </row>
    <row r="8141" spans="1:3" x14ac:dyDescent="0.25">
      <c r="A8141">
        <v>37</v>
      </c>
      <c r="B8141" t="str">
        <f>"9:02:32.126184"</f>
        <v>9:02:32.126184</v>
      </c>
      <c r="C8141">
        <v>-44</v>
      </c>
    </row>
    <row r="8142" spans="1:3" x14ac:dyDescent="0.25">
      <c r="A8142">
        <v>38</v>
      </c>
      <c r="B8142" t="str">
        <f>"9:02:32.126960"</f>
        <v>9:02:32.126960</v>
      </c>
      <c r="C8142">
        <v>-41</v>
      </c>
    </row>
    <row r="8143" spans="1:3" x14ac:dyDescent="0.25">
      <c r="A8143">
        <v>39</v>
      </c>
      <c r="B8143" t="str">
        <f>"9:02:32.127986"</f>
        <v>9:02:32.127986</v>
      </c>
      <c r="C8143">
        <v>-46</v>
      </c>
    </row>
    <row r="8144" spans="1:3" x14ac:dyDescent="0.25">
      <c r="A8144">
        <v>37</v>
      </c>
      <c r="B8144" t="str">
        <f>"9:02:32.476843"</f>
        <v>9:02:32.476843</v>
      </c>
      <c r="C8144">
        <v>-44</v>
      </c>
    </row>
    <row r="8145" spans="1:3" x14ac:dyDescent="0.25">
      <c r="A8145">
        <v>37</v>
      </c>
      <c r="B8145" t="str">
        <f>"9:02:32.477362"</f>
        <v>9:02:32.477362</v>
      </c>
      <c r="C8145">
        <v>-38</v>
      </c>
    </row>
    <row r="8146" spans="1:3" x14ac:dyDescent="0.25">
      <c r="A8146">
        <v>37</v>
      </c>
      <c r="B8146" t="str">
        <f>"9:02:32.477687"</f>
        <v>9:02:32.477687</v>
      </c>
      <c r="C8146">
        <v>-44</v>
      </c>
    </row>
    <row r="8147" spans="1:3" x14ac:dyDescent="0.25">
      <c r="A8147">
        <v>38</v>
      </c>
      <c r="B8147" t="str">
        <f>"9:02:32.478463"</f>
        <v>9:02:32.478463</v>
      </c>
      <c r="C8147">
        <v>-41</v>
      </c>
    </row>
    <row r="8148" spans="1:3" x14ac:dyDescent="0.25">
      <c r="A8148">
        <v>39</v>
      </c>
      <c r="B8148" t="str">
        <f>"9:02:32.479489"</f>
        <v>9:02:32.479489</v>
      </c>
      <c r="C8148">
        <v>-46</v>
      </c>
    </row>
    <row r="8149" spans="1:3" x14ac:dyDescent="0.25">
      <c r="A8149">
        <v>37</v>
      </c>
      <c r="B8149" t="str">
        <f>"9:02:32.829098"</f>
        <v>9:02:32.829098</v>
      </c>
      <c r="C8149">
        <v>-44</v>
      </c>
    </row>
    <row r="8150" spans="1:3" x14ac:dyDescent="0.25">
      <c r="A8150">
        <v>37</v>
      </c>
      <c r="B8150" t="str">
        <f>"9:02:32.829617"</f>
        <v>9:02:32.829617</v>
      </c>
      <c r="C8150">
        <v>-38</v>
      </c>
    </row>
    <row r="8151" spans="1:3" x14ac:dyDescent="0.25">
      <c r="A8151">
        <v>37</v>
      </c>
      <c r="B8151" t="str">
        <f>"9:02:32.829942"</f>
        <v>9:02:32.829942</v>
      </c>
      <c r="C8151">
        <v>-44</v>
      </c>
    </row>
    <row r="8152" spans="1:3" x14ac:dyDescent="0.25">
      <c r="A8152">
        <v>38</v>
      </c>
      <c r="B8152" t="str">
        <f>"9:02:32.830719"</f>
        <v>9:02:32.830719</v>
      </c>
      <c r="C8152">
        <v>-41</v>
      </c>
    </row>
    <row r="8153" spans="1:3" x14ac:dyDescent="0.25">
      <c r="A8153">
        <v>39</v>
      </c>
      <c r="B8153" t="str">
        <f>"9:02:32.831745"</f>
        <v>9:02:32.831745</v>
      </c>
      <c r="C8153">
        <v>-46</v>
      </c>
    </row>
    <row r="8154" spans="1:3" x14ac:dyDescent="0.25">
      <c r="A8154">
        <v>37</v>
      </c>
      <c r="B8154" t="str">
        <f>"9:02:33.186703"</f>
        <v>9:02:33.186703</v>
      </c>
      <c r="C8154">
        <v>-44</v>
      </c>
    </row>
    <row r="8155" spans="1:3" x14ac:dyDescent="0.25">
      <c r="A8155">
        <v>37</v>
      </c>
      <c r="B8155" t="str">
        <f>"9:02:33.187221"</f>
        <v>9:02:33.187221</v>
      </c>
      <c r="C8155">
        <v>-37</v>
      </c>
    </row>
    <row r="8156" spans="1:3" x14ac:dyDescent="0.25">
      <c r="A8156">
        <v>37</v>
      </c>
      <c r="B8156" t="str">
        <f>"9:02:33.187547"</f>
        <v>9:02:33.187547</v>
      </c>
      <c r="C8156">
        <v>-44</v>
      </c>
    </row>
    <row r="8157" spans="1:3" x14ac:dyDescent="0.25">
      <c r="A8157">
        <v>38</v>
      </c>
      <c r="B8157" t="str">
        <f>"9:02:33.188323"</f>
        <v>9:02:33.188323</v>
      </c>
      <c r="C8157">
        <v>-41</v>
      </c>
    </row>
    <row r="8158" spans="1:3" x14ac:dyDescent="0.25">
      <c r="A8158">
        <v>38</v>
      </c>
      <c r="B8158" t="str">
        <f>"9:02:33.188843"</f>
        <v>9:02:33.188843</v>
      </c>
      <c r="C8158">
        <v>-76</v>
      </c>
    </row>
    <row r="8159" spans="1:3" x14ac:dyDescent="0.25">
      <c r="A8159">
        <v>38</v>
      </c>
      <c r="B8159" t="str">
        <f>"9:02:33.189169"</f>
        <v>9:02:33.189169</v>
      </c>
      <c r="C8159">
        <v>-41</v>
      </c>
    </row>
    <row r="8160" spans="1:3" x14ac:dyDescent="0.25">
      <c r="A8160">
        <v>39</v>
      </c>
      <c r="B8160" t="str">
        <f>"9:02:33.189945"</f>
        <v>9:02:33.189945</v>
      </c>
      <c r="C8160">
        <v>-46</v>
      </c>
    </row>
    <row r="8161" spans="1:3" x14ac:dyDescent="0.25">
      <c r="A8161">
        <v>37</v>
      </c>
      <c r="B8161" t="str">
        <f>"9:02:33.539959"</f>
        <v>9:02:33.539959</v>
      </c>
      <c r="C8161">
        <v>-44</v>
      </c>
    </row>
    <row r="8162" spans="1:3" x14ac:dyDescent="0.25">
      <c r="A8162">
        <v>38</v>
      </c>
      <c r="B8162" t="str">
        <f>"9:02:33.540987"</f>
        <v>9:02:33.540987</v>
      </c>
      <c r="C8162">
        <v>-41</v>
      </c>
    </row>
    <row r="8163" spans="1:3" x14ac:dyDescent="0.25">
      <c r="A8163">
        <v>39</v>
      </c>
      <c r="B8163" t="str">
        <f>"9:02:33.542013"</f>
        <v>9:02:33.542013</v>
      </c>
      <c r="C8163">
        <v>-46</v>
      </c>
    </row>
    <row r="8164" spans="1:3" x14ac:dyDescent="0.25">
      <c r="A8164">
        <v>37</v>
      </c>
      <c r="B8164" t="str">
        <f>"9:02:33.898141"</f>
        <v>9:02:33.898141</v>
      </c>
      <c r="C8164">
        <v>-44</v>
      </c>
    </row>
    <row r="8165" spans="1:3" x14ac:dyDescent="0.25">
      <c r="A8165">
        <v>37</v>
      </c>
      <c r="B8165" t="str">
        <f>"9:02:33.898659"</f>
        <v>9:02:33.898659</v>
      </c>
      <c r="C8165">
        <v>-37</v>
      </c>
    </row>
    <row r="8166" spans="1:3" x14ac:dyDescent="0.25">
      <c r="A8166">
        <v>37</v>
      </c>
      <c r="B8166" t="str">
        <f>"9:02:33.898986"</f>
        <v>9:02:33.898986</v>
      </c>
      <c r="C8166">
        <v>-44</v>
      </c>
    </row>
    <row r="8167" spans="1:3" x14ac:dyDescent="0.25">
      <c r="A8167">
        <v>38</v>
      </c>
      <c r="B8167" t="str">
        <f>"9:02:33.899762"</f>
        <v>9:02:33.899762</v>
      </c>
      <c r="C8167">
        <v>-41</v>
      </c>
    </row>
    <row r="8168" spans="1:3" x14ac:dyDescent="0.25">
      <c r="A8168">
        <v>39</v>
      </c>
      <c r="B8168" t="str">
        <f>"9:02:33.900788"</f>
        <v>9:02:33.900788</v>
      </c>
      <c r="C8168">
        <v>-46</v>
      </c>
    </row>
    <row r="8169" spans="1:3" x14ac:dyDescent="0.25">
      <c r="A8169">
        <v>37</v>
      </c>
      <c r="B8169" t="str">
        <f>"9:02:34.251725"</f>
        <v>9:02:34.251725</v>
      </c>
      <c r="C8169">
        <v>-44</v>
      </c>
    </row>
    <row r="8170" spans="1:3" x14ac:dyDescent="0.25">
      <c r="A8170">
        <v>37</v>
      </c>
      <c r="B8170" t="str">
        <f>"9:02:34.252244"</f>
        <v>9:02:34.252244</v>
      </c>
      <c r="C8170">
        <v>-37</v>
      </c>
    </row>
    <row r="8171" spans="1:3" x14ac:dyDescent="0.25">
      <c r="A8171">
        <v>37</v>
      </c>
      <c r="B8171" t="str">
        <f>"9:02:34.252569"</f>
        <v>9:02:34.252569</v>
      </c>
      <c r="C8171">
        <v>-44</v>
      </c>
    </row>
    <row r="8172" spans="1:3" x14ac:dyDescent="0.25">
      <c r="A8172">
        <v>38</v>
      </c>
      <c r="B8172" t="str">
        <f>"9:02:34.253345"</f>
        <v>9:02:34.253345</v>
      </c>
      <c r="C8172">
        <v>-41</v>
      </c>
    </row>
    <row r="8173" spans="1:3" x14ac:dyDescent="0.25">
      <c r="A8173">
        <v>39</v>
      </c>
      <c r="B8173" t="str">
        <f>"9:02:34.254372"</f>
        <v>9:02:34.254372</v>
      </c>
      <c r="C8173">
        <v>-46</v>
      </c>
    </row>
    <row r="8174" spans="1:3" x14ac:dyDescent="0.25">
      <c r="A8174">
        <v>39</v>
      </c>
      <c r="B8174" t="str">
        <f>"9:02:34.254890"</f>
        <v>9:02:34.254890</v>
      </c>
      <c r="C8174">
        <v>-79</v>
      </c>
    </row>
    <row r="8175" spans="1:3" x14ac:dyDescent="0.25">
      <c r="A8175">
        <v>39</v>
      </c>
      <c r="B8175" t="str">
        <f>"9:02:34.255216"</f>
        <v>9:02:34.255216</v>
      </c>
      <c r="C8175">
        <v>-45</v>
      </c>
    </row>
    <row r="8176" spans="1:3" x14ac:dyDescent="0.25">
      <c r="A8176">
        <v>37</v>
      </c>
      <c r="B8176" t="str">
        <f>"9:02:34.605565"</f>
        <v>9:02:34.605565</v>
      </c>
      <c r="C8176">
        <v>-44</v>
      </c>
    </row>
    <row r="8177" spans="1:3" x14ac:dyDescent="0.25">
      <c r="A8177">
        <v>38</v>
      </c>
      <c r="B8177" t="str">
        <f>"9:02:34.606593"</f>
        <v>9:02:34.606593</v>
      </c>
      <c r="C8177">
        <v>-41</v>
      </c>
    </row>
    <row r="8178" spans="1:3" x14ac:dyDescent="0.25">
      <c r="A8178">
        <v>38</v>
      </c>
      <c r="B8178" t="str">
        <f>"9:02:34.607112"</f>
        <v>9:02:34.607112</v>
      </c>
      <c r="C8178">
        <v>-32</v>
      </c>
    </row>
    <row r="8179" spans="1:3" x14ac:dyDescent="0.25">
      <c r="A8179">
        <v>38</v>
      </c>
      <c r="B8179" t="str">
        <f>"9:02:34.607438"</f>
        <v>9:02:34.607438</v>
      </c>
      <c r="C8179">
        <v>-41</v>
      </c>
    </row>
    <row r="8180" spans="1:3" x14ac:dyDescent="0.25">
      <c r="A8180">
        <v>39</v>
      </c>
      <c r="B8180" t="str">
        <f>"9:02:34.608214"</f>
        <v>9:02:34.608214</v>
      </c>
      <c r="C8180">
        <v>-46</v>
      </c>
    </row>
    <row r="8181" spans="1:3" x14ac:dyDescent="0.25">
      <c r="A8181">
        <v>37</v>
      </c>
      <c r="B8181" t="str">
        <f>"9:02:34.956617"</f>
        <v>9:02:34.956617</v>
      </c>
      <c r="C8181">
        <v>-44</v>
      </c>
    </row>
    <row r="8182" spans="1:3" x14ac:dyDescent="0.25">
      <c r="A8182">
        <v>38</v>
      </c>
      <c r="B8182" t="str">
        <f>"9:02:34.957644"</f>
        <v>9:02:34.957644</v>
      </c>
      <c r="C8182">
        <v>-41</v>
      </c>
    </row>
    <row r="8183" spans="1:3" x14ac:dyDescent="0.25">
      <c r="A8183">
        <v>39</v>
      </c>
      <c r="B8183" t="str">
        <f>"9:02:34.958670"</f>
        <v>9:02:34.958670</v>
      </c>
      <c r="C8183">
        <v>-46</v>
      </c>
    </row>
    <row r="8184" spans="1:3" x14ac:dyDescent="0.25">
      <c r="A8184">
        <v>37</v>
      </c>
      <c r="B8184" t="str">
        <f>"9:02:35.315593"</f>
        <v>9:02:35.315593</v>
      </c>
      <c r="C8184">
        <v>-44</v>
      </c>
    </row>
    <row r="8185" spans="1:3" x14ac:dyDescent="0.25">
      <c r="A8185">
        <v>38</v>
      </c>
      <c r="B8185" t="str">
        <f>"9:02:35.316621"</f>
        <v>9:02:35.316621</v>
      </c>
      <c r="C8185">
        <v>-41</v>
      </c>
    </row>
    <row r="8186" spans="1:3" x14ac:dyDescent="0.25">
      <c r="A8186">
        <v>38</v>
      </c>
      <c r="B8186" t="str">
        <f>"9:02:35.317139"</f>
        <v>9:02:35.317139</v>
      </c>
      <c r="C8186">
        <v>-31</v>
      </c>
    </row>
    <row r="8187" spans="1:3" x14ac:dyDescent="0.25">
      <c r="A8187">
        <v>38</v>
      </c>
      <c r="B8187" t="str">
        <f>"9:02:35.317465"</f>
        <v>9:02:35.317465</v>
      </c>
      <c r="C8187">
        <v>-41</v>
      </c>
    </row>
    <row r="8188" spans="1:3" x14ac:dyDescent="0.25">
      <c r="A8188">
        <v>39</v>
      </c>
      <c r="B8188" t="str">
        <f>"9:02:35.318241"</f>
        <v>9:02:35.318241</v>
      </c>
      <c r="C8188">
        <v>-45</v>
      </c>
    </row>
    <row r="8189" spans="1:3" x14ac:dyDescent="0.25">
      <c r="A8189">
        <v>37</v>
      </c>
      <c r="B8189" t="str">
        <f>"9:02:35.673739"</f>
        <v>9:02:35.673739</v>
      </c>
      <c r="C8189">
        <v>-44</v>
      </c>
    </row>
    <row r="8190" spans="1:3" x14ac:dyDescent="0.25">
      <c r="A8190">
        <v>38</v>
      </c>
      <c r="B8190" t="str">
        <f>"9:02:35.674767"</f>
        <v>9:02:35.674767</v>
      </c>
      <c r="C8190">
        <v>-41</v>
      </c>
    </row>
    <row r="8191" spans="1:3" x14ac:dyDescent="0.25">
      <c r="A8191">
        <v>38</v>
      </c>
      <c r="B8191" t="str">
        <f>"9:02:35.675285"</f>
        <v>9:02:35.675285</v>
      </c>
      <c r="C8191">
        <v>-32</v>
      </c>
    </row>
    <row r="8192" spans="1:3" x14ac:dyDescent="0.25">
      <c r="A8192">
        <v>38</v>
      </c>
      <c r="B8192" t="str">
        <f>"9:02:35.675611"</f>
        <v>9:02:35.675611</v>
      </c>
      <c r="C8192">
        <v>-41</v>
      </c>
    </row>
    <row r="8193" spans="1:3" x14ac:dyDescent="0.25">
      <c r="A8193">
        <v>39</v>
      </c>
      <c r="B8193" t="str">
        <f>"9:02:35.676387"</f>
        <v>9:02:35.676387</v>
      </c>
      <c r="C8193">
        <v>-45</v>
      </c>
    </row>
    <row r="8194" spans="1:3" x14ac:dyDescent="0.25">
      <c r="A8194">
        <v>37</v>
      </c>
      <c r="B8194" t="str">
        <f>"9:02:36.024487"</f>
        <v>9:02:36.024487</v>
      </c>
      <c r="C8194">
        <v>-44</v>
      </c>
    </row>
    <row r="8195" spans="1:3" x14ac:dyDescent="0.25">
      <c r="A8195">
        <v>38</v>
      </c>
      <c r="B8195" t="str">
        <f>"9:02:36.025514"</f>
        <v>9:02:36.025514</v>
      </c>
      <c r="C8195">
        <v>-41</v>
      </c>
    </row>
    <row r="8196" spans="1:3" x14ac:dyDescent="0.25">
      <c r="A8196">
        <v>38</v>
      </c>
      <c r="B8196" t="str">
        <f>"9:02:36.026033"</f>
        <v>9:02:36.026033</v>
      </c>
      <c r="C8196">
        <v>-32</v>
      </c>
    </row>
    <row r="8197" spans="1:3" x14ac:dyDescent="0.25">
      <c r="A8197">
        <v>38</v>
      </c>
      <c r="B8197" t="str">
        <f>"9:02:36.026359"</f>
        <v>9:02:36.026359</v>
      </c>
      <c r="C8197">
        <v>-41</v>
      </c>
    </row>
    <row r="8198" spans="1:3" x14ac:dyDescent="0.25">
      <c r="A8198">
        <v>39</v>
      </c>
      <c r="B8198" t="str">
        <f>"9:02:36.027135"</f>
        <v>9:02:36.027135</v>
      </c>
      <c r="C8198">
        <v>-45</v>
      </c>
    </row>
    <row r="8199" spans="1:3" x14ac:dyDescent="0.25">
      <c r="A8199">
        <v>37</v>
      </c>
      <c r="B8199" t="str">
        <f>"9:02:36.383676"</f>
        <v>9:02:36.383676</v>
      </c>
      <c r="C8199">
        <v>-44</v>
      </c>
    </row>
    <row r="8200" spans="1:3" x14ac:dyDescent="0.25">
      <c r="A8200">
        <v>38</v>
      </c>
      <c r="B8200" t="str">
        <f>"9:02:36.384844"</f>
        <v>9:02:36.384844</v>
      </c>
      <c r="C8200">
        <v>-41</v>
      </c>
    </row>
    <row r="8201" spans="1:3" x14ac:dyDescent="0.25">
      <c r="A8201">
        <v>38</v>
      </c>
      <c r="B8201" t="str">
        <f>"9:02:36.385362"</f>
        <v>9:02:36.385362</v>
      </c>
      <c r="C8201">
        <v>-32</v>
      </c>
    </row>
    <row r="8202" spans="1:3" x14ac:dyDescent="0.25">
      <c r="A8202">
        <v>38</v>
      </c>
      <c r="B8202" t="str">
        <f>"9:02:36.385688"</f>
        <v>9:02:36.385688</v>
      </c>
      <c r="C8202">
        <v>-41</v>
      </c>
    </row>
    <row r="8203" spans="1:3" x14ac:dyDescent="0.25">
      <c r="A8203">
        <v>39</v>
      </c>
      <c r="B8203" t="str">
        <f>"9:02:36.386464"</f>
        <v>9:02:36.386464</v>
      </c>
      <c r="C8203">
        <v>-46</v>
      </c>
    </row>
    <row r="8204" spans="1:3" x14ac:dyDescent="0.25">
      <c r="A8204">
        <v>37</v>
      </c>
      <c r="B8204" t="str">
        <f>"9:02:36.736976"</f>
        <v>9:02:36.736976</v>
      </c>
      <c r="C8204">
        <v>-44</v>
      </c>
    </row>
    <row r="8205" spans="1:3" x14ac:dyDescent="0.25">
      <c r="A8205">
        <v>38</v>
      </c>
      <c r="B8205" t="str">
        <f>"9:02:36.738003"</f>
        <v>9:02:36.738003</v>
      </c>
      <c r="C8205">
        <v>-41</v>
      </c>
    </row>
    <row r="8206" spans="1:3" x14ac:dyDescent="0.25">
      <c r="A8206">
        <v>38</v>
      </c>
      <c r="B8206" t="str">
        <f>"9:02:36.738522"</f>
        <v>9:02:36.738522</v>
      </c>
      <c r="C8206">
        <v>-32</v>
      </c>
    </row>
    <row r="8207" spans="1:3" x14ac:dyDescent="0.25">
      <c r="A8207">
        <v>38</v>
      </c>
      <c r="B8207" t="str">
        <f>"9:02:36.738848"</f>
        <v>9:02:36.738848</v>
      </c>
      <c r="C8207">
        <v>-41</v>
      </c>
    </row>
    <row r="8208" spans="1:3" x14ac:dyDescent="0.25">
      <c r="A8208">
        <v>39</v>
      </c>
      <c r="B8208" t="str">
        <f>"9:02:36.739624"</f>
        <v>9:02:36.739624</v>
      </c>
      <c r="C8208">
        <v>-46</v>
      </c>
    </row>
    <row r="8209" spans="1:3" x14ac:dyDescent="0.25">
      <c r="A8209">
        <v>37</v>
      </c>
      <c r="B8209" t="str">
        <f>"9:02:37.091794"</f>
        <v>9:02:37.091794</v>
      </c>
      <c r="C8209">
        <v>-44</v>
      </c>
    </row>
    <row r="8210" spans="1:3" x14ac:dyDescent="0.25">
      <c r="A8210">
        <v>38</v>
      </c>
      <c r="B8210" t="str">
        <f>"9:02:37.092822"</f>
        <v>9:02:37.092822</v>
      </c>
      <c r="C8210">
        <v>-41</v>
      </c>
    </row>
    <row r="8211" spans="1:3" x14ac:dyDescent="0.25">
      <c r="A8211">
        <v>38</v>
      </c>
      <c r="B8211" t="str">
        <f>"9:02:37.093340"</f>
        <v>9:02:37.093340</v>
      </c>
      <c r="C8211">
        <v>-32</v>
      </c>
    </row>
    <row r="8212" spans="1:3" x14ac:dyDescent="0.25">
      <c r="A8212">
        <v>38</v>
      </c>
      <c r="B8212" t="str">
        <f>"9:02:37.093666"</f>
        <v>9:02:37.093666</v>
      </c>
      <c r="C8212">
        <v>-41</v>
      </c>
    </row>
    <row r="8213" spans="1:3" x14ac:dyDescent="0.25">
      <c r="A8213">
        <v>39</v>
      </c>
      <c r="B8213" t="str">
        <f>"9:02:37.094442"</f>
        <v>9:02:37.094442</v>
      </c>
      <c r="C8213">
        <v>-46</v>
      </c>
    </row>
    <row r="8214" spans="1:3" x14ac:dyDescent="0.25">
      <c r="A8214">
        <v>37</v>
      </c>
      <c r="B8214" t="str">
        <f>"9:02:37.451503"</f>
        <v>9:02:37.451503</v>
      </c>
      <c r="C8214">
        <v>-44</v>
      </c>
    </row>
    <row r="8215" spans="1:3" x14ac:dyDescent="0.25">
      <c r="A8215">
        <v>37</v>
      </c>
      <c r="B8215" t="str">
        <f>"9:02:37.452022"</f>
        <v>9:02:37.452022</v>
      </c>
      <c r="C8215">
        <v>-80</v>
      </c>
    </row>
    <row r="8216" spans="1:3" x14ac:dyDescent="0.25">
      <c r="A8216">
        <v>38</v>
      </c>
      <c r="B8216" t="str">
        <f>"9:02:37.452531"</f>
        <v>9:02:37.452531</v>
      </c>
      <c r="C8216">
        <v>-41</v>
      </c>
    </row>
    <row r="8217" spans="1:3" x14ac:dyDescent="0.25">
      <c r="A8217">
        <v>39</v>
      </c>
      <c r="B8217" t="str">
        <f>"9:02:37.453557"</f>
        <v>9:02:37.453557</v>
      </c>
      <c r="C8217">
        <v>-46</v>
      </c>
    </row>
    <row r="8218" spans="1:3" x14ac:dyDescent="0.25">
      <c r="A8218">
        <v>37</v>
      </c>
      <c r="B8218" t="str">
        <f>"9:02:37.803259"</f>
        <v>9:02:37.803259</v>
      </c>
      <c r="C8218">
        <v>-44</v>
      </c>
    </row>
    <row r="8219" spans="1:3" x14ac:dyDescent="0.25">
      <c r="A8219">
        <v>38</v>
      </c>
      <c r="B8219" t="str">
        <f>"9:02:37.804287"</f>
        <v>9:02:37.804287</v>
      </c>
      <c r="C8219">
        <v>-41</v>
      </c>
    </row>
    <row r="8220" spans="1:3" x14ac:dyDescent="0.25">
      <c r="A8220">
        <v>38</v>
      </c>
      <c r="B8220" t="str">
        <f>"9:02:37.804805"</f>
        <v>9:02:37.804805</v>
      </c>
      <c r="C8220">
        <v>-32</v>
      </c>
    </row>
    <row r="8221" spans="1:3" x14ac:dyDescent="0.25">
      <c r="A8221">
        <v>38</v>
      </c>
      <c r="B8221" t="str">
        <f>"9:02:37.805132"</f>
        <v>9:02:37.805132</v>
      </c>
      <c r="C8221">
        <v>-41</v>
      </c>
    </row>
    <row r="8222" spans="1:3" x14ac:dyDescent="0.25">
      <c r="A8222">
        <v>39</v>
      </c>
      <c r="B8222" t="str">
        <f>"9:02:37.805908"</f>
        <v>9:02:37.805908</v>
      </c>
      <c r="C8222">
        <v>-46</v>
      </c>
    </row>
    <row r="8223" spans="1:3" x14ac:dyDescent="0.25">
      <c r="A8223">
        <v>39</v>
      </c>
      <c r="B8223" t="str">
        <f>"9:02:37.806752"</f>
        <v>9:02:37.806752</v>
      </c>
      <c r="C8223">
        <v>-45</v>
      </c>
    </row>
    <row r="8224" spans="1:3" x14ac:dyDescent="0.25">
      <c r="A8224">
        <v>37</v>
      </c>
      <c r="B8224" t="str">
        <f>"9:02:38.154767"</f>
        <v>9:02:38.154767</v>
      </c>
      <c r="C8224">
        <v>-44</v>
      </c>
    </row>
    <row r="8225" spans="1:3" x14ac:dyDescent="0.25">
      <c r="A8225">
        <v>38</v>
      </c>
      <c r="B8225" t="str">
        <f>"9:02:38.155795"</f>
        <v>9:02:38.155795</v>
      </c>
      <c r="C8225">
        <v>-41</v>
      </c>
    </row>
    <row r="8226" spans="1:3" x14ac:dyDescent="0.25">
      <c r="A8226">
        <v>39</v>
      </c>
      <c r="B8226" t="str">
        <f>"9:02:38.156821"</f>
        <v>9:02:38.156821</v>
      </c>
      <c r="C8226">
        <v>-46</v>
      </c>
    </row>
    <row r="8227" spans="1:3" x14ac:dyDescent="0.25">
      <c r="A8227">
        <v>37</v>
      </c>
      <c r="B8227" t="str">
        <f>"9:02:38.513988"</f>
        <v>9:02:38.513988</v>
      </c>
      <c r="C8227">
        <v>-44</v>
      </c>
    </row>
    <row r="8228" spans="1:3" x14ac:dyDescent="0.25">
      <c r="A8228">
        <v>38</v>
      </c>
      <c r="B8228" t="str">
        <f>"9:02:38.515015"</f>
        <v>9:02:38.515015</v>
      </c>
      <c r="C8228">
        <v>-41</v>
      </c>
    </row>
    <row r="8229" spans="1:3" x14ac:dyDescent="0.25">
      <c r="A8229">
        <v>38</v>
      </c>
      <c r="B8229" t="str">
        <f>"9:02:38.515533"</f>
        <v>9:02:38.515533</v>
      </c>
      <c r="C8229">
        <v>-32</v>
      </c>
    </row>
    <row r="8230" spans="1:3" x14ac:dyDescent="0.25">
      <c r="A8230">
        <v>38</v>
      </c>
      <c r="B8230" t="str">
        <f>"9:02:38.515859"</f>
        <v>9:02:38.515859</v>
      </c>
      <c r="C8230">
        <v>-41</v>
      </c>
    </row>
    <row r="8231" spans="1:3" x14ac:dyDescent="0.25">
      <c r="A8231">
        <v>39</v>
      </c>
      <c r="B8231" t="str">
        <f>"9:02:38.516635"</f>
        <v>9:02:38.516635</v>
      </c>
      <c r="C8231">
        <v>-46</v>
      </c>
    </row>
    <row r="8232" spans="1:3" x14ac:dyDescent="0.25">
      <c r="A8232">
        <v>37</v>
      </c>
      <c r="B8232" t="str">
        <f>"9:02:38.865475"</f>
        <v>9:02:38.865475</v>
      </c>
      <c r="C8232">
        <v>-44</v>
      </c>
    </row>
    <row r="8233" spans="1:3" x14ac:dyDescent="0.25">
      <c r="A8233">
        <v>38</v>
      </c>
      <c r="B8233" t="str">
        <f>"9:02:38.866503"</f>
        <v>9:02:38.866503</v>
      </c>
      <c r="C8233">
        <v>-41</v>
      </c>
    </row>
    <row r="8234" spans="1:3" x14ac:dyDescent="0.25">
      <c r="A8234">
        <v>38</v>
      </c>
      <c r="B8234" t="str">
        <f>"9:02:38.867022"</f>
        <v>9:02:38.867022</v>
      </c>
      <c r="C8234">
        <v>-32</v>
      </c>
    </row>
    <row r="8235" spans="1:3" x14ac:dyDescent="0.25">
      <c r="A8235">
        <v>38</v>
      </c>
      <c r="B8235" t="str">
        <f>"9:02:38.867348"</f>
        <v>9:02:38.867348</v>
      </c>
      <c r="C8235">
        <v>-41</v>
      </c>
    </row>
    <row r="8236" spans="1:3" x14ac:dyDescent="0.25">
      <c r="A8236">
        <v>39</v>
      </c>
      <c r="B8236" t="str">
        <f>"9:02:38.868124"</f>
        <v>9:02:38.868124</v>
      </c>
      <c r="C8236">
        <v>-46</v>
      </c>
    </row>
    <row r="8237" spans="1:3" x14ac:dyDescent="0.25">
      <c r="A8237">
        <v>37</v>
      </c>
      <c r="B8237" t="str">
        <f>"9:02:39.218501"</f>
        <v>9:02:39.218501</v>
      </c>
      <c r="C8237">
        <v>-44</v>
      </c>
    </row>
    <row r="8238" spans="1:3" x14ac:dyDescent="0.25">
      <c r="A8238">
        <v>38</v>
      </c>
      <c r="B8238" t="str">
        <f>"9:02:39.219528"</f>
        <v>9:02:39.219528</v>
      </c>
      <c r="C8238">
        <v>-41</v>
      </c>
    </row>
    <row r="8239" spans="1:3" x14ac:dyDescent="0.25">
      <c r="A8239">
        <v>38</v>
      </c>
      <c r="B8239" t="str">
        <f>"9:02:39.220047"</f>
        <v>9:02:39.220047</v>
      </c>
      <c r="C8239">
        <v>-32</v>
      </c>
    </row>
    <row r="8240" spans="1:3" x14ac:dyDescent="0.25">
      <c r="A8240">
        <v>38</v>
      </c>
      <c r="B8240" t="str">
        <f>"9:02:39.220372"</f>
        <v>9:02:39.220372</v>
      </c>
      <c r="C8240">
        <v>-41</v>
      </c>
    </row>
    <row r="8241" spans="1:3" x14ac:dyDescent="0.25">
      <c r="A8241">
        <v>39</v>
      </c>
      <c r="B8241" t="str">
        <f>"9:02:39.221148"</f>
        <v>9:02:39.221148</v>
      </c>
      <c r="C8241">
        <v>-46</v>
      </c>
    </row>
    <row r="8242" spans="1:3" x14ac:dyDescent="0.25">
      <c r="A8242">
        <v>37</v>
      </c>
      <c r="B8242" t="str">
        <f>"9:02:39.568994"</f>
        <v>9:02:39.568994</v>
      </c>
      <c r="C8242">
        <v>-44</v>
      </c>
    </row>
    <row r="8243" spans="1:3" x14ac:dyDescent="0.25">
      <c r="A8243">
        <v>37</v>
      </c>
      <c r="B8243" t="str">
        <f>"9:02:39.569514"</f>
        <v>9:02:39.569514</v>
      </c>
      <c r="C8243">
        <v>-81</v>
      </c>
    </row>
    <row r="8244" spans="1:3" x14ac:dyDescent="0.25">
      <c r="A8244">
        <v>37</v>
      </c>
      <c r="B8244" t="str">
        <f>"9:02:39.569840"</f>
        <v>9:02:39.569840</v>
      </c>
      <c r="C8244">
        <v>-44</v>
      </c>
    </row>
    <row r="8245" spans="1:3" x14ac:dyDescent="0.25">
      <c r="A8245">
        <v>38</v>
      </c>
      <c r="B8245" t="str">
        <f>"9:02:39.570616"</f>
        <v>9:02:39.570616</v>
      </c>
      <c r="C8245">
        <v>-41</v>
      </c>
    </row>
    <row r="8246" spans="1:3" x14ac:dyDescent="0.25">
      <c r="A8246">
        <v>39</v>
      </c>
      <c r="B8246" t="str">
        <f>"9:02:39.571642"</f>
        <v>9:02:39.571642</v>
      </c>
      <c r="C8246">
        <v>-46</v>
      </c>
    </row>
    <row r="8247" spans="1:3" x14ac:dyDescent="0.25">
      <c r="A8247">
        <v>39</v>
      </c>
      <c r="B8247" t="str">
        <f>"9:02:39.572161"</f>
        <v>9:02:39.572161</v>
      </c>
      <c r="C8247">
        <v>-31</v>
      </c>
    </row>
    <row r="8248" spans="1:3" x14ac:dyDescent="0.25">
      <c r="A8248">
        <v>39</v>
      </c>
      <c r="B8248" t="str">
        <f>"9:02:39.572486"</f>
        <v>9:02:39.572486</v>
      </c>
      <c r="C8248">
        <v>-45</v>
      </c>
    </row>
    <row r="8249" spans="1:3" x14ac:dyDescent="0.25">
      <c r="A8249">
        <v>37</v>
      </c>
      <c r="B8249" t="str">
        <f>"9:02:39.924850"</f>
        <v>9:02:39.924850</v>
      </c>
      <c r="C8249">
        <v>-44</v>
      </c>
    </row>
    <row r="8250" spans="1:3" x14ac:dyDescent="0.25">
      <c r="A8250">
        <v>38</v>
      </c>
      <c r="B8250" t="str">
        <f>"9:02:39.925878"</f>
        <v>9:02:39.925878</v>
      </c>
      <c r="C8250">
        <v>-41</v>
      </c>
    </row>
    <row r="8251" spans="1:3" x14ac:dyDescent="0.25">
      <c r="A8251">
        <v>39</v>
      </c>
      <c r="B8251" t="str">
        <f>"9:02:39.926904"</f>
        <v>9:02:39.926904</v>
      </c>
      <c r="C8251">
        <v>-46</v>
      </c>
    </row>
    <row r="8252" spans="1:3" x14ac:dyDescent="0.25">
      <c r="A8252">
        <v>39</v>
      </c>
      <c r="B8252" t="str">
        <f>"9:02:39.927422"</f>
        <v>9:02:39.927422</v>
      </c>
      <c r="C8252">
        <v>-31</v>
      </c>
    </row>
    <row r="8253" spans="1:3" x14ac:dyDescent="0.25">
      <c r="A8253">
        <v>39</v>
      </c>
      <c r="B8253" t="str">
        <f>"9:02:39.927748"</f>
        <v>9:02:39.927748</v>
      </c>
      <c r="C8253">
        <v>-45</v>
      </c>
    </row>
    <row r="8254" spans="1:3" x14ac:dyDescent="0.25">
      <c r="A8254">
        <v>37</v>
      </c>
      <c r="B8254" t="str">
        <f>"9:02:40.282516"</f>
        <v>9:02:40.282516</v>
      </c>
      <c r="C8254">
        <v>-44</v>
      </c>
    </row>
    <row r="8255" spans="1:3" x14ac:dyDescent="0.25">
      <c r="A8255">
        <v>38</v>
      </c>
      <c r="B8255" t="str">
        <f>"9:02:40.283543"</f>
        <v>9:02:40.283543</v>
      </c>
      <c r="C8255">
        <v>-41</v>
      </c>
    </row>
    <row r="8256" spans="1:3" x14ac:dyDescent="0.25">
      <c r="A8256">
        <v>39</v>
      </c>
      <c r="B8256" t="str">
        <f>"9:02:40.284569"</f>
        <v>9:02:40.284569</v>
      </c>
      <c r="C8256">
        <v>-46</v>
      </c>
    </row>
    <row r="8257" spans="1:3" x14ac:dyDescent="0.25">
      <c r="A8257">
        <v>39</v>
      </c>
      <c r="B8257" t="str">
        <f>"9:02:40.285088"</f>
        <v>9:02:40.285088</v>
      </c>
      <c r="C8257">
        <v>-31</v>
      </c>
    </row>
    <row r="8258" spans="1:3" x14ac:dyDescent="0.25">
      <c r="A8258">
        <v>39</v>
      </c>
      <c r="B8258" t="str">
        <f>"9:02:40.285414"</f>
        <v>9:02:40.285414</v>
      </c>
      <c r="C8258">
        <v>-45</v>
      </c>
    </row>
    <row r="8259" spans="1:3" x14ac:dyDescent="0.25">
      <c r="A8259">
        <v>37</v>
      </c>
      <c r="B8259" t="str">
        <f>"9:02:40.636652"</f>
        <v>9:02:40.636652</v>
      </c>
      <c r="C8259">
        <v>-44</v>
      </c>
    </row>
    <row r="8260" spans="1:3" x14ac:dyDescent="0.25">
      <c r="A8260">
        <v>38</v>
      </c>
      <c r="B8260" t="str">
        <f>"9:02:40.637679"</f>
        <v>9:02:40.637679</v>
      </c>
      <c r="C8260">
        <v>-41</v>
      </c>
    </row>
    <row r="8261" spans="1:3" x14ac:dyDescent="0.25">
      <c r="A8261">
        <v>38</v>
      </c>
      <c r="B8261" t="str">
        <f>"9:02:40.638198"</f>
        <v>9:02:40.638198</v>
      </c>
      <c r="C8261">
        <v>-77</v>
      </c>
    </row>
    <row r="8262" spans="1:3" x14ac:dyDescent="0.25">
      <c r="A8262">
        <v>38</v>
      </c>
      <c r="B8262" t="str">
        <f>"9:02:40.638523"</f>
        <v>9:02:40.638523</v>
      </c>
      <c r="C8262">
        <v>-41</v>
      </c>
    </row>
    <row r="8263" spans="1:3" x14ac:dyDescent="0.25">
      <c r="A8263">
        <v>39</v>
      </c>
      <c r="B8263" t="str">
        <f>"9:02:40.639299"</f>
        <v>9:02:40.639299</v>
      </c>
      <c r="C8263">
        <v>-46</v>
      </c>
    </row>
    <row r="8264" spans="1:3" x14ac:dyDescent="0.25">
      <c r="A8264">
        <v>39</v>
      </c>
      <c r="B8264" t="str">
        <f>"9:02:40.639818"</f>
        <v>9:02:40.639818</v>
      </c>
      <c r="C8264">
        <v>-31</v>
      </c>
    </row>
    <row r="8265" spans="1:3" x14ac:dyDescent="0.25">
      <c r="A8265">
        <v>39</v>
      </c>
      <c r="B8265" t="str">
        <f>"9:02:40.640143"</f>
        <v>9:02:40.640143</v>
      </c>
      <c r="C8265">
        <v>-45</v>
      </c>
    </row>
    <row r="8266" spans="1:3" x14ac:dyDescent="0.25">
      <c r="A8266">
        <v>37</v>
      </c>
      <c r="B8266" t="str">
        <f>"9:02:40.989476"</f>
        <v>9:02:40.989476</v>
      </c>
      <c r="C8266">
        <v>-44</v>
      </c>
    </row>
    <row r="8267" spans="1:3" x14ac:dyDescent="0.25">
      <c r="A8267">
        <v>38</v>
      </c>
      <c r="B8267" t="str">
        <f>"9:02:40.990504"</f>
        <v>9:02:40.990504</v>
      </c>
      <c r="C8267">
        <v>-41</v>
      </c>
    </row>
    <row r="8268" spans="1:3" x14ac:dyDescent="0.25">
      <c r="A8268">
        <v>39</v>
      </c>
      <c r="B8268" t="str">
        <f>"9:02:40.991530"</f>
        <v>9:02:40.991530</v>
      </c>
      <c r="C8268">
        <v>-46</v>
      </c>
    </row>
    <row r="8269" spans="1:3" x14ac:dyDescent="0.25">
      <c r="A8269">
        <v>39</v>
      </c>
      <c r="B8269" t="str">
        <f>"9:02:40.992048"</f>
        <v>9:02:40.992048</v>
      </c>
      <c r="C8269">
        <v>-31</v>
      </c>
    </row>
    <row r="8270" spans="1:3" x14ac:dyDescent="0.25">
      <c r="A8270">
        <v>39</v>
      </c>
      <c r="B8270" t="str">
        <f>"9:02:40.992374"</f>
        <v>9:02:40.992374</v>
      </c>
      <c r="C8270">
        <v>-45</v>
      </c>
    </row>
    <row r="8271" spans="1:3" x14ac:dyDescent="0.25">
      <c r="A8271">
        <v>37</v>
      </c>
      <c r="B8271" t="str">
        <f>"9:02:41.341771"</f>
        <v>9:02:41.341771</v>
      </c>
      <c r="C8271">
        <v>-44</v>
      </c>
    </row>
    <row r="8272" spans="1:3" x14ac:dyDescent="0.25">
      <c r="A8272">
        <v>38</v>
      </c>
      <c r="B8272" t="str">
        <f>"9:02:41.342799"</f>
        <v>9:02:41.342799</v>
      </c>
      <c r="C8272">
        <v>-41</v>
      </c>
    </row>
    <row r="8273" spans="1:3" x14ac:dyDescent="0.25">
      <c r="A8273">
        <v>39</v>
      </c>
      <c r="B8273" t="str">
        <f>"9:02:41.343825"</f>
        <v>9:02:41.343825</v>
      </c>
      <c r="C8273">
        <v>-46</v>
      </c>
    </row>
    <row r="8274" spans="1:3" x14ac:dyDescent="0.25">
      <c r="A8274">
        <v>37</v>
      </c>
      <c r="B8274" t="str">
        <f>"9:02:41.692836"</f>
        <v>9:02:41.692836</v>
      </c>
      <c r="C8274">
        <v>-44</v>
      </c>
    </row>
    <row r="8275" spans="1:3" x14ac:dyDescent="0.25">
      <c r="A8275">
        <v>38</v>
      </c>
      <c r="B8275" t="str">
        <f>"9:02:41.693863"</f>
        <v>9:02:41.693863</v>
      </c>
      <c r="C8275">
        <v>-41</v>
      </c>
    </row>
    <row r="8276" spans="1:3" x14ac:dyDescent="0.25">
      <c r="A8276">
        <v>39</v>
      </c>
      <c r="B8276" t="str">
        <f>"9:02:41.694889"</f>
        <v>9:02:41.694889</v>
      </c>
      <c r="C8276">
        <v>-46</v>
      </c>
    </row>
    <row r="8277" spans="1:3" x14ac:dyDescent="0.25">
      <c r="A8277">
        <v>37</v>
      </c>
      <c r="B8277" t="str">
        <f>"9:02:42.047943"</f>
        <v>9:02:42.047943</v>
      </c>
      <c r="C8277">
        <v>-44</v>
      </c>
    </row>
    <row r="8278" spans="1:3" x14ac:dyDescent="0.25">
      <c r="A8278">
        <v>38</v>
      </c>
      <c r="B8278" t="str">
        <f>"9:02:42.048971"</f>
        <v>9:02:42.048971</v>
      </c>
      <c r="C8278">
        <v>-41</v>
      </c>
    </row>
    <row r="8279" spans="1:3" x14ac:dyDescent="0.25">
      <c r="A8279">
        <v>39</v>
      </c>
      <c r="B8279" t="str">
        <f>"9:02:42.049997"</f>
        <v>9:02:42.049997</v>
      </c>
      <c r="C8279">
        <v>-46</v>
      </c>
    </row>
    <row r="8280" spans="1:3" x14ac:dyDescent="0.25">
      <c r="A8280">
        <v>39</v>
      </c>
      <c r="B8280" t="str">
        <f>"9:02:42.050515"</f>
        <v>9:02:42.050515</v>
      </c>
      <c r="C8280">
        <v>-31</v>
      </c>
    </row>
    <row r="8281" spans="1:3" x14ac:dyDescent="0.25">
      <c r="A8281">
        <v>39</v>
      </c>
      <c r="B8281" t="str">
        <f>"9:02:42.050841"</f>
        <v>9:02:42.050841</v>
      </c>
      <c r="C8281">
        <v>-45</v>
      </c>
    </row>
    <row r="8282" spans="1:3" x14ac:dyDescent="0.25">
      <c r="A8282">
        <v>37</v>
      </c>
      <c r="B8282" t="str">
        <f>"9:02:42.403297"</f>
        <v>9:02:42.403297</v>
      </c>
      <c r="C8282">
        <v>-44</v>
      </c>
    </row>
    <row r="8283" spans="1:3" x14ac:dyDescent="0.25">
      <c r="A8283">
        <v>38</v>
      </c>
      <c r="B8283" t="str">
        <f>"9:02:42.404325"</f>
        <v>9:02:42.404325</v>
      </c>
      <c r="C8283">
        <v>-41</v>
      </c>
    </row>
    <row r="8284" spans="1:3" x14ac:dyDescent="0.25">
      <c r="A8284">
        <v>39</v>
      </c>
      <c r="B8284" t="str">
        <f>"9:02:42.405351"</f>
        <v>9:02:42.405351</v>
      </c>
      <c r="C8284">
        <v>-46</v>
      </c>
    </row>
    <row r="8285" spans="1:3" x14ac:dyDescent="0.25">
      <c r="A8285">
        <v>39</v>
      </c>
      <c r="B8285" t="str">
        <f>"9:02:42.405870"</f>
        <v>9:02:42.405870</v>
      </c>
      <c r="C8285">
        <v>-31</v>
      </c>
    </row>
    <row r="8286" spans="1:3" x14ac:dyDescent="0.25">
      <c r="A8286">
        <v>39</v>
      </c>
      <c r="B8286" t="str">
        <f>"9:02:42.406196"</f>
        <v>9:02:42.406196</v>
      </c>
      <c r="C8286">
        <v>-45</v>
      </c>
    </row>
    <row r="8287" spans="1:3" x14ac:dyDescent="0.25">
      <c r="A8287">
        <v>37</v>
      </c>
      <c r="B8287" t="str">
        <f>"9:02:42.761704"</f>
        <v>9:02:42.761704</v>
      </c>
      <c r="C8287">
        <v>-44</v>
      </c>
    </row>
    <row r="8288" spans="1:3" x14ac:dyDescent="0.25">
      <c r="A8288">
        <v>38</v>
      </c>
      <c r="B8288" t="str">
        <f>"9:02:42.762732"</f>
        <v>9:02:42.762732</v>
      </c>
      <c r="C8288">
        <v>-41</v>
      </c>
    </row>
    <row r="8289" spans="1:3" x14ac:dyDescent="0.25">
      <c r="A8289">
        <v>39</v>
      </c>
      <c r="B8289" t="str">
        <f>"9:02:42.763758"</f>
        <v>9:02:42.763758</v>
      </c>
      <c r="C8289">
        <v>-46</v>
      </c>
    </row>
    <row r="8290" spans="1:3" x14ac:dyDescent="0.25">
      <c r="A8290">
        <v>37</v>
      </c>
      <c r="B8290" t="str">
        <f>"9:02:43.111953"</f>
        <v>9:02:43.111953</v>
      </c>
      <c r="C8290">
        <v>-44</v>
      </c>
    </row>
    <row r="8291" spans="1:3" x14ac:dyDescent="0.25">
      <c r="A8291">
        <v>38</v>
      </c>
      <c r="B8291" t="str">
        <f>"9:02:43.112980"</f>
        <v>9:02:43.112980</v>
      </c>
      <c r="C8291">
        <v>-41</v>
      </c>
    </row>
    <row r="8292" spans="1:3" x14ac:dyDescent="0.25">
      <c r="A8292">
        <v>39</v>
      </c>
      <c r="B8292" t="str">
        <f>"9:02:43.114006"</f>
        <v>9:02:43.114006</v>
      </c>
      <c r="C8292">
        <v>-46</v>
      </c>
    </row>
    <row r="8293" spans="1:3" x14ac:dyDescent="0.25">
      <c r="A8293">
        <v>39</v>
      </c>
      <c r="B8293" t="str">
        <f>"9:02:43.114524"</f>
        <v>9:02:43.114524</v>
      </c>
      <c r="C8293">
        <v>-31</v>
      </c>
    </row>
    <row r="8294" spans="1:3" x14ac:dyDescent="0.25">
      <c r="A8294">
        <v>39</v>
      </c>
      <c r="B8294" t="str">
        <f>"9:02:43.114850"</f>
        <v>9:02:43.114850</v>
      </c>
      <c r="C8294">
        <v>-45</v>
      </c>
    </row>
    <row r="8295" spans="1:3" x14ac:dyDescent="0.25">
      <c r="A8295">
        <v>37</v>
      </c>
      <c r="B8295" t="str">
        <f>"9:02:43.469863"</f>
        <v>9:02:43.469863</v>
      </c>
      <c r="C8295">
        <v>-44</v>
      </c>
    </row>
    <row r="8296" spans="1:3" x14ac:dyDescent="0.25">
      <c r="A8296">
        <v>38</v>
      </c>
      <c r="B8296" t="str">
        <f>"9:02:43.471023"</f>
        <v>9:02:43.471023</v>
      </c>
      <c r="C8296">
        <v>-41</v>
      </c>
    </row>
    <row r="8297" spans="1:3" x14ac:dyDescent="0.25">
      <c r="A8297">
        <v>39</v>
      </c>
      <c r="B8297" t="str">
        <f>"9:02:43.472049"</f>
        <v>9:02:43.472049</v>
      </c>
      <c r="C8297">
        <v>-46</v>
      </c>
    </row>
    <row r="8298" spans="1:3" x14ac:dyDescent="0.25">
      <c r="A8298">
        <v>39</v>
      </c>
      <c r="B8298" t="str">
        <f>"9:02:43.472567"</f>
        <v>9:02:43.472567</v>
      </c>
      <c r="C8298">
        <v>-31</v>
      </c>
    </row>
    <row r="8299" spans="1:3" x14ac:dyDescent="0.25">
      <c r="A8299">
        <v>39</v>
      </c>
      <c r="B8299" t="str">
        <f>"9:02:43.472893"</f>
        <v>9:02:43.472893</v>
      </c>
      <c r="C8299">
        <v>-45</v>
      </c>
    </row>
    <row r="8300" spans="1:3" x14ac:dyDescent="0.25">
      <c r="A8300">
        <v>37</v>
      </c>
      <c r="B8300" t="str">
        <f>"9:02:43.828014"</f>
        <v>9:02:43.828014</v>
      </c>
      <c r="C8300">
        <v>-44</v>
      </c>
    </row>
    <row r="8301" spans="1:3" x14ac:dyDescent="0.25">
      <c r="A8301">
        <v>38</v>
      </c>
      <c r="B8301" t="str">
        <f>"9:02:43.829041"</f>
        <v>9:02:43.829041</v>
      </c>
      <c r="C8301">
        <v>-41</v>
      </c>
    </row>
    <row r="8302" spans="1:3" x14ac:dyDescent="0.25">
      <c r="A8302">
        <v>39</v>
      </c>
      <c r="B8302" t="str">
        <f>"9:02:43.830067"</f>
        <v>9:02:43.830067</v>
      </c>
      <c r="C8302">
        <v>-46</v>
      </c>
    </row>
    <row r="8303" spans="1:3" x14ac:dyDescent="0.25">
      <c r="A8303">
        <v>37</v>
      </c>
      <c r="B8303" t="str">
        <f>"9:02:44.180085"</f>
        <v>9:02:44.180085</v>
      </c>
      <c r="C8303">
        <v>-45</v>
      </c>
    </row>
    <row r="8304" spans="1:3" x14ac:dyDescent="0.25">
      <c r="A8304">
        <v>38</v>
      </c>
      <c r="B8304" t="str">
        <f>"9:02:44.181112"</f>
        <v>9:02:44.181112</v>
      </c>
      <c r="C8304">
        <v>-41</v>
      </c>
    </row>
    <row r="8305" spans="1:3" x14ac:dyDescent="0.25">
      <c r="A8305">
        <v>39</v>
      </c>
      <c r="B8305" t="str">
        <f>"9:02:44.182139"</f>
        <v>9:02:44.182139</v>
      </c>
      <c r="C8305">
        <v>-46</v>
      </c>
    </row>
    <row r="8306" spans="1:3" x14ac:dyDescent="0.25">
      <c r="A8306">
        <v>37</v>
      </c>
      <c r="B8306" t="str">
        <f>"9:02:44.531832"</f>
        <v>9:02:44.531832</v>
      </c>
      <c r="C8306">
        <v>-45</v>
      </c>
    </row>
    <row r="8307" spans="1:3" x14ac:dyDescent="0.25">
      <c r="A8307">
        <v>37</v>
      </c>
      <c r="B8307" t="str">
        <f>"9:02:44.532350"</f>
        <v>9:02:44.532350</v>
      </c>
      <c r="C8307">
        <v>-37</v>
      </c>
    </row>
    <row r="8308" spans="1:3" x14ac:dyDescent="0.25">
      <c r="A8308">
        <v>37</v>
      </c>
      <c r="B8308" t="str">
        <f>"9:02:44.532676"</f>
        <v>9:02:44.532676</v>
      </c>
      <c r="C8308">
        <v>-45</v>
      </c>
    </row>
    <row r="8309" spans="1:3" x14ac:dyDescent="0.25">
      <c r="A8309">
        <v>38</v>
      </c>
      <c r="B8309" t="str">
        <f>"9:02:44.533452"</f>
        <v>9:02:44.533452</v>
      </c>
      <c r="C8309">
        <v>-41</v>
      </c>
    </row>
    <row r="8310" spans="1:3" x14ac:dyDescent="0.25">
      <c r="A8310">
        <v>39</v>
      </c>
      <c r="B8310" t="str">
        <f>"9:02:44.534478"</f>
        <v>9:02:44.534478</v>
      </c>
      <c r="C8310">
        <v>-46</v>
      </c>
    </row>
    <row r="8311" spans="1:3" x14ac:dyDescent="0.25">
      <c r="A8311">
        <v>37</v>
      </c>
      <c r="B8311" t="str">
        <f>"9:02:44.887979"</f>
        <v>9:02:44.887979</v>
      </c>
      <c r="C8311">
        <v>-44</v>
      </c>
    </row>
    <row r="8312" spans="1:3" x14ac:dyDescent="0.25">
      <c r="A8312">
        <v>37</v>
      </c>
      <c r="B8312" t="str">
        <f>"9:02:44.888497"</f>
        <v>9:02:44.888497</v>
      </c>
      <c r="C8312">
        <v>-37</v>
      </c>
    </row>
    <row r="8313" spans="1:3" x14ac:dyDescent="0.25">
      <c r="A8313">
        <v>37</v>
      </c>
      <c r="B8313" t="str">
        <f>"9:02:44.888823"</f>
        <v>9:02:44.888823</v>
      </c>
      <c r="C8313">
        <v>-45</v>
      </c>
    </row>
    <row r="8314" spans="1:3" x14ac:dyDescent="0.25">
      <c r="A8314">
        <v>38</v>
      </c>
      <c r="B8314" t="str">
        <f>"9:02:44.889599"</f>
        <v>9:02:44.889599</v>
      </c>
      <c r="C8314">
        <v>-41</v>
      </c>
    </row>
    <row r="8315" spans="1:3" x14ac:dyDescent="0.25">
      <c r="A8315">
        <v>39</v>
      </c>
      <c r="B8315" t="str">
        <f>"9:02:44.890625"</f>
        <v>9:02:44.890625</v>
      </c>
      <c r="C8315">
        <v>-46</v>
      </c>
    </row>
    <row r="8316" spans="1:3" x14ac:dyDescent="0.25">
      <c r="A8316">
        <v>37</v>
      </c>
      <c r="B8316" t="str">
        <f>"9:02:45.239703"</f>
        <v>9:02:45.239703</v>
      </c>
      <c r="C8316">
        <v>-45</v>
      </c>
    </row>
    <row r="8317" spans="1:3" x14ac:dyDescent="0.25">
      <c r="A8317">
        <v>37</v>
      </c>
      <c r="B8317" t="str">
        <f>"9:02:45.240222"</f>
        <v>9:02:45.240222</v>
      </c>
      <c r="C8317">
        <v>-37</v>
      </c>
    </row>
    <row r="8318" spans="1:3" x14ac:dyDescent="0.25">
      <c r="A8318">
        <v>37</v>
      </c>
      <c r="B8318" t="str">
        <f>"9:02:45.240549"</f>
        <v>9:02:45.240549</v>
      </c>
      <c r="C8318">
        <v>-45</v>
      </c>
    </row>
    <row r="8319" spans="1:3" x14ac:dyDescent="0.25">
      <c r="A8319">
        <v>38</v>
      </c>
      <c r="B8319" t="str">
        <f>"9:02:45.241325"</f>
        <v>9:02:45.241325</v>
      </c>
      <c r="C8319">
        <v>-41</v>
      </c>
    </row>
    <row r="8320" spans="1:3" x14ac:dyDescent="0.25">
      <c r="A8320">
        <v>39</v>
      </c>
      <c r="B8320" t="str">
        <f>"9:02:45.242351"</f>
        <v>9:02:45.242351</v>
      </c>
      <c r="C8320">
        <v>-46</v>
      </c>
    </row>
    <row r="8321" spans="1:3" x14ac:dyDescent="0.25">
      <c r="A8321">
        <v>37</v>
      </c>
      <c r="B8321" t="str">
        <f>"9:02:45.591188"</f>
        <v>9:02:45.591188</v>
      </c>
      <c r="C8321">
        <v>-44</v>
      </c>
    </row>
    <row r="8322" spans="1:3" x14ac:dyDescent="0.25">
      <c r="A8322">
        <v>37</v>
      </c>
      <c r="B8322" t="str">
        <f>"9:02:45.591706"</f>
        <v>9:02:45.591706</v>
      </c>
      <c r="C8322">
        <v>-40</v>
      </c>
    </row>
    <row r="8323" spans="1:3" x14ac:dyDescent="0.25">
      <c r="A8323">
        <v>37</v>
      </c>
      <c r="B8323" t="str">
        <f>"9:02:45.592033"</f>
        <v>9:02:45.592033</v>
      </c>
      <c r="C8323">
        <v>-44</v>
      </c>
    </row>
    <row r="8324" spans="1:3" x14ac:dyDescent="0.25">
      <c r="A8324">
        <v>38</v>
      </c>
      <c r="B8324" t="str">
        <f>"9:02:45.592809"</f>
        <v>9:02:45.592809</v>
      </c>
      <c r="C8324">
        <v>-41</v>
      </c>
    </row>
    <row r="8325" spans="1:3" x14ac:dyDescent="0.25">
      <c r="A8325">
        <v>39</v>
      </c>
      <c r="B8325" t="str">
        <f>"9:02:45.593969"</f>
        <v>9:02:45.593969</v>
      </c>
      <c r="C8325">
        <v>-46</v>
      </c>
    </row>
    <row r="8326" spans="1:3" x14ac:dyDescent="0.25">
      <c r="A8326">
        <v>37</v>
      </c>
      <c r="B8326" t="str">
        <f>"9:02:45.947828"</f>
        <v>9:02:45.947828</v>
      </c>
      <c r="C8326">
        <v>-44</v>
      </c>
    </row>
    <row r="8327" spans="1:3" x14ac:dyDescent="0.25">
      <c r="A8327">
        <v>37</v>
      </c>
      <c r="B8327" t="str">
        <f>"9:02:45.948347"</f>
        <v>9:02:45.948347</v>
      </c>
      <c r="C8327">
        <v>-40</v>
      </c>
    </row>
    <row r="8328" spans="1:3" x14ac:dyDescent="0.25">
      <c r="A8328">
        <v>37</v>
      </c>
      <c r="B8328" t="str">
        <f>"9:02:45.948672"</f>
        <v>9:02:45.948672</v>
      </c>
      <c r="C8328">
        <v>-44</v>
      </c>
    </row>
    <row r="8329" spans="1:3" x14ac:dyDescent="0.25">
      <c r="A8329">
        <v>38</v>
      </c>
      <c r="B8329" t="str">
        <f>"9:02:45.949449"</f>
        <v>9:02:45.949449</v>
      </c>
      <c r="C8329">
        <v>-41</v>
      </c>
    </row>
    <row r="8330" spans="1:3" x14ac:dyDescent="0.25">
      <c r="A8330">
        <v>39</v>
      </c>
      <c r="B8330" t="str">
        <f>"9:02:45.950475"</f>
        <v>9:02:45.950475</v>
      </c>
      <c r="C8330">
        <v>-45</v>
      </c>
    </row>
    <row r="8331" spans="1:3" x14ac:dyDescent="0.25">
      <c r="A8331">
        <v>37</v>
      </c>
      <c r="B8331" t="str">
        <f>"9:02:46.303989"</f>
        <v>9:02:46.303989</v>
      </c>
      <c r="C8331">
        <v>-44</v>
      </c>
    </row>
    <row r="8332" spans="1:3" x14ac:dyDescent="0.25">
      <c r="A8332">
        <v>37</v>
      </c>
      <c r="B8332" t="str">
        <f>"9:02:46.304508"</f>
        <v>9:02:46.304508</v>
      </c>
      <c r="C8332">
        <v>-40</v>
      </c>
    </row>
    <row r="8333" spans="1:3" x14ac:dyDescent="0.25">
      <c r="A8333">
        <v>37</v>
      </c>
      <c r="B8333" t="str">
        <f>"9:02:46.304833"</f>
        <v>9:02:46.304833</v>
      </c>
      <c r="C8333">
        <v>-44</v>
      </c>
    </row>
    <row r="8334" spans="1:3" x14ac:dyDescent="0.25">
      <c r="A8334">
        <v>38</v>
      </c>
      <c r="B8334" t="str">
        <f>"9:02:46.305610"</f>
        <v>9:02:46.305610</v>
      </c>
      <c r="C8334">
        <v>-41</v>
      </c>
    </row>
    <row r="8335" spans="1:3" x14ac:dyDescent="0.25">
      <c r="A8335">
        <v>39</v>
      </c>
      <c r="B8335" t="str">
        <f>"9:02:46.306636"</f>
        <v>9:02:46.306636</v>
      </c>
      <c r="C8335">
        <v>-46</v>
      </c>
    </row>
    <row r="8336" spans="1:3" x14ac:dyDescent="0.25">
      <c r="A8336">
        <v>37</v>
      </c>
      <c r="B8336" t="str">
        <f>"9:02:46.662152"</f>
        <v>9:02:46.662152</v>
      </c>
      <c r="C8336">
        <v>-44</v>
      </c>
    </row>
    <row r="8337" spans="1:3" x14ac:dyDescent="0.25">
      <c r="A8337">
        <v>37</v>
      </c>
      <c r="B8337" t="str">
        <f>"9:02:46.662671"</f>
        <v>9:02:46.662671</v>
      </c>
      <c r="C8337">
        <v>-40</v>
      </c>
    </row>
    <row r="8338" spans="1:3" x14ac:dyDescent="0.25">
      <c r="A8338">
        <v>37</v>
      </c>
      <c r="B8338" t="str">
        <f>"9:02:46.662997"</f>
        <v>9:02:46.662997</v>
      </c>
      <c r="C8338">
        <v>-44</v>
      </c>
    </row>
    <row r="8339" spans="1:3" x14ac:dyDescent="0.25">
      <c r="A8339">
        <v>38</v>
      </c>
      <c r="B8339" t="str">
        <f>"9:02:46.663773"</f>
        <v>9:02:46.663773</v>
      </c>
      <c r="C8339">
        <v>-41</v>
      </c>
    </row>
    <row r="8340" spans="1:3" x14ac:dyDescent="0.25">
      <c r="A8340">
        <v>39</v>
      </c>
      <c r="B8340" t="str">
        <f>"9:02:46.664799"</f>
        <v>9:02:46.664799</v>
      </c>
      <c r="C8340">
        <v>-46</v>
      </c>
    </row>
    <row r="8341" spans="1:3" x14ac:dyDescent="0.25">
      <c r="A8341">
        <v>37</v>
      </c>
      <c r="B8341" t="str">
        <f>"9:02:47.017018"</f>
        <v>9:02:47.017018</v>
      </c>
      <c r="C8341">
        <v>-44</v>
      </c>
    </row>
    <row r="8342" spans="1:3" x14ac:dyDescent="0.25">
      <c r="A8342">
        <v>37</v>
      </c>
      <c r="B8342" t="str">
        <f>"9:02:47.017536"</f>
        <v>9:02:47.017536</v>
      </c>
      <c r="C8342">
        <v>-40</v>
      </c>
    </row>
    <row r="8343" spans="1:3" x14ac:dyDescent="0.25">
      <c r="A8343">
        <v>37</v>
      </c>
      <c r="B8343" t="str">
        <f>"9:02:47.017862"</f>
        <v>9:02:47.017862</v>
      </c>
      <c r="C8343">
        <v>-44</v>
      </c>
    </row>
    <row r="8344" spans="1:3" x14ac:dyDescent="0.25">
      <c r="A8344">
        <v>38</v>
      </c>
      <c r="B8344" t="str">
        <f>"9:02:47.018638"</f>
        <v>9:02:47.018638</v>
      </c>
      <c r="C8344">
        <v>-41</v>
      </c>
    </row>
    <row r="8345" spans="1:3" x14ac:dyDescent="0.25">
      <c r="A8345">
        <v>39</v>
      </c>
      <c r="B8345" t="str">
        <f>"9:02:47.019664"</f>
        <v>9:02:47.019664</v>
      </c>
      <c r="C8345">
        <v>-46</v>
      </c>
    </row>
    <row r="8346" spans="1:3" x14ac:dyDescent="0.25">
      <c r="A8346">
        <v>37</v>
      </c>
      <c r="B8346" t="str">
        <f>"9:02:47.368785"</f>
        <v>9:02:47.368785</v>
      </c>
      <c r="C8346">
        <v>-44</v>
      </c>
    </row>
    <row r="8347" spans="1:3" x14ac:dyDescent="0.25">
      <c r="A8347">
        <v>37</v>
      </c>
      <c r="B8347" t="str">
        <f>"9:02:47.369303"</f>
        <v>9:02:47.369303</v>
      </c>
      <c r="C8347">
        <v>-40</v>
      </c>
    </row>
    <row r="8348" spans="1:3" x14ac:dyDescent="0.25">
      <c r="A8348">
        <v>37</v>
      </c>
      <c r="B8348" t="str">
        <f>"9:02:47.369629"</f>
        <v>9:02:47.369629</v>
      </c>
      <c r="C8348">
        <v>-44</v>
      </c>
    </row>
    <row r="8349" spans="1:3" x14ac:dyDescent="0.25">
      <c r="A8349">
        <v>38</v>
      </c>
      <c r="B8349" t="str">
        <f>"9:02:47.370405"</f>
        <v>9:02:47.370405</v>
      </c>
      <c r="C8349">
        <v>-41</v>
      </c>
    </row>
    <row r="8350" spans="1:3" x14ac:dyDescent="0.25">
      <c r="A8350">
        <v>39</v>
      </c>
      <c r="B8350" t="str">
        <f>"9:02:47.371431"</f>
        <v>9:02:47.371431</v>
      </c>
      <c r="C8350">
        <v>-46</v>
      </c>
    </row>
    <row r="8351" spans="1:3" x14ac:dyDescent="0.25">
      <c r="A8351">
        <v>37</v>
      </c>
      <c r="B8351" t="str">
        <f>"9:02:47.719243"</f>
        <v>9:02:47.719243</v>
      </c>
      <c r="C8351">
        <v>-44</v>
      </c>
    </row>
    <row r="8352" spans="1:3" x14ac:dyDescent="0.25">
      <c r="A8352">
        <v>37</v>
      </c>
      <c r="B8352" t="str">
        <f>"9:02:47.719761"</f>
        <v>9:02:47.719761</v>
      </c>
      <c r="C8352">
        <v>-40</v>
      </c>
    </row>
    <row r="8353" spans="1:3" x14ac:dyDescent="0.25">
      <c r="A8353">
        <v>37</v>
      </c>
      <c r="B8353" t="str">
        <f>"9:02:47.720087"</f>
        <v>9:02:47.720087</v>
      </c>
      <c r="C8353">
        <v>-44</v>
      </c>
    </row>
    <row r="8354" spans="1:3" x14ac:dyDescent="0.25">
      <c r="A8354">
        <v>38</v>
      </c>
      <c r="B8354" t="str">
        <f>"9:02:47.720863"</f>
        <v>9:02:47.720863</v>
      </c>
      <c r="C8354">
        <v>-41</v>
      </c>
    </row>
    <row r="8355" spans="1:3" x14ac:dyDescent="0.25">
      <c r="A8355">
        <v>39</v>
      </c>
      <c r="B8355" t="str">
        <f>"9:02:47.721889"</f>
        <v>9:02:47.721889</v>
      </c>
      <c r="C8355">
        <v>-46</v>
      </c>
    </row>
    <row r="8356" spans="1:3" x14ac:dyDescent="0.25">
      <c r="A8356">
        <v>37</v>
      </c>
      <c r="B8356" t="str">
        <f>"9:02:48.073055"</f>
        <v>9:02:48.073055</v>
      </c>
      <c r="C8356">
        <v>-44</v>
      </c>
    </row>
    <row r="8357" spans="1:3" x14ac:dyDescent="0.25">
      <c r="A8357">
        <v>37</v>
      </c>
      <c r="B8357" t="str">
        <f>"9:02:48.073574"</f>
        <v>9:02:48.073574</v>
      </c>
      <c r="C8357">
        <v>-40</v>
      </c>
    </row>
    <row r="8358" spans="1:3" x14ac:dyDescent="0.25">
      <c r="A8358">
        <v>37</v>
      </c>
      <c r="B8358" t="str">
        <f>"9:02:48.073900"</f>
        <v>9:02:48.073900</v>
      </c>
      <c r="C8358">
        <v>-44</v>
      </c>
    </row>
    <row r="8359" spans="1:3" x14ac:dyDescent="0.25">
      <c r="A8359">
        <v>38</v>
      </c>
      <c r="B8359" t="str">
        <f>"9:02:48.074676"</f>
        <v>9:02:48.074676</v>
      </c>
      <c r="C8359">
        <v>-41</v>
      </c>
    </row>
    <row r="8360" spans="1:3" x14ac:dyDescent="0.25">
      <c r="A8360">
        <v>39</v>
      </c>
      <c r="B8360" t="str">
        <f>"9:02:48.075702"</f>
        <v>9:02:48.075702</v>
      </c>
      <c r="C8360">
        <v>-46</v>
      </c>
    </row>
    <row r="8361" spans="1:3" x14ac:dyDescent="0.25">
      <c r="A8361">
        <v>37</v>
      </c>
      <c r="B8361" t="str">
        <f>"9:02:48.432994"</f>
        <v>9:02:48.432994</v>
      </c>
      <c r="C8361">
        <v>-44</v>
      </c>
    </row>
    <row r="8362" spans="1:3" x14ac:dyDescent="0.25">
      <c r="A8362">
        <v>37</v>
      </c>
      <c r="B8362" t="str">
        <f>"9:02:48.433513"</f>
        <v>9:02:48.433513</v>
      </c>
      <c r="C8362">
        <v>-40</v>
      </c>
    </row>
    <row r="8363" spans="1:3" x14ac:dyDescent="0.25">
      <c r="A8363">
        <v>37</v>
      </c>
      <c r="B8363" t="str">
        <f>"9:02:48.433839"</f>
        <v>9:02:48.433839</v>
      </c>
      <c r="C8363">
        <v>-44</v>
      </c>
    </row>
    <row r="8364" spans="1:3" x14ac:dyDescent="0.25">
      <c r="A8364">
        <v>38</v>
      </c>
      <c r="B8364" t="str">
        <f>"9:02:48.434616"</f>
        <v>9:02:48.434616</v>
      </c>
      <c r="C8364">
        <v>-41</v>
      </c>
    </row>
    <row r="8365" spans="1:3" x14ac:dyDescent="0.25">
      <c r="A8365">
        <v>39</v>
      </c>
      <c r="B8365" t="str">
        <f>"9:02:48.435642"</f>
        <v>9:02:48.435642</v>
      </c>
      <c r="C8365">
        <v>-45</v>
      </c>
    </row>
    <row r="8366" spans="1:3" x14ac:dyDescent="0.25">
      <c r="A8366">
        <v>37</v>
      </c>
      <c r="B8366" t="str">
        <f>"9:02:48.791976"</f>
        <v>9:02:48.791976</v>
      </c>
      <c r="C8366">
        <v>-44</v>
      </c>
    </row>
    <row r="8367" spans="1:3" x14ac:dyDescent="0.25">
      <c r="A8367">
        <v>37</v>
      </c>
      <c r="B8367" t="str">
        <f>"9:02:48.792495"</f>
        <v>9:02:48.792495</v>
      </c>
      <c r="C8367">
        <v>-40</v>
      </c>
    </row>
    <row r="8368" spans="1:3" x14ac:dyDescent="0.25">
      <c r="A8368">
        <v>37</v>
      </c>
      <c r="B8368" t="str">
        <f>"9:02:48.792821"</f>
        <v>9:02:48.792821</v>
      </c>
      <c r="C8368">
        <v>-44</v>
      </c>
    </row>
    <row r="8369" spans="1:3" x14ac:dyDescent="0.25">
      <c r="A8369">
        <v>38</v>
      </c>
      <c r="B8369" t="str">
        <f>"9:02:48.793598"</f>
        <v>9:02:48.793598</v>
      </c>
      <c r="C8369">
        <v>-41</v>
      </c>
    </row>
    <row r="8370" spans="1:3" x14ac:dyDescent="0.25">
      <c r="A8370">
        <v>39</v>
      </c>
      <c r="B8370" t="str">
        <f>"9:02:48.794624"</f>
        <v>9:02:48.794624</v>
      </c>
      <c r="C8370">
        <v>-46</v>
      </c>
    </row>
    <row r="8371" spans="1:3" x14ac:dyDescent="0.25">
      <c r="A8371">
        <v>37</v>
      </c>
      <c r="B8371" t="str">
        <f>"9:02:49.148909"</f>
        <v>9:02:49.148909</v>
      </c>
      <c r="C8371">
        <v>-44</v>
      </c>
    </row>
    <row r="8372" spans="1:3" x14ac:dyDescent="0.25">
      <c r="A8372">
        <v>37</v>
      </c>
      <c r="B8372" t="str">
        <f>"9:02:49.149427"</f>
        <v>9:02:49.149427</v>
      </c>
      <c r="C8372">
        <v>-42</v>
      </c>
    </row>
    <row r="8373" spans="1:3" x14ac:dyDescent="0.25">
      <c r="A8373">
        <v>37</v>
      </c>
      <c r="B8373" t="str">
        <f>"9:02:49.149753"</f>
        <v>9:02:49.149753</v>
      </c>
      <c r="C8373">
        <v>-44</v>
      </c>
    </row>
    <row r="8374" spans="1:3" x14ac:dyDescent="0.25">
      <c r="A8374">
        <v>38</v>
      </c>
      <c r="B8374" t="str">
        <f>"9:02:49.150529"</f>
        <v>9:02:49.150529</v>
      </c>
      <c r="C8374">
        <v>-41</v>
      </c>
    </row>
    <row r="8375" spans="1:3" x14ac:dyDescent="0.25">
      <c r="A8375">
        <v>39</v>
      </c>
      <c r="B8375" t="str">
        <f>"9:02:49.151555"</f>
        <v>9:02:49.151555</v>
      </c>
      <c r="C8375">
        <v>-46</v>
      </c>
    </row>
    <row r="8376" spans="1:3" x14ac:dyDescent="0.25">
      <c r="A8376">
        <v>37</v>
      </c>
      <c r="B8376" t="str">
        <f>"9:02:49.507647"</f>
        <v>9:02:49.507647</v>
      </c>
      <c r="C8376">
        <v>-44</v>
      </c>
    </row>
    <row r="8377" spans="1:3" x14ac:dyDescent="0.25">
      <c r="A8377">
        <v>38</v>
      </c>
      <c r="B8377" t="str">
        <f>"9:02:49.508674"</f>
        <v>9:02:49.508674</v>
      </c>
      <c r="C8377">
        <v>-41</v>
      </c>
    </row>
    <row r="8378" spans="1:3" x14ac:dyDescent="0.25">
      <c r="A8378">
        <v>38</v>
      </c>
      <c r="B8378" t="str">
        <f>"9:02:49.509192"</f>
        <v>9:02:49.509192</v>
      </c>
      <c r="C8378">
        <v>-32</v>
      </c>
    </row>
    <row r="8379" spans="1:3" x14ac:dyDescent="0.25">
      <c r="A8379">
        <v>38</v>
      </c>
      <c r="B8379" t="str">
        <f>"9:02:49.509518"</f>
        <v>9:02:49.509518</v>
      </c>
      <c r="C8379">
        <v>-41</v>
      </c>
    </row>
    <row r="8380" spans="1:3" x14ac:dyDescent="0.25">
      <c r="A8380">
        <v>39</v>
      </c>
      <c r="B8380" t="str">
        <f>"9:02:49.510294"</f>
        <v>9:02:49.510294</v>
      </c>
      <c r="C8380">
        <v>-45</v>
      </c>
    </row>
    <row r="8381" spans="1:3" x14ac:dyDescent="0.25">
      <c r="A8381">
        <v>37</v>
      </c>
      <c r="B8381" t="str">
        <f>"9:02:49.865840"</f>
        <v>9:02:49.865840</v>
      </c>
      <c r="C8381">
        <v>-44</v>
      </c>
    </row>
    <row r="8382" spans="1:3" x14ac:dyDescent="0.25">
      <c r="A8382">
        <v>38</v>
      </c>
      <c r="B8382" t="str">
        <f>"9:02:49.866867"</f>
        <v>9:02:49.866867</v>
      </c>
      <c r="C8382">
        <v>-41</v>
      </c>
    </row>
    <row r="8383" spans="1:3" x14ac:dyDescent="0.25">
      <c r="A8383">
        <v>38</v>
      </c>
      <c r="B8383" t="str">
        <f>"9:02:49.867385"</f>
        <v>9:02:49.867385</v>
      </c>
      <c r="C8383">
        <v>-32</v>
      </c>
    </row>
    <row r="8384" spans="1:3" x14ac:dyDescent="0.25">
      <c r="A8384">
        <v>38</v>
      </c>
      <c r="B8384" t="str">
        <f>"9:02:49.867711"</f>
        <v>9:02:49.867711</v>
      </c>
      <c r="C8384">
        <v>-41</v>
      </c>
    </row>
    <row r="8385" spans="1:3" x14ac:dyDescent="0.25">
      <c r="A8385">
        <v>39</v>
      </c>
      <c r="B8385" t="str">
        <f>"9:02:49.868487"</f>
        <v>9:02:49.868487</v>
      </c>
      <c r="C8385">
        <v>-45</v>
      </c>
    </row>
    <row r="8386" spans="1:3" x14ac:dyDescent="0.25">
      <c r="A8386">
        <v>37</v>
      </c>
      <c r="B8386" t="str">
        <f>"9:02:50.224769"</f>
        <v>9:02:50.224769</v>
      </c>
      <c r="C8386">
        <v>-44</v>
      </c>
    </row>
    <row r="8387" spans="1:3" x14ac:dyDescent="0.25">
      <c r="A8387">
        <v>38</v>
      </c>
      <c r="B8387" t="str">
        <f>"9:02:50.225796"</f>
        <v>9:02:50.225796</v>
      </c>
      <c r="C8387">
        <v>-41</v>
      </c>
    </row>
    <row r="8388" spans="1:3" x14ac:dyDescent="0.25">
      <c r="A8388">
        <v>39</v>
      </c>
      <c r="B8388" t="str">
        <f>"9:02:50.226822"</f>
        <v>9:02:50.226822</v>
      </c>
      <c r="C8388">
        <v>-45</v>
      </c>
    </row>
    <row r="8389" spans="1:3" x14ac:dyDescent="0.25">
      <c r="A8389">
        <v>37</v>
      </c>
      <c r="B8389" t="str">
        <f>"9:02:50.582481"</f>
        <v>9:02:50.582481</v>
      </c>
      <c r="C8389">
        <v>-44</v>
      </c>
    </row>
    <row r="8390" spans="1:3" x14ac:dyDescent="0.25">
      <c r="A8390">
        <v>38</v>
      </c>
      <c r="B8390" t="str">
        <f>"9:02:50.583509"</f>
        <v>9:02:50.583509</v>
      </c>
      <c r="C8390">
        <v>-41</v>
      </c>
    </row>
    <row r="8391" spans="1:3" x14ac:dyDescent="0.25">
      <c r="A8391">
        <v>38</v>
      </c>
      <c r="B8391" t="str">
        <f>"9:02:50.584028"</f>
        <v>9:02:50.584028</v>
      </c>
      <c r="C8391">
        <v>-32</v>
      </c>
    </row>
    <row r="8392" spans="1:3" x14ac:dyDescent="0.25">
      <c r="A8392">
        <v>38</v>
      </c>
      <c r="B8392" t="str">
        <f>"9:02:50.584354"</f>
        <v>9:02:50.584354</v>
      </c>
      <c r="C8392">
        <v>-41</v>
      </c>
    </row>
    <row r="8393" spans="1:3" x14ac:dyDescent="0.25">
      <c r="A8393">
        <v>39</v>
      </c>
      <c r="B8393" t="str">
        <f>"9:02:50.585130"</f>
        <v>9:02:50.585130</v>
      </c>
      <c r="C8393">
        <v>-46</v>
      </c>
    </row>
    <row r="8394" spans="1:3" x14ac:dyDescent="0.25">
      <c r="A8394">
        <v>37</v>
      </c>
      <c r="B8394" t="str">
        <f>"9:02:50.935253"</f>
        <v>9:02:50.935253</v>
      </c>
      <c r="C8394">
        <v>-44</v>
      </c>
    </row>
    <row r="8395" spans="1:3" x14ac:dyDescent="0.25">
      <c r="A8395">
        <v>38</v>
      </c>
      <c r="B8395" t="str">
        <f>"9:02:50.936280"</f>
        <v>9:02:50.936280</v>
      </c>
      <c r="C8395">
        <v>-41</v>
      </c>
    </row>
    <row r="8396" spans="1:3" x14ac:dyDescent="0.25">
      <c r="A8396">
        <v>38</v>
      </c>
      <c r="B8396" t="str">
        <f>"9:02:50.936799"</f>
        <v>9:02:50.936799</v>
      </c>
      <c r="C8396">
        <v>-31</v>
      </c>
    </row>
    <row r="8397" spans="1:3" x14ac:dyDescent="0.25">
      <c r="A8397">
        <v>38</v>
      </c>
      <c r="B8397" t="str">
        <f>"9:02:50.937124"</f>
        <v>9:02:50.937124</v>
      </c>
      <c r="C8397">
        <v>-41</v>
      </c>
    </row>
    <row r="8398" spans="1:3" x14ac:dyDescent="0.25">
      <c r="A8398">
        <v>39</v>
      </c>
      <c r="B8398" t="str">
        <f>"9:02:50.937900"</f>
        <v>9:02:50.937900</v>
      </c>
      <c r="C8398">
        <v>-46</v>
      </c>
    </row>
    <row r="8399" spans="1:3" x14ac:dyDescent="0.25">
      <c r="A8399">
        <v>37</v>
      </c>
      <c r="B8399" t="str">
        <f>"9:02:51.293927"</f>
        <v>9:02:51.293927</v>
      </c>
      <c r="C8399">
        <v>-44</v>
      </c>
    </row>
    <row r="8400" spans="1:3" x14ac:dyDescent="0.25">
      <c r="A8400">
        <v>38</v>
      </c>
      <c r="B8400" t="str">
        <f>"9:02:51.294954"</f>
        <v>9:02:51.294954</v>
      </c>
      <c r="C8400">
        <v>-41</v>
      </c>
    </row>
    <row r="8401" spans="1:3" x14ac:dyDescent="0.25">
      <c r="A8401">
        <v>38</v>
      </c>
      <c r="B8401" t="str">
        <f>"9:02:51.295473"</f>
        <v>9:02:51.295473</v>
      </c>
      <c r="C8401">
        <v>-32</v>
      </c>
    </row>
    <row r="8402" spans="1:3" x14ac:dyDescent="0.25">
      <c r="A8402">
        <v>38</v>
      </c>
      <c r="B8402" t="str">
        <f>"9:02:51.295799"</f>
        <v>9:02:51.295799</v>
      </c>
      <c r="C8402">
        <v>-41</v>
      </c>
    </row>
    <row r="8403" spans="1:3" x14ac:dyDescent="0.25">
      <c r="A8403">
        <v>39</v>
      </c>
      <c r="B8403" t="str">
        <f>"9:02:51.296574"</f>
        <v>9:02:51.296574</v>
      </c>
      <c r="C8403">
        <v>-45</v>
      </c>
    </row>
    <row r="8404" spans="1:3" x14ac:dyDescent="0.25">
      <c r="A8404">
        <v>37</v>
      </c>
      <c r="B8404" t="str">
        <f>"9:02:51.653101"</f>
        <v>9:02:51.653101</v>
      </c>
      <c r="C8404">
        <v>-44</v>
      </c>
    </row>
    <row r="8405" spans="1:3" x14ac:dyDescent="0.25">
      <c r="A8405">
        <v>38</v>
      </c>
      <c r="B8405" t="str">
        <f>"9:02:51.654129"</f>
        <v>9:02:51.654129</v>
      </c>
      <c r="C8405">
        <v>-41</v>
      </c>
    </row>
    <row r="8406" spans="1:3" x14ac:dyDescent="0.25">
      <c r="A8406">
        <v>38</v>
      </c>
      <c r="B8406" t="str">
        <f>"9:02:51.654647"</f>
        <v>9:02:51.654647</v>
      </c>
      <c r="C8406">
        <v>-32</v>
      </c>
    </row>
    <row r="8407" spans="1:3" x14ac:dyDescent="0.25">
      <c r="A8407">
        <v>38</v>
      </c>
      <c r="B8407" t="str">
        <f>"9:02:51.654973"</f>
        <v>9:02:51.654973</v>
      </c>
      <c r="C8407">
        <v>-41</v>
      </c>
    </row>
    <row r="8408" spans="1:3" x14ac:dyDescent="0.25">
      <c r="A8408">
        <v>39</v>
      </c>
      <c r="B8408" t="str">
        <f>"9:02:51.655749"</f>
        <v>9:02:51.655749</v>
      </c>
      <c r="C8408">
        <v>-45</v>
      </c>
    </row>
    <row r="8409" spans="1:3" x14ac:dyDescent="0.25">
      <c r="A8409">
        <v>37</v>
      </c>
      <c r="B8409" t="str">
        <f>"9:02:52.012604"</f>
        <v>9:02:52.012604</v>
      </c>
      <c r="C8409">
        <v>-44</v>
      </c>
    </row>
    <row r="8410" spans="1:3" x14ac:dyDescent="0.25">
      <c r="A8410">
        <v>38</v>
      </c>
      <c r="B8410" t="str">
        <f>"9:02:52.013632"</f>
        <v>9:02:52.013632</v>
      </c>
      <c r="C8410">
        <v>-41</v>
      </c>
    </row>
    <row r="8411" spans="1:3" x14ac:dyDescent="0.25">
      <c r="A8411">
        <v>38</v>
      </c>
      <c r="B8411" t="str">
        <f>"9:02:52.014152"</f>
        <v>9:02:52.014152</v>
      </c>
      <c r="C8411">
        <v>-77</v>
      </c>
    </row>
    <row r="8412" spans="1:3" x14ac:dyDescent="0.25">
      <c r="A8412">
        <v>38</v>
      </c>
      <c r="B8412" t="str">
        <f>"9:02:52.014478"</f>
        <v>9:02:52.014478</v>
      </c>
      <c r="C8412">
        <v>-41</v>
      </c>
    </row>
    <row r="8413" spans="1:3" x14ac:dyDescent="0.25">
      <c r="A8413">
        <v>39</v>
      </c>
      <c r="B8413" t="str">
        <f>"9:02:52.015254"</f>
        <v>9:02:52.015254</v>
      </c>
      <c r="C8413">
        <v>-46</v>
      </c>
    </row>
    <row r="8414" spans="1:3" x14ac:dyDescent="0.25">
      <c r="A8414">
        <v>37</v>
      </c>
      <c r="B8414" t="str">
        <f>"9:02:52.367669"</f>
        <v>9:02:52.367669</v>
      </c>
      <c r="C8414">
        <v>-44</v>
      </c>
    </row>
    <row r="8415" spans="1:3" x14ac:dyDescent="0.25">
      <c r="A8415">
        <v>38</v>
      </c>
      <c r="B8415" t="str">
        <f>"9:02:52.368696"</f>
        <v>9:02:52.368696</v>
      </c>
      <c r="C8415">
        <v>-41</v>
      </c>
    </row>
    <row r="8416" spans="1:3" x14ac:dyDescent="0.25">
      <c r="A8416">
        <v>38</v>
      </c>
      <c r="B8416" t="str">
        <f>"9:02:52.369215"</f>
        <v>9:02:52.369215</v>
      </c>
      <c r="C8416">
        <v>-32</v>
      </c>
    </row>
    <row r="8417" spans="1:3" x14ac:dyDescent="0.25">
      <c r="A8417">
        <v>38</v>
      </c>
      <c r="B8417" t="str">
        <f>"9:02:52.369540"</f>
        <v>9:02:52.369540</v>
      </c>
      <c r="C8417">
        <v>-41</v>
      </c>
    </row>
    <row r="8418" spans="1:3" x14ac:dyDescent="0.25">
      <c r="A8418">
        <v>39</v>
      </c>
      <c r="B8418" t="str">
        <f>"9:02:52.370316"</f>
        <v>9:02:52.370316</v>
      </c>
      <c r="C8418">
        <v>-46</v>
      </c>
    </row>
    <row r="8419" spans="1:3" x14ac:dyDescent="0.25">
      <c r="A8419">
        <v>37</v>
      </c>
      <c r="B8419" t="str">
        <f>"9:02:52.720941"</f>
        <v>9:02:52.720941</v>
      </c>
      <c r="C8419">
        <v>-44</v>
      </c>
    </row>
    <row r="8420" spans="1:3" x14ac:dyDescent="0.25">
      <c r="A8420">
        <v>38</v>
      </c>
      <c r="B8420" t="str">
        <f>"9:02:52.721968"</f>
        <v>9:02:52.721968</v>
      </c>
      <c r="C8420">
        <v>-41</v>
      </c>
    </row>
    <row r="8421" spans="1:3" x14ac:dyDescent="0.25">
      <c r="A8421">
        <v>38</v>
      </c>
      <c r="B8421" t="str">
        <f>"9:02:52.722487"</f>
        <v>9:02:52.722487</v>
      </c>
      <c r="C8421">
        <v>-32</v>
      </c>
    </row>
    <row r="8422" spans="1:3" x14ac:dyDescent="0.25">
      <c r="A8422">
        <v>38</v>
      </c>
      <c r="B8422" t="str">
        <f>"9:02:52.722812"</f>
        <v>9:02:52.722812</v>
      </c>
      <c r="C8422">
        <v>-41</v>
      </c>
    </row>
    <row r="8423" spans="1:3" x14ac:dyDescent="0.25">
      <c r="A8423">
        <v>39</v>
      </c>
      <c r="B8423" t="str">
        <f>"9:02:52.723588"</f>
        <v>9:02:52.723588</v>
      </c>
      <c r="C8423">
        <v>-46</v>
      </c>
    </row>
    <row r="8424" spans="1:3" x14ac:dyDescent="0.25">
      <c r="A8424">
        <v>37</v>
      </c>
      <c r="B8424" t="str">
        <f>"9:02:53.080891"</f>
        <v>9:02:53.080891</v>
      </c>
      <c r="C8424">
        <v>-44</v>
      </c>
    </row>
    <row r="8425" spans="1:3" x14ac:dyDescent="0.25">
      <c r="A8425">
        <v>38</v>
      </c>
      <c r="B8425" t="str">
        <f>"9:02:53.081918"</f>
        <v>9:02:53.081918</v>
      </c>
      <c r="C8425">
        <v>-41</v>
      </c>
    </row>
    <row r="8426" spans="1:3" x14ac:dyDescent="0.25">
      <c r="A8426">
        <v>38</v>
      </c>
      <c r="B8426" t="str">
        <f>"9:02:53.082436"</f>
        <v>9:02:53.082436</v>
      </c>
      <c r="C8426">
        <v>-32</v>
      </c>
    </row>
    <row r="8427" spans="1:3" x14ac:dyDescent="0.25">
      <c r="A8427">
        <v>38</v>
      </c>
      <c r="B8427" t="str">
        <f>"9:02:53.082762"</f>
        <v>9:02:53.082762</v>
      </c>
      <c r="C8427">
        <v>-41</v>
      </c>
    </row>
    <row r="8428" spans="1:3" x14ac:dyDescent="0.25">
      <c r="A8428">
        <v>39</v>
      </c>
      <c r="B8428" t="str">
        <f>"9:02:53.083538"</f>
        <v>9:02:53.083538</v>
      </c>
      <c r="C8428">
        <v>-46</v>
      </c>
    </row>
    <row r="8429" spans="1:3" x14ac:dyDescent="0.25">
      <c r="A8429">
        <v>39</v>
      </c>
      <c r="B8429" t="str">
        <f>"9:02:53.084383"</f>
        <v>9:02:53.084383</v>
      </c>
      <c r="C8429">
        <v>-45</v>
      </c>
    </row>
    <row r="8430" spans="1:3" x14ac:dyDescent="0.25">
      <c r="A8430">
        <v>37</v>
      </c>
      <c r="B8430" t="str">
        <f>"9:02:53.437059"</f>
        <v>9:02:53.437059</v>
      </c>
      <c r="C8430">
        <v>-45</v>
      </c>
    </row>
    <row r="8431" spans="1:3" x14ac:dyDescent="0.25">
      <c r="A8431">
        <v>38</v>
      </c>
      <c r="B8431" t="str">
        <f>"9:02:53.438086"</f>
        <v>9:02:53.438086</v>
      </c>
      <c r="C8431">
        <v>-41</v>
      </c>
    </row>
    <row r="8432" spans="1:3" x14ac:dyDescent="0.25">
      <c r="A8432">
        <v>39</v>
      </c>
      <c r="B8432" t="str">
        <f>"9:02:53.439112"</f>
        <v>9:02:53.439112</v>
      </c>
      <c r="C8432">
        <v>-46</v>
      </c>
    </row>
    <row r="8433" spans="1:3" x14ac:dyDescent="0.25">
      <c r="A8433">
        <v>37</v>
      </c>
      <c r="B8433" t="str">
        <f>"9:02:53.795293"</f>
        <v>9:02:53.795293</v>
      </c>
      <c r="C8433">
        <v>-45</v>
      </c>
    </row>
    <row r="8434" spans="1:3" x14ac:dyDescent="0.25">
      <c r="A8434">
        <v>38</v>
      </c>
      <c r="B8434" t="str">
        <f>"9:02:53.796321"</f>
        <v>9:02:53.796321</v>
      </c>
      <c r="C8434">
        <v>-41</v>
      </c>
    </row>
    <row r="8435" spans="1:3" x14ac:dyDescent="0.25">
      <c r="A8435">
        <v>38</v>
      </c>
      <c r="B8435" t="str">
        <f>"9:02:53.796839"</f>
        <v>9:02:53.796839</v>
      </c>
      <c r="C8435">
        <v>-32</v>
      </c>
    </row>
    <row r="8436" spans="1:3" x14ac:dyDescent="0.25">
      <c r="A8436">
        <v>38</v>
      </c>
      <c r="B8436" t="str">
        <f>"9:02:53.797165"</f>
        <v>9:02:53.797165</v>
      </c>
      <c r="C8436">
        <v>-41</v>
      </c>
    </row>
    <row r="8437" spans="1:3" x14ac:dyDescent="0.25">
      <c r="A8437">
        <v>39</v>
      </c>
      <c r="B8437" t="str">
        <f>"9:02:53.797941"</f>
        <v>9:02:53.797941</v>
      </c>
      <c r="C8437">
        <v>-46</v>
      </c>
    </row>
    <row r="8438" spans="1:3" x14ac:dyDescent="0.25">
      <c r="A8438">
        <v>39</v>
      </c>
      <c r="B8438" t="str">
        <f>"9:02:53.798787"</f>
        <v>9:02:53.798787</v>
      </c>
      <c r="C8438">
        <v>-45</v>
      </c>
    </row>
    <row r="8439" spans="1:3" x14ac:dyDescent="0.25">
      <c r="A8439">
        <v>37</v>
      </c>
      <c r="B8439" t="str">
        <f>"9:02:54.150618"</f>
        <v>9:02:54.150618</v>
      </c>
      <c r="C8439">
        <v>-45</v>
      </c>
    </row>
    <row r="8440" spans="1:3" x14ac:dyDescent="0.25">
      <c r="A8440">
        <v>38</v>
      </c>
      <c r="B8440" t="str">
        <f>"9:02:54.151645"</f>
        <v>9:02:54.151645</v>
      </c>
      <c r="C8440">
        <v>-41</v>
      </c>
    </row>
    <row r="8441" spans="1:3" x14ac:dyDescent="0.25">
      <c r="A8441">
        <v>38</v>
      </c>
      <c r="B8441" t="str">
        <f>"9:02:54.152163"</f>
        <v>9:02:54.152163</v>
      </c>
      <c r="C8441">
        <v>-32</v>
      </c>
    </row>
    <row r="8442" spans="1:3" x14ac:dyDescent="0.25">
      <c r="A8442">
        <v>38</v>
      </c>
      <c r="B8442" t="str">
        <f>"9:02:54.152489"</f>
        <v>9:02:54.152489</v>
      </c>
      <c r="C8442">
        <v>-41</v>
      </c>
    </row>
    <row r="8443" spans="1:3" x14ac:dyDescent="0.25">
      <c r="A8443">
        <v>39</v>
      </c>
      <c r="B8443" t="str">
        <f>"9:02:54.153265"</f>
        <v>9:02:54.153265</v>
      </c>
      <c r="C8443">
        <v>-46</v>
      </c>
    </row>
    <row r="8444" spans="1:3" x14ac:dyDescent="0.25">
      <c r="A8444">
        <v>37</v>
      </c>
      <c r="B8444" t="str">
        <f>"9:02:54.506764"</f>
        <v>9:02:54.506764</v>
      </c>
      <c r="C8444">
        <v>-45</v>
      </c>
    </row>
    <row r="8445" spans="1:3" x14ac:dyDescent="0.25">
      <c r="A8445">
        <v>38</v>
      </c>
      <c r="B8445" t="str">
        <f>"9:02:54.507792"</f>
        <v>9:02:54.507792</v>
      </c>
      <c r="C8445">
        <v>-41</v>
      </c>
    </row>
    <row r="8446" spans="1:3" x14ac:dyDescent="0.25">
      <c r="A8446">
        <v>39</v>
      </c>
      <c r="B8446" t="str">
        <f>"9:02:54.508818"</f>
        <v>9:02:54.508818</v>
      </c>
      <c r="C8446">
        <v>-46</v>
      </c>
    </row>
    <row r="8447" spans="1:3" x14ac:dyDescent="0.25">
      <c r="A8447">
        <v>39</v>
      </c>
      <c r="B8447" t="str">
        <f>"9:02:54.509336"</f>
        <v>9:02:54.509336</v>
      </c>
      <c r="C8447">
        <v>-31</v>
      </c>
    </row>
    <row r="8448" spans="1:3" x14ac:dyDescent="0.25">
      <c r="A8448">
        <v>39</v>
      </c>
      <c r="B8448" t="str">
        <f>"9:02:54.509662"</f>
        <v>9:02:54.509662</v>
      </c>
      <c r="C8448">
        <v>-45</v>
      </c>
    </row>
    <row r="8449" spans="1:3" x14ac:dyDescent="0.25">
      <c r="A8449">
        <v>37</v>
      </c>
      <c r="B8449" t="str">
        <f>"9:02:54.863900"</f>
        <v>9:02:54.863900</v>
      </c>
      <c r="C8449">
        <v>-44</v>
      </c>
    </row>
    <row r="8450" spans="1:3" x14ac:dyDescent="0.25">
      <c r="A8450">
        <v>38</v>
      </c>
      <c r="B8450" t="str">
        <f>"9:02:54.864928"</f>
        <v>9:02:54.864928</v>
      </c>
      <c r="C8450">
        <v>-41</v>
      </c>
    </row>
    <row r="8451" spans="1:3" x14ac:dyDescent="0.25">
      <c r="A8451">
        <v>39</v>
      </c>
      <c r="B8451" t="str">
        <f>"9:02:54.865954"</f>
        <v>9:02:54.865954</v>
      </c>
      <c r="C8451">
        <v>-46</v>
      </c>
    </row>
    <row r="8452" spans="1:3" x14ac:dyDescent="0.25">
      <c r="A8452">
        <v>39</v>
      </c>
      <c r="B8452" t="str">
        <f>"9:02:54.866472"</f>
        <v>9:02:54.866472</v>
      </c>
      <c r="C8452">
        <v>-31</v>
      </c>
    </row>
    <row r="8453" spans="1:3" x14ac:dyDescent="0.25">
      <c r="A8453">
        <v>39</v>
      </c>
      <c r="B8453" t="str">
        <f>"9:02:54.866798"</f>
        <v>9:02:54.866798</v>
      </c>
      <c r="C8453">
        <v>-45</v>
      </c>
    </row>
    <row r="8454" spans="1:3" x14ac:dyDescent="0.25">
      <c r="A8454">
        <v>37</v>
      </c>
      <c r="B8454" t="str">
        <f>"9:02:55.223368"</f>
        <v>9:02:55.223368</v>
      </c>
      <c r="C8454">
        <v>-44</v>
      </c>
    </row>
    <row r="8455" spans="1:3" x14ac:dyDescent="0.25">
      <c r="A8455">
        <v>37</v>
      </c>
      <c r="B8455" t="str">
        <f>"9:02:55.224214"</f>
        <v>9:02:55.224214</v>
      </c>
      <c r="C8455">
        <v>-45</v>
      </c>
    </row>
    <row r="8456" spans="1:3" x14ac:dyDescent="0.25">
      <c r="A8456">
        <v>38</v>
      </c>
      <c r="B8456" t="str">
        <f>"9:02:55.224990"</f>
        <v>9:02:55.224990</v>
      </c>
      <c r="C8456">
        <v>-41</v>
      </c>
    </row>
    <row r="8457" spans="1:3" x14ac:dyDescent="0.25">
      <c r="A8457">
        <v>39</v>
      </c>
      <c r="B8457" t="str">
        <f>"9:02:55.226016"</f>
        <v>9:02:55.226016</v>
      </c>
      <c r="C8457">
        <v>-46</v>
      </c>
    </row>
    <row r="8458" spans="1:3" x14ac:dyDescent="0.25">
      <c r="A8458">
        <v>39</v>
      </c>
      <c r="B8458" t="str">
        <f>"9:02:55.226534"</f>
        <v>9:02:55.226534</v>
      </c>
      <c r="C8458">
        <v>-31</v>
      </c>
    </row>
    <row r="8459" spans="1:3" x14ac:dyDescent="0.25">
      <c r="A8459">
        <v>39</v>
      </c>
      <c r="B8459" t="str">
        <f>"9:02:55.226860"</f>
        <v>9:02:55.226860</v>
      </c>
      <c r="C8459">
        <v>-45</v>
      </c>
    </row>
    <row r="8460" spans="1:3" x14ac:dyDescent="0.25">
      <c r="A8460">
        <v>37</v>
      </c>
      <c r="B8460" t="str">
        <f>"9:02:55.583345"</f>
        <v>9:02:55.583345</v>
      </c>
      <c r="C8460">
        <v>-44</v>
      </c>
    </row>
    <row r="8461" spans="1:3" x14ac:dyDescent="0.25">
      <c r="A8461">
        <v>38</v>
      </c>
      <c r="B8461" t="str">
        <f>"9:02:55.584372"</f>
        <v>9:02:55.584372</v>
      </c>
      <c r="C8461">
        <v>-41</v>
      </c>
    </row>
    <row r="8462" spans="1:3" x14ac:dyDescent="0.25">
      <c r="A8462">
        <v>39</v>
      </c>
      <c r="B8462" t="str">
        <f>"9:02:55.585398"</f>
        <v>9:02:55.585398</v>
      </c>
      <c r="C8462">
        <v>-46</v>
      </c>
    </row>
    <row r="8463" spans="1:3" x14ac:dyDescent="0.25">
      <c r="A8463">
        <v>39</v>
      </c>
      <c r="B8463" t="str">
        <f>"9:02:55.585917"</f>
        <v>9:02:55.585917</v>
      </c>
      <c r="C8463">
        <v>-31</v>
      </c>
    </row>
    <row r="8464" spans="1:3" x14ac:dyDescent="0.25">
      <c r="A8464">
        <v>39</v>
      </c>
      <c r="B8464" t="str">
        <f>"9:02:55.586242"</f>
        <v>9:02:55.586242</v>
      </c>
      <c r="C8464">
        <v>-45</v>
      </c>
    </row>
    <row r="8465" spans="1:3" x14ac:dyDescent="0.25">
      <c r="A8465">
        <v>37</v>
      </c>
      <c r="B8465" t="str">
        <f>"9:02:55.938226"</f>
        <v>9:02:55.938226</v>
      </c>
      <c r="C8465">
        <v>-44</v>
      </c>
    </row>
    <row r="8466" spans="1:3" x14ac:dyDescent="0.25">
      <c r="A8466">
        <v>38</v>
      </c>
      <c r="B8466" t="str">
        <f>"9:02:55.939254"</f>
        <v>9:02:55.939254</v>
      </c>
      <c r="C8466">
        <v>-41</v>
      </c>
    </row>
    <row r="8467" spans="1:3" x14ac:dyDescent="0.25">
      <c r="A8467">
        <v>39</v>
      </c>
      <c r="B8467" t="str">
        <f>"9:02:55.940280"</f>
        <v>9:02:55.940280</v>
      </c>
      <c r="C8467">
        <v>-46</v>
      </c>
    </row>
    <row r="8468" spans="1:3" x14ac:dyDescent="0.25">
      <c r="A8468">
        <v>39</v>
      </c>
      <c r="B8468" t="str">
        <f>"9:02:55.940798"</f>
        <v>9:02:55.940798</v>
      </c>
      <c r="C8468">
        <v>-31</v>
      </c>
    </row>
    <row r="8469" spans="1:3" x14ac:dyDescent="0.25">
      <c r="A8469">
        <v>39</v>
      </c>
      <c r="B8469" t="str">
        <f>"9:02:55.941124"</f>
        <v>9:02:55.941124</v>
      </c>
      <c r="C8469">
        <v>-45</v>
      </c>
    </row>
    <row r="8470" spans="1:3" x14ac:dyDescent="0.25">
      <c r="A8470">
        <v>37</v>
      </c>
      <c r="B8470" t="str">
        <f>"9:02:56.293555"</f>
        <v>9:02:56.293555</v>
      </c>
      <c r="C8470">
        <v>-44</v>
      </c>
    </row>
    <row r="8471" spans="1:3" x14ac:dyDescent="0.25">
      <c r="A8471">
        <v>38</v>
      </c>
      <c r="B8471" t="str">
        <f>"9:02:56.294583"</f>
        <v>9:02:56.294583</v>
      </c>
      <c r="C8471">
        <v>-41</v>
      </c>
    </row>
    <row r="8472" spans="1:3" x14ac:dyDescent="0.25">
      <c r="A8472">
        <v>39</v>
      </c>
      <c r="B8472" t="str">
        <f>"9:02:56.295609"</f>
        <v>9:02:56.295609</v>
      </c>
      <c r="C8472">
        <v>-45</v>
      </c>
    </row>
    <row r="8473" spans="1:3" x14ac:dyDescent="0.25">
      <c r="A8473">
        <v>39</v>
      </c>
      <c r="B8473" t="str">
        <f>"9:02:56.296127"</f>
        <v>9:02:56.296127</v>
      </c>
      <c r="C8473">
        <v>-31</v>
      </c>
    </row>
    <row r="8474" spans="1:3" x14ac:dyDescent="0.25">
      <c r="A8474">
        <v>39</v>
      </c>
      <c r="B8474" t="str">
        <f>"9:02:56.296453"</f>
        <v>9:02:56.296453</v>
      </c>
      <c r="C8474">
        <v>-45</v>
      </c>
    </row>
    <row r="8475" spans="1:3" x14ac:dyDescent="0.25">
      <c r="A8475">
        <v>37</v>
      </c>
      <c r="B8475" t="str">
        <f>"9:02:56.644589"</f>
        <v>9:02:56.644589</v>
      </c>
      <c r="C8475">
        <v>-44</v>
      </c>
    </row>
    <row r="8476" spans="1:3" x14ac:dyDescent="0.25">
      <c r="A8476">
        <v>38</v>
      </c>
      <c r="B8476" t="str">
        <f>"9:02:56.645616"</f>
        <v>9:02:56.645616</v>
      </c>
      <c r="C8476">
        <v>-41</v>
      </c>
    </row>
    <row r="8477" spans="1:3" x14ac:dyDescent="0.25">
      <c r="A8477">
        <v>37</v>
      </c>
      <c r="B8477" t="str">
        <f>"9:02:57.002296"</f>
        <v>9:02:57.002296</v>
      </c>
      <c r="C8477">
        <v>-44</v>
      </c>
    </row>
    <row r="8478" spans="1:3" x14ac:dyDescent="0.25">
      <c r="A8478">
        <v>38</v>
      </c>
      <c r="B8478" t="str">
        <f>"9:02:57.003323"</f>
        <v>9:02:57.003323</v>
      </c>
      <c r="C8478">
        <v>-41</v>
      </c>
    </row>
    <row r="8479" spans="1:3" x14ac:dyDescent="0.25">
      <c r="A8479">
        <v>39</v>
      </c>
      <c r="B8479" t="str">
        <f>"9:02:57.004349"</f>
        <v>9:02:57.004349</v>
      </c>
      <c r="C8479">
        <v>-45</v>
      </c>
    </row>
    <row r="8480" spans="1:3" x14ac:dyDescent="0.25">
      <c r="A8480">
        <v>39</v>
      </c>
      <c r="B8480" t="str">
        <f>"9:02:57.004868"</f>
        <v>9:02:57.004868</v>
      </c>
      <c r="C8480">
        <v>-31</v>
      </c>
    </row>
    <row r="8481" spans="1:3" x14ac:dyDescent="0.25">
      <c r="A8481">
        <v>39</v>
      </c>
      <c r="B8481" t="str">
        <f>"9:02:57.005194"</f>
        <v>9:02:57.005194</v>
      </c>
      <c r="C8481">
        <v>-45</v>
      </c>
    </row>
    <row r="8482" spans="1:3" x14ac:dyDescent="0.25">
      <c r="A8482">
        <v>37</v>
      </c>
      <c r="B8482" t="str">
        <f>"9:02:57.358665"</f>
        <v>9:02:57.358665</v>
      </c>
      <c r="C8482">
        <v>-44</v>
      </c>
    </row>
    <row r="8483" spans="1:3" x14ac:dyDescent="0.25">
      <c r="A8483">
        <v>38</v>
      </c>
      <c r="B8483" t="str">
        <f>"9:02:57.359692"</f>
        <v>9:02:57.359692</v>
      </c>
      <c r="C8483">
        <v>-41</v>
      </c>
    </row>
    <row r="8484" spans="1:3" x14ac:dyDescent="0.25">
      <c r="A8484">
        <v>39</v>
      </c>
      <c r="B8484" t="str">
        <f>"9:02:57.360718"</f>
        <v>9:02:57.360718</v>
      </c>
      <c r="C8484">
        <v>-46</v>
      </c>
    </row>
    <row r="8485" spans="1:3" x14ac:dyDescent="0.25">
      <c r="A8485">
        <v>37</v>
      </c>
      <c r="B8485" t="str">
        <f>"9:02:57.712791"</f>
        <v>9:02:57.712791</v>
      </c>
      <c r="C8485">
        <v>-44</v>
      </c>
    </row>
    <row r="8486" spans="1:3" x14ac:dyDescent="0.25">
      <c r="A8486">
        <v>38</v>
      </c>
      <c r="B8486" t="str">
        <f>"9:02:57.713818"</f>
        <v>9:02:57.713818</v>
      </c>
      <c r="C8486">
        <v>-41</v>
      </c>
    </row>
    <row r="8487" spans="1:3" x14ac:dyDescent="0.25">
      <c r="A8487">
        <v>39</v>
      </c>
      <c r="B8487" t="str">
        <f>"9:02:57.714844"</f>
        <v>9:02:57.714844</v>
      </c>
      <c r="C8487">
        <v>-46</v>
      </c>
    </row>
    <row r="8488" spans="1:3" x14ac:dyDescent="0.25">
      <c r="A8488">
        <v>39</v>
      </c>
      <c r="B8488" t="str">
        <f>"9:02:57.715362"</f>
        <v>9:02:57.715362</v>
      </c>
      <c r="C8488">
        <v>-31</v>
      </c>
    </row>
    <row r="8489" spans="1:3" x14ac:dyDescent="0.25">
      <c r="A8489">
        <v>39</v>
      </c>
      <c r="B8489" t="str">
        <f>"9:02:57.715688"</f>
        <v>9:02:57.715688</v>
      </c>
      <c r="C8489">
        <v>-45</v>
      </c>
    </row>
    <row r="8490" spans="1:3" x14ac:dyDescent="0.25">
      <c r="A8490">
        <v>37</v>
      </c>
      <c r="B8490" t="str">
        <f>"9:02:58.066662"</f>
        <v>9:02:58.066662</v>
      </c>
      <c r="C8490">
        <v>-44</v>
      </c>
    </row>
    <row r="8491" spans="1:3" x14ac:dyDescent="0.25">
      <c r="A8491">
        <v>38</v>
      </c>
      <c r="B8491" t="str">
        <f>"9:02:58.067689"</f>
        <v>9:02:58.067689</v>
      </c>
      <c r="C8491">
        <v>-41</v>
      </c>
    </row>
    <row r="8492" spans="1:3" x14ac:dyDescent="0.25">
      <c r="A8492">
        <v>39</v>
      </c>
      <c r="B8492" t="str">
        <f>"9:02:58.068715"</f>
        <v>9:02:58.068715</v>
      </c>
      <c r="C8492">
        <v>-46</v>
      </c>
    </row>
    <row r="8493" spans="1:3" x14ac:dyDescent="0.25">
      <c r="A8493">
        <v>39</v>
      </c>
      <c r="B8493" t="str">
        <f>"9:02:58.069233"</f>
        <v>9:02:58.069233</v>
      </c>
      <c r="C8493">
        <v>-31</v>
      </c>
    </row>
    <row r="8494" spans="1:3" x14ac:dyDescent="0.25">
      <c r="A8494">
        <v>39</v>
      </c>
      <c r="B8494" t="str">
        <f>"9:02:58.069559"</f>
        <v>9:02:58.069559</v>
      </c>
      <c r="C8494">
        <v>-45</v>
      </c>
    </row>
    <row r="8495" spans="1:3" x14ac:dyDescent="0.25">
      <c r="A8495">
        <v>37</v>
      </c>
      <c r="B8495" t="str">
        <f>"9:02:58.416941"</f>
        <v>9:02:58.416941</v>
      </c>
      <c r="C8495">
        <v>-44</v>
      </c>
    </row>
    <row r="8496" spans="1:3" x14ac:dyDescent="0.25">
      <c r="A8496">
        <v>38</v>
      </c>
      <c r="B8496" t="str">
        <f>"9:02:58.417968"</f>
        <v>9:02:58.417968</v>
      </c>
      <c r="C8496">
        <v>-41</v>
      </c>
    </row>
    <row r="8497" spans="1:3" x14ac:dyDescent="0.25">
      <c r="A8497">
        <v>39</v>
      </c>
      <c r="B8497" t="str">
        <f>"9:02:58.418994"</f>
        <v>9:02:58.418994</v>
      </c>
      <c r="C8497">
        <v>-46</v>
      </c>
    </row>
    <row r="8498" spans="1:3" x14ac:dyDescent="0.25">
      <c r="A8498">
        <v>37</v>
      </c>
      <c r="B8498" t="str">
        <f>"9:02:58.771583"</f>
        <v>9:02:58.771583</v>
      </c>
      <c r="C8498">
        <v>-44</v>
      </c>
    </row>
    <row r="8499" spans="1:3" x14ac:dyDescent="0.25">
      <c r="A8499">
        <v>38</v>
      </c>
      <c r="B8499" t="str">
        <f>"9:02:58.772610"</f>
        <v>9:02:58.772610</v>
      </c>
      <c r="C8499">
        <v>-41</v>
      </c>
    </row>
    <row r="8500" spans="1:3" x14ac:dyDescent="0.25">
      <c r="A8500">
        <v>39</v>
      </c>
      <c r="B8500" t="str">
        <f>"9:02:58.773636"</f>
        <v>9:02:58.773636</v>
      </c>
      <c r="C8500">
        <v>-46</v>
      </c>
    </row>
    <row r="8501" spans="1:3" x14ac:dyDescent="0.25">
      <c r="A8501">
        <v>39</v>
      </c>
      <c r="B8501" t="str">
        <f>"9:02:58.774154"</f>
        <v>9:02:58.774154</v>
      </c>
      <c r="C8501">
        <v>-31</v>
      </c>
    </row>
    <row r="8502" spans="1:3" x14ac:dyDescent="0.25">
      <c r="A8502">
        <v>39</v>
      </c>
      <c r="B8502" t="str">
        <f>"9:02:58.774480"</f>
        <v>9:02:58.774480</v>
      </c>
      <c r="C8502">
        <v>-45</v>
      </c>
    </row>
    <row r="8503" spans="1:3" x14ac:dyDescent="0.25">
      <c r="A8503">
        <v>37</v>
      </c>
      <c r="B8503" t="str">
        <f>"9:02:59.124153"</f>
        <v>9:02:59.124153</v>
      </c>
      <c r="C8503">
        <v>-44</v>
      </c>
    </row>
    <row r="8504" spans="1:3" x14ac:dyDescent="0.25">
      <c r="A8504">
        <v>38</v>
      </c>
      <c r="B8504" t="str">
        <f>"9:02:59.125181"</f>
        <v>9:02:59.125181</v>
      </c>
      <c r="C8504">
        <v>-41</v>
      </c>
    </row>
    <row r="8505" spans="1:3" x14ac:dyDescent="0.25">
      <c r="A8505">
        <v>39</v>
      </c>
      <c r="B8505" t="str">
        <f>"9:02:59.126207"</f>
        <v>9:02:59.126207</v>
      </c>
      <c r="C8505">
        <v>-46</v>
      </c>
    </row>
    <row r="8506" spans="1:3" x14ac:dyDescent="0.25">
      <c r="A8506">
        <v>39</v>
      </c>
      <c r="B8506" t="str">
        <f>"9:02:59.126725"</f>
        <v>9:02:59.126725</v>
      </c>
      <c r="C8506">
        <v>-31</v>
      </c>
    </row>
    <row r="8507" spans="1:3" x14ac:dyDescent="0.25">
      <c r="A8507">
        <v>39</v>
      </c>
      <c r="B8507" t="str">
        <f>"9:02:59.127051"</f>
        <v>9:02:59.127051</v>
      </c>
      <c r="C8507">
        <v>-45</v>
      </c>
    </row>
    <row r="8508" spans="1:3" x14ac:dyDescent="0.25">
      <c r="A8508">
        <v>37</v>
      </c>
      <c r="B8508" t="str">
        <f>"9:02:59.480758"</f>
        <v>9:02:59.480758</v>
      </c>
      <c r="C8508">
        <v>-44</v>
      </c>
    </row>
    <row r="8509" spans="1:3" x14ac:dyDescent="0.25">
      <c r="A8509">
        <v>37</v>
      </c>
      <c r="B8509" t="str">
        <f>"9:02:59.481277"</f>
        <v>9:02:59.481277</v>
      </c>
      <c r="C8509">
        <v>-40</v>
      </c>
    </row>
    <row r="8510" spans="1:3" x14ac:dyDescent="0.25">
      <c r="A8510">
        <v>37</v>
      </c>
      <c r="B8510" t="str">
        <f>"9:02:59.481603"</f>
        <v>9:02:59.481603</v>
      </c>
      <c r="C8510">
        <v>-44</v>
      </c>
    </row>
    <row r="8511" spans="1:3" x14ac:dyDescent="0.25">
      <c r="A8511">
        <v>38</v>
      </c>
      <c r="B8511" t="str">
        <f>"9:02:59.482380"</f>
        <v>9:02:59.482380</v>
      </c>
      <c r="C8511">
        <v>-41</v>
      </c>
    </row>
    <row r="8512" spans="1:3" x14ac:dyDescent="0.25">
      <c r="A8512">
        <v>39</v>
      </c>
      <c r="B8512" t="str">
        <f>"9:02:59.483406"</f>
        <v>9:02:59.483406</v>
      </c>
      <c r="C8512">
        <v>-46</v>
      </c>
    </row>
    <row r="8513" spans="1:3" x14ac:dyDescent="0.25">
      <c r="A8513">
        <v>37</v>
      </c>
      <c r="B8513" t="str">
        <f>"9:02:59.834286"</f>
        <v>9:02:59.834286</v>
      </c>
      <c r="C8513">
        <v>-44</v>
      </c>
    </row>
    <row r="8514" spans="1:3" x14ac:dyDescent="0.25">
      <c r="A8514">
        <v>37</v>
      </c>
      <c r="B8514" t="str">
        <f>"9:02:59.834804"</f>
        <v>9:02:59.834804</v>
      </c>
      <c r="C8514">
        <v>-40</v>
      </c>
    </row>
    <row r="8515" spans="1:3" x14ac:dyDescent="0.25">
      <c r="A8515">
        <v>37</v>
      </c>
      <c r="B8515" t="str">
        <f>"9:02:59.835131"</f>
        <v>9:02:59.835131</v>
      </c>
      <c r="C8515">
        <v>-44</v>
      </c>
    </row>
    <row r="8516" spans="1:3" x14ac:dyDescent="0.25">
      <c r="A8516">
        <v>38</v>
      </c>
      <c r="B8516" t="str">
        <f>"9:02:59.835907"</f>
        <v>9:02:59.835907</v>
      </c>
      <c r="C8516">
        <v>-41</v>
      </c>
    </row>
    <row r="8517" spans="1:3" x14ac:dyDescent="0.25">
      <c r="A8517">
        <v>39</v>
      </c>
      <c r="B8517" t="str">
        <f>"9:02:59.836933"</f>
        <v>9:02:59.836933</v>
      </c>
      <c r="C8517">
        <v>-46</v>
      </c>
    </row>
    <row r="8518" spans="1:3" x14ac:dyDescent="0.25">
      <c r="A8518">
        <v>37</v>
      </c>
      <c r="B8518" t="str">
        <f>"9:03:00.193010"</f>
        <v>9:03:00.193010</v>
      </c>
      <c r="C8518">
        <v>-44</v>
      </c>
    </row>
    <row r="8519" spans="1:3" x14ac:dyDescent="0.25">
      <c r="A8519">
        <v>37</v>
      </c>
      <c r="B8519" t="str">
        <f>"9:03:00.193528"</f>
        <v>9:03:00.193528</v>
      </c>
      <c r="C8519">
        <v>-40</v>
      </c>
    </row>
    <row r="8520" spans="1:3" x14ac:dyDescent="0.25">
      <c r="A8520">
        <v>37</v>
      </c>
      <c r="B8520" t="str">
        <f>"9:03:00.193854"</f>
        <v>9:03:00.193854</v>
      </c>
      <c r="C8520">
        <v>-44</v>
      </c>
    </row>
    <row r="8521" spans="1:3" x14ac:dyDescent="0.25">
      <c r="A8521">
        <v>38</v>
      </c>
      <c r="B8521" t="str">
        <f>"9:03:00.194631"</f>
        <v>9:03:00.194631</v>
      </c>
      <c r="C8521">
        <v>-41</v>
      </c>
    </row>
    <row r="8522" spans="1:3" x14ac:dyDescent="0.25">
      <c r="A8522">
        <v>39</v>
      </c>
      <c r="B8522" t="str">
        <f>"9:03:00.195657"</f>
        <v>9:03:00.195657</v>
      </c>
      <c r="C8522">
        <v>-46</v>
      </c>
    </row>
    <row r="8523" spans="1:3" x14ac:dyDescent="0.25">
      <c r="A8523">
        <v>37</v>
      </c>
      <c r="B8523" t="str">
        <f>"9:03:00.548424"</f>
        <v>9:03:00.548424</v>
      </c>
      <c r="C8523">
        <v>-44</v>
      </c>
    </row>
    <row r="8524" spans="1:3" x14ac:dyDescent="0.25">
      <c r="A8524">
        <v>37</v>
      </c>
      <c r="B8524" t="str">
        <f>"9:03:00.548942"</f>
        <v>9:03:00.548942</v>
      </c>
      <c r="C8524">
        <v>-40</v>
      </c>
    </row>
    <row r="8525" spans="1:3" x14ac:dyDescent="0.25">
      <c r="A8525">
        <v>37</v>
      </c>
      <c r="B8525" t="str">
        <f>"9:03:00.549269"</f>
        <v>9:03:00.549269</v>
      </c>
      <c r="C8525">
        <v>-44</v>
      </c>
    </row>
    <row r="8526" spans="1:3" x14ac:dyDescent="0.25">
      <c r="A8526">
        <v>38</v>
      </c>
      <c r="B8526" t="str">
        <f>"9:03:00.550045"</f>
        <v>9:03:00.550045</v>
      </c>
      <c r="C8526">
        <v>-41</v>
      </c>
    </row>
    <row r="8527" spans="1:3" x14ac:dyDescent="0.25">
      <c r="A8527">
        <v>39</v>
      </c>
      <c r="B8527" t="str">
        <f>"9:03:00.551071"</f>
        <v>9:03:00.551071</v>
      </c>
      <c r="C8527">
        <v>-46</v>
      </c>
    </row>
    <row r="8528" spans="1:3" x14ac:dyDescent="0.25">
      <c r="A8528">
        <v>37</v>
      </c>
      <c r="B8528" t="str">
        <f>"9:03:00.902729"</f>
        <v>9:03:00.902729</v>
      </c>
      <c r="C8528">
        <v>-44</v>
      </c>
    </row>
    <row r="8529" spans="1:3" x14ac:dyDescent="0.25">
      <c r="A8529">
        <v>37</v>
      </c>
      <c r="B8529" t="str">
        <f>"9:03:00.903248"</f>
        <v>9:03:00.903248</v>
      </c>
      <c r="C8529">
        <v>-40</v>
      </c>
    </row>
    <row r="8530" spans="1:3" x14ac:dyDescent="0.25">
      <c r="A8530">
        <v>37</v>
      </c>
      <c r="B8530" t="str">
        <f>"9:03:00.903573"</f>
        <v>9:03:00.903573</v>
      </c>
      <c r="C8530">
        <v>-44</v>
      </c>
    </row>
    <row r="8531" spans="1:3" x14ac:dyDescent="0.25">
      <c r="A8531">
        <v>38</v>
      </c>
      <c r="B8531" t="str">
        <f>"9:03:00.904350"</f>
        <v>9:03:00.904350</v>
      </c>
      <c r="C8531">
        <v>-41</v>
      </c>
    </row>
    <row r="8532" spans="1:3" x14ac:dyDescent="0.25">
      <c r="A8532">
        <v>39</v>
      </c>
      <c r="B8532" t="str">
        <f>"9:03:00.905376"</f>
        <v>9:03:00.905376</v>
      </c>
      <c r="C8532">
        <v>-46</v>
      </c>
    </row>
    <row r="8533" spans="1:3" x14ac:dyDescent="0.25">
      <c r="A8533">
        <v>37</v>
      </c>
      <c r="B8533" t="str">
        <f>"9:03:01.254477"</f>
        <v>9:03:01.254477</v>
      </c>
      <c r="C8533">
        <v>-44</v>
      </c>
    </row>
    <row r="8534" spans="1:3" x14ac:dyDescent="0.25">
      <c r="A8534">
        <v>37</v>
      </c>
      <c r="B8534" t="str">
        <f>"9:03:01.254996"</f>
        <v>9:03:01.254996</v>
      </c>
      <c r="C8534">
        <v>-40</v>
      </c>
    </row>
    <row r="8535" spans="1:3" x14ac:dyDescent="0.25">
      <c r="A8535">
        <v>37</v>
      </c>
      <c r="B8535" t="str">
        <f>"9:03:01.255321"</f>
        <v>9:03:01.255321</v>
      </c>
      <c r="C8535">
        <v>-44</v>
      </c>
    </row>
    <row r="8536" spans="1:3" x14ac:dyDescent="0.25">
      <c r="A8536">
        <v>38</v>
      </c>
      <c r="B8536" t="str">
        <f>"9:03:01.256097"</f>
        <v>9:03:01.256097</v>
      </c>
      <c r="C8536">
        <v>-41</v>
      </c>
    </row>
    <row r="8537" spans="1:3" x14ac:dyDescent="0.25">
      <c r="A8537">
        <v>39</v>
      </c>
      <c r="B8537" t="str">
        <f>"9:03:01.257123"</f>
        <v>9:03:01.257123</v>
      </c>
      <c r="C8537">
        <v>-46</v>
      </c>
    </row>
    <row r="8538" spans="1:3" x14ac:dyDescent="0.25">
      <c r="A8538">
        <v>37</v>
      </c>
      <c r="B8538" t="str">
        <f>"9:03:01.613204"</f>
        <v>9:03:01.613204</v>
      </c>
      <c r="C8538">
        <v>-44</v>
      </c>
    </row>
    <row r="8539" spans="1:3" x14ac:dyDescent="0.25">
      <c r="A8539">
        <v>38</v>
      </c>
      <c r="B8539" t="str">
        <f>"9:03:01.614231"</f>
        <v>9:03:01.614231</v>
      </c>
      <c r="C8539">
        <v>-41</v>
      </c>
    </row>
    <row r="8540" spans="1:3" x14ac:dyDescent="0.25">
      <c r="A8540">
        <v>39</v>
      </c>
      <c r="B8540" t="str">
        <f>"9:03:01.615257"</f>
        <v>9:03:01.615257</v>
      </c>
      <c r="C8540">
        <v>-46</v>
      </c>
    </row>
    <row r="8541" spans="1:3" x14ac:dyDescent="0.25">
      <c r="A8541">
        <v>37</v>
      </c>
      <c r="B8541" t="str">
        <f>"9:03:01.967252"</f>
        <v>9:03:01.967252</v>
      </c>
      <c r="C8541">
        <v>-44</v>
      </c>
    </row>
    <row r="8542" spans="1:3" x14ac:dyDescent="0.25">
      <c r="A8542">
        <v>37</v>
      </c>
      <c r="B8542" t="str">
        <f>"9:03:01.967770"</f>
        <v>9:03:01.967770</v>
      </c>
      <c r="C8542">
        <v>-38</v>
      </c>
    </row>
    <row r="8543" spans="1:3" x14ac:dyDescent="0.25">
      <c r="A8543">
        <v>37</v>
      </c>
      <c r="B8543" t="str">
        <f>"9:03:01.968096"</f>
        <v>9:03:01.968096</v>
      </c>
      <c r="C8543">
        <v>-44</v>
      </c>
    </row>
    <row r="8544" spans="1:3" x14ac:dyDescent="0.25">
      <c r="A8544">
        <v>38</v>
      </c>
      <c r="B8544" t="str">
        <f>"9:03:01.968872"</f>
        <v>9:03:01.968872</v>
      </c>
      <c r="C8544">
        <v>-41</v>
      </c>
    </row>
    <row r="8545" spans="1:3" x14ac:dyDescent="0.25">
      <c r="A8545">
        <v>39</v>
      </c>
      <c r="B8545" t="str">
        <f>"9:03:01.969898"</f>
        <v>9:03:01.969898</v>
      </c>
      <c r="C8545">
        <v>-46</v>
      </c>
    </row>
    <row r="8546" spans="1:3" x14ac:dyDescent="0.25">
      <c r="A8546">
        <v>37</v>
      </c>
      <c r="B8546" t="str">
        <f>"9:03:02.318800"</f>
        <v>9:03:02.318800</v>
      </c>
      <c r="C8546">
        <v>-44</v>
      </c>
    </row>
    <row r="8547" spans="1:3" x14ac:dyDescent="0.25">
      <c r="A8547">
        <v>37</v>
      </c>
      <c r="B8547" t="str">
        <f>"9:03:02.319319"</f>
        <v>9:03:02.319319</v>
      </c>
      <c r="C8547">
        <v>-38</v>
      </c>
    </row>
    <row r="8548" spans="1:3" x14ac:dyDescent="0.25">
      <c r="A8548">
        <v>37</v>
      </c>
      <c r="B8548" t="str">
        <f>"9:03:02.319645"</f>
        <v>9:03:02.319645</v>
      </c>
      <c r="C8548">
        <v>-44</v>
      </c>
    </row>
    <row r="8549" spans="1:3" x14ac:dyDescent="0.25">
      <c r="A8549">
        <v>38</v>
      </c>
      <c r="B8549" t="str">
        <f>"9:03:02.320422"</f>
        <v>9:03:02.320422</v>
      </c>
      <c r="C8549">
        <v>-41</v>
      </c>
    </row>
    <row r="8550" spans="1:3" x14ac:dyDescent="0.25">
      <c r="A8550">
        <v>39</v>
      </c>
      <c r="B8550" t="str">
        <f>"9:03:02.321448"</f>
        <v>9:03:02.321448</v>
      </c>
      <c r="C8550">
        <v>-45</v>
      </c>
    </row>
    <row r="8551" spans="1:3" x14ac:dyDescent="0.25">
      <c r="A8551">
        <v>37</v>
      </c>
      <c r="B8551" t="str">
        <f>"9:03:02.669530"</f>
        <v>9:03:02.669530</v>
      </c>
      <c r="C8551">
        <v>-44</v>
      </c>
    </row>
    <row r="8552" spans="1:3" x14ac:dyDescent="0.25">
      <c r="A8552">
        <v>37</v>
      </c>
      <c r="B8552" t="str">
        <f>"9:03:02.670049"</f>
        <v>9:03:02.670049</v>
      </c>
      <c r="C8552">
        <v>-38</v>
      </c>
    </row>
    <row r="8553" spans="1:3" x14ac:dyDescent="0.25">
      <c r="A8553">
        <v>37</v>
      </c>
      <c r="B8553" t="str">
        <f>"9:03:02.670375"</f>
        <v>9:03:02.670375</v>
      </c>
      <c r="C8553">
        <v>-44</v>
      </c>
    </row>
    <row r="8554" spans="1:3" x14ac:dyDescent="0.25">
      <c r="A8554">
        <v>38</v>
      </c>
      <c r="B8554" t="str">
        <f>"9:03:02.671151"</f>
        <v>9:03:02.671151</v>
      </c>
      <c r="C8554">
        <v>-41</v>
      </c>
    </row>
    <row r="8555" spans="1:3" x14ac:dyDescent="0.25">
      <c r="A8555">
        <v>39</v>
      </c>
      <c r="B8555" t="str">
        <f>"9:03:02.672177"</f>
        <v>9:03:02.672177</v>
      </c>
      <c r="C8555">
        <v>-46</v>
      </c>
    </row>
    <row r="8556" spans="1:3" x14ac:dyDescent="0.25">
      <c r="A8556">
        <v>37</v>
      </c>
      <c r="B8556" t="str">
        <f>"9:03:03.026989"</f>
        <v>9:03:03.026989</v>
      </c>
      <c r="C8556">
        <v>-44</v>
      </c>
    </row>
    <row r="8557" spans="1:3" x14ac:dyDescent="0.25">
      <c r="A8557">
        <v>38</v>
      </c>
      <c r="B8557" t="str">
        <f>"9:03:03.028016"</f>
        <v>9:03:03.028016</v>
      </c>
      <c r="C8557">
        <v>-41</v>
      </c>
    </row>
    <row r="8558" spans="1:3" x14ac:dyDescent="0.25">
      <c r="A8558">
        <v>39</v>
      </c>
      <c r="B8558" t="str">
        <f>"9:03:03.029042"</f>
        <v>9:03:03.029042</v>
      </c>
      <c r="C8558">
        <v>-45</v>
      </c>
    </row>
    <row r="8559" spans="1:3" x14ac:dyDescent="0.25">
      <c r="A8559">
        <v>37</v>
      </c>
      <c r="B8559" t="str">
        <f>"9:03:03.383917"</f>
        <v>9:03:03.383917</v>
      </c>
      <c r="C8559">
        <v>-44</v>
      </c>
    </row>
    <row r="8560" spans="1:3" x14ac:dyDescent="0.25">
      <c r="A8560">
        <v>38</v>
      </c>
      <c r="B8560" t="str">
        <f>"9:03:03.384944"</f>
        <v>9:03:03.384944</v>
      </c>
      <c r="C8560">
        <v>-41</v>
      </c>
    </row>
    <row r="8561" spans="1:3" x14ac:dyDescent="0.25">
      <c r="A8561">
        <v>39</v>
      </c>
      <c r="B8561" t="str">
        <f>"9:03:03.385970"</f>
        <v>9:03:03.385970</v>
      </c>
      <c r="C8561">
        <v>-46</v>
      </c>
    </row>
    <row r="8562" spans="1:3" x14ac:dyDescent="0.25">
      <c r="A8562">
        <v>37</v>
      </c>
      <c r="B8562" t="str">
        <f>"9:03:03.738285"</f>
        <v>9:03:03.738285</v>
      </c>
      <c r="C8562">
        <v>-44</v>
      </c>
    </row>
    <row r="8563" spans="1:3" x14ac:dyDescent="0.25">
      <c r="A8563">
        <v>38</v>
      </c>
      <c r="B8563" t="str">
        <f>"9:03:03.739313"</f>
        <v>9:03:03.739313</v>
      </c>
      <c r="C8563">
        <v>-41</v>
      </c>
    </row>
    <row r="8564" spans="1:3" x14ac:dyDescent="0.25">
      <c r="A8564">
        <v>39</v>
      </c>
      <c r="B8564" t="str">
        <f>"9:03:03.740339"</f>
        <v>9:03:03.740339</v>
      </c>
      <c r="C8564">
        <v>-46</v>
      </c>
    </row>
    <row r="8565" spans="1:3" x14ac:dyDescent="0.25">
      <c r="A8565">
        <v>37</v>
      </c>
      <c r="B8565" t="str">
        <f>"9:03:04.089295"</f>
        <v>9:03:04.089295</v>
      </c>
      <c r="C8565">
        <v>-44</v>
      </c>
    </row>
    <row r="8566" spans="1:3" x14ac:dyDescent="0.25">
      <c r="A8566">
        <v>37</v>
      </c>
      <c r="B8566" t="str">
        <f>"9:03:04.089814"</f>
        <v>9:03:04.089814</v>
      </c>
      <c r="C8566">
        <v>-37</v>
      </c>
    </row>
    <row r="8567" spans="1:3" x14ac:dyDescent="0.25">
      <c r="A8567">
        <v>37</v>
      </c>
      <c r="B8567" t="str">
        <f>"9:03:04.090139"</f>
        <v>9:03:04.090139</v>
      </c>
      <c r="C8567">
        <v>-44</v>
      </c>
    </row>
    <row r="8568" spans="1:3" x14ac:dyDescent="0.25">
      <c r="A8568">
        <v>38</v>
      </c>
      <c r="B8568" t="str">
        <f>"9:03:04.090916"</f>
        <v>9:03:04.090916</v>
      </c>
      <c r="C8568">
        <v>-41</v>
      </c>
    </row>
    <row r="8569" spans="1:3" x14ac:dyDescent="0.25">
      <c r="A8569">
        <v>39</v>
      </c>
      <c r="B8569" t="str">
        <f>"9:03:04.091942"</f>
        <v>9:03:04.091942</v>
      </c>
      <c r="C8569">
        <v>-46</v>
      </c>
    </row>
    <row r="8570" spans="1:3" x14ac:dyDescent="0.25">
      <c r="A8570">
        <v>37</v>
      </c>
      <c r="B8570" t="str">
        <f>"9:03:04.442051"</f>
        <v>9:03:04.442051</v>
      </c>
      <c r="C8570">
        <v>-44</v>
      </c>
    </row>
    <row r="8571" spans="1:3" x14ac:dyDescent="0.25">
      <c r="A8571">
        <v>38</v>
      </c>
      <c r="B8571" t="str">
        <f>"9:03:04.443079"</f>
        <v>9:03:04.443079</v>
      </c>
      <c r="C8571">
        <v>-41</v>
      </c>
    </row>
    <row r="8572" spans="1:3" x14ac:dyDescent="0.25">
      <c r="A8572">
        <v>38</v>
      </c>
      <c r="B8572" t="str">
        <f>"9:03:04.443598"</f>
        <v>9:03:04.443598</v>
      </c>
      <c r="C8572">
        <v>-32</v>
      </c>
    </row>
    <row r="8573" spans="1:3" x14ac:dyDescent="0.25">
      <c r="A8573">
        <v>38</v>
      </c>
      <c r="B8573" t="str">
        <f>"9:03:04.443924"</f>
        <v>9:03:04.443924</v>
      </c>
      <c r="C8573">
        <v>-41</v>
      </c>
    </row>
    <row r="8574" spans="1:3" x14ac:dyDescent="0.25">
      <c r="A8574">
        <v>39</v>
      </c>
      <c r="B8574" t="str">
        <f>"9:03:04.444700"</f>
        <v>9:03:04.444700</v>
      </c>
      <c r="C8574">
        <v>-46</v>
      </c>
    </row>
    <row r="8575" spans="1:3" x14ac:dyDescent="0.25">
      <c r="A8575">
        <v>37</v>
      </c>
      <c r="B8575" t="str">
        <f>"9:03:04.795064"</f>
        <v>9:03:04.795064</v>
      </c>
      <c r="C8575">
        <v>-44</v>
      </c>
    </row>
    <row r="8576" spans="1:3" x14ac:dyDescent="0.25">
      <c r="A8576">
        <v>38</v>
      </c>
      <c r="B8576" t="str">
        <f>"9:03:04.796091"</f>
        <v>9:03:04.796091</v>
      </c>
      <c r="C8576">
        <v>-41</v>
      </c>
    </row>
    <row r="8577" spans="1:3" x14ac:dyDescent="0.25">
      <c r="A8577">
        <v>38</v>
      </c>
      <c r="B8577" t="str">
        <f>"9:03:04.796610"</f>
        <v>9:03:04.796610</v>
      </c>
      <c r="C8577">
        <v>-32</v>
      </c>
    </row>
    <row r="8578" spans="1:3" x14ac:dyDescent="0.25">
      <c r="A8578">
        <v>38</v>
      </c>
      <c r="B8578" t="str">
        <f>"9:03:04.796936"</f>
        <v>9:03:04.796936</v>
      </c>
      <c r="C8578">
        <v>-41</v>
      </c>
    </row>
    <row r="8579" spans="1:3" x14ac:dyDescent="0.25">
      <c r="A8579">
        <v>39</v>
      </c>
      <c r="B8579" t="str">
        <f>"9:03:04.797712"</f>
        <v>9:03:04.797712</v>
      </c>
      <c r="C8579">
        <v>-46</v>
      </c>
    </row>
    <row r="8580" spans="1:3" x14ac:dyDescent="0.25">
      <c r="A8580">
        <v>37</v>
      </c>
      <c r="B8580" t="str">
        <f>"9:03:05.153214"</f>
        <v>9:03:05.153214</v>
      </c>
      <c r="C8580">
        <v>-44</v>
      </c>
    </row>
    <row r="8581" spans="1:3" x14ac:dyDescent="0.25">
      <c r="A8581">
        <v>38</v>
      </c>
      <c r="B8581" t="str">
        <f>"9:03:05.154241"</f>
        <v>9:03:05.154241</v>
      </c>
      <c r="C8581">
        <v>-41</v>
      </c>
    </row>
    <row r="8582" spans="1:3" x14ac:dyDescent="0.25">
      <c r="A8582">
        <v>38</v>
      </c>
      <c r="B8582" t="str">
        <f>"9:03:05.154760"</f>
        <v>9:03:05.154760</v>
      </c>
      <c r="C8582">
        <v>-32</v>
      </c>
    </row>
    <row r="8583" spans="1:3" x14ac:dyDescent="0.25">
      <c r="A8583">
        <v>38</v>
      </c>
      <c r="B8583" t="str">
        <f>"9:03:05.155086"</f>
        <v>9:03:05.155086</v>
      </c>
      <c r="C8583">
        <v>-41</v>
      </c>
    </row>
    <row r="8584" spans="1:3" x14ac:dyDescent="0.25">
      <c r="A8584">
        <v>39</v>
      </c>
      <c r="B8584" t="str">
        <f>"9:03:05.155862"</f>
        <v>9:03:05.155862</v>
      </c>
      <c r="C8584">
        <v>-46</v>
      </c>
    </row>
    <row r="8585" spans="1:3" x14ac:dyDescent="0.25">
      <c r="A8585">
        <v>37</v>
      </c>
      <c r="B8585" t="str">
        <f>"9:03:05.506039"</f>
        <v>9:03:05.506039</v>
      </c>
      <c r="C8585">
        <v>-44</v>
      </c>
    </row>
    <row r="8586" spans="1:3" x14ac:dyDescent="0.25">
      <c r="A8586">
        <v>38</v>
      </c>
      <c r="B8586" t="str">
        <f>"9:03:05.507067"</f>
        <v>9:03:05.507067</v>
      </c>
      <c r="C8586">
        <v>-41</v>
      </c>
    </row>
    <row r="8587" spans="1:3" x14ac:dyDescent="0.25">
      <c r="A8587">
        <v>38</v>
      </c>
      <c r="B8587" t="str">
        <f>"9:03:05.507585"</f>
        <v>9:03:05.507585</v>
      </c>
      <c r="C8587">
        <v>-32</v>
      </c>
    </row>
    <row r="8588" spans="1:3" x14ac:dyDescent="0.25">
      <c r="A8588">
        <v>38</v>
      </c>
      <c r="B8588" t="str">
        <f>"9:03:05.507911"</f>
        <v>9:03:05.507911</v>
      </c>
      <c r="C8588">
        <v>-41</v>
      </c>
    </row>
    <row r="8589" spans="1:3" x14ac:dyDescent="0.25">
      <c r="A8589">
        <v>39</v>
      </c>
      <c r="B8589" t="str">
        <f>"9:03:05.508687"</f>
        <v>9:03:05.508687</v>
      </c>
      <c r="C8589">
        <v>-46</v>
      </c>
    </row>
    <row r="8590" spans="1:3" x14ac:dyDescent="0.25">
      <c r="A8590">
        <v>37</v>
      </c>
      <c r="B8590" t="str">
        <f>"9:03:05.863665"</f>
        <v>9:03:05.863665</v>
      </c>
      <c r="C8590">
        <v>-44</v>
      </c>
    </row>
    <row r="8591" spans="1:3" x14ac:dyDescent="0.25">
      <c r="A8591">
        <v>38</v>
      </c>
      <c r="B8591" t="str">
        <f>"9:03:05.864692"</f>
        <v>9:03:05.864692</v>
      </c>
      <c r="C8591">
        <v>-41</v>
      </c>
    </row>
    <row r="8592" spans="1:3" x14ac:dyDescent="0.25">
      <c r="A8592">
        <v>39</v>
      </c>
      <c r="B8592" t="str">
        <f>"9:03:05.865718"</f>
        <v>9:03:05.865718</v>
      </c>
      <c r="C8592">
        <v>-45</v>
      </c>
    </row>
    <row r="8593" spans="1:3" x14ac:dyDescent="0.25">
      <c r="A8593">
        <v>37</v>
      </c>
      <c r="B8593" t="str">
        <f>"9:03:06.221624"</f>
        <v>9:03:06.221624</v>
      </c>
      <c r="C8593">
        <v>-44</v>
      </c>
    </row>
    <row r="8594" spans="1:3" x14ac:dyDescent="0.25">
      <c r="A8594">
        <v>38</v>
      </c>
      <c r="B8594" t="str">
        <f>"9:03:06.222652"</f>
        <v>9:03:06.222652</v>
      </c>
      <c r="C8594">
        <v>-41</v>
      </c>
    </row>
    <row r="8595" spans="1:3" x14ac:dyDescent="0.25">
      <c r="A8595">
        <v>38</v>
      </c>
      <c r="B8595" t="str">
        <f>"9:03:06.223170"</f>
        <v>9:03:06.223170</v>
      </c>
      <c r="C8595">
        <v>-32</v>
      </c>
    </row>
    <row r="8596" spans="1:3" x14ac:dyDescent="0.25">
      <c r="A8596">
        <v>38</v>
      </c>
      <c r="B8596" t="str">
        <f>"9:03:06.223496"</f>
        <v>9:03:06.223496</v>
      </c>
      <c r="C8596">
        <v>-41</v>
      </c>
    </row>
    <row r="8597" spans="1:3" x14ac:dyDescent="0.25">
      <c r="A8597">
        <v>39</v>
      </c>
      <c r="B8597" t="str">
        <f>"9:03:06.224272"</f>
        <v>9:03:06.224272</v>
      </c>
      <c r="C8597">
        <v>-46</v>
      </c>
    </row>
    <row r="8598" spans="1:3" x14ac:dyDescent="0.25">
      <c r="A8598">
        <v>37</v>
      </c>
      <c r="B8598" t="str">
        <f>"9:03:06.573948"</f>
        <v>9:03:06.573948</v>
      </c>
      <c r="C8598">
        <v>-44</v>
      </c>
    </row>
    <row r="8599" spans="1:3" x14ac:dyDescent="0.25">
      <c r="A8599">
        <v>38</v>
      </c>
      <c r="B8599" t="str">
        <f>"9:03:06.574975"</f>
        <v>9:03:06.574975</v>
      </c>
      <c r="C8599">
        <v>-41</v>
      </c>
    </row>
    <row r="8600" spans="1:3" x14ac:dyDescent="0.25">
      <c r="A8600">
        <v>38</v>
      </c>
      <c r="B8600" t="str">
        <f>"9:03:06.575494"</f>
        <v>9:03:06.575494</v>
      </c>
      <c r="C8600">
        <v>-32</v>
      </c>
    </row>
    <row r="8601" spans="1:3" x14ac:dyDescent="0.25">
      <c r="A8601">
        <v>38</v>
      </c>
      <c r="B8601" t="str">
        <f>"9:03:06.575820"</f>
        <v>9:03:06.575820</v>
      </c>
      <c r="C8601">
        <v>-41</v>
      </c>
    </row>
    <row r="8602" spans="1:3" x14ac:dyDescent="0.25">
      <c r="A8602">
        <v>39</v>
      </c>
      <c r="B8602" t="str">
        <f>"9:03:06.576596"</f>
        <v>9:03:06.576596</v>
      </c>
      <c r="C8602">
        <v>-45</v>
      </c>
    </row>
    <row r="8603" spans="1:3" x14ac:dyDescent="0.25">
      <c r="A8603">
        <v>37</v>
      </c>
      <c r="B8603" t="str">
        <f>"9:03:06.926216"</f>
        <v>9:03:06.926216</v>
      </c>
      <c r="C8603">
        <v>-44</v>
      </c>
    </row>
    <row r="8604" spans="1:3" x14ac:dyDescent="0.25">
      <c r="A8604">
        <v>38</v>
      </c>
      <c r="B8604" t="str">
        <f>"9:03:06.927244"</f>
        <v>9:03:06.927244</v>
      </c>
      <c r="C8604">
        <v>-41</v>
      </c>
    </row>
    <row r="8605" spans="1:3" x14ac:dyDescent="0.25">
      <c r="A8605">
        <v>38</v>
      </c>
      <c r="B8605" t="str">
        <f>"9:03:06.927763"</f>
        <v>9:03:06.927763</v>
      </c>
      <c r="C8605">
        <v>-32</v>
      </c>
    </row>
    <row r="8606" spans="1:3" x14ac:dyDescent="0.25">
      <c r="A8606">
        <v>38</v>
      </c>
      <c r="B8606" t="str">
        <f>"9:03:06.928089"</f>
        <v>9:03:06.928089</v>
      </c>
      <c r="C8606">
        <v>-41</v>
      </c>
    </row>
    <row r="8607" spans="1:3" x14ac:dyDescent="0.25">
      <c r="A8607">
        <v>39</v>
      </c>
      <c r="B8607" t="str">
        <f>"9:03:06.928865"</f>
        <v>9:03:06.928865</v>
      </c>
      <c r="C8607">
        <v>-46</v>
      </c>
    </row>
    <row r="8608" spans="1:3" x14ac:dyDescent="0.25">
      <c r="A8608">
        <v>37</v>
      </c>
      <c r="B8608" t="str">
        <f>"9:03:07.279293"</f>
        <v>9:03:07.279293</v>
      </c>
      <c r="C8608">
        <v>-44</v>
      </c>
    </row>
    <row r="8609" spans="1:3" x14ac:dyDescent="0.25">
      <c r="A8609">
        <v>37</v>
      </c>
      <c r="B8609" t="str">
        <f>"9:03:07.279813"</f>
        <v>9:03:07.279813</v>
      </c>
      <c r="C8609">
        <v>-89</v>
      </c>
    </row>
    <row r="8610" spans="1:3" x14ac:dyDescent="0.25">
      <c r="A8610">
        <v>37</v>
      </c>
      <c r="B8610" t="str">
        <f>"9:03:07.280139"</f>
        <v>9:03:07.280139</v>
      </c>
      <c r="C8610">
        <v>-44</v>
      </c>
    </row>
    <row r="8611" spans="1:3" x14ac:dyDescent="0.25">
      <c r="A8611">
        <v>38</v>
      </c>
      <c r="B8611" t="str">
        <f>"9:03:07.280916"</f>
        <v>9:03:07.280916</v>
      </c>
      <c r="C8611">
        <v>-41</v>
      </c>
    </row>
    <row r="8612" spans="1:3" x14ac:dyDescent="0.25">
      <c r="A8612">
        <v>38</v>
      </c>
      <c r="B8612" t="str">
        <f>"9:03:07.281434"</f>
        <v>9:03:07.281434</v>
      </c>
      <c r="C8612">
        <v>-32</v>
      </c>
    </row>
    <row r="8613" spans="1:3" x14ac:dyDescent="0.25">
      <c r="A8613">
        <v>38</v>
      </c>
      <c r="B8613" t="str">
        <f>"9:03:07.281760"</f>
        <v>9:03:07.281760</v>
      </c>
      <c r="C8613">
        <v>-41</v>
      </c>
    </row>
    <row r="8614" spans="1:3" x14ac:dyDescent="0.25">
      <c r="A8614">
        <v>39</v>
      </c>
      <c r="B8614" t="str">
        <f>"9:03:07.282536"</f>
        <v>9:03:07.282536</v>
      </c>
      <c r="C8614">
        <v>-46</v>
      </c>
    </row>
    <row r="8615" spans="1:3" x14ac:dyDescent="0.25">
      <c r="A8615">
        <v>37</v>
      </c>
      <c r="B8615" t="str">
        <f>"9:03:07.634098"</f>
        <v>9:03:07.634098</v>
      </c>
      <c r="C8615">
        <v>-44</v>
      </c>
    </row>
    <row r="8616" spans="1:3" x14ac:dyDescent="0.25">
      <c r="A8616">
        <v>37</v>
      </c>
      <c r="B8616" t="str">
        <f>"9:03:07.634617"</f>
        <v>9:03:07.634617</v>
      </c>
      <c r="C8616">
        <v>-83</v>
      </c>
    </row>
    <row r="8617" spans="1:3" x14ac:dyDescent="0.25">
      <c r="A8617">
        <v>37</v>
      </c>
      <c r="B8617" t="str">
        <f>"9:03:07.634943"</f>
        <v>9:03:07.634943</v>
      </c>
      <c r="C8617">
        <v>-44</v>
      </c>
    </row>
    <row r="8618" spans="1:3" x14ac:dyDescent="0.25">
      <c r="A8618">
        <v>38</v>
      </c>
      <c r="B8618" t="str">
        <f>"9:03:07.635719"</f>
        <v>9:03:07.635719</v>
      </c>
      <c r="C8618">
        <v>-41</v>
      </c>
    </row>
    <row r="8619" spans="1:3" x14ac:dyDescent="0.25">
      <c r="A8619">
        <v>38</v>
      </c>
      <c r="B8619" t="str">
        <f>"9:03:07.636238"</f>
        <v>9:03:07.636238</v>
      </c>
      <c r="C8619">
        <v>-32</v>
      </c>
    </row>
    <row r="8620" spans="1:3" x14ac:dyDescent="0.25">
      <c r="A8620">
        <v>38</v>
      </c>
      <c r="B8620" t="str">
        <f>"9:03:07.636563"</f>
        <v>9:03:07.636563</v>
      </c>
      <c r="C8620">
        <v>-41</v>
      </c>
    </row>
    <row r="8621" spans="1:3" x14ac:dyDescent="0.25">
      <c r="A8621">
        <v>39</v>
      </c>
      <c r="B8621" t="str">
        <f>"9:03:07.637339"</f>
        <v>9:03:07.637339</v>
      </c>
      <c r="C8621">
        <v>-46</v>
      </c>
    </row>
    <row r="8622" spans="1:3" x14ac:dyDescent="0.25">
      <c r="A8622">
        <v>37</v>
      </c>
      <c r="B8622" t="str">
        <f>"9:03:07.993303"</f>
        <v>9:03:07.993303</v>
      </c>
      <c r="C8622">
        <v>-44</v>
      </c>
    </row>
    <row r="8623" spans="1:3" x14ac:dyDescent="0.25">
      <c r="A8623">
        <v>38</v>
      </c>
      <c r="B8623" t="str">
        <f>"9:03:07.994330"</f>
        <v>9:03:07.994330</v>
      </c>
      <c r="C8623">
        <v>-41</v>
      </c>
    </row>
    <row r="8624" spans="1:3" x14ac:dyDescent="0.25">
      <c r="A8624">
        <v>38</v>
      </c>
      <c r="B8624" t="str">
        <f>"9:03:07.994849"</f>
        <v>9:03:07.994849</v>
      </c>
      <c r="C8624">
        <v>-32</v>
      </c>
    </row>
    <row r="8625" spans="1:3" x14ac:dyDescent="0.25">
      <c r="A8625">
        <v>38</v>
      </c>
      <c r="B8625" t="str">
        <f>"9:03:07.995175"</f>
        <v>9:03:07.995175</v>
      </c>
      <c r="C8625">
        <v>-41</v>
      </c>
    </row>
    <row r="8626" spans="1:3" x14ac:dyDescent="0.25">
      <c r="A8626">
        <v>39</v>
      </c>
      <c r="B8626" t="str">
        <f>"9:03:07.995951"</f>
        <v>9:03:07.995951</v>
      </c>
      <c r="C8626">
        <v>-46</v>
      </c>
    </row>
    <row r="8627" spans="1:3" x14ac:dyDescent="0.25">
      <c r="A8627">
        <v>37</v>
      </c>
      <c r="B8627" t="str">
        <f>"9:03:08.348651"</f>
        <v>9:03:08.348651</v>
      </c>
      <c r="C8627">
        <v>-44</v>
      </c>
    </row>
    <row r="8628" spans="1:3" x14ac:dyDescent="0.25">
      <c r="A8628">
        <v>38</v>
      </c>
      <c r="B8628" t="str">
        <f>"9:03:08.349679"</f>
        <v>9:03:08.349679</v>
      </c>
      <c r="C8628">
        <v>-41</v>
      </c>
    </row>
    <row r="8629" spans="1:3" x14ac:dyDescent="0.25">
      <c r="A8629">
        <v>38</v>
      </c>
      <c r="B8629" t="str">
        <f>"9:03:08.350197"</f>
        <v>9:03:08.350197</v>
      </c>
      <c r="C8629">
        <v>-32</v>
      </c>
    </row>
    <row r="8630" spans="1:3" x14ac:dyDescent="0.25">
      <c r="A8630">
        <v>38</v>
      </c>
      <c r="B8630" t="str">
        <f>"9:03:08.350523"</f>
        <v>9:03:08.350523</v>
      </c>
      <c r="C8630">
        <v>-41</v>
      </c>
    </row>
    <row r="8631" spans="1:3" x14ac:dyDescent="0.25">
      <c r="A8631">
        <v>39</v>
      </c>
      <c r="B8631" t="str">
        <f>"9:03:08.351299"</f>
        <v>9:03:08.351299</v>
      </c>
      <c r="C8631">
        <v>-46</v>
      </c>
    </row>
    <row r="8632" spans="1:3" x14ac:dyDescent="0.25">
      <c r="A8632">
        <v>37</v>
      </c>
      <c r="B8632" t="str">
        <f>"9:03:08.703014"</f>
        <v>9:03:08.703014</v>
      </c>
      <c r="C8632">
        <v>-44</v>
      </c>
    </row>
    <row r="8633" spans="1:3" x14ac:dyDescent="0.25">
      <c r="A8633">
        <v>38</v>
      </c>
      <c r="B8633" t="str">
        <f>"9:03:08.704041"</f>
        <v>9:03:08.704041</v>
      </c>
      <c r="C8633">
        <v>-41</v>
      </c>
    </row>
    <row r="8634" spans="1:3" x14ac:dyDescent="0.25">
      <c r="A8634">
        <v>38</v>
      </c>
      <c r="B8634" t="str">
        <f>"9:03:08.704561"</f>
        <v>9:03:08.704561</v>
      </c>
      <c r="C8634">
        <v>-75</v>
      </c>
    </row>
    <row r="8635" spans="1:3" x14ac:dyDescent="0.25">
      <c r="A8635">
        <v>38</v>
      </c>
      <c r="B8635" t="str">
        <f>"9:03:08.704887"</f>
        <v>9:03:08.704887</v>
      </c>
      <c r="C8635">
        <v>-41</v>
      </c>
    </row>
    <row r="8636" spans="1:3" x14ac:dyDescent="0.25">
      <c r="A8636">
        <v>39</v>
      </c>
      <c r="B8636" t="str">
        <f>"9:03:08.705662"</f>
        <v>9:03:08.705662</v>
      </c>
      <c r="C8636">
        <v>-46</v>
      </c>
    </row>
    <row r="8637" spans="1:3" x14ac:dyDescent="0.25">
      <c r="A8637">
        <v>37</v>
      </c>
      <c r="B8637" t="str">
        <f>"9:03:09.059161"</f>
        <v>9:03:09.059161</v>
      </c>
      <c r="C8637">
        <v>-44</v>
      </c>
    </row>
    <row r="8638" spans="1:3" x14ac:dyDescent="0.25">
      <c r="A8638">
        <v>38</v>
      </c>
      <c r="B8638" t="str">
        <f>"9:03:09.060189"</f>
        <v>9:03:09.060189</v>
      </c>
      <c r="C8638">
        <v>-41</v>
      </c>
    </row>
    <row r="8639" spans="1:3" x14ac:dyDescent="0.25">
      <c r="A8639">
        <v>39</v>
      </c>
      <c r="B8639" t="str">
        <f>"9:03:09.061215"</f>
        <v>9:03:09.061215</v>
      </c>
      <c r="C8639">
        <v>-46</v>
      </c>
    </row>
    <row r="8640" spans="1:3" x14ac:dyDescent="0.25">
      <c r="A8640">
        <v>37</v>
      </c>
      <c r="B8640" t="str">
        <f>"9:03:09.411438"</f>
        <v>9:03:09.411438</v>
      </c>
      <c r="C8640">
        <v>-44</v>
      </c>
    </row>
    <row r="8641" spans="1:3" x14ac:dyDescent="0.25">
      <c r="A8641">
        <v>38</v>
      </c>
      <c r="B8641" t="str">
        <f>"9:03:09.412466"</f>
        <v>9:03:09.412466</v>
      </c>
      <c r="C8641">
        <v>-41</v>
      </c>
    </row>
    <row r="8642" spans="1:3" x14ac:dyDescent="0.25">
      <c r="A8642">
        <v>38</v>
      </c>
      <c r="B8642" t="str">
        <f>"9:03:09.412984"</f>
        <v>9:03:09.412984</v>
      </c>
      <c r="C8642">
        <v>-32</v>
      </c>
    </row>
    <row r="8643" spans="1:3" x14ac:dyDescent="0.25">
      <c r="A8643">
        <v>38</v>
      </c>
      <c r="B8643" t="str">
        <f>"9:03:09.413310"</f>
        <v>9:03:09.413310</v>
      </c>
      <c r="C8643">
        <v>-41</v>
      </c>
    </row>
    <row r="8644" spans="1:3" x14ac:dyDescent="0.25">
      <c r="A8644">
        <v>39</v>
      </c>
      <c r="B8644" t="str">
        <f>"9:03:09.414086"</f>
        <v>9:03:09.414086</v>
      </c>
      <c r="C8644">
        <v>-46</v>
      </c>
    </row>
    <row r="8645" spans="1:3" x14ac:dyDescent="0.25">
      <c r="A8645">
        <v>37</v>
      </c>
      <c r="B8645" t="str">
        <f>"9:03:09.762930"</f>
        <v>9:03:09.762930</v>
      </c>
      <c r="C8645">
        <v>-44</v>
      </c>
    </row>
    <row r="8646" spans="1:3" x14ac:dyDescent="0.25">
      <c r="A8646">
        <v>38</v>
      </c>
      <c r="B8646" t="str">
        <f>"9:03:09.763957"</f>
        <v>9:03:09.763957</v>
      </c>
      <c r="C8646">
        <v>-41</v>
      </c>
    </row>
    <row r="8647" spans="1:3" x14ac:dyDescent="0.25">
      <c r="A8647">
        <v>39</v>
      </c>
      <c r="B8647" t="str">
        <f>"9:03:09.764983"</f>
        <v>9:03:09.764983</v>
      </c>
      <c r="C8647">
        <v>-46</v>
      </c>
    </row>
    <row r="8648" spans="1:3" x14ac:dyDescent="0.25">
      <c r="A8648">
        <v>39</v>
      </c>
      <c r="B8648" t="str">
        <f>"9:03:09.765501"</f>
        <v>9:03:09.765501</v>
      </c>
      <c r="C8648">
        <v>-31</v>
      </c>
    </row>
    <row r="8649" spans="1:3" x14ac:dyDescent="0.25">
      <c r="A8649">
        <v>39</v>
      </c>
      <c r="B8649" t="str">
        <f>"9:03:09.765827"</f>
        <v>9:03:09.765827</v>
      </c>
      <c r="C8649">
        <v>-45</v>
      </c>
    </row>
    <row r="8650" spans="1:3" x14ac:dyDescent="0.25">
      <c r="A8650">
        <v>37</v>
      </c>
      <c r="B8650" t="str">
        <f>"9:03:10.120584"</f>
        <v>9:03:10.120584</v>
      </c>
      <c r="C8650">
        <v>-44</v>
      </c>
    </row>
    <row r="8651" spans="1:3" x14ac:dyDescent="0.25">
      <c r="A8651">
        <v>38</v>
      </c>
      <c r="B8651" t="str">
        <f>"9:03:10.121611"</f>
        <v>9:03:10.121611</v>
      </c>
      <c r="C8651">
        <v>-41</v>
      </c>
    </row>
    <row r="8652" spans="1:3" x14ac:dyDescent="0.25">
      <c r="A8652">
        <v>39</v>
      </c>
      <c r="B8652" t="str">
        <f>"9:03:10.122637"</f>
        <v>9:03:10.122637</v>
      </c>
      <c r="C8652">
        <v>-46</v>
      </c>
    </row>
    <row r="8653" spans="1:3" x14ac:dyDescent="0.25">
      <c r="A8653">
        <v>39</v>
      </c>
      <c r="B8653" t="str">
        <f>"9:03:10.123155"</f>
        <v>9:03:10.123155</v>
      </c>
      <c r="C8653">
        <v>-31</v>
      </c>
    </row>
    <row r="8654" spans="1:3" x14ac:dyDescent="0.25">
      <c r="A8654">
        <v>39</v>
      </c>
      <c r="B8654" t="str">
        <f>"9:03:10.123481"</f>
        <v>9:03:10.123481</v>
      </c>
      <c r="C8654">
        <v>-45</v>
      </c>
    </row>
    <row r="8655" spans="1:3" x14ac:dyDescent="0.25">
      <c r="A8655">
        <v>37</v>
      </c>
      <c r="B8655" t="str">
        <f>"9:03:10.478778"</f>
        <v>9:03:10.478778</v>
      </c>
      <c r="C8655">
        <v>-44</v>
      </c>
    </row>
    <row r="8656" spans="1:3" x14ac:dyDescent="0.25">
      <c r="A8656">
        <v>38</v>
      </c>
      <c r="B8656" t="str">
        <f>"9:03:10.479805"</f>
        <v>9:03:10.479805</v>
      </c>
      <c r="C8656">
        <v>-41</v>
      </c>
    </row>
    <row r="8657" spans="1:3" x14ac:dyDescent="0.25">
      <c r="A8657">
        <v>39</v>
      </c>
      <c r="B8657" t="str">
        <f>"9:03:10.480832"</f>
        <v>9:03:10.480832</v>
      </c>
      <c r="C8657">
        <v>-46</v>
      </c>
    </row>
    <row r="8658" spans="1:3" x14ac:dyDescent="0.25">
      <c r="A8658">
        <v>39</v>
      </c>
      <c r="B8658" t="str">
        <f>"9:03:10.481350"</f>
        <v>9:03:10.481350</v>
      </c>
      <c r="C8658">
        <v>-31</v>
      </c>
    </row>
    <row r="8659" spans="1:3" x14ac:dyDescent="0.25">
      <c r="A8659">
        <v>39</v>
      </c>
      <c r="B8659" t="str">
        <f>"9:03:10.481677"</f>
        <v>9:03:10.481677</v>
      </c>
      <c r="C8659">
        <v>-45</v>
      </c>
    </row>
    <row r="8660" spans="1:3" x14ac:dyDescent="0.25">
      <c r="A8660">
        <v>37</v>
      </c>
      <c r="B8660" t="str">
        <f>"9:03:10.835146"</f>
        <v>9:03:10.835146</v>
      </c>
      <c r="C8660">
        <v>-44</v>
      </c>
    </row>
    <row r="8661" spans="1:3" x14ac:dyDescent="0.25">
      <c r="A8661">
        <v>38</v>
      </c>
      <c r="B8661" t="str">
        <f>"9:03:10.836173"</f>
        <v>9:03:10.836173</v>
      </c>
      <c r="C8661">
        <v>-41</v>
      </c>
    </row>
    <row r="8662" spans="1:3" x14ac:dyDescent="0.25">
      <c r="A8662">
        <v>39</v>
      </c>
      <c r="B8662" t="str">
        <f>"9:03:10.837199"</f>
        <v>9:03:10.837199</v>
      </c>
      <c r="C8662">
        <v>-46</v>
      </c>
    </row>
    <row r="8663" spans="1:3" x14ac:dyDescent="0.25">
      <c r="A8663">
        <v>39</v>
      </c>
      <c r="B8663" t="str">
        <f>"9:03:10.837717"</f>
        <v>9:03:10.837717</v>
      </c>
      <c r="C8663">
        <v>-31</v>
      </c>
    </row>
    <row r="8664" spans="1:3" x14ac:dyDescent="0.25">
      <c r="A8664">
        <v>39</v>
      </c>
      <c r="B8664" t="str">
        <f>"9:03:10.838043"</f>
        <v>9:03:10.838043</v>
      </c>
      <c r="C8664">
        <v>-45</v>
      </c>
    </row>
    <row r="8665" spans="1:3" x14ac:dyDescent="0.25">
      <c r="A8665">
        <v>37</v>
      </c>
      <c r="B8665" t="str">
        <f>"9:03:11.186098"</f>
        <v>9:03:11.186098</v>
      </c>
      <c r="C8665">
        <v>-44</v>
      </c>
    </row>
    <row r="8666" spans="1:3" x14ac:dyDescent="0.25">
      <c r="A8666">
        <v>38</v>
      </c>
      <c r="B8666" t="str">
        <f>"9:03:11.187126"</f>
        <v>9:03:11.187126</v>
      </c>
      <c r="C8666">
        <v>-41</v>
      </c>
    </row>
    <row r="8667" spans="1:3" x14ac:dyDescent="0.25">
      <c r="A8667">
        <v>39</v>
      </c>
      <c r="B8667" t="str">
        <f>"9:03:11.188152"</f>
        <v>9:03:11.188152</v>
      </c>
      <c r="C8667">
        <v>-46</v>
      </c>
    </row>
    <row r="8668" spans="1:3" x14ac:dyDescent="0.25">
      <c r="A8668">
        <v>39</v>
      </c>
      <c r="B8668" t="str">
        <f>"9:03:11.188670"</f>
        <v>9:03:11.188670</v>
      </c>
      <c r="C8668">
        <v>-31</v>
      </c>
    </row>
    <row r="8669" spans="1:3" x14ac:dyDescent="0.25">
      <c r="A8669">
        <v>39</v>
      </c>
      <c r="B8669" t="str">
        <f>"9:03:11.188997"</f>
        <v>9:03:11.188997</v>
      </c>
      <c r="C8669">
        <v>-45</v>
      </c>
    </row>
    <row r="8670" spans="1:3" x14ac:dyDescent="0.25">
      <c r="A8670">
        <v>37</v>
      </c>
      <c r="B8670" t="str">
        <f>"9:03:11.540679"</f>
        <v>9:03:11.540679</v>
      </c>
      <c r="C8670">
        <v>-44</v>
      </c>
    </row>
    <row r="8671" spans="1:3" x14ac:dyDescent="0.25">
      <c r="A8671">
        <v>38</v>
      </c>
      <c r="B8671" t="str">
        <f>"9:03:11.541706"</f>
        <v>9:03:11.541706</v>
      </c>
      <c r="C8671">
        <v>-41</v>
      </c>
    </row>
    <row r="8672" spans="1:3" x14ac:dyDescent="0.25">
      <c r="A8672">
        <v>39</v>
      </c>
      <c r="B8672" t="str">
        <f>"9:03:11.542732"</f>
        <v>9:03:11.542732</v>
      </c>
      <c r="C8672">
        <v>-46</v>
      </c>
    </row>
    <row r="8673" spans="1:3" x14ac:dyDescent="0.25">
      <c r="A8673">
        <v>39</v>
      </c>
      <c r="B8673" t="str">
        <f>"9:03:11.543250"</f>
        <v>9:03:11.543250</v>
      </c>
      <c r="C8673">
        <v>-31</v>
      </c>
    </row>
    <row r="8674" spans="1:3" x14ac:dyDescent="0.25">
      <c r="A8674">
        <v>39</v>
      </c>
      <c r="B8674" t="str">
        <f>"9:03:11.543576"</f>
        <v>9:03:11.543576</v>
      </c>
      <c r="C8674">
        <v>-45</v>
      </c>
    </row>
    <row r="8675" spans="1:3" x14ac:dyDescent="0.25">
      <c r="A8675">
        <v>37</v>
      </c>
      <c r="B8675" t="str">
        <f>"9:03:11.891459"</f>
        <v>9:03:11.891459</v>
      </c>
      <c r="C8675">
        <v>-44</v>
      </c>
    </row>
    <row r="8676" spans="1:3" x14ac:dyDescent="0.25">
      <c r="A8676">
        <v>38</v>
      </c>
      <c r="B8676" t="str">
        <f>"9:03:11.892486"</f>
        <v>9:03:11.892486</v>
      </c>
      <c r="C8676">
        <v>-41</v>
      </c>
    </row>
    <row r="8677" spans="1:3" x14ac:dyDescent="0.25">
      <c r="A8677">
        <v>39</v>
      </c>
      <c r="B8677" t="str">
        <f>"9:03:11.893512"</f>
        <v>9:03:11.893512</v>
      </c>
      <c r="C8677">
        <v>-46</v>
      </c>
    </row>
    <row r="8678" spans="1:3" x14ac:dyDescent="0.25">
      <c r="A8678">
        <v>37</v>
      </c>
      <c r="B8678" t="str">
        <f>"9:03:12.244538"</f>
        <v>9:03:12.244538</v>
      </c>
      <c r="C8678">
        <v>-44</v>
      </c>
    </row>
    <row r="8679" spans="1:3" x14ac:dyDescent="0.25">
      <c r="A8679">
        <v>38</v>
      </c>
      <c r="B8679" t="str">
        <f>"9:03:12.245565"</f>
        <v>9:03:12.245565</v>
      </c>
      <c r="C8679">
        <v>-41</v>
      </c>
    </row>
    <row r="8680" spans="1:3" x14ac:dyDescent="0.25">
      <c r="A8680">
        <v>39</v>
      </c>
      <c r="B8680" t="str">
        <f>"9:03:12.246591"</f>
        <v>9:03:12.246591</v>
      </c>
      <c r="C8680">
        <v>-45</v>
      </c>
    </row>
    <row r="8681" spans="1:3" x14ac:dyDescent="0.25">
      <c r="A8681">
        <v>39</v>
      </c>
      <c r="B8681" t="str">
        <f>"9:03:12.247109"</f>
        <v>9:03:12.247109</v>
      </c>
      <c r="C8681">
        <v>-31</v>
      </c>
    </row>
    <row r="8682" spans="1:3" x14ac:dyDescent="0.25">
      <c r="A8682">
        <v>39</v>
      </c>
      <c r="B8682" t="str">
        <f>"9:03:12.247435"</f>
        <v>9:03:12.247435</v>
      </c>
      <c r="C8682">
        <v>-45</v>
      </c>
    </row>
    <row r="8683" spans="1:3" x14ac:dyDescent="0.25">
      <c r="A8683">
        <v>37</v>
      </c>
      <c r="B8683" t="str">
        <f>"9:03:12.603491"</f>
        <v>9:03:12.603491</v>
      </c>
      <c r="C8683">
        <v>-44</v>
      </c>
    </row>
    <row r="8684" spans="1:3" x14ac:dyDescent="0.25">
      <c r="A8684">
        <v>37</v>
      </c>
      <c r="B8684" t="str">
        <f>"9:03:12.604011"</f>
        <v>9:03:12.604011</v>
      </c>
      <c r="C8684">
        <v>-91</v>
      </c>
    </row>
    <row r="8685" spans="1:3" x14ac:dyDescent="0.25">
      <c r="A8685">
        <v>37</v>
      </c>
      <c r="B8685" t="str">
        <f>"9:03:12.604336"</f>
        <v>9:03:12.604336</v>
      </c>
      <c r="C8685">
        <v>-44</v>
      </c>
    </row>
    <row r="8686" spans="1:3" x14ac:dyDescent="0.25">
      <c r="A8686">
        <v>38</v>
      </c>
      <c r="B8686" t="str">
        <f>"9:03:12.605113"</f>
        <v>9:03:12.605113</v>
      </c>
      <c r="C8686">
        <v>-41</v>
      </c>
    </row>
    <row r="8687" spans="1:3" x14ac:dyDescent="0.25">
      <c r="A8687">
        <v>39</v>
      </c>
      <c r="B8687" t="str">
        <f>"9:03:12.606139"</f>
        <v>9:03:12.606139</v>
      </c>
      <c r="C8687">
        <v>-46</v>
      </c>
    </row>
    <row r="8688" spans="1:3" x14ac:dyDescent="0.25">
      <c r="A8688">
        <v>39</v>
      </c>
      <c r="B8688" t="str">
        <f>"9:03:12.606657"</f>
        <v>9:03:12.606657</v>
      </c>
      <c r="C8688">
        <v>-31</v>
      </c>
    </row>
    <row r="8689" spans="1:3" x14ac:dyDescent="0.25">
      <c r="A8689">
        <v>39</v>
      </c>
      <c r="B8689" t="str">
        <f>"9:03:12.606983"</f>
        <v>9:03:12.606983</v>
      </c>
      <c r="C8689">
        <v>-45</v>
      </c>
    </row>
    <row r="8690" spans="1:3" x14ac:dyDescent="0.25">
      <c r="A8690">
        <v>37</v>
      </c>
      <c r="B8690" t="str">
        <f>"9:03:12.956335"</f>
        <v>9:03:12.956335</v>
      </c>
      <c r="C8690">
        <v>-44</v>
      </c>
    </row>
    <row r="8691" spans="1:3" x14ac:dyDescent="0.25">
      <c r="A8691">
        <v>38</v>
      </c>
      <c r="B8691" t="str">
        <f>"9:03:12.957362"</f>
        <v>9:03:12.957362</v>
      </c>
      <c r="C8691">
        <v>-41</v>
      </c>
    </row>
    <row r="8692" spans="1:3" x14ac:dyDescent="0.25">
      <c r="A8692">
        <v>39</v>
      </c>
      <c r="B8692" t="str">
        <f>"9:03:12.958388"</f>
        <v>9:03:12.958388</v>
      </c>
      <c r="C8692">
        <v>-46</v>
      </c>
    </row>
    <row r="8693" spans="1:3" x14ac:dyDescent="0.25">
      <c r="A8693">
        <v>37</v>
      </c>
      <c r="B8693" t="str">
        <f>"9:03:13.309353"</f>
        <v>9:03:13.309353</v>
      </c>
      <c r="C8693">
        <v>-44</v>
      </c>
    </row>
    <row r="8694" spans="1:3" x14ac:dyDescent="0.25">
      <c r="A8694">
        <v>38</v>
      </c>
      <c r="B8694" t="str">
        <f>"9:03:13.310380"</f>
        <v>9:03:13.310380</v>
      </c>
      <c r="C8694">
        <v>-41</v>
      </c>
    </row>
    <row r="8695" spans="1:3" x14ac:dyDescent="0.25">
      <c r="A8695">
        <v>39</v>
      </c>
      <c r="B8695" t="str">
        <f>"9:03:13.311406"</f>
        <v>9:03:13.311406</v>
      </c>
      <c r="C8695">
        <v>-46</v>
      </c>
    </row>
    <row r="8696" spans="1:3" x14ac:dyDescent="0.25">
      <c r="A8696">
        <v>37</v>
      </c>
      <c r="B8696" t="str">
        <f>"9:03:13.662168"</f>
        <v>9:03:13.662168</v>
      </c>
      <c r="C8696">
        <v>-44</v>
      </c>
    </row>
    <row r="8697" spans="1:3" x14ac:dyDescent="0.25">
      <c r="A8697">
        <v>38</v>
      </c>
      <c r="B8697" t="str">
        <f>"9:03:13.663196"</f>
        <v>9:03:13.663196</v>
      </c>
      <c r="C8697">
        <v>-41</v>
      </c>
    </row>
    <row r="8698" spans="1:3" x14ac:dyDescent="0.25">
      <c r="A8698">
        <v>39</v>
      </c>
      <c r="B8698" t="str">
        <f>"9:03:13.664357"</f>
        <v>9:03:13.664357</v>
      </c>
      <c r="C8698">
        <v>-46</v>
      </c>
    </row>
    <row r="8699" spans="1:3" x14ac:dyDescent="0.25">
      <c r="A8699">
        <v>37</v>
      </c>
      <c r="B8699" t="str">
        <f>"9:03:14.018579"</f>
        <v>9:03:14.018579</v>
      </c>
      <c r="C8699">
        <v>-44</v>
      </c>
    </row>
    <row r="8700" spans="1:3" x14ac:dyDescent="0.25">
      <c r="A8700">
        <v>38</v>
      </c>
      <c r="B8700" t="str">
        <f>"9:03:14.019606"</f>
        <v>9:03:14.019606</v>
      </c>
      <c r="C8700">
        <v>-41</v>
      </c>
    </row>
    <row r="8701" spans="1:3" x14ac:dyDescent="0.25">
      <c r="A8701">
        <v>38</v>
      </c>
      <c r="B8701" t="str">
        <f>"9:03:14.020126"</f>
        <v>9:03:14.020126</v>
      </c>
      <c r="C8701">
        <v>-81</v>
      </c>
    </row>
    <row r="8702" spans="1:3" x14ac:dyDescent="0.25">
      <c r="A8702">
        <v>38</v>
      </c>
      <c r="B8702" t="str">
        <f>"9:03:14.020452"</f>
        <v>9:03:14.020452</v>
      </c>
      <c r="C8702">
        <v>-41</v>
      </c>
    </row>
    <row r="8703" spans="1:3" x14ac:dyDescent="0.25">
      <c r="A8703">
        <v>39</v>
      </c>
      <c r="B8703" t="str">
        <f>"9:03:14.021228"</f>
        <v>9:03:14.021228</v>
      </c>
      <c r="C8703">
        <v>-46</v>
      </c>
    </row>
    <row r="8704" spans="1:3" x14ac:dyDescent="0.25">
      <c r="A8704">
        <v>39</v>
      </c>
      <c r="B8704" t="str">
        <f>"9:03:14.021746"</f>
        <v>9:03:14.021746</v>
      </c>
      <c r="C8704">
        <v>-31</v>
      </c>
    </row>
    <row r="8705" spans="1:3" x14ac:dyDescent="0.25">
      <c r="A8705">
        <v>39</v>
      </c>
      <c r="B8705" t="str">
        <f>"9:03:14.022072"</f>
        <v>9:03:14.022072</v>
      </c>
      <c r="C8705">
        <v>-45</v>
      </c>
    </row>
    <row r="8706" spans="1:3" x14ac:dyDescent="0.25">
      <c r="A8706">
        <v>37</v>
      </c>
      <c r="B8706" t="str">
        <f>"9:03:14.372394"</f>
        <v>9:03:14.372394</v>
      </c>
      <c r="C8706">
        <v>-44</v>
      </c>
    </row>
    <row r="8707" spans="1:3" x14ac:dyDescent="0.25">
      <c r="A8707">
        <v>38</v>
      </c>
      <c r="B8707" t="str">
        <f>"9:03:14.373421"</f>
        <v>9:03:14.373421</v>
      </c>
      <c r="C8707">
        <v>-41</v>
      </c>
    </row>
    <row r="8708" spans="1:3" x14ac:dyDescent="0.25">
      <c r="A8708">
        <v>39</v>
      </c>
      <c r="B8708" t="str">
        <f>"9:03:14.374447"</f>
        <v>9:03:14.374447</v>
      </c>
      <c r="C8708">
        <v>-46</v>
      </c>
    </row>
    <row r="8709" spans="1:3" x14ac:dyDescent="0.25">
      <c r="A8709">
        <v>39</v>
      </c>
      <c r="B8709" t="str">
        <f>"9:03:14.374966"</f>
        <v>9:03:14.374966</v>
      </c>
      <c r="C8709">
        <v>-31</v>
      </c>
    </row>
    <row r="8710" spans="1:3" x14ac:dyDescent="0.25">
      <c r="A8710">
        <v>39</v>
      </c>
      <c r="B8710" t="str">
        <f>"9:03:14.375291"</f>
        <v>9:03:14.375291</v>
      </c>
      <c r="C8710">
        <v>-45</v>
      </c>
    </row>
    <row r="8711" spans="1:3" x14ac:dyDescent="0.25">
      <c r="A8711">
        <v>37</v>
      </c>
      <c r="B8711" t="str">
        <f>"9:03:14.725170"</f>
        <v>9:03:14.725170</v>
      </c>
      <c r="C8711">
        <v>-44</v>
      </c>
    </row>
    <row r="8712" spans="1:3" x14ac:dyDescent="0.25">
      <c r="A8712">
        <v>37</v>
      </c>
      <c r="B8712" t="str">
        <f>"9:03:14.725688"</f>
        <v>9:03:14.725688</v>
      </c>
      <c r="C8712">
        <v>-36</v>
      </c>
    </row>
    <row r="8713" spans="1:3" x14ac:dyDescent="0.25">
      <c r="A8713">
        <v>37</v>
      </c>
      <c r="B8713" t="str">
        <f>"9:03:14.726014"</f>
        <v>9:03:14.726014</v>
      </c>
      <c r="C8713">
        <v>-44</v>
      </c>
    </row>
    <row r="8714" spans="1:3" x14ac:dyDescent="0.25">
      <c r="A8714">
        <v>38</v>
      </c>
      <c r="B8714" t="str">
        <f>"9:03:14.726790"</f>
        <v>9:03:14.726790</v>
      </c>
      <c r="C8714">
        <v>-41</v>
      </c>
    </row>
    <row r="8715" spans="1:3" x14ac:dyDescent="0.25">
      <c r="A8715">
        <v>39</v>
      </c>
      <c r="B8715" t="str">
        <f>"9:03:14.727816"</f>
        <v>9:03:14.727816</v>
      </c>
      <c r="C8715">
        <v>-46</v>
      </c>
    </row>
    <row r="8716" spans="1:3" x14ac:dyDescent="0.25">
      <c r="A8716">
        <v>37</v>
      </c>
      <c r="B8716" t="str">
        <f>"9:03:15.079723"</f>
        <v>9:03:15.079723</v>
      </c>
      <c r="C8716">
        <v>-44</v>
      </c>
    </row>
    <row r="8717" spans="1:3" x14ac:dyDescent="0.25">
      <c r="A8717">
        <v>37</v>
      </c>
      <c r="B8717" t="str">
        <f>"9:03:15.080242"</f>
        <v>9:03:15.080242</v>
      </c>
      <c r="C8717">
        <v>-36</v>
      </c>
    </row>
    <row r="8718" spans="1:3" x14ac:dyDescent="0.25">
      <c r="A8718">
        <v>37</v>
      </c>
      <c r="B8718" t="str">
        <f>"9:03:15.080568"</f>
        <v>9:03:15.080568</v>
      </c>
      <c r="C8718">
        <v>-45</v>
      </c>
    </row>
    <row r="8719" spans="1:3" x14ac:dyDescent="0.25">
      <c r="A8719">
        <v>38</v>
      </c>
      <c r="B8719" t="str">
        <f>"9:03:15.081345"</f>
        <v>9:03:15.081345</v>
      </c>
      <c r="C8719">
        <v>-41</v>
      </c>
    </row>
    <row r="8720" spans="1:3" x14ac:dyDescent="0.25">
      <c r="A8720">
        <v>39</v>
      </c>
      <c r="B8720" t="str">
        <f>"9:03:15.082371"</f>
        <v>9:03:15.082371</v>
      </c>
      <c r="C8720">
        <v>-46</v>
      </c>
    </row>
    <row r="8721" spans="1:3" x14ac:dyDescent="0.25">
      <c r="A8721">
        <v>37</v>
      </c>
      <c r="B8721" t="str">
        <f>"9:03:15.430709"</f>
        <v>9:03:15.430709</v>
      </c>
      <c r="C8721">
        <v>-44</v>
      </c>
    </row>
    <row r="8722" spans="1:3" x14ac:dyDescent="0.25">
      <c r="A8722">
        <v>37</v>
      </c>
      <c r="B8722" t="str">
        <f>"9:03:15.431227"</f>
        <v>9:03:15.431227</v>
      </c>
      <c r="C8722">
        <v>-36</v>
      </c>
    </row>
    <row r="8723" spans="1:3" x14ac:dyDescent="0.25">
      <c r="A8723">
        <v>37</v>
      </c>
      <c r="B8723" t="str">
        <f>"9:03:15.431553"</f>
        <v>9:03:15.431553</v>
      </c>
      <c r="C8723">
        <v>-44</v>
      </c>
    </row>
    <row r="8724" spans="1:3" x14ac:dyDescent="0.25">
      <c r="A8724">
        <v>38</v>
      </c>
      <c r="B8724" t="str">
        <f>"9:03:15.432329"</f>
        <v>9:03:15.432329</v>
      </c>
      <c r="C8724">
        <v>-41</v>
      </c>
    </row>
    <row r="8725" spans="1:3" x14ac:dyDescent="0.25">
      <c r="A8725">
        <v>39</v>
      </c>
      <c r="B8725" t="str">
        <f>"9:03:15.433355"</f>
        <v>9:03:15.433355</v>
      </c>
      <c r="C8725">
        <v>-46</v>
      </c>
    </row>
    <row r="8726" spans="1:3" x14ac:dyDescent="0.25">
      <c r="A8726">
        <v>37</v>
      </c>
      <c r="B8726" t="str">
        <f>"9:03:15.784815"</f>
        <v>9:03:15.784815</v>
      </c>
      <c r="C8726">
        <v>-44</v>
      </c>
    </row>
    <row r="8727" spans="1:3" x14ac:dyDescent="0.25">
      <c r="A8727">
        <v>37</v>
      </c>
      <c r="B8727" t="str">
        <f>"9:03:15.785333"</f>
        <v>9:03:15.785333</v>
      </c>
      <c r="C8727">
        <v>-36</v>
      </c>
    </row>
    <row r="8728" spans="1:3" x14ac:dyDescent="0.25">
      <c r="A8728">
        <v>37</v>
      </c>
      <c r="B8728" t="str">
        <f>"9:03:15.785659"</f>
        <v>9:03:15.785659</v>
      </c>
      <c r="C8728">
        <v>-44</v>
      </c>
    </row>
    <row r="8729" spans="1:3" x14ac:dyDescent="0.25">
      <c r="A8729">
        <v>38</v>
      </c>
      <c r="B8729" t="str">
        <f>"9:03:15.786435"</f>
        <v>9:03:15.786435</v>
      </c>
      <c r="C8729">
        <v>-41</v>
      </c>
    </row>
    <row r="8730" spans="1:3" x14ac:dyDescent="0.25">
      <c r="A8730">
        <v>39</v>
      </c>
      <c r="B8730" t="str">
        <f>"9:03:15.787461"</f>
        <v>9:03:15.787461</v>
      </c>
      <c r="C8730">
        <v>-46</v>
      </c>
    </row>
    <row r="8731" spans="1:3" x14ac:dyDescent="0.25">
      <c r="A8731">
        <v>37</v>
      </c>
      <c r="B8731" t="str">
        <f>"9:03:16.136792"</f>
        <v>9:03:16.136792</v>
      </c>
      <c r="C8731">
        <v>-44</v>
      </c>
    </row>
    <row r="8732" spans="1:3" x14ac:dyDescent="0.25">
      <c r="A8732">
        <v>37</v>
      </c>
      <c r="B8732" t="str">
        <f>"9:03:16.137310"</f>
        <v>9:03:16.137310</v>
      </c>
      <c r="C8732">
        <v>-36</v>
      </c>
    </row>
    <row r="8733" spans="1:3" x14ac:dyDescent="0.25">
      <c r="A8733">
        <v>37</v>
      </c>
      <c r="B8733" t="str">
        <f>"9:03:16.137636"</f>
        <v>9:03:16.137636</v>
      </c>
      <c r="C8733">
        <v>-44</v>
      </c>
    </row>
    <row r="8734" spans="1:3" x14ac:dyDescent="0.25">
      <c r="A8734">
        <v>38</v>
      </c>
      <c r="B8734" t="str">
        <f>"9:03:16.138412"</f>
        <v>9:03:16.138412</v>
      </c>
      <c r="C8734">
        <v>-41</v>
      </c>
    </row>
    <row r="8735" spans="1:3" x14ac:dyDescent="0.25">
      <c r="A8735">
        <v>39</v>
      </c>
      <c r="B8735" t="str">
        <f>"9:03:16.139438"</f>
        <v>9:03:16.139438</v>
      </c>
      <c r="C8735">
        <v>-46</v>
      </c>
    </row>
    <row r="8736" spans="1:3" x14ac:dyDescent="0.25">
      <c r="A8736">
        <v>37</v>
      </c>
      <c r="B8736" t="str">
        <f>"9:03:16.492636"</f>
        <v>9:03:16.492636</v>
      </c>
      <c r="C8736">
        <v>-45</v>
      </c>
    </row>
    <row r="8737" spans="1:3" x14ac:dyDescent="0.25">
      <c r="A8737">
        <v>37</v>
      </c>
      <c r="B8737" t="str">
        <f>"9:03:16.493155"</f>
        <v>9:03:16.493155</v>
      </c>
      <c r="C8737">
        <v>-36</v>
      </c>
    </row>
    <row r="8738" spans="1:3" x14ac:dyDescent="0.25">
      <c r="A8738">
        <v>37</v>
      </c>
      <c r="B8738" t="str">
        <f>"9:03:16.493482"</f>
        <v>9:03:16.493482</v>
      </c>
      <c r="C8738">
        <v>-45</v>
      </c>
    </row>
    <row r="8739" spans="1:3" x14ac:dyDescent="0.25">
      <c r="A8739">
        <v>38</v>
      </c>
      <c r="B8739" t="str">
        <f>"9:03:16.494258"</f>
        <v>9:03:16.494258</v>
      </c>
      <c r="C8739">
        <v>-41</v>
      </c>
    </row>
    <row r="8740" spans="1:3" x14ac:dyDescent="0.25">
      <c r="A8740">
        <v>39</v>
      </c>
      <c r="B8740" t="str">
        <f>"9:03:16.495284"</f>
        <v>9:03:16.495284</v>
      </c>
      <c r="C8740">
        <v>-46</v>
      </c>
    </row>
    <row r="8741" spans="1:3" x14ac:dyDescent="0.25">
      <c r="A8741">
        <v>37</v>
      </c>
      <c r="B8741" t="str">
        <f>"9:03:16.846991"</f>
        <v>9:03:16.846991</v>
      </c>
      <c r="C8741">
        <v>-44</v>
      </c>
    </row>
    <row r="8742" spans="1:3" x14ac:dyDescent="0.25">
      <c r="A8742">
        <v>37</v>
      </c>
      <c r="B8742" t="str">
        <f>"9:03:16.847511"</f>
        <v>9:03:16.847511</v>
      </c>
      <c r="C8742">
        <v>-36</v>
      </c>
    </row>
    <row r="8743" spans="1:3" x14ac:dyDescent="0.25">
      <c r="A8743">
        <v>37</v>
      </c>
      <c r="B8743" t="str">
        <f>"9:03:16.847836"</f>
        <v>9:03:16.847836</v>
      </c>
      <c r="C8743">
        <v>-44</v>
      </c>
    </row>
    <row r="8744" spans="1:3" x14ac:dyDescent="0.25">
      <c r="A8744">
        <v>38</v>
      </c>
      <c r="B8744" t="str">
        <f>"9:03:16.848613"</f>
        <v>9:03:16.848613</v>
      </c>
      <c r="C8744">
        <v>-41</v>
      </c>
    </row>
    <row r="8745" spans="1:3" x14ac:dyDescent="0.25">
      <c r="A8745">
        <v>39</v>
      </c>
      <c r="B8745" t="str">
        <f>"9:03:16.849639"</f>
        <v>9:03:16.849639</v>
      </c>
      <c r="C8745">
        <v>-46</v>
      </c>
    </row>
    <row r="8746" spans="1:3" x14ac:dyDescent="0.25">
      <c r="A8746">
        <v>37</v>
      </c>
      <c r="B8746" t="str">
        <f>"9:03:17.206678"</f>
        <v>9:03:17.206678</v>
      </c>
      <c r="C8746">
        <v>-44</v>
      </c>
    </row>
    <row r="8747" spans="1:3" x14ac:dyDescent="0.25">
      <c r="A8747">
        <v>37</v>
      </c>
      <c r="B8747" t="str">
        <f>"9:03:17.207197"</f>
        <v>9:03:17.207197</v>
      </c>
      <c r="C8747">
        <v>-36</v>
      </c>
    </row>
    <row r="8748" spans="1:3" x14ac:dyDescent="0.25">
      <c r="A8748">
        <v>37</v>
      </c>
      <c r="B8748" t="str">
        <f>"9:03:17.207522"</f>
        <v>9:03:17.207522</v>
      </c>
      <c r="C8748">
        <v>-44</v>
      </c>
    </row>
    <row r="8749" spans="1:3" x14ac:dyDescent="0.25">
      <c r="A8749">
        <v>38</v>
      </c>
      <c r="B8749" t="str">
        <f>"9:03:17.208298"</f>
        <v>9:03:17.208298</v>
      </c>
      <c r="C8749">
        <v>-41</v>
      </c>
    </row>
    <row r="8750" spans="1:3" x14ac:dyDescent="0.25">
      <c r="A8750">
        <v>39</v>
      </c>
      <c r="B8750" t="str">
        <f>"9:03:17.209324"</f>
        <v>9:03:17.209324</v>
      </c>
      <c r="C8750">
        <v>-46</v>
      </c>
    </row>
    <row r="8751" spans="1:3" x14ac:dyDescent="0.25">
      <c r="A8751">
        <v>37</v>
      </c>
      <c r="B8751" t="str">
        <f>"9:03:17.558668"</f>
        <v>9:03:17.558668</v>
      </c>
      <c r="C8751">
        <v>-44</v>
      </c>
    </row>
    <row r="8752" spans="1:3" x14ac:dyDescent="0.25">
      <c r="A8752">
        <v>38</v>
      </c>
      <c r="B8752" t="str">
        <f>"9:03:17.559695"</f>
        <v>9:03:17.559695</v>
      </c>
      <c r="C8752">
        <v>-41</v>
      </c>
    </row>
    <row r="8753" spans="1:3" x14ac:dyDescent="0.25">
      <c r="A8753">
        <v>39</v>
      </c>
      <c r="B8753" t="str">
        <f>"9:03:17.560721"</f>
        <v>9:03:17.560721</v>
      </c>
      <c r="C8753">
        <v>-46</v>
      </c>
    </row>
    <row r="8754" spans="1:3" x14ac:dyDescent="0.25">
      <c r="A8754">
        <v>37</v>
      </c>
      <c r="B8754" t="str">
        <f>"9:03:17.917649"</f>
        <v>9:03:17.917649</v>
      </c>
      <c r="C8754">
        <v>-44</v>
      </c>
    </row>
    <row r="8755" spans="1:3" x14ac:dyDescent="0.25">
      <c r="A8755">
        <v>37</v>
      </c>
      <c r="B8755" t="str">
        <f>"9:03:17.918168"</f>
        <v>9:03:17.918168</v>
      </c>
      <c r="C8755">
        <v>-40</v>
      </c>
    </row>
    <row r="8756" spans="1:3" x14ac:dyDescent="0.25">
      <c r="A8756">
        <v>37</v>
      </c>
      <c r="B8756" t="str">
        <f>"9:03:17.918494"</f>
        <v>9:03:17.918494</v>
      </c>
      <c r="C8756">
        <v>-44</v>
      </c>
    </row>
    <row r="8757" spans="1:3" x14ac:dyDescent="0.25">
      <c r="A8757">
        <v>38</v>
      </c>
      <c r="B8757" t="str">
        <f>"9:03:17.919270"</f>
        <v>9:03:17.919270</v>
      </c>
      <c r="C8757">
        <v>-41</v>
      </c>
    </row>
    <row r="8758" spans="1:3" x14ac:dyDescent="0.25">
      <c r="A8758">
        <v>39</v>
      </c>
      <c r="B8758" t="str">
        <f>"9:03:17.920296"</f>
        <v>9:03:17.920296</v>
      </c>
      <c r="C8758">
        <v>-46</v>
      </c>
    </row>
    <row r="8759" spans="1:3" x14ac:dyDescent="0.25">
      <c r="A8759">
        <v>37</v>
      </c>
      <c r="B8759" t="str">
        <f>"9:03:18.275359"</f>
        <v>9:03:18.275359</v>
      </c>
      <c r="C8759">
        <v>-44</v>
      </c>
    </row>
    <row r="8760" spans="1:3" x14ac:dyDescent="0.25">
      <c r="A8760">
        <v>37</v>
      </c>
      <c r="B8760" t="str">
        <f>"9:03:18.275878"</f>
        <v>9:03:18.275878</v>
      </c>
      <c r="C8760">
        <v>-40</v>
      </c>
    </row>
    <row r="8761" spans="1:3" x14ac:dyDescent="0.25">
      <c r="A8761">
        <v>37</v>
      </c>
      <c r="B8761" t="str">
        <f>"9:03:18.276204"</f>
        <v>9:03:18.276204</v>
      </c>
      <c r="C8761">
        <v>-44</v>
      </c>
    </row>
    <row r="8762" spans="1:3" x14ac:dyDescent="0.25">
      <c r="A8762">
        <v>38</v>
      </c>
      <c r="B8762" t="str">
        <f>"9:03:18.276980"</f>
        <v>9:03:18.276980</v>
      </c>
      <c r="C8762">
        <v>-41</v>
      </c>
    </row>
    <row r="8763" spans="1:3" x14ac:dyDescent="0.25">
      <c r="A8763">
        <v>39</v>
      </c>
      <c r="B8763" t="str">
        <f>"9:03:18.278006"</f>
        <v>9:03:18.278006</v>
      </c>
      <c r="C8763">
        <v>-46</v>
      </c>
    </row>
    <row r="8764" spans="1:3" x14ac:dyDescent="0.25">
      <c r="A8764">
        <v>37</v>
      </c>
      <c r="B8764" t="str">
        <f>"9:03:18.626102"</f>
        <v>9:03:18.626102</v>
      </c>
      <c r="C8764">
        <v>-44</v>
      </c>
    </row>
    <row r="8765" spans="1:3" x14ac:dyDescent="0.25">
      <c r="A8765">
        <v>37</v>
      </c>
      <c r="B8765" t="str">
        <f>"9:03:18.626621"</f>
        <v>9:03:18.626621</v>
      </c>
      <c r="C8765">
        <v>-40</v>
      </c>
    </row>
    <row r="8766" spans="1:3" x14ac:dyDescent="0.25">
      <c r="A8766">
        <v>37</v>
      </c>
      <c r="B8766" t="str">
        <f>"9:03:18.626947"</f>
        <v>9:03:18.626947</v>
      </c>
      <c r="C8766">
        <v>-44</v>
      </c>
    </row>
    <row r="8767" spans="1:3" x14ac:dyDescent="0.25">
      <c r="A8767">
        <v>38</v>
      </c>
      <c r="B8767" t="str">
        <f>"9:03:18.627723"</f>
        <v>9:03:18.627723</v>
      </c>
      <c r="C8767">
        <v>-41</v>
      </c>
    </row>
    <row r="8768" spans="1:3" x14ac:dyDescent="0.25">
      <c r="A8768">
        <v>39</v>
      </c>
      <c r="B8768" t="str">
        <f>"9:03:18.628749"</f>
        <v>9:03:18.628749</v>
      </c>
      <c r="C8768">
        <v>-45</v>
      </c>
    </row>
    <row r="8769" spans="1:3" x14ac:dyDescent="0.25">
      <c r="A8769">
        <v>37</v>
      </c>
      <c r="B8769" t="str">
        <f>"9:03:18.980184"</f>
        <v>9:03:18.980184</v>
      </c>
      <c r="C8769">
        <v>-44</v>
      </c>
    </row>
    <row r="8770" spans="1:3" x14ac:dyDescent="0.25">
      <c r="A8770">
        <v>37</v>
      </c>
      <c r="B8770" t="str">
        <f>"9:03:18.980703"</f>
        <v>9:03:18.980703</v>
      </c>
      <c r="C8770">
        <v>-40</v>
      </c>
    </row>
    <row r="8771" spans="1:3" x14ac:dyDescent="0.25">
      <c r="A8771">
        <v>37</v>
      </c>
      <c r="B8771" t="str">
        <f>"9:03:18.981028"</f>
        <v>9:03:18.981028</v>
      </c>
      <c r="C8771">
        <v>-44</v>
      </c>
    </row>
    <row r="8772" spans="1:3" x14ac:dyDescent="0.25">
      <c r="A8772">
        <v>38</v>
      </c>
      <c r="B8772" t="str">
        <f>"9:03:18.981805"</f>
        <v>9:03:18.981805</v>
      </c>
      <c r="C8772">
        <v>-41</v>
      </c>
    </row>
    <row r="8773" spans="1:3" x14ac:dyDescent="0.25">
      <c r="A8773">
        <v>39</v>
      </c>
      <c r="B8773" t="str">
        <f>"9:03:18.982831"</f>
        <v>9:03:18.982831</v>
      </c>
      <c r="C8773">
        <v>-45</v>
      </c>
    </row>
    <row r="8774" spans="1:3" x14ac:dyDescent="0.25">
      <c r="A8774">
        <v>37</v>
      </c>
      <c r="B8774" t="str">
        <f>"9:03:19.332927"</f>
        <v>9:03:19.332927</v>
      </c>
      <c r="C8774">
        <v>-44</v>
      </c>
    </row>
    <row r="8775" spans="1:3" x14ac:dyDescent="0.25">
      <c r="A8775">
        <v>37</v>
      </c>
      <c r="B8775" t="str">
        <f>"9:03:19.333446"</f>
        <v>9:03:19.333446</v>
      </c>
      <c r="C8775">
        <v>-40</v>
      </c>
    </row>
    <row r="8776" spans="1:3" x14ac:dyDescent="0.25">
      <c r="A8776">
        <v>37</v>
      </c>
      <c r="B8776" t="str">
        <f>"9:03:19.333772"</f>
        <v>9:03:19.333772</v>
      </c>
      <c r="C8776">
        <v>-44</v>
      </c>
    </row>
    <row r="8777" spans="1:3" x14ac:dyDescent="0.25">
      <c r="A8777">
        <v>38</v>
      </c>
      <c r="B8777" t="str">
        <f>"9:03:19.334548"</f>
        <v>9:03:19.334548</v>
      </c>
      <c r="C8777">
        <v>-41</v>
      </c>
    </row>
    <row r="8778" spans="1:3" x14ac:dyDescent="0.25">
      <c r="A8778">
        <v>39</v>
      </c>
      <c r="B8778" t="str">
        <f>"9:03:19.335574"</f>
        <v>9:03:19.335574</v>
      </c>
      <c r="C8778">
        <v>-45</v>
      </c>
    </row>
    <row r="8779" spans="1:3" x14ac:dyDescent="0.25">
      <c r="A8779">
        <v>37</v>
      </c>
      <c r="B8779" t="str">
        <f>"9:03:19.686026"</f>
        <v>9:03:19.686026</v>
      </c>
      <c r="C8779">
        <v>-44</v>
      </c>
    </row>
    <row r="8780" spans="1:3" x14ac:dyDescent="0.25">
      <c r="A8780">
        <v>38</v>
      </c>
      <c r="B8780" t="str">
        <f>"9:03:19.687053"</f>
        <v>9:03:19.687053</v>
      </c>
      <c r="C8780">
        <v>-41</v>
      </c>
    </row>
    <row r="8781" spans="1:3" x14ac:dyDescent="0.25">
      <c r="A8781">
        <v>38</v>
      </c>
      <c r="B8781" t="str">
        <f>"9:03:19.687572"</f>
        <v>9:03:19.687572</v>
      </c>
      <c r="C8781">
        <v>-32</v>
      </c>
    </row>
    <row r="8782" spans="1:3" x14ac:dyDescent="0.25">
      <c r="A8782">
        <v>38</v>
      </c>
      <c r="B8782" t="str">
        <f>"9:03:19.687897"</f>
        <v>9:03:19.687897</v>
      </c>
      <c r="C8782">
        <v>-41</v>
      </c>
    </row>
    <row r="8783" spans="1:3" x14ac:dyDescent="0.25">
      <c r="A8783">
        <v>39</v>
      </c>
      <c r="B8783" t="str">
        <f>"9:03:19.688673"</f>
        <v>9:03:19.688673</v>
      </c>
      <c r="C8783">
        <v>-45</v>
      </c>
    </row>
    <row r="8784" spans="1:3" x14ac:dyDescent="0.25">
      <c r="A8784">
        <v>37</v>
      </c>
      <c r="B8784" t="str">
        <f>"9:03:20.040054"</f>
        <v>9:03:20.040054</v>
      </c>
      <c r="C8784">
        <v>-44</v>
      </c>
    </row>
    <row r="8785" spans="1:3" x14ac:dyDescent="0.25">
      <c r="A8785">
        <v>38</v>
      </c>
      <c r="B8785" t="str">
        <f>"9:03:20.041081"</f>
        <v>9:03:20.041081</v>
      </c>
      <c r="C8785">
        <v>-41</v>
      </c>
    </row>
    <row r="8786" spans="1:3" x14ac:dyDescent="0.25">
      <c r="A8786">
        <v>38</v>
      </c>
      <c r="B8786" t="str">
        <f>"9:03:20.041600"</f>
        <v>9:03:20.041600</v>
      </c>
      <c r="C8786">
        <v>-32</v>
      </c>
    </row>
    <row r="8787" spans="1:3" x14ac:dyDescent="0.25">
      <c r="A8787">
        <v>38</v>
      </c>
      <c r="B8787" t="str">
        <f>"9:03:20.041926"</f>
        <v>9:03:20.041926</v>
      </c>
      <c r="C8787">
        <v>-41</v>
      </c>
    </row>
    <row r="8788" spans="1:3" x14ac:dyDescent="0.25">
      <c r="A8788">
        <v>39</v>
      </c>
      <c r="B8788" t="str">
        <f>"9:03:20.042701"</f>
        <v>9:03:20.042701</v>
      </c>
      <c r="C8788">
        <v>-45</v>
      </c>
    </row>
    <row r="8789" spans="1:3" x14ac:dyDescent="0.25">
      <c r="A8789">
        <v>37</v>
      </c>
      <c r="B8789" t="str">
        <f>"9:03:20.399501"</f>
        <v>9:03:20.399501</v>
      </c>
      <c r="C8789">
        <v>-44</v>
      </c>
    </row>
    <row r="8790" spans="1:3" x14ac:dyDescent="0.25">
      <c r="A8790">
        <v>38</v>
      </c>
      <c r="B8790" t="str">
        <f>"9:03:20.400529"</f>
        <v>9:03:20.400529</v>
      </c>
      <c r="C8790">
        <v>-41</v>
      </c>
    </row>
    <row r="8791" spans="1:3" x14ac:dyDescent="0.25">
      <c r="A8791">
        <v>39</v>
      </c>
      <c r="B8791" t="str">
        <f>"9:03:20.401555"</f>
        <v>9:03:20.401555</v>
      </c>
      <c r="C8791">
        <v>-45</v>
      </c>
    </row>
    <row r="8792" spans="1:3" x14ac:dyDescent="0.25">
      <c r="A8792">
        <v>37</v>
      </c>
      <c r="B8792" t="str">
        <f>"9:03:20.751045"</f>
        <v>9:03:20.751045</v>
      </c>
      <c r="C8792">
        <v>-44</v>
      </c>
    </row>
    <row r="8793" spans="1:3" x14ac:dyDescent="0.25">
      <c r="A8793">
        <v>38</v>
      </c>
      <c r="B8793" t="str">
        <f>"9:03:20.752072"</f>
        <v>9:03:20.752072</v>
      </c>
      <c r="C8793">
        <v>-41</v>
      </c>
    </row>
    <row r="8794" spans="1:3" x14ac:dyDescent="0.25">
      <c r="A8794">
        <v>38</v>
      </c>
      <c r="B8794" t="str">
        <f>"9:03:20.752591"</f>
        <v>9:03:20.752591</v>
      </c>
      <c r="C8794">
        <v>-32</v>
      </c>
    </row>
    <row r="8795" spans="1:3" x14ac:dyDescent="0.25">
      <c r="A8795">
        <v>38</v>
      </c>
      <c r="B8795" t="str">
        <f>"9:03:20.752917"</f>
        <v>9:03:20.752917</v>
      </c>
      <c r="C8795">
        <v>-41</v>
      </c>
    </row>
    <row r="8796" spans="1:3" x14ac:dyDescent="0.25">
      <c r="A8796">
        <v>39</v>
      </c>
      <c r="B8796" t="str">
        <f>"9:03:20.753693"</f>
        <v>9:03:20.753693</v>
      </c>
      <c r="C8796">
        <v>-46</v>
      </c>
    </row>
    <row r="8797" spans="1:3" x14ac:dyDescent="0.25">
      <c r="A8797">
        <v>37</v>
      </c>
      <c r="B8797" t="str">
        <f>"9:03:21.106667"</f>
        <v>9:03:21.106667</v>
      </c>
      <c r="C8797">
        <v>-44</v>
      </c>
    </row>
    <row r="8798" spans="1:3" x14ac:dyDescent="0.25">
      <c r="A8798">
        <v>38</v>
      </c>
      <c r="B8798" t="str">
        <f>"9:03:21.107694"</f>
        <v>9:03:21.107694</v>
      </c>
      <c r="C8798">
        <v>-41</v>
      </c>
    </row>
    <row r="8799" spans="1:3" x14ac:dyDescent="0.25">
      <c r="A8799">
        <v>38</v>
      </c>
      <c r="B8799" t="str">
        <f>"9:03:21.108212"</f>
        <v>9:03:21.108212</v>
      </c>
      <c r="C8799">
        <v>-32</v>
      </c>
    </row>
    <row r="8800" spans="1:3" x14ac:dyDescent="0.25">
      <c r="A8800">
        <v>38</v>
      </c>
      <c r="B8800" t="str">
        <f>"9:03:21.108538"</f>
        <v>9:03:21.108538</v>
      </c>
      <c r="C8800">
        <v>-41</v>
      </c>
    </row>
    <row r="8801" spans="1:3" x14ac:dyDescent="0.25">
      <c r="A8801">
        <v>39</v>
      </c>
      <c r="B8801" t="str">
        <f>"9:03:21.109314"</f>
        <v>9:03:21.109314</v>
      </c>
      <c r="C8801">
        <v>-45</v>
      </c>
    </row>
    <row r="8802" spans="1:3" x14ac:dyDescent="0.25">
      <c r="A8802">
        <v>37</v>
      </c>
      <c r="B8802" t="str">
        <f>"9:03:21.456688"</f>
        <v>9:03:21.456688</v>
      </c>
      <c r="C8802">
        <v>-44</v>
      </c>
    </row>
    <row r="8803" spans="1:3" x14ac:dyDescent="0.25">
      <c r="A8803">
        <v>38</v>
      </c>
      <c r="B8803" t="str">
        <f>"9:03:21.457715"</f>
        <v>9:03:21.457715</v>
      </c>
      <c r="C8803">
        <v>-41</v>
      </c>
    </row>
    <row r="8804" spans="1:3" x14ac:dyDescent="0.25">
      <c r="A8804">
        <v>38</v>
      </c>
      <c r="B8804" t="str">
        <f>"9:03:21.458233"</f>
        <v>9:03:21.458233</v>
      </c>
      <c r="C8804">
        <v>-31</v>
      </c>
    </row>
    <row r="8805" spans="1:3" x14ac:dyDescent="0.25">
      <c r="A8805">
        <v>38</v>
      </c>
      <c r="B8805" t="str">
        <f>"9:03:21.458559"</f>
        <v>9:03:21.458559</v>
      </c>
      <c r="C8805">
        <v>-41</v>
      </c>
    </row>
    <row r="8806" spans="1:3" x14ac:dyDescent="0.25">
      <c r="A8806">
        <v>39</v>
      </c>
      <c r="B8806" t="str">
        <f>"9:03:21.459335"</f>
        <v>9:03:21.459335</v>
      </c>
      <c r="C8806">
        <v>-45</v>
      </c>
    </row>
    <row r="8807" spans="1:3" x14ac:dyDescent="0.25">
      <c r="A8807">
        <v>37</v>
      </c>
      <c r="B8807" t="str">
        <f>"9:03:21.806934"</f>
        <v>9:03:21.806934</v>
      </c>
      <c r="C8807">
        <v>-44</v>
      </c>
    </row>
    <row r="8808" spans="1:3" x14ac:dyDescent="0.25">
      <c r="A8808">
        <v>38</v>
      </c>
      <c r="B8808" t="str">
        <f>"9:03:21.807962"</f>
        <v>9:03:21.807962</v>
      </c>
      <c r="C8808">
        <v>-41</v>
      </c>
    </row>
    <row r="8809" spans="1:3" x14ac:dyDescent="0.25">
      <c r="A8809">
        <v>38</v>
      </c>
      <c r="B8809" t="str">
        <f>"9:03:21.808480"</f>
        <v>9:03:21.808480</v>
      </c>
      <c r="C8809">
        <v>-32</v>
      </c>
    </row>
    <row r="8810" spans="1:3" x14ac:dyDescent="0.25">
      <c r="A8810">
        <v>38</v>
      </c>
      <c r="B8810" t="str">
        <f>"9:03:21.808807"</f>
        <v>9:03:21.808807</v>
      </c>
      <c r="C8810">
        <v>-41</v>
      </c>
    </row>
    <row r="8811" spans="1:3" x14ac:dyDescent="0.25">
      <c r="A8811">
        <v>39</v>
      </c>
      <c r="B8811" t="str">
        <f>"9:03:21.809583"</f>
        <v>9:03:21.809583</v>
      </c>
      <c r="C8811">
        <v>-45</v>
      </c>
    </row>
    <row r="8812" spans="1:3" x14ac:dyDescent="0.25">
      <c r="A8812">
        <v>37</v>
      </c>
      <c r="B8812" t="str">
        <f>"9:03:22.165154"</f>
        <v>9:03:22.165154</v>
      </c>
      <c r="C8812">
        <v>-43</v>
      </c>
    </row>
    <row r="8813" spans="1:3" x14ac:dyDescent="0.25">
      <c r="A8813">
        <v>38</v>
      </c>
      <c r="B8813" t="str">
        <f>"9:03:22.166181"</f>
        <v>9:03:22.166181</v>
      </c>
      <c r="C8813">
        <v>-41</v>
      </c>
    </row>
    <row r="8814" spans="1:3" x14ac:dyDescent="0.25">
      <c r="A8814">
        <v>38</v>
      </c>
      <c r="B8814" t="str">
        <f>"9:03:22.166699"</f>
        <v>9:03:22.166699</v>
      </c>
      <c r="C8814">
        <v>-31</v>
      </c>
    </row>
    <row r="8815" spans="1:3" x14ac:dyDescent="0.25">
      <c r="A8815">
        <v>38</v>
      </c>
      <c r="B8815" t="str">
        <f>"9:03:22.167025"</f>
        <v>9:03:22.167025</v>
      </c>
      <c r="C8815">
        <v>-41</v>
      </c>
    </row>
    <row r="8816" spans="1:3" x14ac:dyDescent="0.25">
      <c r="A8816">
        <v>39</v>
      </c>
      <c r="B8816" t="str">
        <f>"9:03:22.167801"</f>
        <v>9:03:22.167801</v>
      </c>
      <c r="C8816">
        <v>-45</v>
      </c>
    </row>
    <row r="8817" spans="1:3" x14ac:dyDescent="0.25">
      <c r="A8817">
        <v>37</v>
      </c>
      <c r="B8817" t="str">
        <f>"9:03:22.522813"</f>
        <v>9:03:22.522813</v>
      </c>
      <c r="C8817">
        <v>-44</v>
      </c>
    </row>
    <row r="8818" spans="1:3" x14ac:dyDescent="0.25">
      <c r="A8818">
        <v>38</v>
      </c>
      <c r="B8818" t="str">
        <f>"9:03:22.523840"</f>
        <v>9:03:22.523840</v>
      </c>
      <c r="C8818">
        <v>-41</v>
      </c>
    </row>
    <row r="8819" spans="1:3" x14ac:dyDescent="0.25">
      <c r="A8819">
        <v>39</v>
      </c>
      <c r="B8819" t="str">
        <f>"9:03:22.524866"</f>
        <v>9:03:22.524866</v>
      </c>
      <c r="C8819">
        <v>-45</v>
      </c>
    </row>
    <row r="8820" spans="1:3" x14ac:dyDescent="0.25">
      <c r="A8820">
        <v>37</v>
      </c>
      <c r="B8820" t="str">
        <f>"9:03:22.874536"</f>
        <v>9:03:22.874536</v>
      </c>
      <c r="C8820">
        <v>-44</v>
      </c>
    </row>
    <row r="8821" spans="1:3" x14ac:dyDescent="0.25">
      <c r="A8821">
        <v>38</v>
      </c>
      <c r="B8821" t="str">
        <f>"9:03:22.875564"</f>
        <v>9:03:22.875564</v>
      </c>
      <c r="C8821">
        <v>-41</v>
      </c>
    </row>
    <row r="8822" spans="1:3" x14ac:dyDescent="0.25">
      <c r="A8822">
        <v>39</v>
      </c>
      <c r="B8822" t="str">
        <f>"9:03:22.876590"</f>
        <v>9:03:22.876590</v>
      </c>
      <c r="C8822">
        <v>-46</v>
      </c>
    </row>
    <row r="8823" spans="1:3" x14ac:dyDescent="0.25">
      <c r="A8823">
        <v>37</v>
      </c>
      <c r="B8823" t="str">
        <f>"9:03:23.227367"</f>
        <v>9:03:23.227367</v>
      </c>
      <c r="C8823">
        <v>-44</v>
      </c>
    </row>
    <row r="8824" spans="1:3" x14ac:dyDescent="0.25">
      <c r="A8824">
        <v>38</v>
      </c>
      <c r="B8824" t="str">
        <f>"9:03:23.228394"</f>
        <v>9:03:23.228394</v>
      </c>
      <c r="C8824">
        <v>-41</v>
      </c>
    </row>
    <row r="8825" spans="1:3" x14ac:dyDescent="0.25">
      <c r="A8825">
        <v>38</v>
      </c>
      <c r="B8825" t="str">
        <f>"9:03:23.228913"</f>
        <v>9:03:23.228913</v>
      </c>
      <c r="C8825">
        <v>-32</v>
      </c>
    </row>
    <row r="8826" spans="1:3" x14ac:dyDescent="0.25">
      <c r="A8826">
        <v>38</v>
      </c>
      <c r="B8826" t="str">
        <f>"9:03:23.229239"</f>
        <v>9:03:23.229239</v>
      </c>
      <c r="C8826">
        <v>-41</v>
      </c>
    </row>
    <row r="8827" spans="1:3" x14ac:dyDescent="0.25">
      <c r="A8827">
        <v>39</v>
      </c>
      <c r="B8827" t="str">
        <f>"9:03:23.230015"</f>
        <v>9:03:23.230015</v>
      </c>
      <c r="C8827">
        <v>-45</v>
      </c>
    </row>
    <row r="8828" spans="1:3" x14ac:dyDescent="0.25">
      <c r="A8828">
        <v>37</v>
      </c>
      <c r="B8828" t="str">
        <f>"9:03:23.581745"</f>
        <v>9:03:23.581745</v>
      </c>
      <c r="C8828">
        <v>-44</v>
      </c>
    </row>
    <row r="8829" spans="1:3" x14ac:dyDescent="0.25">
      <c r="A8829">
        <v>38</v>
      </c>
      <c r="B8829" t="str">
        <f>"9:03:23.582772"</f>
        <v>9:03:23.582772</v>
      </c>
      <c r="C8829">
        <v>-41</v>
      </c>
    </row>
    <row r="8830" spans="1:3" x14ac:dyDescent="0.25">
      <c r="A8830">
        <v>38</v>
      </c>
      <c r="B8830" t="str">
        <f>"9:03:23.583290"</f>
        <v>9:03:23.583290</v>
      </c>
      <c r="C8830">
        <v>-32</v>
      </c>
    </row>
    <row r="8831" spans="1:3" x14ac:dyDescent="0.25">
      <c r="A8831">
        <v>38</v>
      </c>
      <c r="B8831" t="str">
        <f>"9:03:23.583616"</f>
        <v>9:03:23.583616</v>
      </c>
      <c r="C8831">
        <v>-41</v>
      </c>
    </row>
    <row r="8832" spans="1:3" x14ac:dyDescent="0.25">
      <c r="A8832">
        <v>39</v>
      </c>
      <c r="B8832" t="str">
        <f>"9:03:23.584392"</f>
        <v>9:03:23.584392</v>
      </c>
      <c r="C8832">
        <v>-46</v>
      </c>
    </row>
    <row r="8833" spans="1:3" x14ac:dyDescent="0.25">
      <c r="A8833">
        <v>37</v>
      </c>
      <c r="B8833" t="str">
        <f>"9:03:23.940218"</f>
        <v>9:03:23.940218</v>
      </c>
      <c r="C8833">
        <v>-44</v>
      </c>
    </row>
    <row r="8834" spans="1:3" x14ac:dyDescent="0.25">
      <c r="A8834">
        <v>38</v>
      </c>
      <c r="B8834" t="str">
        <f>"9:03:23.941246"</f>
        <v>9:03:23.941246</v>
      </c>
      <c r="C8834">
        <v>-41</v>
      </c>
    </row>
    <row r="8835" spans="1:3" x14ac:dyDescent="0.25">
      <c r="A8835">
        <v>38</v>
      </c>
      <c r="B8835" t="str">
        <f>"9:03:23.941764"</f>
        <v>9:03:23.941764</v>
      </c>
      <c r="C8835">
        <v>-32</v>
      </c>
    </row>
    <row r="8836" spans="1:3" x14ac:dyDescent="0.25">
      <c r="A8836">
        <v>38</v>
      </c>
      <c r="B8836" t="str">
        <f>"9:03:23.942091"</f>
        <v>9:03:23.942091</v>
      </c>
      <c r="C8836">
        <v>-41</v>
      </c>
    </row>
    <row r="8837" spans="1:3" x14ac:dyDescent="0.25">
      <c r="A8837">
        <v>39</v>
      </c>
      <c r="B8837" t="str">
        <f>"9:03:23.942867"</f>
        <v>9:03:23.942867</v>
      </c>
      <c r="C8837">
        <v>-45</v>
      </c>
    </row>
    <row r="8838" spans="1:3" x14ac:dyDescent="0.25">
      <c r="A8838">
        <v>37</v>
      </c>
      <c r="B8838" t="str">
        <f>"9:03:24.291997"</f>
        <v>9:03:24.291997</v>
      </c>
      <c r="C8838">
        <v>-44</v>
      </c>
    </row>
    <row r="8839" spans="1:3" x14ac:dyDescent="0.25">
      <c r="A8839">
        <v>37</v>
      </c>
      <c r="B8839" t="str">
        <f>"9:03:24.292516"</f>
        <v>9:03:24.292516</v>
      </c>
      <c r="C8839">
        <v>-78</v>
      </c>
    </row>
    <row r="8840" spans="1:3" x14ac:dyDescent="0.25">
      <c r="A8840">
        <v>37</v>
      </c>
      <c r="B8840" t="str">
        <f>"9:03:24.292842"</f>
        <v>9:03:24.292842</v>
      </c>
      <c r="C8840">
        <v>-44</v>
      </c>
    </row>
    <row r="8841" spans="1:3" x14ac:dyDescent="0.25">
      <c r="A8841">
        <v>38</v>
      </c>
      <c r="B8841" t="str">
        <f>"9:03:24.293618"</f>
        <v>9:03:24.293618</v>
      </c>
      <c r="C8841">
        <v>-41</v>
      </c>
    </row>
    <row r="8842" spans="1:3" x14ac:dyDescent="0.25">
      <c r="A8842">
        <v>38</v>
      </c>
      <c r="B8842" t="str">
        <f>"9:03:24.294138"</f>
        <v>9:03:24.294138</v>
      </c>
      <c r="C8842">
        <v>-32</v>
      </c>
    </row>
    <row r="8843" spans="1:3" x14ac:dyDescent="0.25">
      <c r="A8843">
        <v>38</v>
      </c>
      <c r="B8843" t="str">
        <f>"9:03:24.294464"</f>
        <v>9:03:24.294464</v>
      </c>
      <c r="C8843">
        <v>-41</v>
      </c>
    </row>
    <row r="8844" spans="1:3" x14ac:dyDescent="0.25">
      <c r="A8844">
        <v>39</v>
      </c>
      <c r="B8844" t="str">
        <f>"9:03:24.295240"</f>
        <v>9:03:24.295240</v>
      </c>
      <c r="C8844">
        <v>-45</v>
      </c>
    </row>
    <row r="8845" spans="1:3" x14ac:dyDescent="0.25">
      <c r="A8845">
        <v>37</v>
      </c>
      <c r="B8845" t="str">
        <f>"9:03:24.645785"</f>
        <v>9:03:24.645785</v>
      </c>
      <c r="C8845">
        <v>-44</v>
      </c>
    </row>
    <row r="8846" spans="1:3" x14ac:dyDescent="0.25">
      <c r="A8846">
        <v>38</v>
      </c>
      <c r="B8846" t="str">
        <f>"9:03:24.646813"</f>
        <v>9:03:24.646813</v>
      </c>
      <c r="C8846">
        <v>-41</v>
      </c>
    </row>
    <row r="8847" spans="1:3" x14ac:dyDescent="0.25">
      <c r="A8847">
        <v>39</v>
      </c>
      <c r="B8847" t="str">
        <f>"9:03:24.647839"</f>
        <v>9:03:24.647839</v>
      </c>
      <c r="C8847">
        <v>-45</v>
      </c>
    </row>
    <row r="8848" spans="1:3" x14ac:dyDescent="0.25">
      <c r="A8848">
        <v>39</v>
      </c>
      <c r="B8848" t="str">
        <f>"9:03:24.648357"</f>
        <v>9:03:24.648357</v>
      </c>
      <c r="C8848">
        <v>-30</v>
      </c>
    </row>
    <row r="8849" spans="1:3" x14ac:dyDescent="0.25">
      <c r="A8849">
        <v>39</v>
      </c>
      <c r="B8849" t="str">
        <f>"9:03:24.648683"</f>
        <v>9:03:24.648683</v>
      </c>
      <c r="C8849">
        <v>-45</v>
      </c>
    </row>
    <row r="8850" spans="1:3" x14ac:dyDescent="0.25">
      <c r="A8850">
        <v>37</v>
      </c>
      <c r="B8850" t="str">
        <f>"9:03:25.005525"</f>
        <v>9:03:25.005525</v>
      </c>
      <c r="C8850">
        <v>-44</v>
      </c>
    </row>
    <row r="8851" spans="1:3" x14ac:dyDescent="0.25">
      <c r="A8851">
        <v>37</v>
      </c>
      <c r="B8851" t="str">
        <f>"9:03:25.006371"</f>
        <v>9:03:25.006371</v>
      </c>
      <c r="C8851">
        <v>-44</v>
      </c>
    </row>
    <row r="8852" spans="1:3" x14ac:dyDescent="0.25">
      <c r="A8852">
        <v>38</v>
      </c>
      <c r="B8852" t="str">
        <f>"9:03:25.007147"</f>
        <v>9:03:25.007147</v>
      </c>
      <c r="C8852">
        <v>-41</v>
      </c>
    </row>
    <row r="8853" spans="1:3" x14ac:dyDescent="0.25">
      <c r="A8853">
        <v>39</v>
      </c>
      <c r="B8853" t="str">
        <f>"9:03:25.008173"</f>
        <v>9:03:25.008173</v>
      </c>
      <c r="C8853">
        <v>-46</v>
      </c>
    </row>
    <row r="8854" spans="1:3" x14ac:dyDescent="0.25">
      <c r="A8854">
        <v>39</v>
      </c>
      <c r="B8854" t="str">
        <f>"9:03:25.008692"</f>
        <v>9:03:25.008692</v>
      </c>
      <c r="C8854">
        <v>-30</v>
      </c>
    </row>
    <row r="8855" spans="1:3" x14ac:dyDescent="0.25">
      <c r="A8855">
        <v>39</v>
      </c>
      <c r="B8855" t="str">
        <f>"9:03:25.009018"</f>
        <v>9:03:25.009018</v>
      </c>
      <c r="C8855">
        <v>-45</v>
      </c>
    </row>
    <row r="8856" spans="1:3" x14ac:dyDescent="0.25">
      <c r="A8856">
        <v>37</v>
      </c>
      <c r="B8856" t="str">
        <f>"9:03:25.359584"</f>
        <v>9:03:25.359584</v>
      </c>
      <c r="C8856">
        <v>-44</v>
      </c>
    </row>
    <row r="8857" spans="1:3" x14ac:dyDescent="0.25">
      <c r="A8857">
        <v>38</v>
      </c>
      <c r="B8857" t="str">
        <f>"9:03:25.360611"</f>
        <v>9:03:25.360611</v>
      </c>
      <c r="C8857">
        <v>-41</v>
      </c>
    </row>
    <row r="8858" spans="1:3" x14ac:dyDescent="0.25">
      <c r="A8858">
        <v>39</v>
      </c>
      <c r="B8858" t="str">
        <f>"9:03:25.361637"</f>
        <v>9:03:25.361637</v>
      </c>
      <c r="C8858">
        <v>-46</v>
      </c>
    </row>
    <row r="8859" spans="1:3" x14ac:dyDescent="0.25">
      <c r="A8859">
        <v>39</v>
      </c>
      <c r="B8859" t="str">
        <f>"9:03:25.362156"</f>
        <v>9:03:25.362156</v>
      </c>
      <c r="C8859">
        <v>-30</v>
      </c>
    </row>
    <row r="8860" spans="1:3" x14ac:dyDescent="0.25">
      <c r="A8860">
        <v>39</v>
      </c>
      <c r="B8860" t="str">
        <f>"9:03:25.362481"</f>
        <v>9:03:25.362481</v>
      </c>
      <c r="C8860">
        <v>-46</v>
      </c>
    </row>
    <row r="8861" spans="1:3" x14ac:dyDescent="0.25">
      <c r="A8861">
        <v>37</v>
      </c>
      <c r="B8861" t="str">
        <f>"9:03:25.719519"</f>
        <v>9:03:25.719519</v>
      </c>
      <c r="C8861">
        <v>-44</v>
      </c>
    </row>
    <row r="8862" spans="1:3" x14ac:dyDescent="0.25">
      <c r="A8862">
        <v>38</v>
      </c>
      <c r="B8862" t="str">
        <f>"9:03:25.720547"</f>
        <v>9:03:25.720547</v>
      </c>
      <c r="C8862">
        <v>-41</v>
      </c>
    </row>
    <row r="8863" spans="1:3" x14ac:dyDescent="0.25">
      <c r="A8863">
        <v>39</v>
      </c>
      <c r="B8863" t="str">
        <f>"9:03:25.721573"</f>
        <v>9:03:25.721573</v>
      </c>
      <c r="C8863">
        <v>-46</v>
      </c>
    </row>
    <row r="8864" spans="1:3" x14ac:dyDescent="0.25">
      <c r="A8864">
        <v>39</v>
      </c>
      <c r="B8864" t="str">
        <f>"9:03:25.722091"</f>
        <v>9:03:25.722091</v>
      </c>
      <c r="C8864">
        <v>-31</v>
      </c>
    </row>
    <row r="8865" spans="1:3" x14ac:dyDescent="0.25">
      <c r="A8865">
        <v>39</v>
      </c>
      <c r="B8865" t="str">
        <f>"9:03:25.722417"</f>
        <v>9:03:25.722417</v>
      </c>
      <c r="C8865">
        <v>-46</v>
      </c>
    </row>
    <row r="8866" spans="1:3" x14ac:dyDescent="0.25">
      <c r="A8866">
        <v>37</v>
      </c>
      <c r="B8866" t="str">
        <f>"9:03:26.076206"</f>
        <v>9:03:26.076206</v>
      </c>
      <c r="C8866">
        <v>-44</v>
      </c>
    </row>
    <row r="8867" spans="1:3" x14ac:dyDescent="0.25">
      <c r="A8867">
        <v>38</v>
      </c>
      <c r="B8867" t="str">
        <f>"9:03:26.077233"</f>
        <v>9:03:26.077233</v>
      </c>
      <c r="C8867">
        <v>-41</v>
      </c>
    </row>
    <row r="8868" spans="1:3" x14ac:dyDescent="0.25">
      <c r="A8868">
        <v>39</v>
      </c>
      <c r="B8868" t="str">
        <f>"9:03:26.078259"</f>
        <v>9:03:26.078259</v>
      </c>
      <c r="C8868">
        <v>-46</v>
      </c>
    </row>
    <row r="8869" spans="1:3" x14ac:dyDescent="0.25">
      <c r="A8869">
        <v>39</v>
      </c>
      <c r="B8869" t="str">
        <f>"9:03:26.078778"</f>
        <v>9:03:26.078778</v>
      </c>
      <c r="C8869">
        <v>-31</v>
      </c>
    </row>
    <row r="8870" spans="1:3" x14ac:dyDescent="0.25">
      <c r="A8870">
        <v>39</v>
      </c>
      <c r="B8870" t="str">
        <f>"9:03:26.079103"</f>
        <v>9:03:26.079103</v>
      </c>
      <c r="C8870">
        <v>-45</v>
      </c>
    </row>
    <row r="8871" spans="1:3" x14ac:dyDescent="0.25">
      <c r="A8871">
        <v>37</v>
      </c>
      <c r="B8871" t="str">
        <f>"9:03:26.429494"</f>
        <v>9:03:26.429494</v>
      </c>
      <c r="C8871">
        <v>-44</v>
      </c>
    </row>
    <row r="8872" spans="1:3" x14ac:dyDescent="0.25">
      <c r="A8872">
        <v>38</v>
      </c>
      <c r="B8872" t="str">
        <f>"9:03:26.430521"</f>
        <v>9:03:26.430521</v>
      </c>
      <c r="C8872">
        <v>-41</v>
      </c>
    </row>
    <row r="8873" spans="1:3" x14ac:dyDescent="0.25">
      <c r="A8873">
        <v>39</v>
      </c>
      <c r="B8873" t="str">
        <f>"9:03:26.431547"</f>
        <v>9:03:26.431547</v>
      </c>
      <c r="C8873">
        <v>-46</v>
      </c>
    </row>
    <row r="8874" spans="1:3" x14ac:dyDescent="0.25">
      <c r="A8874">
        <v>39</v>
      </c>
      <c r="B8874" t="str">
        <f>"9:03:26.432066"</f>
        <v>9:03:26.432066</v>
      </c>
      <c r="C8874">
        <v>-31</v>
      </c>
    </row>
    <row r="8875" spans="1:3" x14ac:dyDescent="0.25">
      <c r="A8875">
        <v>39</v>
      </c>
      <c r="B8875" t="str">
        <f>"9:03:26.432391"</f>
        <v>9:03:26.432391</v>
      </c>
      <c r="C8875">
        <v>-45</v>
      </c>
    </row>
    <row r="8876" spans="1:3" x14ac:dyDescent="0.25">
      <c r="A8876">
        <v>37</v>
      </c>
      <c r="B8876" t="str">
        <f>"9:03:26.786909"</f>
        <v>9:03:26.786909</v>
      </c>
      <c r="C8876">
        <v>-44</v>
      </c>
    </row>
    <row r="8877" spans="1:3" x14ac:dyDescent="0.25">
      <c r="A8877">
        <v>38</v>
      </c>
      <c r="B8877" t="str">
        <f>"9:03:26.787937"</f>
        <v>9:03:26.787937</v>
      </c>
      <c r="C8877">
        <v>-41</v>
      </c>
    </row>
    <row r="8878" spans="1:3" x14ac:dyDescent="0.25">
      <c r="A8878">
        <v>39</v>
      </c>
      <c r="B8878" t="str">
        <f>"9:03:26.788963"</f>
        <v>9:03:26.788963</v>
      </c>
      <c r="C8878">
        <v>-45</v>
      </c>
    </row>
    <row r="8879" spans="1:3" x14ac:dyDescent="0.25">
      <c r="A8879">
        <v>39</v>
      </c>
      <c r="B8879" t="str">
        <f>"9:03:26.789481"</f>
        <v>9:03:26.789481</v>
      </c>
      <c r="C8879">
        <v>-31</v>
      </c>
    </row>
    <row r="8880" spans="1:3" x14ac:dyDescent="0.25">
      <c r="A8880">
        <v>39</v>
      </c>
      <c r="B8880" t="str">
        <f>"9:03:26.789807"</f>
        <v>9:03:26.789807</v>
      </c>
      <c r="C8880">
        <v>-45</v>
      </c>
    </row>
    <row r="8881" spans="1:3" x14ac:dyDescent="0.25">
      <c r="A8881">
        <v>37</v>
      </c>
      <c r="B8881" t="str">
        <f>"9:03:27.146888"</f>
        <v>9:03:27.146888</v>
      </c>
      <c r="C8881">
        <v>-44</v>
      </c>
    </row>
    <row r="8882" spans="1:3" x14ac:dyDescent="0.25">
      <c r="A8882">
        <v>38</v>
      </c>
      <c r="B8882" t="str">
        <f>"9:03:27.147915"</f>
        <v>9:03:27.147915</v>
      </c>
      <c r="C8882">
        <v>-41</v>
      </c>
    </row>
    <row r="8883" spans="1:3" x14ac:dyDescent="0.25">
      <c r="A8883">
        <v>39</v>
      </c>
      <c r="B8883" t="str">
        <f>"9:03:27.148941"</f>
        <v>9:03:27.148941</v>
      </c>
      <c r="C8883">
        <v>-45</v>
      </c>
    </row>
    <row r="8884" spans="1:3" x14ac:dyDescent="0.25">
      <c r="A8884">
        <v>39</v>
      </c>
      <c r="B8884" t="str">
        <f>"9:03:27.149459"</f>
        <v>9:03:27.149459</v>
      </c>
      <c r="C8884">
        <v>-31</v>
      </c>
    </row>
    <row r="8885" spans="1:3" x14ac:dyDescent="0.25">
      <c r="A8885">
        <v>39</v>
      </c>
      <c r="B8885" t="str">
        <f>"9:03:27.149785"</f>
        <v>9:03:27.149785</v>
      </c>
      <c r="C8885">
        <v>-45</v>
      </c>
    </row>
    <row r="8886" spans="1:3" x14ac:dyDescent="0.25">
      <c r="A8886">
        <v>37</v>
      </c>
      <c r="B8886" t="str">
        <f>"9:03:27.498382"</f>
        <v>9:03:27.498382</v>
      </c>
      <c r="C8886">
        <v>-44</v>
      </c>
    </row>
    <row r="8887" spans="1:3" x14ac:dyDescent="0.25">
      <c r="A8887">
        <v>38</v>
      </c>
      <c r="B8887" t="str">
        <f>"9:03:27.499410"</f>
        <v>9:03:27.499410</v>
      </c>
      <c r="C8887">
        <v>-42</v>
      </c>
    </row>
    <row r="8888" spans="1:3" x14ac:dyDescent="0.25">
      <c r="A8888">
        <v>39</v>
      </c>
      <c r="B8888" t="str">
        <f>"9:03:27.500436"</f>
        <v>9:03:27.500436</v>
      </c>
      <c r="C8888">
        <v>-46</v>
      </c>
    </row>
    <row r="8889" spans="1:3" x14ac:dyDescent="0.25">
      <c r="A8889">
        <v>37</v>
      </c>
      <c r="B8889" t="str">
        <f>"9:03:27.849352"</f>
        <v>9:03:27.849352</v>
      </c>
      <c r="C8889">
        <v>-44</v>
      </c>
    </row>
    <row r="8890" spans="1:3" x14ac:dyDescent="0.25">
      <c r="A8890">
        <v>38</v>
      </c>
      <c r="B8890" t="str">
        <f>"9:03:27.850379"</f>
        <v>9:03:27.850379</v>
      </c>
      <c r="C8890">
        <v>-41</v>
      </c>
    </row>
    <row r="8891" spans="1:3" x14ac:dyDescent="0.25">
      <c r="A8891">
        <v>38</v>
      </c>
      <c r="B8891" t="str">
        <f>"9:03:27.850898"</f>
        <v>9:03:27.850898</v>
      </c>
      <c r="C8891">
        <v>-81</v>
      </c>
    </row>
    <row r="8892" spans="1:3" x14ac:dyDescent="0.25">
      <c r="A8892">
        <v>38</v>
      </c>
      <c r="B8892" t="str">
        <f>"9:03:27.851224"</f>
        <v>9:03:27.851224</v>
      </c>
      <c r="C8892">
        <v>-42</v>
      </c>
    </row>
    <row r="8893" spans="1:3" x14ac:dyDescent="0.25">
      <c r="A8893">
        <v>39</v>
      </c>
      <c r="B8893" t="str">
        <f>"9:03:27.852000"</f>
        <v>9:03:27.852000</v>
      </c>
      <c r="C8893">
        <v>-45</v>
      </c>
    </row>
    <row r="8894" spans="1:3" x14ac:dyDescent="0.25">
      <c r="A8894">
        <v>37</v>
      </c>
      <c r="B8894" t="str">
        <f>"9:03:28.201398"</f>
        <v>9:03:28.201398</v>
      </c>
      <c r="C8894">
        <v>-44</v>
      </c>
    </row>
    <row r="8895" spans="1:3" x14ac:dyDescent="0.25">
      <c r="A8895">
        <v>38</v>
      </c>
      <c r="B8895" t="str">
        <f>"9:03:28.202425"</f>
        <v>9:03:28.202425</v>
      </c>
      <c r="C8895">
        <v>-41</v>
      </c>
    </row>
    <row r="8896" spans="1:3" x14ac:dyDescent="0.25">
      <c r="A8896">
        <v>39</v>
      </c>
      <c r="B8896" t="str">
        <f>"9:03:28.203451"</f>
        <v>9:03:28.203451</v>
      </c>
      <c r="C8896">
        <v>-45</v>
      </c>
    </row>
    <row r="8897" spans="1:3" x14ac:dyDescent="0.25">
      <c r="A8897">
        <v>39</v>
      </c>
      <c r="B8897" t="str">
        <f>"9:03:28.203969"</f>
        <v>9:03:28.203969</v>
      </c>
      <c r="C8897">
        <v>-31</v>
      </c>
    </row>
    <row r="8898" spans="1:3" x14ac:dyDescent="0.25">
      <c r="A8898">
        <v>39</v>
      </c>
      <c r="B8898" t="str">
        <f>"9:03:28.204295"</f>
        <v>9:03:28.204295</v>
      </c>
      <c r="C8898">
        <v>-45</v>
      </c>
    </row>
    <row r="8899" spans="1:3" x14ac:dyDescent="0.25">
      <c r="A8899">
        <v>37</v>
      </c>
      <c r="B8899" t="str">
        <f>"9:03:28.558042"</f>
        <v>9:03:28.558042</v>
      </c>
      <c r="C8899">
        <v>-44</v>
      </c>
    </row>
    <row r="8900" spans="1:3" x14ac:dyDescent="0.25">
      <c r="A8900">
        <v>38</v>
      </c>
      <c r="B8900" t="str">
        <f>"9:03:28.559070"</f>
        <v>9:03:28.559070</v>
      </c>
      <c r="C8900">
        <v>-41</v>
      </c>
    </row>
    <row r="8901" spans="1:3" x14ac:dyDescent="0.25">
      <c r="A8901">
        <v>39</v>
      </c>
      <c r="B8901" t="str">
        <f>"9:03:28.560096"</f>
        <v>9:03:28.560096</v>
      </c>
      <c r="C8901">
        <v>-45</v>
      </c>
    </row>
    <row r="8902" spans="1:3" x14ac:dyDescent="0.25">
      <c r="A8902">
        <v>39</v>
      </c>
      <c r="B8902" t="str">
        <f>"9:03:28.560614"</f>
        <v>9:03:28.560614</v>
      </c>
      <c r="C8902">
        <v>-31</v>
      </c>
    </row>
    <row r="8903" spans="1:3" x14ac:dyDescent="0.25">
      <c r="A8903">
        <v>39</v>
      </c>
      <c r="B8903" t="str">
        <f>"9:03:28.560940"</f>
        <v>9:03:28.560940</v>
      </c>
      <c r="C8903">
        <v>-45</v>
      </c>
    </row>
    <row r="8904" spans="1:3" x14ac:dyDescent="0.25">
      <c r="A8904">
        <v>37</v>
      </c>
      <c r="B8904" t="str">
        <f>"9:03:28.910048"</f>
        <v>9:03:28.910048</v>
      </c>
      <c r="C8904">
        <v>-44</v>
      </c>
    </row>
    <row r="8905" spans="1:3" x14ac:dyDescent="0.25">
      <c r="A8905">
        <v>38</v>
      </c>
      <c r="B8905" t="str">
        <f>"9:03:28.911076"</f>
        <v>9:03:28.911076</v>
      </c>
      <c r="C8905">
        <v>-41</v>
      </c>
    </row>
    <row r="8906" spans="1:3" x14ac:dyDescent="0.25">
      <c r="A8906">
        <v>39</v>
      </c>
      <c r="B8906" t="str">
        <f>"9:03:28.912102"</f>
        <v>9:03:28.912102</v>
      </c>
      <c r="C8906">
        <v>-45</v>
      </c>
    </row>
    <row r="8907" spans="1:3" x14ac:dyDescent="0.25">
      <c r="A8907">
        <v>39</v>
      </c>
      <c r="B8907" t="str">
        <f>"9:03:28.912620"</f>
        <v>9:03:28.912620</v>
      </c>
      <c r="C8907">
        <v>-31</v>
      </c>
    </row>
    <row r="8908" spans="1:3" x14ac:dyDescent="0.25">
      <c r="A8908">
        <v>39</v>
      </c>
      <c r="B8908" t="str">
        <f>"9:03:28.912947"</f>
        <v>9:03:28.912947</v>
      </c>
      <c r="C8908">
        <v>-45</v>
      </c>
    </row>
    <row r="8909" spans="1:3" x14ac:dyDescent="0.25">
      <c r="A8909">
        <v>37</v>
      </c>
      <c r="B8909" t="str">
        <f>"9:03:29.262099"</f>
        <v>9:03:29.262099</v>
      </c>
      <c r="C8909">
        <v>-44</v>
      </c>
    </row>
    <row r="8910" spans="1:3" x14ac:dyDescent="0.25">
      <c r="A8910">
        <v>37</v>
      </c>
      <c r="B8910" t="str">
        <f>"9:03:29.262944"</f>
        <v>9:03:29.262944</v>
      </c>
      <c r="C8910">
        <v>-44</v>
      </c>
    </row>
    <row r="8911" spans="1:3" x14ac:dyDescent="0.25">
      <c r="A8911">
        <v>38</v>
      </c>
      <c r="B8911" t="str">
        <f>"9:03:29.263720"</f>
        <v>9:03:29.263720</v>
      </c>
      <c r="C8911">
        <v>-41</v>
      </c>
    </row>
    <row r="8912" spans="1:3" x14ac:dyDescent="0.25">
      <c r="A8912">
        <v>39</v>
      </c>
      <c r="B8912" t="str">
        <f>"9:03:29.264746"</f>
        <v>9:03:29.264746</v>
      </c>
      <c r="C8912">
        <v>-45</v>
      </c>
    </row>
    <row r="8913" spans="1:3" x14ac:dyDescent="0.25">
      <c r="A8913">
        <v>39</v>
      </c>
      <c r="B8913" t="str">
        <f>"9:03:29.265264"</f>
        <v>9:03:29.265264</v>
      </c>
      <c r="C8913">
        <v>-31</v>
      </c>
    </row>
    <row r="8914" spans="1:3" x14ac:dyDescent="0.25">
      <c r="A8914">
        <v>39</v>
      </c>
      <c r="B8914" t="str">
        <f>"9:03:29.265591"</f>
        <v>9:03:29.265591</v>
      </c>
      <c r="C8914">
        <v>-45</v>
      </c>
    </row>
    <row r="8915" spans="1:3" x14ac:dyDescent="0.25">
      <c r="A8915">
        <v>37</v>
      </c>
      <c r="B8915" t="str">
        <f>"9:03:29.621806"</f>
        <v>9:03:29.621806</v>
      </c>
      <c r="C8915">
        <v>-44</v>
      </c>
    </row>
    <row r="8916" spans="1:3" x14ac:dyDescent="0.25">
      <c r="A8916">
        <v>37</v>
      </c>
      <c r="B8916" t="str">
        <f>"9:03:29.622325"</f>
        <v>9:03:29.622325</v>
      </c>
      <c r="C8916">
        <v>-40</v>
      </c>
    </row>
    <row r="8917" spans="1:3" x14ac:dyDescent="0.25">
      <c r="A8917">
        <v>37</v>
      </c>
      <c r="B8917" t="str">
        <f>"9:03:29.622652"</f>
        <v>9:03:29.622652</v>
      </c>
      <c r="C8917">
        <v>-44</v>
      </c>
    </row>
    <row r="8918" spans="1:3" x14ac:dyDescent="0.25">
      <c r="A8918">
        <v>38</v>
      </c>
      <c r="B8918" t="str">
        <f>"9:03:29.623428"</f>
        <v>9:03:29.623428</v>
      </c>
      <c r="C8918">
        <v>-41</v>
      </c>
    </row>
    <row r="8919" spans="1:3" x14ac:dyDescent="0.25">
      <c r="A8919">
        <v>39</v>
      </c>
      <c r="B8919" t="str">
        <f>"9:03:29.624454"</f>
        <v>9:03:29.624454</v>
      </c>
      <c r="C8919">
        <v>-46</v>
      </c>
    </row>
    <row r="8920" spans="1:3" x14ac:dyDescent="0.25">
      <c r="A8920">
        <v>37</v>
      </c>
      <c r="B8920" t="str">
        <f>"9:03:29.972277"</f>
        <v>9:03:29.972277</v>
      </c>
      <c r="C8920">
        <v>-44</v>
      </c>
    </row>
    <row r="8921" spans="1:3" x14ac:dyDescent="0.25">
      <c r="A8921">
        <v>37</v>
      </c>
      <c r="B8921" t="str">
        <f>"9:03:29.972796"</f>
        <v>9:03:29.972796</v>
      </c>
      <c r="C8921">
        <v>-40</v>
      </c>
    </row>
    <row r="8922" spans="1:3" x14ac:dyDescent="0.25">
      <c r="A8922">
        <v>37</v>
      </c>
      <c r="B8922" t="str">
        <f>"9:03:29.973122"</f>
        <v>9:03:29.973122</v>
      </c>
      <c r="C8922">
        <v>-44</v>
      </c>
    </row>
    <row r="8923" spans="1:3" x14ac:dyDescent="0.25">
      <c r="A8923">
        <v>38</v>
      </c>
      <c r="B8923" t="str">
        <f>"9:03:29.973898"</f>
        <v>9:03:29.973898</v>
      </c>
      <c r="C8923">
        <v>-41</v>
      </c>
    </row>
    <row r="8924" spans="1:3" x14ac:dyDescent="0.25">
      <c r="A8924">
        <v>39</v>
      </c>
      <c r="B8924" t="str">
        <f>"9:03:29.974924"</f>
        <v>9:03:29.974924</v>
      </c>
      <c r="C8924">
        <v>-46</v>
      </c>
    </row>
    <row r="8925" spans="1:3" x14ac:dyDescent="0.25">
      <c r="A8925">
        <v>37</v>
      </c>
      <c r="B8925" t="str">
        <f>"9:03:30.324828"</f>
        <v>9:03:30.324828</v>
      </c>
      <c r="C8925">
        <v>-44</v>
      </c>
    </row>
    <row r="8926" spans="1:3" x14ac:dyDescent="0.25">
      <c r="A8926">
        <v>37</v>
      </c>
      <c r="B8926" t="str">
        <f>"9:03:30.325347"</f>
        <v>9:03:30.325347</v>
      </c>
      <c r="C8926">
        <v>-40</v>
      </c>
    </row>
    <row r="8927" spans="1:3" x14ac:dyDescent="0.25">
      <c r="A8927">
        <v>37</v>
      </c>
      <c r="B8927" t="str">
        <f>"9:03:30.325673"</f>
        <v>9:03:30.325673</v>
      </c>
      <c r="C8927">
        <v>-44</v>
      </c>
    </row>
    <row r="8928" spans="1:3" x14ac:dyDescent="0.25">
      <c r="A8928">
        <v>38</v>
      </c>
      <c r="B8928" t="str">
        <f>"9:03:30.326449"</f>
        <v>9:03:30.326449</v>
      </c>
      <c r="C8928">
        <v>-41</v>
      </c>
    </row>
    <row r="8929" spans="1:3" x14ac:dyDescent="0.25">
      <c r="A8929">
        <v>39</v>
      </c>
      <c r="B8929" t="str">
        <f>"9:03:30.327475"</f>
        <v>9:03:30.327475</v>
      </c>
      <c r="C8929">
        <v>-46</v>
      </c>
    </row>
    <row r="8930" spans="1:3" x14ac:dyDescent="0.25">
      <c r="A8930">
        <v>37</v>
      </c>
      <c r="B8930" t="str">
        <f>"9:03:30.679926"</f>
        <v>9:03:30.679926</v>
      </c>
      <c r="C8930">
        <v>-44</v>
      </c>
    </row>
    <row r="8931" spans="1:3" x14ac:dyDescent="0.25">
      <c r="A8931">
        <v>37</v>
      </c>
      <c r="B8931" t="str">
        <f>"9:03:30.680445"</f>
        <v>9:03:30.680445</v>
      </c>
      <c r="C8931">
        <v>-40</v>
      </c>
    </row>
    <row r="8932" spans="1:3" x14ac:dyDescent="0.25">
      <c r="A8932">
        <v>37</v>
      </c>
      <c r="B8932" t="str">
        <f>"9:03:30.680771"</f>
        <v>9:03:30.680771</v>
      </c>
      <c r="C8932">
        <v>-44</v>
      </c>
    </row>
    <row r="8933" spans="1:3" x14ac:dyDescent="0.25">
      <c r="A8933">
        <v>38</v>
      </c>
      <c r="B8933" t="str">
        <f>"9:03:30.681547"</f>
        <v>9:03:30.681547</v>
      </c>
      <c r="C8933">
        <v>-41</v>
      </c>
    </row>
    <row r="8934" spans="1:3" x14ac:dyDescent="0.25">
      <c r="A8934">
        <v>39</v>
      </c>
      <c r="B8934" t="str">
        <f>"9:03:30.682573"</f>
        <v>9:03:30.682573</v>
      </c>
      <c r="C8934">
        <v>-46</v>
      </c>
    </row>
    <row r="8935" spans="1:3" x14ac:dyDescent="0.25">
      <c r="A8935">
        <v>37</v>
      </c>
      <c r="B8935" t="str">
        <f>"9:03:31.036276"</f>
        <v>9:03:31.036276</v>
      </c>
      <c r="C8935">
        <v>-44</v>
      </c>
    </row>
    <row r="8936" spans="1:3" x14ac:dyDescent="0.25">
      <c r="A8936">
        <v>37</v>
      </c>
      <c r="B8936" t="str">
        <f>"9:03:31.036795"</f>
        <v>9:03:31.036795</v>
      </c>
      <c r="C8936">
        <v>-40</v>
      </c>
    </row>
    <row r="8937" spans="1:3" x14ac:dyDescent="0.25">
      <c r="A8937">
        <v>37</v>
      </c>
      <c r="B8937" t="str">
        <f>"9:03:31.037121"</f>
        <v>9:03:31.037121</v>
      </c>
      <c r="C8937">
        <v>-44</v>
      </c>
    </row>
    <row r="8938" spans="1:3" x14ac:dyDescent="0.25">
      <c r="A8938">
        <v>38</v>
      </c>
      <c r="B8938" t="str">
        <f>"9:03:31.037897"</f>
        <v>9:03:31.037897</v>
      </c>
      <c r="C8938">
        <v>-41</v>
      </c>
    </row>
    <row r="8939" spans="1:3" x14ac:dyDescent="0.25">
      <c r="A8939">
        <v>39</v>
      </c>
      <c r="B8939" t="str">
        <f>"9:03:31.038923"</f>
        <v>9:03:31.038923</v>
      </c>
      <c r="C8939">
        <v>-45</v>
      </c>
    </row>
    <row r="8940" spans="1:3" x14ac:dyDescent="0.25">
      <c r="A8940">
        <v>37</v>
      </c>
      <c r="B8940" t="str">
        <f>"9:03:31.388767"</f>
        <v>9:03:31.388767</v>
      </c>
      <c r="C8940">
        <v>-44</v>
      </c>
    </row>
    <row r="8941" spans="1:3" x14ac:dyDescent="0.25">
      <c r="A8941">
        <v>38</v>
      </c>
      <c r="B8941" t="str">
        <f>"9:03:31.389794"</f>
        <v>9:03:31.389794</v>
      </c>
      <c r="C8941">
        <v>-41</v>
      </c>
    </row>
    <row r="8942" spans="1:3" x14ac:dyDescent="0.25">
      <c r="A8942">
        <v>39</v>
      </c>
      <c r="B8942" t="str">
        <f>"9:03:31.390820"</f>
        <v>9:03:31.390820</v>
      </c>
      <c r="C8942">
        <v>-46</v>
      </c>
    </row>
    <row r="8943" spans="1:3" x14ac:dyDescent="0.25">
      <c r="A8943">
        <v>37</v>
      </c>
      <c r="B8943" t="str">
        <f>"9:03:31.746460"</f>
        <v>9:03:31.746460</v>
      </c>
      <c r="C8943">
        <v>-44</v>
      </c>
    </row>
    <row r="8944" spans="1:3" x14ac:dyDescent="0.25">
      <c r="A8944">
        <v>37</v>
      </c>
      <c r="B8944" t="str">
        <f>"9:03:31.746979"</f>
        <v>9:03:31.746979</v>
      </c>
      <c r="C8944">
        <v>-40</v>
      </c>
    </row>
    <row r="8945" spans="1:3" x14ac:dyDescent="0.25">
      <c r="A8945">
        <v>37</v>
      </c>
      <c r="B8945" t="str">
        <f>"9:03:31.747304"</f>
        <v>9:03:31.747304</v>
      </c>
      <c r="C8945">
        <v>-44</v>
      </c>
    </row>
    <row r="8946" spans="1:3" x14ac:dyDescent="0.25">
      <c r="A8946">
        <v>38</v>
      </c>
      <c r="B8946" t="str">
        <f>"9:03:31.748081"</f>
        <v>9:03:31.748081</v>
      </c>
      <c r="C8946">
        <v>-41</v>
      </c>
    </row>
    <row r="8947" spans="1:3" x14ac:dyDescent="0.25">
      <c r="A8947">
        <v>39</v>
      </c>
      <c r="B8947" t="str">
        <f>"9:03:31.749107"</f>
        <v>9:03:31.749107</v>
      </c>
      <c r="C8947">
        <v>-45</v>
      </c>
    </row>
    <row r="8948" spans="1:3" x14ac:dyDescent="0.25">
      <c r="A8948">
        <v>37</v>
      </c>
      <c r="B8948" t="str">
        <f>"9:03:32.105123"</f>
        <v>9:03:32.105123</v>
      </c>
      <c r="C8948">
        <v>-44</v>
      </c>
    </row>
    <row r="8949" spans="1:3" x14ac:dyDescent="0.25">
      <c r="A8949">
        <v>37</v>
      </c>
      <c r="B8949" t="str">
        <f>"9:03:32.105642"</f>
        <v>9:03:32.105642</v>
      </c>
      <c r="C8949">
        <v>-39</v>
      </c>
    </row>
    <row r="8950" spans="1:3" x14ac:dyDescent="0.25">
      <c r="A8950">
        <v>37</v>
      </c>
      <c r="B8950" t="str">
        <f>"9:03:32.105968"</f>
        <v>9:03:32.105968</v>
      </c>
      <c r="C8950">
        <v>-44</v>
      </c>
    </row>
    <row r="8951" spans="1:3" x14ac:dyDescent="0.25">
      <c r="A8951">
        <v>38</v>
      </c>
      <c r="B8951" t="str">
        <f>"9:03:32.106744"</f>
        <v>9:03:32.106744</v>
      </c>
      <c r="C8951">
        <v>-41</v>
      </c>
    </row>
    <row r="8952" spans="1:3" x14ac:dyDescent="0.25">
      <c r="A8952">
        <v>39</v>
      </c>
      <c r="B8952" t="str">
        <f>"9:03:32.107770"</f>
        <v>9:03:32.107770</v>
      </c>
      <c r="C8952">
        <v>-45</v>
      </c>
    </row>
    <row r="8953" spans="1:3" x14ac:dyDescent="0.25">
      <c r="A8953">
        <v>37</v>
      </c>
      <c r="B8953" t="str">
        <f>"9:03:32.457895"</f>
        <v>9:03:32.457895</v>
      </c>
      <c r="C8953">
        <v>-44</v>
      </c>
    </row>
    <row r="8954" spans="1:3" x14ac:dyDescent="0.25">
      <c r="A8954">
        <v>37</v>
      </c>
      <c r="B8954" t="str">
        <f>"9:03:32.458413"</f>
        <v>9:03:32.458413</v>
      </c>
      <c r="C8954">
        <v>-39</v>
      </c>
    </row>
    <row r="8955" spans="1:3" x14ac:dyDescent="0.25">
      <c r="A8955">
        <v>37</v>
      </c>
      <c r="B8955" t="str">
        <f>"9:03:32.458739"</f>
        <v>9:03:32.458739</v>
      </c>
      <c r="C8955">
        <v>-44</v>
      </c>
    </row>
    <row r="8956" spans="1:3" x14ac:dyDescent="0.25">
      <c r="A8956">
        <v>38</v>
      </c>
      <c r="B8956" t="str">
        <f>"9:03:32.459515"</f>
        <v>9:03:32.459515</v>
      </c>
      <c r="C8956">
        <v>-41</v>
      </c>
    </row>
    <row r="8957" spans="1:3" x14ac:dyDescent="0.25">
      <c r="A8957">
        <v>39</v>
      </c>
      <c r="B8957" t="str">
        <f>"9:03:32.460541"</f>
        <v>9:03:32.460541</v>
      </c>
      <c r="C8957">
        <v>-46</v>
      </c>
    </row>
    <row r="8958" spans="1:3" x14ac:dyDescent="0.25">
      <c r="A8958">
        <v>37</v>
      </c>
      <c r="B8958" t="str">
        <f>"9:03:32.811252"</f>
        <v>9:03:32.811252</v>
      </c>
      <c r="C8958">
        <v>-44</v>
      </c>
    </row>
    <row r="8959" spans="1:3" x14ac:dyDescent="0.25">
      <c r="A8959">
        <v>37</v>
      </c>
      <c r="B8959" t="str">
        <f>"9:03:32.811771"</f>
        <v>9:03:32.811771</v>
      </c>
      <c r="C8959">
        <v>-38</v>
      </c>
    </row>
    <row r="8960" spans="1:3" x14ac:dyDescent="0.25">
      <c r="A8960">
        <v>37</v>
      </c>
      <c r="B8960" t="str">
        <f>"9:03:32.812097"</f>
        <v>9:03:32.812097</v>
      </c>
      <c r="C8960">
        <v>-44</v>
      </c>
    </row>
    <row r="8961" spans="1:3" x14ac:dyDescent="0.25">
      <c r="A8961">
        <v>38</v>
      </c>
      <c r="B8961" t="str">
        <f>"9:03:32.812874"</f>
        <v>9:03:32.812874</v>
      </c>
      <c r="C8961">
        <v>-41</v>
      </c>
    </row>
    <row r="8962" spans="1:3" x14ac:dyDescent="0.25">
      <c r="A8962">
        <v>39</v>
      </c>
      <c r="B8962" t="str">
        <f>"9:03:32.813900"</f>
        <v>9:03:32.813900</v>
      </c>
      <c r="C8962">
        <v>-46</v>
      </c>
    </row>
    <row r="8963" spans="1:3" x14ac:dyDescent="0.25">
      <c r="A8963">
        <v>37</v>
      </c>
      <c r="B8963" t="str">
        <f>"9:03:33.167601"</f>
        <v>9:03:33.167601</v>
      </c>
      <c r="C8963">
        <v>-44</v>
      </c>
    </row>
    <row r="8964" spans="1:3" x14ac:dyDescent="0.25">
      <c r="A8964">
        <v>37</v>
      </c>
      <c r="B8964" t="str">
        <f>"9:03:33.168119"</f>
        <v>9:03:33.168119</v>
      </c>
      <c r="C8964">
        <v>-38</v>
      </c>
    </row>
    <row r="8965" spans="1:3" x14ac:dyDescent="0.25">
      <c r="A8965">
        <v>37</v>
      </c>
      <c r="B8965" t="str">
        <f>"9:03:33.168446"</f>
        <v>9:03:33.168446</v>
      </c>
      <c r="C8965">
        <v>-44</v>
      </c>
    </row>
    <row r="8966" spans="1:3" x14ac:dyDescent="0.25">
      <c r="A8966">
        <v>38</v>
      </c>
      <c r="B8966" t="str">
        <f>"9:03:33.169222"</f>
        <v>9:03:33.169222</v>
      </c>
      <c r="C8966">
        <v>-41</v>
      </c>
    </row>
    <row r="8967" spans="1:3" x14ac:dyDescent="0.25">
      <c r="A8967">
        <v>39</v>
      </c>
      <c r="B8967" t="str">
        <f>"9:03:33.170248"</f>
        <v>9:03:33.170248</v>
      </c>
      <c r="C8967">
        <v>-46</v>
      </c>
    </row>
    <row r="8968" spans="1:3" x14ac:dyDescent="0.25">
      <c r="A8968">
        <v>37</v>
      </c>
      <c r="B8968" t="str">
        <f>"9:03:33.527017"</f>
        <v>9:03:33.527017</v>
      </c>
      <c r="C8968">
        <v>-44</v>
      </c>
    </row>
    <row r="8969" spans="1:3" x14ac:dyDescent="0.25">
      <c r="A8969">
        <v>37</v>
      </c>
      <c r="B8969" t="str">
        <f>"9:03:33.527535"</f>
        <v>9:03:33.527535</v>
      </c>
      <c r="C8969">
        <v>-38</v>
      </c>
    </row>
    <row r="8970" spans="1:3" x14ac:dyDescent="0.25">
      <c r="A8970">
        <v>37</v>
      </c>
      <c r="B8970" t="str">
        <f>"9:03:33.527861"</f>
        <v>9:03:33.527861</v>
      </c>
      <c r="C8970">
        <v>-44</v>
      </c>
    </row>
    <row r="8971" spans="1:3" x14ac:dyDescent="0.25">
      <c r="A8971">
        <v>38</v>
      </c>
      <c r="B8971" t="str">
        <f>"9:03:33.528637"</f>
        <v>9:03:33.528637</v>
      </c>
      <c r="C8971">
        <v>-41</v>
      </c>
    </row>
    <row r="8972" spans="1:3" x14ac:dyDescent="0.25">
      <c r="A8972">
        <v>39</v>
      </c>
      <c r="B8972" t="str">
        <f>"9:03:33.529663"</f>
        <v>9:03:33.529663</v>
      </c>
      <c r="C8972">
        <v>-46</v>
      </c>
    </row>
    <row r="8973" spans="1:3" x14ac:dyDescent="0.25">
      <c r="A8973">
        <v>37</v>
      </c>
      <c r="B8973" t="str">
        <f>"9:03:33.884400"</f>
        <v>9:03:33.884400</v>
      </c>
      <c r="C8973">
        <v>-44</v>
      </c>
    </row>
    <row r="8974" spans="1:3" x14ac:dyDescent="0.25">
      <c r="A8974">
        <v>37</v>
      </c>
      <c r="B8974" t="str">
        <f>"9:03:33.884919"</f>
        <v>9:03:33.884919</v>
      </c>
      <c r="C8974">
        <v>-38</v>
      </c>
    </row>
    <row r="8975" spans="1:3" x14ac:dyDescent="0.25">
      <c r="A8975">
        <v>37</v>
      </c>
      <c r="B8975" t="str">
        <f>"9:03:33.885245"</f>
        <v>9:03:33.885245</v>
      </c>
      <c r="C8975">
        <v>-44</v>
      </c>
    </row>
    <row r="8976" spans="1:3" x14ac:dyDescent="0.25">
      <c r="A8976">
        <v>38</v>
      </c>
      <c r="B8976" t="str">
        <f>"9:03:33.886021"</f>
        <v>9:03:33.886021</v>
      </c>
      <c r="C8976">
        <v>-41</v>
      </c>
    </row>
    <row r="8977" spans="1:3" x14ac:dyDescent="0.25">
      <c r="A8977">
        <v>39</v>
      </c>
      <c r="B8977" t="str">
        <f>"9:03:33.887047"</f>
        <v>9:03:33.887047</v>
      </c>
      <c r="C8977">
        <v>-46</v>
      </c>
    </row>
    <row r="8978" spans="1:3" x14ac:dyDescent="0.25">
      <c r="A8978">
        <v>37</v>
      </c>
      <c r="B8978" t="str">
        <f>"9:03:34.234841"</f>
        <v>9:03:34.234841</v>
      </c>
      <c r="C8978">
        <v>-44</v>
      </c>
    </row>
    <row r="8979" spans="1:3" x14ac:dyDescent="0.25">
      <c r="A8979">
        <v>38</v>
      </c>
      <c r="B8979" t="str">
        <f>"9:03:34.235869"</f>
        <v>9:03:34.235869</v>
      </c>
      <c r="C8979">
        <v>-41</v>
      </c>
    </row>
    <row r="8980" spans="1:3" x14ac:dyDescent="0.25">
      <c r="A8980">
        <v>39</v>
      </c>
      <c r="B8980" t="str">
        <f>"9:03:34.236895"</f>
        <v>9:03:34.236895</v>
      </c>
      <c r="C8980">
        <v>-46</v>
      </c>
    </row>
    <row r="8981" spans="1:3" x14ac:dyDescent="0.25">
      <c r="A8981">
        <v>37</v>
      </c>
      <c r="B8981" t="str">
        <f>"9:03:34.587375"</f>
        <v>9:03:34.587375</v>
      </c>
      <c r="C8981">
        <v>-45</v>
      </c>
    </row>
    <row r="8982" spans="1:3" x14ac:dyDescent="0.25">
      <c r="A8982">
        <v>38</v>
      </c>
      <c r="B8982" t="str">
        <f>"9:03:34.588403"</f>
        <v>9:03:34.588403</v>
      </c>
      <c r="C8982">
        <v>-41</v>
      </c>
    </row>
    <row r="8983" spans="1:3" x14ac:dyDescent="0.25">
      <c r="A8983">
        <v>38</v>
      </c>
      <c r="B8983" t="str">
        <f>"9:03:34.588921"</f>
        <v>9:03:34.588921</v>
      </c>
      <c r="C8983">
        <v>-32</v>
      </c>
    </row>
    <row r="8984" spans="1:3" x14ac:dyDescent="0.25">
      <c r="A8984">
        <v>38</v>
      </c>
      <c r="B8984" t="str">
        <f>"9:03:34.589247"</f>
        <v>9:03:34.589247</v>
      </c>
      <c r="C8984">
        <v>-41</v>
      </c>
    </row>
    <row r="8985" spans="1:3" x14ac:dyDescent="0.25">
      <c r="A8985">
        <v>39</v>
      </c>
      <c r="B8985" t="str">
        <f>"9:03:34.590023"</f>
        <v>9:03:34.590023</v>
      </c>
      <c r="C8985">
        <v>-45</v>
      </c>
    </row>
    <row r="8986" spans="1:3" x14ac:dyDescent="0.25">
      <c r="A8986">
        <v>37</v>
      </c>
      <c r="B8986" t="str">
        <f>"9:03:34.941157"</f>
        <v>9:03:34.941157</v>
      </c>
      <c r="C8986">
        <v>-44</v>
      </c>
    </row>
    <row r="8987" spans="1:3" x14ac:dyDescent="0.25">
      <c r="A8987">
        <v>38</v>
      </c>
      <c r="B8987" t="str">
        <f>"9:03:34.942185"</f>
        <v>9:03:34.942185</v>
      </c>
      <c r="C8987">
        <v>-41</v>
      </c>
    </row>
    <row r="8988" spans="1:3" x14ac:dyDescent="0.25">
      <c r="A8988">
        <v>39</v>
      </c>
      <c r="B8988" t="str">
        <f>"9:03:34.943211"</f>
        <v>9:03:34.943211</v>
      </c>
      <c r="C8988">
        <v>-46</v>
      </c>
    </row>
    <row r="8989" spans="1:3" x14ac:dyDescent="0.25">
      <c r="A8989">
        <v>37</v>
      </c>
      <c r="B8989" t="str">
        <f>"9:03:35.291679"</f>
        <v>9:03:35.291679</v>
      </c>
      <c r="C8989">
        <v>-44</v>
      </c>
    </row>
    <row r="8990" spans="1:3" x14ac:dyDescent="0.25">
      <c r="A8990">
        <v>38</v>
      </c>
      <c r="B8990" t="str">
        <f>"9:03:35.292706"</f>
        <v>9:03:35.292706</v>
      </c>
      <c r="C8990">
        <v>-41</v>
      </c>
    </row>
    <row r="8991" spans="1:3" x14ac:dyDescent="0.25">
      <c r="A8991">
        <v>38</v>
      </c>
      <c r="B8991" t="str">
        <f>"9:03:35.293224"</f>
        <v>9:03:35.293224</v>
      </c>
      <c r="C8991">
        <v>-32</v>
      </c>
    </row>
    <row r="8992" spans="1:3" x14ac:dyDescent="0.25">
      <c r="A8992">
        <v>38</v>
      </c>
      <c r="B8992" t="str">
        <f>"9:03:35.293550"</f>
        <v>9:03:35.293550</v>
      </c>
      <c r="C8992">
        <v>-41</v>
      </c>
    </row>
    <row r="8993" spans="1:3" x14ac:dyDescent="0.25">
      <c r="A8993">
        <v>39</v>
      </c>
      <c r="B8993" t="str">
        <f>"9:03:35.294326"</f>
        <v>9:03:35.294326</v>
      </c>
      <c r="C8993">
        <v>-46</v>
      </c>
    </row>
    <row r="8994" spans="1:3" x14ac:dyDescent="0.25">
      <c r="A8994">
        <v>37</v>
      </c>
      <c r="B8994" t="str">
        <f>"9:03:35.646728"</f>
        <v>9:03:35.646728</v>
      </c>
      <c r="C8994">
        <v>-44</v>
      </c>
    </row>
    <row r="8995" spans="1:3" x14ac:dyDescent="0.25">
      <c r="A8995">
        <v>37</v>
      </c>
      <c r="B8995" t="str">
        <f>"9:03:35.647573"</f>
        <v>9:03:35.647573</v>
      </c>
      <c r="C8995">
        <v>-44</v>
      </c>
    </row>
    <row r="8996" spans="1:3" x14ac:dyDescent="0.25">
      <c r="A8996">
        <v>38</v>
      </c>
      <c r="B8996" t="str">
        <f>"9:03:35.648349"</f>
        <v>9:03:35.648349</v>
      </c>
      <c r="C8996">
        <v>-41</v>
      </c>
    </row>
    <row r="8997" spans="1:3" x14ac:dyDescent="0.25">
      <c r="A8997">
        <v>38</v>
      </c>
      <c r="B8997" t="str">
        <f>"9:03:35.648868"</f>
        <v>9:03:35.648868</v>
      </c>
      <c r="C8997">
        <v>-32</v>
      </c>
    </row>
    <row r="8998" spans="1:3" x14ac:dyDescent="0.25">
      <c r="A8998">
        <v>38</v>
      </c>
      <c r="B8998" t="str">
        <f>"9:03:35.649194"</f>
        <v>9:03:35.649194</v>
      </c>
      <c r="C8998">
        <v>-41</v>
      </c>
    </row>
    <row r="8999" spans="1:3" x14ac:dyDescent="0.25">
      <c r="A8999">
        <v>39</v>
      </c>
      <c r="B8999" t="str">
        <f>"9:03:35.649970"</f>
        <v>9:03:35.649970</v>
      </c>
      <c r="C8999">
        <v>-46</v>
      </c>
    </row>
    <row r="9000" spans="1:3" x14ac:dyDescent="0.25">
      <c r="A9000">
        <v>37</v>
      </c>
      <c r="B9000" t="str">
        <f>"9:03:36.005645"</f>
        <v>9:03:36.005645</v>
      </c>
      <c r="C9000">
        <v>-44</v>
      </c>
    </row>
    <row r="9001" spans="1:3" x14ac:dyDescent="0.25">
      <c r="A9001">
        <v>38</v>
      </c>
      <c r="B9001" t="str">
        <f>"9:03:36.006673"</f>
        <v>9:03:36.006673</v>
      </c>
      <c r="C9001">
        <v>-42</v>
      </c>
    </row>
    <row r="9002" spans="1:3" x14ac:dyDescent="0.25">
      <c r="A9002">
        <v>38</v>
      </c>
      <c r="B9002" t="str">
        <f>"9:03:36.007191"</f>
        <v>9:03:36.007191</v>
      </c>
      <c r="C9002">
        <v>-32</v>
      </c>
    </row>
    <row r="9003" spans="1:3" x14ac:dyDescent="0.25">
      <c r="A9003">
        <v>38</v>
      </c>
      <c r="B9003" t="str">
        <f>"9:03:36.007517"</f>
        <v>9:03:36.007517</v>
      </c>
      <c r="C9003">
        <v>-41</v>
      </c>
    </row>
    <row r="9004" spans="1:3" x14ac:dyDescent="0.25">
      <c r="A9004">
        <v>39</v>
      </c>
      <c r="B9004" t="str">
        <f>"9:03:36.008293"</f>
        <v>9:03:36.008293</v>
      </c>
      <c r="C9004">
        <v>-46</v>
      </c>
    </row>
    <row r="9005" spans="1:3" x14ac:dyDescent="0.25">
      <c r="A9005">
        <v>37</v>
      </c>
      <c r="B9005" t="str">
        <f>"9:03:36.360942"</f>
        <v>9:03:36.360942</v>
      </c>
      <c r="C9005">
        <v>-44</v>
      </c>
    </row>
    <row r="9006" spans="1:3" x14ac:dyDescent="0.25">
      <c r="A9006">
        <v>38</v>
      </c>
      <c r="B9006" t="str">
        <f>"9:03:36.361969"</f>
        <v>9:03:36.361969</v>
      </c>
      <c r="C9006">
        <v>-41</v>
      </c>
    </row>
    <row r="9007" spans="1:3" x14ac:dyDescent="0.25">
      <c r="A9007">
        <v>38</v>
      </c>
      <c r="B9007" t="str">
        <f>"9:03:36.362487"</f>
        <v>9:03:36.362487</v>
      </c>
      <c r="C9007">
        <v>-32</v>
      </c>
    </row>
    <row r="9008" spans="1:3" x14ac:dyDescent="0.25">
      <c r="A9008">
        <v>38</v>
      </c>
      <c r="B9008" t="str">
        <f>"9:03:36.362813"</f>
        <v>9:03:36.362813</v>
      </c>
      <c r="C9008">
        <v>-41</v>
      </c>
    </row>
    <row r="9009" spans="1:3" x14ac:dyDescent="0.25">
      <c r="A9009">
        <v>39</v>
      </c>
      <c r="B9009" t="str">
        <f>"9:03:36.363589"</f>
        <v>9:03:36.363589</v>
      </c>
      <c r="C9009">
        <v>-45</v>
      </c>
    </row>
    <row r="9010" spans="1:3" x14ac:dyDescent="0.25">
      <c r="A9010">
        <v>37</v>
      </c>
      <c r="B9010" t="str">
        <f>"9:03:36.719329"</f>
        <v>9:03:36.719329</v>
      </c>
      <c r="C9010">
        <v>-44</v>
      </c>
    </row>
    <row r="9011" spans="1:3" x14ac:dyDescent="0.25">
      <c r="A9011">
        <v>38</v>
      </c>
      <c r="B9011" t="str">
        <f>"9:03:36.720356"</f>
        <v>9:03:36.720356</v>
      </c>
      <c r="C9011">
        <v>-41</v>
      </c>
    </row>
    <row r="9012" spans="1:3" x14ac:dyDescent="0.25">
      <c r="A9012">
        <v>38</v>
      </c>
      <c r="B9012" t="str">
        <f>"9:03:36.720875"</f>
        <v>9:03:36.720875</v>
      </c>
      <c r="C9012">
        <v>-32</v>
      </c>
    </row>
    <row r="9013" spans="1:3" x14ac:dyDescent="0.25">
      <c r="A9013">
        <v>38</v>
      </c>
      <c r="B9013" t="str">
        <f>"9:03:36.721200"</f>
        <v>9:03:36.721200</v>
      </c>
      <c r="C9013">
        <v>-41</v>
      </c>
    </row>
    <row r="9014" spans="1:3" x14ac:dyDescent="0.25">
      <c r="A9014">
        <v>39</v>
      </c>
      <c r="B9014" t="str">
        <f>"9:03:36.721976"</f>
        <v>9:03:36.721976</v>
      </c>
      <c r="C9014">
        <v>-45</v>
      </c>
    </row>
    <row r="9015" spans="1:3" x14ac:dyDescent="0.25">
      <c r="A9015">
        <v>37</v>
      </c>
      <c r="B9015" t="str">
        <f>"9:03:37.077802"</f>
        <v>9:03:37.077802</v>
      </c>
      <c r="C9015">
        <v>-44</v>
      </c>
    </row>
    <row r="9016" spans="1:3" x14ac:dyDescent="0.25">
      <c r="A9016">
        <v>38</v>
      </c>
      <c r="B9016" t="str">
        <f>"9:03:37.078829"</f>
        <v>9:03:37.078829</v>
      </c>
      <c r="C9016">
        <v>-41</v>
      </c>
    </row>
    <row r="9017" spans="1:3" x14ac:dyDescent="0.25">
      <c r="A9017">
        <v>38</v>
      </c>
      <c r="B9017" t="str">
        <f>"9:03:37.079348"</f>
        <v>9:03:37.079348</v>
      </c>
      <c r="C9017">
        <v>-32</v>
      </c>
    </row>
    <row r="9018" spans="1:3" x14ac:dyDescent="0.25">
      <c r="A9018">
        <v>38</v>
      </c>
      <c r="B9018" t="str">
        <f>"9:03:37.079673"</f>
        <v>9:03:37.079673</v>
      </c>
      <c r="C9018">
        <v>-41</v>
      </c>
    </row>
    <row r="9019" spans="1:3" x14ac:dyDescent="0.25">
      <c r="A9019">
        <v>39</v>
      </c>
      <c r="B9019" t="str">
        <f>"9:03:37.080449"</f>
        <v>9:03:37.080449</v>
      </c>
      <c r="C9019">
        <v>-45</v>
      </c>
    </row>
    <row r="9020" spans="1:3" x14ac:dyDescent="0.25">
      <c r="A9020">
        <v>37</v>
      </c>
      <c r="B9020" t="str">
        <f>"9:03:37.428754"</f>
        <v>9:03:37.428754</v>
      </c>
      <c r="C9020">
        <v>-44</v>
      </c>
    </row>
    <row r="9021" spans="1:3" x14ac:dyDescent="0.25">
      <c r="A9021">
        <v>38</v>
      </c>
      <c r="B9021" t="str">
        <f>"9:03:37.429782"</f>
        <v>9:03:37.429782</v>
      </c>
      <c r="C9021">
        <v>-41</v>
      </c>
    </row>
    <row r="9022" spans="1:3" x14ac:dyDescent="0.25">
      <c r="A9022">
        <v>38</v>
      </c>
      <c r="B9022" t="str">
        <f>"9:03:37.430300"</f>
        <v>9:03:37.430300</v>
      </c>
      <c r="C9022">
        <v>-32</v>
      </c>
    </row>
    <row r="9023" spans="1:3" x14ac:dyDescent="0.25">
      <c r="A9023">
        <v>38</v>
      </c>
      <c r="B9023" t="str">
        <f>"9:03:37.430626"</f>
        <v>9:03:37.430626</v>
      </c>
      <c r="C9023">
        <v>-41</v>
      </c>
    </row>
    <row r="9024" spans="1:3" x14ac:dyDescent="0.25">
      <c r="A9024">
        <v>39</v>
      </c>
      <c r="B9024" t="str">
        <f>"9:03:37.431402"</f>
        <v>9:03:37.431402</v>
      </c>
      <c r="C9024">
        <v>-45</v>
      </c>
    </row>
    <row r="9025" spans="1:3" x14ac:dyDescent="0.25">
      <c r="A9025">
        <v>37</v>
      </c>
      <c r="B9025" t="str">
        <f>"9:03:37.779716"</f>
        <v>9:03:37.779716</v>
      </c>
      <c r="C9025">
        <v>-44</v>
      </c>
    </row>
    <row r="9026" spans="1:3" x14ac:dyDescent="0.25">
      <c r="A9026">
        <v>38</v>
      </c>
      <c r="B9026" t="str">
        <f>"9:03:37.780741"</f>
        <v>9:03:37.780741</v>
      </c>
      <c r="C9026">
        <v>-41</v>
      </c>
    </row>
    <row r="9027" spans="1:3" x14ac:dyDescent="0.25">
      <c r="A9027">
        <v>38</v>
      </c>
      <c r="B9027" t="str">
        <f>"9:03:37.781260"</f>
        <v>9:03:37.781260</v>
      </c>
      <c r="C9027">
        <v>-32</v>
      </c>
    </row>
    <row r="9028" spans="1:3" x14ac:dyDescent="0.25">
      <c r="A9028">
        <v>38</v>
      </c>
      <c r="B9028" t="str">
        <f>"9:03:37.781586"</f>
        <v>9:03:37.781586</v>
      </c>
      <c r="C9028">
        <v>-41</v>
      </c>
    </row>
    <row r="9029" spans="1:3" x14ac:dyDescent="0.25">
      <c r="A9029">
        <v>39</v>
      </c>
      <c r="B9029" t="str">
        <f>"9:03:37.782360"</f>
        <v>9:03:37.782360</v>
      </c>
      <c r="C9029">
        <v>-45</v>
      </c>
    </row>
    <row r="9030" spans="1:3" x14ac:dyDescent="0.25">
      <c r="A9030">
        <v>37</v>
      </c>
      <c r="B9030" t="str">
        <f>"9:03:38.136613"</f>
        <v>9:03:38.136613</v>
      </c>
      <c r="C9030">
        <v>-44</v>
      </c>
    </row>
    <row r="9031" spans="1:3" x14ac:dyDescent="0.25">
      <c r="A9031">
        <v>38</v>
      </c>
      <c r="B9031" t="str">
        <f>"9:03:38.137641"</f>
        <v>9:03:38.137641</v>
      </c>
      <c r="C9031">
        <v>-41</v>
      </c>
    </row>
    <row r="9032" spans="1:3" x14ac:dyDescent="0.25">
      <c r="A9032">
        <v>38</v>
      </c>
      <c r="B9032" t="str">
        <f>"9:03:38.138159"</f>
        <v>9:03:38.138159</v>
      </c>
      <c r="C9032">
        <v>-32</v>
      </c>
    </row>
    <row r="9033" spans="1:3" x14ac:dyDescent="0.25">
      <c r="A9033">
        <v>38</v>
      </c>
      <c r="B9033" t="str">
        <f>"9:03:38.138485"</f>
        <v>9:03:38.138485</v>
      </c>
      <c r="C9033">
        <v>-41</v>
      </c>
    </row>
    <row r="9034" spans="1:3" x14ac:dyDescent="0.25">
      <c r="A9034">
        <v>39</v>
      </c>
      <c r="B9034" t="str">
        <f>"9:03:38.139261"</f>
        <v>9:03:38.139261</v>
      </c>
      <c r="C9034">
        <v>-45</v>
      </c>
    </row>
    <row r="9035" spans="1:3" x14ac:dyDescent="0.25">
      <c r="A9035">
        <v>37</v>
      </c>
      <c r="B9035" t="str">
        <f>"9:03:38.490442"</f>
        <v>9:03:38.490442</v>
      </c>
      <c r="C9035">
        <v>-44</v>
      </c>
    </row>
    <row r="9036" spans="1:3" x14ac:dyDescent="0.25">
      <c r="A9036">
        <v>38</v>
      </c>
      <c r="B9036" t="str">
        <f>"9:03:38.491469"</f>
        <v>9:03:38.491469</v>
      </c>
      <c r="C9036">
        <v>-41</v>
      </c>
    </row>
    <row r="9037" spans="1:3" x14ac:dyDescent="0.25">
      <c r="A9037">
        <v>38</v>
      </c>
      <c r="B9037" t="str">
        <f>"9:03:38.491988"</f>
        <v>9:03:38.491988</v>
      </c>
      <c r="C9037">
        <v>-32</v>
      </c>
    </row>
    <row r="9038" spans="1:3" x14ac:dyDescent="0.25">
      <c r="A9038">
        <v>38</v>
      </c>
      <c r="B9038" t="str">
        <f>"9:03:38.492314"</f>
        <v>9:03:38.492314</v>
      </c>
      <c r="C9038">
        <v>-41</v>
      </c>
    </row>
    <row r="9039" spans="1:3" x14ac:dyDescent="0.25">
      <c r="A9039">
        <v>39</v>
      </c>
      <c r="B9039" t="str">
        <f>"9:03:38.493090"</f>
        <v>9:03:38.493090</v>
      </c>
      <c r="C9039">
        <v>-46</v>
      </c>
    </row>
    <row r="9040" spans="1:3" x14ac:dyDescent="0.25">
      <c r="A9040">
        <v>37</v>
      </c>
      <c r="B9040" t="str">
        <f>"9:03:38.849605"</f>
        <v>9:03:38.849605</v>
      </c>
      <c r="C9040">
        <v>-44</v>
      </c>
    </row>
    <row r="9041" spans="1:3" x14ac:dyDescent="0.25">
      <c r="A9041">
        <v>37</v>
      </c>
      <c r="B9041" t="str">
        <f>"9:03:38.850450"</f>
        <v>9:03:38.850450</v>
      </c>
      <c r="C9041">
        <v>-44</v>
      </c>
    </row>
    <row r="9042" spans="1:3" x14ac:dyDescent="0.25">
      <c r="A9042">
        <v>38</v>
      </c>
      <c r="B9042" t="str">
        <f>"9:03:38.851226"</f>
        <v>9:03:38.851226</v>
      </c>
      <c r="C9042">
        <v>-41</v>
      </c>
    </row>
    <row r="9043" spans="1:3" x14ac:dyDescent="0.25">
      <c r="A9043">
        <v>38</v>
      </c>
      <c r="B9043" t="str">
        <f>"9:03:38.851745"</f>
        <v>9:03:38.851745</v>
      </c>
      <c r="C9043">
        <v>-32</v>
      </c>
    </row>
    <row r="9044" spans="1:3" x14ac:dyDescent="0.25">
      <c r="A9044">
        <v>38</v>
      </c>
      <c r="B9044" t="str">
        <f>"9:03:38.852070"</f>
        <v>9:03:38.852070</v>
      </c>
      <c r="C9044">
        <v>-41</v>
      </c>
    </row>
    <row r="9045" spans="1:3" x14ac:dyDescent="0.25">
      <c r="A9045">
        <v>39</v>
      </c>
      <c r="B9045" t="str">
        <f>"9:03:38.852846"</f>
        <v>9:03:38.852846</v>
      </c>
      <c r="C9045">
        <v>-46</v>
      </c>
    </row>
    <row r="9046" spans="1:3" x14ac:dyDescent="0.25">
      <c r="A9046">
        <v>37</v>
      </c>
      <c r="B9046" t="str">
        <f>"9:03:39.201578"</f>
        <v>9:03:39.201578</v>
      </c>
      <c r="C9046">
        <v>-44</v>
      </c>
    </row>
    <row r="9047" spans="1:3" x14ac:dyDescent="0.25">
      <c r="A9047">
        <v>38</v>
      </c>
      <c r="B9047" t="str">
        <f>"9:03:39.202605"</f>
        <v>9:03:39.202605</v>
      </c>
      <c r="C9047">
        <v>-41</v>
      </c>
    </row>
    <row r="9048" spans="1:3" x14ac:dyDescent="0.25">
      <c r="A9048">
        <v>38</v>
      </c>
      <c r="B9048" t="str">
        <f>"9:03:39.203124"</f>
        <v>9:03:39.203124</v>
      </c>
      <c r="C9048">
        <v>-32</v>
      </c>
    </row>
    <row r="9049" spans="1:3" x14ac:dyDescent="0.25">
      <c r="A9049">
        <v>38</v>
      </c>
      <c r="B9049" t="str">
        <f>"9:03:39.203450"</f>
        <v>9:03:39.203450</v>
      </c>
      <c r="C9049">
        <v>-41</v>
      </c>
    </row>
    <row r="9050" spans="1:3" x14ac:dyDescent="0.25">
      <c r="A9050">
        <v>39</v>
      </c>
      <c r="B9050" t="str">
        <f>"9:03:39.204226"</f>
        <v>9:03:39.204226</v>
      </c>
      <c r="C9050">
        <v>-46</v>
      </c>
    </row>
    <row r="9051" spans="1:3" x14ac:dyDescent="0.25">
      <c r="A9051">
        <v>37</v>
      </c>
      <c r="B9051" t="str">
        <f>"9:03:39.553823"</f>
        <v>9:03:39.553823</v>
      </c>
      <c r="C9051">
        <v>-44</v>
      </c>
    </row>
    <row r="9052" spans="1:3" x14ac:dyDescent="0.25">
      <c r="A9052">
        <v>38</v>
      </c>
      <c r="B9052" t="str">
        <f>"9:03:39.554850"</f>
        <v>9:03:39.554850</v>
      </c>
      <c r="C9052">
        <v>-42</v>
      </c>
    </row>
    <row r="9053" spans="1:3" x14ac:dyDescent="0.25">
      <c r="A9053">
        <v>39</v>
      </c>
      <c r="B9053" t="str">
        <f>"9:03:39.555876"</f>
        <v>9:03:39.555876</v>
      </c>
      <c r="C9053">
        <v>-46</v>
      </c>
    </row>
    <row r="9054" spans="1:3" x14ac:dyDescent="0.25">
      <c r="A9054">
        <v>37</v>
      </c>
      <c r="B9054" t="str">
        <f>"9:03:39.913058"</f>
        <v>9:03:39.913058</v>
      </c>
      <c r="C9054">
        <v>-44</v>
      </c>
    </row>
    <row r="9055" spans="1:3" x14ac:dyDescent="0.25">
      <c r="A9055">
        <v>38</v>
      </c>
      <c r="B9055" t="str">
        <f>"9:03:39.914086"</f>
        <v>9:03:39.914086</v>
      </c>
      <c r="C9055">
        <v>-41</v>
      </c>
    </row>
    <row r="9056" spans="1:3" x14ac:dyDescent="0.25">
      <c r="A9056">
        <v>39</v>
      </c>
      <c r="B9056" t="str">
        <f>"9:03:39.915112"</f>
        <v>9:03:39.915112</v>
      </c>
      <c r="C9056">
        <v>-46</v>
      </c>
    </row>
    <row r="9057" spans="1:3" x14ac:dyDescent="0.25">
      <c r="A9057">
        <v>39</v>
      </c>
      <c r="B9057" t="str">
        <f>"9:03:39.915630"</f>
        <v>9:03:39.915630</v>
      </c>
      <c r="C9057">
        <v>-31</v>
      </c>
    </row>
    <row r="9058" spans="1:3" x14ac:dyDescent="0.25">
      <c r="A9058">
        <v>39</v>
      </c>
      <c r="B9058" t="str">
        <f>"9:03:39.915956"</f>
        <v>9:03:39.915956</v>
      </c>
      <c r="C9058">
        <v>-45</v>
      </c>
    </row>
    <row r="9059" spans="1:3" x14ac:dyDescent="0.25">
      <c r="A9059">
        <v>37</v>
      </c>
      <c r="B9059" t="str">
        <f>"9:03:40.266644"</f>
        <v>9:03:40.266644</v>
      </c>
      <c r="C9059">
        <v>-44</v>
      </c>
    </row>
    <row r="9060" spans="1:3" x14ac:dyDescent="0.25">
      <c r="A9060">
        <v>38</v>
      </c>
      <c r="B9060" t="str">
        <f>"9:03:40.267672"</f>
        <v>9:03:40.267672</v>
      </c>
      <c r="C9060">
        <v>-41</v>
      </c>
    </row>
    <row r="9061" spans="1:3" x14ac:dyDescent="0.25">
      <c r="A9061">
        <v>39</v>
      </c>
      <c r="B9061" t="str">
        <f>"9:03:40.268698"</f>
        <v>9:03:40.268698</v>
      </c>
      <c r="C9061">
        <v>-46</v>
      </c>
    </row>
    <row r="9062" spans="1:3" x14ac:dyDescent="0.25">
      <c r="A9062">
        <v>39</v>
      </c>
      <c r="B9062" t="str">
        <f>"9:03:40.269216"</f>
        <v>9:03:40.269216</v>
      </c>
      <c r="C9062">
        <v>-31</v>
      </c>
    </row>
    <row r="9063" spans="1:3" x14ac:dyDescent="0.25">
      <c r="A9063">
        <v>39</v>
      </c>
      <c r="B9063" t="str">
        <f>"9:03:40.269542"</f>
        <v>9:03:40.269542</v>
      </c>
      <c r="C9063">
        <v>-45</v>
      </c>
    </row>
    <row r="9064" spans="1:3" x14ac:dyDescent="0.25">
      <c r="A9064">
        <v>37</v>
      </c>
      <c r="B9064" t="str">
        <f>"9:03:40.621755"</f>
        <v>9:03:40.621755</v>
      </c>
      <c r="C9064">
        <v>-44</v>
      </c>
    </row>
    <row r="9065" spans="1:3" x14ac:dyDescent="0.25">
      <c r="A9065">
        <v>38</v>
      </c>
      <c r="B9065" t="str">
        <f>"9:03:40.622782"</f>
        <v>9:03:40.622782</v>
      </c>
      <c r="C9065">
        <v>-41</v>
      </c>
    </row>
    <row r="9066" spans="1:3" x14ac:dyDescent="0.25">
      <c r="A9066">
        <v>39</v>
      </c>
      <c r="B9066" t="str">
        <f>"9:03:40.623808"</f>
        <v>9:03:40.623808</v>
      </c>
      <c r="C9066">
        <v>-45</v>
      </c>
    </row>
    <row r="9067" spans="1:3" x14ac:dyDescent="0.25">
      <c r="A9067">
        <v>39</v>
      </c>
      <c r="B9067" t="str">
        <f>"9:03:40.624327"</f>
        <v>9:03:40.624327</v>
      </c>
      <c r="C9067">
        <v>-31</v>
      </c>
    </row>
    <row r="9068" spans="1:3" x14ac:dyDescent="0.25">
      <c r="A9068">
        <v>39</v>
      </c>
      <c r="B9068" t="str">
        <f>"9:03:40.624653"</f>
        <v>9:03:40.624653</v>
      </c>
      <c r="C9068">
        <v>-45</v>
      </c>
    </row>
    <row r="9069" spans="1:3" x14ac:dyDescent="0.25">
      <c r="A9069">
        <v>37</v>
      </c>
      <c r="B9069" t="str">
        <f>"9:03:40.979677"</f>
        <v>9:03:40.979677</v>
      </c>
      <c r="C9069">
        <v>-44</v>
      </c>
    </row>
    <row r="9070" spans="1:3" x14ac:dyDescent="0.25">
      <c r="A9070">
        <v>38</v>
      </c>
      <c r="B9070" t="str">
        <f>"9:03:40.980704"</f>
        <v>9:03:40.980704</v>
      </c>
      <c r="C9070">
        <v>-41</v>
      </c>
    </row>
    <row r="9071" spans="1:3" x14ac:dyDescent="0.25">
      <c r="A9071">
        <v>39</v>
      </c>
      <c r="B9071" t="str">
        <f>"9:03:40.981730"</f>
        <v>9:03:40.981730</v>
      </c>
      <c r="C9071">
        <v>-46</v>
      </c>
    </row>
    <row r="9072" spans="1:3" x14ac:dyDescent="0.25">
      <c r="A9072">
        <v>39</v>
      </c>
      <c r="B9072" t="str">
        <f>"9:03:40.982248"</f>
        <v>9:03:40.982248</v>
      </c>
      <c r="C9072">
        <v>-31</v>
      </c>
    </row>
    <row r="9073" spans="1:3" x14ac:dyDescent="0.25">
      <c r="A9073">
        <v>39</v>
      </c>
      <c r="B9073" t="str">
        <f>"9:03:40.982574"</f>
        <v>9:03:40.982574</v>
      </c>
      <c r="C9073">
        <v>-45</v>
      </c>
    </row>
    <row r="9074" spans="1:3" x14ac:dyDescent="0.25">
      <c r="A9074">
        <v>37</v>
      </c>
      <c r="B9074" t="str">
        <f>"9:03:41.330671"</f>
        <v>9:03:41.330671</v>
      </c>
      <c r="C9074">
        <v>-44</v>
      </c>
    </row>
    <row r="9075" spans="1:3" x14ac:dyDescent="0.25">
      <c r="A9075">
        <v>38</v>
      </c>
      <c r="B9075" t="str">
        <f>"9:03:41.331698"</f>
        <v>9:03:41.331698</v>
      </c>
      <c r="C9075">
        <v>-41</v>
      </c>
    </row>
    <row r="9076" spans="1:3" x14ac:dyDescent="0.25">
      <c r="A9076">
        <v>39</v>
      </c>
      <c r="B9076" t="str">
        <f>"9:03:41.332724"</f>
        <v>9:03:41.332724</v>
      </c>
      <c r="C9076">
        <v>-45</v>
      </c>
    </row>
    <row r="9077" spans="1:3" x14ac:dyDescent="0.25">
      <c r="A9077">
        <v>39</v>
      </c>
      <c r="B9077" t="str">
        <f>"9:03:41.333242"</f>
        <v>9:03:41.333242</v>
      </c>
      <c r="C9077">
        <v>-31</v>
      </c>
    </row>
    <row r="9078" spans="1:3" x14ac:dyDescent="0.25">
      <c r="A9078">
        <v>39</v>
      </c>
      <c r="B9078" t="str">
        <f>"9:03:41.333568"</f>
        <v>9:03:41.333568</v>
      </c>
      <c r="C9078">
        <v>-45</v>
      </c>
    </row>
    <row r="9079" spans="1:3" x14ac:dyDescent="0.25">
      <c r="A9079">
        <v>37</v>
      </c>
      <c r="B9079" t="str">
        <f>"9:03:41.686070"</f>
        <v>9:03:41.686070</v>
      </c>
      <c r="C9079">
        <v>-44</v>
      </c>
    </row>
    <row r="9080" spans="1:3" x14ac:dyDescent="0.25">
      <c r="A9080">
        <v>38</v>
      </c>
      <c r="B9080" t="str">
        <f>"9:03:41.687097"</f>
        <v>9:03:41.687097</v>
      </c>
      <c r="C9080">
        <v>-41</v>
      </c>
    </row>
    <row r="9081" spans="1:3" x14ac:dyDescent="0.25">
      <c r="A9081">
        <v>39</v>
      </c>
      <c r="B9081" t="str">
        <f>"9:03:41.688123"</f>
        <v>9:03:41.688123</v>
      </c>
      <c r="C9081">
        <v>-45</v>
      </c>
    </row>
    <row r="9082" spans="1:3" x14ac:dyDescent="0.25">
      <c r="A9082">
        <v>39</v>
      </c>
      <c r="B9082" t="str">
        <f>"9:03:41.688641"</f>
        <v>9:03:41.688641</v>
      </c>
      <c r="C9082">
        <v>-31</v>
      </c>
    </row>
    <row r="9083" spans="1:3" x14ac:dyDescent="0.25">
      <c r="A9083">
        <v>39</v>
      </c>
      <c r="B9083" t="str">
        <f>"9:03:41.688967"</f>
        <v>9:03:41.688967</v>
      </c>
      <c r="C9083">
        <v>-45</v>
      </c>
    </row>
    <row r="9084" spans="1:3" x14ac:dyDescent="0.25">
      <c r="A9084">
        <v>37</v>
      </c>
      <c r="B9084" t="str">
        <f>"9:03:42.038372"</f>
        <v>9:03:42.038372</v>
      </c>
      <c r="C9084">
        <v>-44</v>
      </c>
    </row>
    <row r="9085" spans="1:3" x14ac:dyDescent="0.25">
      <c r="A9085">
        <v>38</v>
      </c>
      <c r="B9085" t="str">
        <f>"9:03:42.039399"</f>
        <v>9:03:42.039399</v>
      </c>
      <c r="C9085">
        <v>-41</v>
      </c>
    </row>
    <row r="9086" spans="1:3" x14ac:dyDescent="0.25">
      <c r="A9086">
        <v>37</v>
      </c>
      <c r="B9086" t="str">
        <f>"9:03:42.397826"</f>
        <v>9:03:42.397826</v>
      </c>
      <c r="C9086">
        <v>-44</v>
      </c>
    </row>
    <row r="9087" spans="1:3" x14ac:dyDescent="0.25">
      <c r="A9087">
        <v>38</v>
      </c>
      <c r="B9087" t="str">
        <f>"9:03:42.398854"</f>
        <v>9:03:42.398854</v>
      </c>
      <c r="C9087">
        <v>-41</v>
      </c>
    </row>
    <row r="9088" spans="1:3" x14ac:dyDescent="0.25">
      <c r="A9088">
        <v>39</v>
      </c>
      <c r="B9088" t="str">
        <f>"9:03:42.399880"</f>
        <v>9:03:42.399880</v>
      </c>
      <c r="C9088">
        <v>-45</v>
      </c>
    </row>
    <row r="9089" spans="1:3" x14ac:dyDescent="0.25">
      <c r="A9089">
        <v>39</v>
      </c>
      <c r="B9089" t="str">
        <f>"9:03:42.400398"</f>
        <v>9:03:42.400398</v>
      </c>
      <c r="C9089">
        <v>-31</v>
      </c>
    </row>
    <row r="9090" spans="1:3" x14ac:dyDescent="0.25">
      <c r="A9090">
        <v>39</v>
      </c>
      <c r="B9090" t="str">
        <f>"9:03:42.400725"</f>
        <v>9:03:42.400725</v>
      </c>
      <c r="C9090">
        <v>-45</v>
      </c>
    </row>
    <row r="9091" spans="1:3" x14ac:dyDescent="0.25">
      <c r="A9091">
        <v>37</v>
      </c>
      <c r="B9091" t="str">
        <f>"9:03:42.748596"</f>
        <v>9:03:42.748596</v>
      </c>
      <c r="C9091">
        <v>-44</v>
      </c>
    </row>
    <row r="9092" spans="1:3" x14ac:dyDescent="0.25">
      <c r="A9092">
        <v>38</v>
      </c>
      <c r="B9092" t="str">
        <f>"9:03:42.749624"</f>
        <v>9:03:42.749624</v>
      </c>
      <c r="C9092">
        <v>-41</v>
      </c>
    </row>
    <row r="9093" spans="1:3" x14ac:dyDescent="0.25">
      <c r="A9093">
        <v>39</v>
      </c>
      <c r="B9093" t="str">
        <f>"9:03:42.750650"</f>
        <v>9:03:42.750650</v>
      </c>
      <c r="C9093">
        <v>-46</v>
      </c>
    </row>
    <row r="9094" spans="1:3" x14ac:dyDescent="0.25">
      <c r="A9094">
        <v>37</v>
      </c>
      <c r="B9094" t="str">
        <f>"9:03:43.107785"</f>
        <v>9:03:43.107785</v>
      </c>
      <c r="C9094">
        <v>-44</v>
      </c>
    </row>
    <row r="9095" spans="1:3" x14ac:dyDescent="0.25">
      <c r="A9095">
        <v>38</v>
      </c>
      <c r="B9095" t="str">
        <f>"9:03:43.108813"</f>
        <v>9:03:43.108813</v>
      </c>
      <c r="C9095">
        <v>-41</v>
      </c>
    </row>
    <row r="9096" spans="1:3" x14ac:dyDescent="0.25">
      <c r="A9096">
        <v>39</v>
      </c>
      <c r="B9096" t="str">
        <f>"9:03:43.109839"</f>
        <v>9:03:43.109839</v>
      </c>
      <c r="C9096">
        <v>-46</v>
      </c>
    </row>
    <row r="9097" spans="1:3" x14ac:dyDescent="0.25">
      <c r="A9097">
        <v>39</v>
      </c>
      <c r="B9097" t="str">
        <f>"9:03:43.110357"</f>
        <v>9:03:43.110357</v>
      </c>
      <c r="C9097">
        <v>-31</v>
      </c>
    </row>
    <row r="9098" spans="1:3" x14ac:dyDescent="0.25">
      <c r="A9098">
        <v>39</v>
      </c>
      <c r="B9098" t="str">
        <f>"9:03:43.110683"</f>
        <v>9:03:43.110683</v>
      </c>
      <c r="C9098">
        <v>-45</v>
      </c>
    </row>
    <row r="9099" spans="1:3" x14ac:dyDescent="0.25">
      <c r="A9099">
        <v>37</v>
      </c>
      <c r="B9099" t="str">
        <f>"9:03:43.465185"</f>
        <v>9:03:43.465185</v>
      </c>
      <c r="C9099">
        <v>-44</v>
      </c>
    </row>
    <row r="9100" spans="1:3" x14ac:dyDescent="0.25">
      <c r="A9100">
        <v>38</v>
      </c>
      <c r="B9100" t="str">
        <f>"9:03:43.466213"</f>
        <v>9:03:43.466213</v>
      </c>
      <c r="C9100">
        <v>-41</v>
      </c>
    </row>
    <row r="9101" spans="1:3" x14ac:dyDescent="0.25">
      <c r="A9101">
        <v>39</v>
      </c>
      <c r="B9101" t="str">
        <f>"9:03:43.467239"</f>
        <v>9:03:43.467239</v>
      </c>
      <c r="C9101">
        <v>-46</v>
      </c>
    </row>
    <row r="9102" spans="1:3" x14ac:dyDescent="0.25">
      <c r="A9102">
        <v>39</v>
      </c>
      <c r="B9102" t="str">
        <f>"9:03:43.467757"</f>
        <v>9:03:43.467757</v>
      </c>
      <c r="C9102">
        <v>-31</v>
      </c>
    </row>
    <row r="9103" spans="1:3" x14ac:dyDescent="0.25">
      <c r="A9103">
        <v>39</v>
      </c>
      <c r="B9103" t="str">
        <f>"9:03:43.468083"</f>
        <v>9:03:43.468083</v>
      </c>
      <c r="C9103">
        <v>-45</v>
      </c>
    </row>
    <row r="9104" spans="1:3" x14ac:dyDescent="0.25">
      <c r="A9104">
        <v>37</v>
      </c>
      <c r="B9104" t="str">
        <f>"9:03:43.816145"</f>
        <v>9:03:43.816145</v>
      </c>
      <c r="C9104">
        <v>-44</v>
      </c>
    </row>
    <row r="9105" spans="1:3" x14ac:dyDescent="0.25">
      <c r="A9105">
        <v>38</v>
      </c>
      <c r="B9105" t="str">
        <f>"9:03:43.817172"</f>
        <v>9:03:43.817172</v>
      </c>
      <c r="C9105">
        <v>-41</v>
      </c>
    </row>
    <row r="9106" spans="1:3" x14ac:dyDescent="0.25">
      <c r="A9106">
        <v>39</v>
      </c>
      <c r="B9106" t="str">
        <f>"9:03:43.818198"</f>
        <v>9:03:43.818198</v>
      </c>
      <c r="C9106">
        <v>-45</v>
      </c>
    </row>
    <row r="9107" spans="1:3" x14ac:dyDescent="0.25">
      <c r="A9107">
        <v>37</v>
      </c>
      <c r="B9107" t="str">
        <f>"9:03:44.166417"</f>
        <v>9:03:44.166417</v>
      </c>
      <c r="C9107">
        <v>-44</v>
      </c>
    </row>
    <row r="9108" spans="1:3" x14ac:dyDescent="0.25">
      <c r="A9108">
        <v>38</v>
      </c>
      <c r="B9108" t="str">
        <f>"9:03:44.167445"</f>
        <v>9:03:44.167445</v>
      </c>
      <c r="C9108">
        <v>-41</v>
      </c>
    </row>
    <row r="9109" spans="1:3" x14ac:dyDescent="0.25">
      <c r="A9109">
        <v>39</v>
      </c>
      <c r="B9109" t="str">
        <f>"9:03:44.168471"</f>
        <v>9:03:44.168471</v>
      </c>
      <c r="C9109">
        <v>-45</v>
      </c>
    </row>
    <row r="9110" spans="1:3" x14ac:dyDescent="0.25">
      <c r="A9110">
        <v>39</v>
      </c>
      <c r="B9110" t="str">
        <f>"9:03:44.168989"</f>
        <v>9:03:44.168989</v>
      </c>
      <c r="C9110">
        <v>-31</v>
      </c>
    </row>
    <row r="9111" spans="1:3" x14ac:dyDescent="0.25">
      <c r="A9111">
        <v>39</v>
      </c>
      <c r="B9111" t="str">
        <f>"9:03:44.169315"</f>
        <v>9:03:44.169315</v>
      </c>
      <c r="C9111">
        <v>-45</v>
      </c>
    </row>
    <row r="9112" spans="1:3" x14ac:dyDescent="0.25">
      <c r="A9112">
        <v>37</v>
      </c>
      <c r="B9112" t="str">
        <f>"9:03:44.517424"</f>
        <v>9:03:44.517424</v>
      </c>
      <c r="C9112">
        <v>-44</v>
      </c>
    </row>
    <row r="9113" spans="1:3" x14ac:dyDescent="0.25">
      <c r="A9113">
        <v>38</v>
      </c>
      <c r="B9113" t="str">
        <f>"9:03:44.518451"</f>
        <v>9:03:44.518451</v>
      </c>
      <c r="C9113">
        <v>-41</v>
      </c>
    </row>
    <row r="9114" spans="1:3" x14ac:dyDescent="0.25">
      <c r="A9114">
        <v>39</v>
      </c>
      <c r="B9114" t="str">
        <f>"9:03:44.519477"</f>
        <v>9:03:44.519477</v>
      </c>
      <c r="C9114">
        <v>-45</v>
      </c>
    </row>
    <row r="9115" spans="1:3" x14ac:dyDescent="0.25">
      <c r="A9115">
        <v>37</v>
      </c>
      <c r="B9115" t="str">
        <f>"9:03:44.873306"</f>
        <v>9:03:44.873306</v>
      </c>
      <c r="C9115">
        <v>-44</v>
      </c>
    </row>
    <row r="9116" spans="1:3" x14ac:dyDescent="0.25">
      <c r="A9116">
        <v>37</v>
      </c>
      <c r="B9116" t="str">
        <f>"9:03:44.873825"</f>
        <v>9:03:44.873825</v>
      </c>
      <c r="C9116">
        <v>-38</v>
      </c>
    </row>
    <row r="9117" spans="1:3" x14ac:dyDescent="0.25">
      <c r="A9117">
        <v>37</v>
      </c>
      <c r="B9117" t="str">
        <f>"9:03:44.874151"</f>
        <v>9:03:44.874151</v>
      </c>
      <c r="C9117">
        <v>-44</v>
      </c>
    </row>
    <row r="9118" spans="1:3" x14ac:dyDescent="0.25">
      <c r="A9118">
        <v>38</v>
      </c>
      <c r="B9118" t="str">
        <f>"9:03:44.874928"</f>
        <v>9:03:44.874928</v>
      </c>
      <c r="C9118">
        <v>-41</v>
      </c>
    </row>
    <row r="9119" spans="1:3" x14ac:dyDescent="0.25">
      <c r="A9119">
        <v>39</v>
      </c>
      <c r="B9119" t="str">
        <f>"9:03:44.875954"</f>
        <v>9:03:44.875954</v>
      </c>
      <c r="C9119">
        <v>-45</v>
      </c>
    </row>
    <row r="9120" spans="1:3" x14ac:dyDescent="0.25">
      <c r="A9120">
        <v>37</v>
      </c>
      <c r="B9120" t="str">
        <f>"9:03:45.226647"</f>
        <v>9:03:45.226647</v>
      </c>
      <c r="C9120">
        <v>-44</v>
      </c>
    </row>
    <row r="9121" spans="1:3" x14ac:dyDescent="0.25">
      <c r="A9121">
        <v>37</v>
      </c>
      <c r="B9121" t="str">
        <f>"9:03:45.227166"</f>
        <v>9:03:45.227166</v>
      </c>
      <c r="C9121">
        <v>-37</v>
      </c>
    </row>
    <row r="9122" spans="1:3" x14ac:dyDescent="0.25">
      <c r="A9122">
        <v>37</v>
      </c>
      <c r="B9122" t="str">
        <f>"9:03:45.227492"</f>
        <v>9:03:45.227492</v>
      </c>
      <c r="C9122">
        <v>-44</v>
      </c>
    </row>
    <row r="9123" spans="1:3" x14ac:dyDescent="0.25">
      <c r="A9123">
        <v>38</v>
      </c>
      <c r="B9123" t="str">
        <f>"9:03:45.228268"</f>
        <v>9:03:45.228268</v>
      </c>
      <c r="C9123">
        <v>-41</v>
      </c>
    </row>
    <row r="9124" spans="1:3" x14ac:dyDescent="0.25">
      <c r="A9124">
        <v>39</v>
      </c>
      <c r="B9124" t="str">
        <f>"9:03:45.229294"</f>
        <v>9:03:45.229294</v>
      </c>
      <c r="C9124">
        <v>-45</v>
      </c>
    </row>
    <row r="9125" spans="1:3" x14ac:dyDescent="0.25">
      <c r="A9125">
        <v>37</v>
      </c>
      <c r="B9125" t="str">
        <f>"9:03:45.585585"</f>
        <v>9:03:45.585585</v>
      </c>
      <c r="C9125">
        <v>-44</v>
      </c>
    </row>
    <row r="9126" spans="1:3" x14ac:dyDescent="0.25">
      <c r="A9126">
        <v>37</v>
      </c>
      <c r="B9126" t="str">
        <f>"9:03:45.586103"</f>
        <v>9:03:45.586103</v>
      </c>
      <c r="C9126">
        <v>-37</v>
      </c>
    </row>
    <row r="9127" spans="1:3" x14ac:dyDescent="0.25">
      <c r="A9127">
        <v>37</v>
      </c>
      <c r="B9127" t="str">
        <f>"9:03:45.586429"</f>
        <v>9:03:45.586429</v>
      </c>
      <c r="C9127">
        <v>-44</v>
      </c>
    </row>
    <row r="9128" spans="1:3" x14ac:dyDescent="0.25">
      <c r="A9128">
        <v>38</v>
      </c>
      <c r="B9128" t="str">
        <f>"9:03:45.587205"</f>
        <v>9:03:45.587205</v>
      </c>
      <c r="C9128">
        <v>-41</v>
      </c>
    </row>
    <row r="9129" spans="1:3" x14ac:dyDescent="0.25">
      <c r="A9129">
        <v>39</v>
      </c>
      <c r="B9129" t="str">
        <f>"9:03:45.588231"</f>
        <v>9:03:45.588231</v>
      </c>
      <c r="C9129">
        <v>-45</v>
      </c>
    </row>
    <row r="9130" spans="1:3" x14ac:dyDescent="0.25">
      <c r="A9130">
        <v>37</v>
      </c>
      <c r="B9130" t="str">
        <f>"9:03:45.940684"</f>
        <v>9:03:45.940684</v>
      </c>
      <c r="C9130">
        <v>-44</v>
      </c>
    </row>
    <row r="9131" spans="1:3" x14ac:dyDescent="0.25">
      <c r="A9131">
        <v>37</v>
      </c>
      <c r="B9131" t="str">
        <f>"9:03:45.941202"</f>
        <v>9:03:45.941202</v>
      </c>
      <c r="C9131">
        <v>-37</v>
      </c>
    </row>
    <row r="9132" spans="1:3" x14ac:dyDescent="0.25">
      <c r="A9132">
        <v>37</v>
      </c>
      <c r="B9132" t="str">
        <f>"9:03:45.941528"</f>
        <v>9:03:45.941528</v>
      </c>
      <c r="C9132">
        <v>-44</v>
      </c>
    </row>
    <row r="9133" spans="1:3" x14ac:dyDescent="0.25">
      <c r="A9133">
        <v>38</v>
      </c>
      <c r="B9133" t="str">
        <f>"9:03:45.942305"</f>
        <v>9:03:45.942305</v>
      </c>
      <c r="C9133">
        <v>-41</v>
      </c>
    </row>
    <row r="9134" spans="1:3" x14ac:dyDescent="0.25">
      <c r="A9134">
        <v>39</v>
      </c>
      <c r="B9134" t="str">
        <f>"9:03:45.943331"</f>
        <v>9:03:45.943331</v>
      </c>
      <c r="C9134">
        <v>-45</v>
      </c>
    </row>
    <row r="9135" spans="1:3" x14ac:dyDescent="0.25">
      <c r="A9135">
        <v>37</v>
      </c>
      <c r="B9135" t="str">
        <f>"9:03:46.296777"</f>
        <v>9:03:46.296777</v>
      </c>
      <c r="C9135">
        <v>-44</v>
      </c>
    </row>
    <row r="9136" spans="1:3" x14ac:dyDescent="0.25">
      <c r="A9136">
        <v>37</v>
      </c>
      <c r="B9136" t="str">
        <f>"9:03:46.297296"</f>
        <v>9:03:46.297296</v>
      </c>
      <c r="C9136">
        <v>-37</v>
      </c>
    </row>
    <row r="9137" spans="1:3" x14ac:dyDescent="0.25">
      <c r="A9137">
        <v>37</v>
      </c>
      <c r="B9137" t="str">
        <f>"9:03:46.297622"</f>
        <v>9:03:46.297622</v>
      </c>
      <c r="C9137">
        <v>-44</v>
      </c>
    </row>
    <row r="9138" spans="1:3" x14ac:dyDescent="0.25">
      <c r="A9138">
        <v>38</v>
      </c>
      <c r="B9138" t="str">
        <f>"9:03:46.298398"</f>
        <v>9:03:46.298398</v>
      </c>
      <c r="C9138">
        <v>-41</v>
      </c>
    </row>
    <row r="9139" spans="1:3" x14ac:dyDescent="0.25">
      <c r="A9139">
        <v>39</v>
      </c>
      <c r="B9139" t="str">
        <f>"9:03:46.299424"</f>
        <v>9:03:46.299424</v>
      </c>
      <c r="C9139">
        <v>-45</v>
      </c>
    </row>
    <row r="9140" spans="1:3" x14ac:dyDescent="0.25">
      <c r="A9140">
        <v>37</v>
      </c>
      <c r="B9140" t="str">
        <f>"9:03:46.656738"</f>
        <v>9:03:46.656738</v>
      </c>
      <c r="C9140">
        <v>-44</v>
      </c>
    </row>
    <row r="9141" spans="1:3" x14ac:dyDescent="0.25">
      <c r="A9141">
        <v>38</v>
      </c>
      <c r="B9141" t="str">
        <f>"9:03:46.657765"</f>
        <v>9:03:46.657765</v>
      </c>
      <c r="C9141">
        <v>-41</v>
      </c>
    </row>
    <row r="9142" spans="1:3" x14ac:dyDescent="0.25">
      <c r="A9142">
        <v>39</v>
      </c>
      <c r="B9142" t="str">
        <f>"9:03:46.658791"</f>
        <v>9:03:46.658791</v>
      </c>
      <c r="C9142">
        <v>-45</v>
      </c>
    </row>
    <row r="9143" spans="1:3" x14ac:dyDescent="0.25">
      <c r="A9143">
        <v>37</v>
      </c>
      <c r="B9143" t="str">
        <f>"9:03:47.016414"</f>
        <v>9:03:47.016414</v>
      </c>
      <c r="C9143">
        <v>-44</v>
      </c>
    </row>
    <row r="9144" spans="1:3" x14ac:dyDescent="0.25">
      <c r="A9144">
        <v>37</v>
      </c>
      <c r="B9144" t="str">
        <f>"9:03:47.016932"</f>
        <v>9:03:47.016932</v>
      </c>
      <c r="C9144">
        <v>-38</v>
      </c>
    </row>
    <row r="9145" spans="1:3" x14ac:dyDescent="0.25">
      <c r="A9145">
        <v>37</v>
      </c>
      <c r="B9145" t="str">
        <f>"9:03:47.017258"</f>
        <v>9:03:47.017258</v>
      </c>
      <c r="C9145">
        <v>-44</v>
      </c>
    </row>
    <row r="9146" spans="1:3" x14ac:dyDescent="0.25">
      <c r="A9146">
        <v>38</v>
      </c>
      <c r="B9146" t="str">
        <f>"9:03:47.018034"</f>
        <v>9:03:47.018034</v>
      </c>
      <c r="C9146">
        <v>-41</v>
      </c>
    </row>
    <row r="9147" spans="1:3" x14ac:dyDescent="0.25">
      <c r="A9147">
        <v>39</v>
      </c>
      <c r="B9147" t="str">
        <f>"9:03:47.019060"</f>
        <v>9:03:47.019060</v>
      </c>
      <c r="C9147">
        <v>-45</v>
      </c>
    </row>
    <row r="9148" spans="1:3" x14ac:dyDescent="0.25">
      <c r="A9148">
        <v>37</v>
      </c>
      <c r="B9148" t="str">
        <f>"9:03:47.372777"</f>
        <v>9:03:47.372777</v>
      </c>
      <c r="C9148">
        <v>-44</v>
      </c>
    </row>
    <row r="9149" spans="1:3" x14ac:dyDescent="0.25">
      <c r="A9149">
        <v>38</v>
      </c>
      <c r="B9149" t="str">
        <f>"9:03:47.373804"</f>
        <v>9:03:47.373804</v>
      </c>
      <c r="C9149">
        <v>-41</v>
      </c>
    </row>
    <row r="9150" spans="1:3" x14ac:dyDescent="0.25">
      <c r="A9150">
        <v>39</v>
      </c>
      <c r="B9150" t="str">
        <f>"9:03:47.374830"</f>
        <v>9:03:47.374830</v>
      </c>
      <c r="C9150">
        <v>-45</v>
      </c>
    </row>
    <row r="9151" spans="1:3" x14ac:dyDescent="0.25">
      <c r="A9151">
        <v>37</v>
      </c>
      <c r="B9151" t="str">
        <f>"9:03:47.723525"</f>
        <v>9:03:47.723525</v>
      </c>
      <c r="C9151">
        <v>-44</v>
      </c>
    </row>
    <row r="9152" spans="1:3" x14ac:dyDescent="0.25">
      <c r="A9152">
        <v>37</v>
      </c>
      <c r="B9152" t="str">
        <f>"9:03:47.724043"</f>
        <v>9:03:47.724043</v>
      </c>
      <c r="C9152">
        <v>-38</v>
      </c>
    </row>
    <row r="9153" spans="1:3" x14ac:dyDescent="0.25">
      <c r="A9153">
        <v>37</v>
      </c>
      <c r="B9153" t="str">
        <f>"9:03:47.724369"</f>
        <v>9:03:47.724369</v>
      </c>
      <c r="C9153">
        <v>-44</v>
      </c>
    </row>
    <row r="9154" spans="1:3" x14ac:dyDescent="0.25">
      <c r="A9154">
        <v>38</v>
      </c>
      <c r="B9154" t="str">
        <f>"9:03:47.725145"</f>
        <v>9:03:47.725145</v>
      </c>
      <c r="C9154">
        <v>-41</v>
      </c>
    </row>
    <row r="9155" spans="1:3" x14ac:dyDescent="0.25">
      <c r="A9155">
        <v>39</v>
      </c>
      <c r="B9155" t="str">
        <f>"9:03:47.726171"</f>
        <v>9:03:47.726171</v>
      </c>
      <c r="C9155">
        <v>-45</v>
      </c>
    </row>
    <row r="9156" spans="1:3" x14ac:dyDescent="0.25">
      <c r="A9156">
        <v>37</v>
      </c>
      <c r="B9156" t="str">
        <f>"9:03:48.074255"</f>
        <v>9:03:48.074255</v>
      </c>
      <c r="C9156">
        <v>-44</v>
      </c>
    </row>
    <row r="9157" spans="1:3" x14ac:dyDescent="0.25">
      <c r="A9157">
        <v>37</v>
      </c>
      <c r="B9157" t="str">
        <f>"9:03:48.074773"</f>
        <v>9:03:48.074773</v>
      </c>
      <c r="C9157">
        <v>-40</v>
      </c>
    </row>
    <row r="9158" spans="1:3" x14ac:dyDescent="0.25">
      <c r="A9158">
        <v>37</v>
      </c>
      <c r="B9158" t="str">
        <f>"9:03:48.075099"</f>
        <v>9:03:48.075099</v>
      </c>
      <c r="C9158">
        <v>-44</v>
      </c>
    </row>
    <row r="9159" spans="1:3" x14ac:dyDescent="0.25">
      <c r="A9159">
        <v>38</v>
      </c>
      <c r="B9159" t="str">
        <f>"9:03:48.075876"</f>
        <v>9:03:48.075876</v>
      </c>
      <c r="C9159">
        <v>-41</v>
      </c>
    </row>
    <row r="9160" spans="1:3" x14ac:dyDescent="0.25">
      <c r="A9160">
        <v>39</v>
      </c>
      <c r="B9160" t="str">
        <f>"9:03:48.076902"</f>
        <v>9:03:48.076902</v>
      </c>
      <c r="C9160">
        <v>-46</v>
      </c>
    </row>
    <row r="9161" spans="1:3" x14ac:dyDescent="0.25">
      <c r="A9161">
        <v>37</v>
      </c>
      <c r="B9161" t="str">
        <f>"9:03:48.425462"</f>
        <v>9:03:48.425462</v>
      </c>
      <c r="C9161">
        <v>-44</v>
      </c>
    </row>
    <row r="9162" spans="1:3" x14ac:dyDescent="0.25">
      <c r="A9162">
        <v>37</v>
      </c>
      <c r="B9162" t="str">
        <f>"9:03:48.425981"</f>
        <v>9:03:48.425981</v>
      </c>
      <c r="C9162">
        <v>-39</v>
      </c>
    </row>
    <row r="9163" spans="1:3" x14ac:dyDescent="0.25">
      <c r="A9163">
        <v>37</v>
      </c>
      <c r="B9163" t="str">
        <f>"9:03:48.426307"</f>
        <v>9:03:48.426307</v>
      </c>
      <c r="C9163">
        <v>-44</v>
      </c>
    </row>
    <row r="9164" spans="1:3" x14ac:dyDescent="0.25">
      <c r="A9164">
        <v>38</v>
      </c>
      <c r="B9164" t="str">
        <f>"9:03:48.427083"</f>
        <v>9:03:48.427083</v>
      </c>
      <c r="C9164">
        <v>-41</v>
      </c>
    </row>
    <row r="9165" spans="1:3" x14ac:dyDescent="0.25">
      <c r="A9165">
        <v>39</v>
      </c>
      <c r="B9165" t="str">
        <f>"9:03:48.428109"</f>
        <v>9:03:48.428109</v>
      </c>
      <c r="C9165">
        <v>-45</v>
      </c>
    </row>
    <row r="9166" spans="1:3" x14ac:dyDescent="0.25">
      <c r="A9166">
        <v>37</v>
      </c>
      <c r="B9166" t="str">
        <f>"9:03:48.779807"</f>
        <v>9:03:48.779807</v>
      </c>
      <c r="C9166">
        <v>-44</v>
      </c>
    </row>
    <row r="9167" spans="1:3" x14ac:dyDescent="0.25">
      <c r="A9167">
        <v>37</v>
      </c>
      <c r="B9167" t="str">
        <f>"9:03:48.780326"</f>
        <v>9:03:48.780326</v>
      </c>
      <c r="C9167">
        <v>-39</v>
      </c>
    </row>
    <row r="9168" spans="1:3" x14ac:dyDescent="0.25">
      <c r="A9168">
        <v>37</v>
      </c>
      <c r="B9168" t="str">
        <f>"9:03:48.780652"</f>
        <v>9:03:48.780652</v>
      </c>
      <c r="C9168">
        <v>-44</v>
      </c>
    </row>
    <row r="9169" spans="1:3" x14ac:dyDescent="0.25">
      <c r="A9169">
        <v>38</v>
      </c>
      <c r="B9169" t="str">
        <f>"9:03:48.781428"</f>
        <v>9:03:48.781428</v>
      </c>
      <c r="C9169">
        <v>-41</v>
      </c>
    </row>
    <row r="9170" spans="1:3" x14ac:dyDescent="0.25">
      <c r="A9170">
        <v>39</v>
      </c>
      <c r="B9170" t="str">
        <f>"9:03:48.782454"</f>
        <v>9:03:48.782454</v>
      </c>
      <c r="C9170">
        <v>-45</v>
      </c>
    </row>
    <row r="9171" spans="1:3" x14ac:dyDescent="0.25">
      <c r="A9171">
        <v>37</v>
      </c>
      <c r="B9171" t="str">
        <f>"9:03:49.132878"</f>
        <v>9:03:49.132878</v>
      </c>
      <c r="C9171">
        <v>-44</v>
      </c>
    </row>
    <row r="9172" spans="1:3" x14ac:dyDescent="0.25">
      <c r="A9172">
        <v>38</v>
      </c>
      <c r="B9172" t="str">
        <f>"9:03:49.133906"</f>
        <v>9:03:49.133906</v>
      </c>
      <c r="C9172">
        <v>-41</v>
      </c>
    </row>
    <row r="9173" spans="1:3" x14ac:dyDescent="0.25">
      <c r="A9173">
        <v>39</v>
      </c>
      <c r="B9173" t="str">
        <f>"9:03:49.134932"</f>
        <v>9:03:49.134932</v>
      </c>
      <c r="C9173">
        <v>-45</v>
      </c>
    </row>
    <row r="9174" spans="1:3" x14ac:dyDescent="0.25">
      <c r="A9174">
        <v>39</v>
      </c>
      <c r="B9174" t="str">
        <f>"9:03:49.135776"</f>
        <v>9:03:49.135776</v>
      </c>
      <c r="C9174">
        <v>-45</v>
      </c>
    </row>
    <row r="9175" spans="1:3" x14ac:dyDescent="0.25">
      <c r="A9175">
        <v>37</v>
      </c>
      <c r="B9175" t="str">
        <f>"9:03:49.492317"</f>
        <v>9:03:49.492317</v>
      </c>
      <c r="C9175">
        <v>-44</v>
      </c>
    </row>
    <row r="9176" spans="1:3" x14ac:dyDescent="0.25">
      <c r="A9176">
        <v>38</v>
      </c>
      <c r="B9176" t="str">
        <f>"9:03:49.493344"</f>
        <v>9:03:49.493344</v>
      </c>
      <c r="C9176">
        <v>-41</v>
      </c>
    </row>
    <row r="9177" spans="1:3" x14ac:dyDescent="0.25">
      <c r="A9177">
        <v>38</v>
      </c>
      <c r="B9177" t="str">
        <f>"9:03:49.493863"</f>
        <v>9:03:49.493863</v>
      </c>
      <c r="C9177">
        <v>-32</v>
      </c>
    </row>
    <row r="9178" spans="1:3" x14ac:dyDescent="0.25">
      <c r="A9178">
        <v>38</v>
      </c>
      <c r="B9178" t="str">
        <f>"9:03:49.494188"</f>
        <v>9:03:49.494188</v>
      </c>
      <c r="C9178">
        <v>-41</v>
      </c>
    </row>
    <row r="9179" spans="1:3" x14ac:dyDescent="0.25">
      <c r="A9179">
        <v>39</v>
      </c>
      <c r="B9179" t="str">
        <f>"9:03:49.494964"</f>
        <v>9:03:49.494964</v>
      </c>
      <c r="C9179">
        <v>-45</v>
      </c>
    </row>
    <row r="9180" spans="1:3" x14ac:dyDescent="0.25">
      <c r="A9180">
        <v>37</v>
      </c>
      <c r="B9180" t="str">
        <f>"9:03:49.848950"</f>
        <v>9:03:49.848950</v>
      </c>
      <c r="C9180">
        <v>-44</v>
      </c>
    </row>
    <row r="9181" spans="1:3" x14ac:dyDescent="0.25">
      <c r="A9181">
        <v>38</v>
      </c>
      <c r="B9181" t="str">
        <f>"9:03:49.849977"</f>
        <v>9:03:49.849977</v>
      </c>
      <c r="C9181">
        <v>-41</v>
      </c>
    </row>
    <row r="9182" spans="1:3" x14ac:dyDescent="0.25">
      <c r="A9182">
        <v>39</v>
      </c>
      <c r="B9182" t="str">
        <f>"9:03:49.851003"</f>
        <v>9:03:49.851003</v>
      </c>
      <c r="C9182">
        <v>-45</v>
      </c>
    </row>
    <row r="9183" spans="1:3" x14ac:dyDescent="0.25">
      <c r="A9183">
        <v>37</v>
      </c>
      <c r="B9183" t="str">
        <f>"9:03:50.207381"</f>
        <v>9:03:50.207381</v>
      </c>
      <c r="C9183">
        <v>-44</v>
      </c>
    </row>
    <row r="9184" spans="1:3" x14ac:dyDescent="0.25">
      <c r="A9184">
        <v>38</v>
      </c>
      <c r="B9184" t="str">
        <f>"9:03:50.208408"</f>
        <v>9:03:50.208408</v>
      </c>
      <c r="C9184">
        <v>-41</v>
      </c>
    </row>
    <row r="9185" spans="1:3" x14ac:dyDescent="0.25">
      <c r="A9185">
        <v>38</v>
      </c>
      <c r="B9185" t="str">
        <f>"9:03:50.208927"</f>
        <v>9:03:50.208927</v>
      </c>
      <c r="C9185">
        <v>-31</v>
      </c>
    </row>
    <row r="9186" spans="1:3" x14ac:dyDescent="0.25">
      <c r="A9186">
        <v>38</v>
      </c>
      <c r="B9186" t="str">
        <f>"9:03:50.209253"</f>
        <v>9:03:50.209253</v>
      </c>
      <c r="C9186">
        <v>-41</v>
      </c>
    </row>
    <row r="9187" spans="1:3" x14ac:dyDescent="0.25">
      <c r="A9187">
        <v>39</v>
      </c>
      <c r="B9187" t="str">
        <f>"9:03:50.210029"</f>
        <v>9:03:50.210029</v>
      </c>
      <c r="C9187">
        <v>-46</v>
      </c>
    </row>
    <row r="9188" spans="1:3" x14ac:dyDescent="0.25">
      <c r="A9188">
        <v>37</v>
      </c>
      <c r="B9188" t="str">
        <f>"9:03:50.563816"</f>
        <v>9:03:50.563816</v>
      </c>
      <c r="C9188">
        <v>-44</v>
      </c>
    </row>
    <row r="9189" spans="1:3" x14ac:dyDescent="0.25">
      <c r="A9189">
        <v>38</v>
      </c>
      <c r="B9189" t="str">
        <f>"9:03:50.564843"</f>
        <v>9:03:50.564843</v>
      </c>
      <c r="C9189">
        <v>-41</v>
      </c>
    </row>
    <row r="9190" spans="1:3" x14ac:dyDescent="0.25">
      <c r="A9190">
        <v>38</v>
      </c>
      <c r="B9190" t="str">
        <f>"9:03:50.565362"</f>
        <v>9:03:50.565362</v>
      </c>
      <c r="C9190">
        <v>-31</v>
      </c>
    </row>
    <row r="9191" spans="1:3" x14ac:dyDescent="0.25">
      <c r="A9191">
        <v>38</v>
      </c>
      <c r="B9191" t="str">
        <f>"9:03:50.565688"</f>
        <v>9:03:50.565688</v>
      </c>
      <c r="C9191">
        <v>-41</v>
      </c>
    </row>
    <row r="9192" spans="1:3" x14ac:dyDescent="0.25">
      <c r="A9192">
        <v>39</v>
      </c>
      <c r="B9192" t="str">
        <f>"9:03:50.566464"</f>
        <v>9:03:50.566464</v>
      </c>
      <c r="C9192">
        <v>-45</v>
      </c>
    </row>
    <row r="9193" spans="1:3" x14ac:dyDescent="0.25">
      <c r="A9193">
        <v>37</v>
      </c>
      <c r="B9193" t="str">
        <f>"9:03:50.921497"</f>
        <v>9:03:50.921497</v>
      </c>
      <c r="C9193">
        <v>-44</v>
      </c>
    </row>
    <row r="9194" spans="1:3" x14ac:dyDescent="0.25">
      <c r="A9194">
        <v>38</v>
      </c>
      <c r="B9194" t="str">
        <f>"9:03:50.922524"</f>
        <v>9:03:50.922524</v>
      </c>
      <c r="C9194">
        <v>-41</v>
      </c>
    </row>
    <row r="9195" spans="1:3" x14ac:dyDescent="0.25">
      <c r="A9195">
        <v>38</v>
      </c>
      <c r="B9195" t="str">
        <f>"9:03:50.923042"</f>
        <v>9:03:50.923042</v>
      </c>
      <c r="C9195">
        <v>-31</v>
      </c>
    </row>
    <row r="9196" spans="1:3" x14ac:dyDescent="0.25">
      <c r="A9196">
        <v>38</v>
      </c>
      <c r="B9196" t="str">
        <f>"9:03:50.923368"</f>
        <v>9:03:50.923368</v>
      </c>
      <c r="C9196">
        <v>-41</v>
      </c>
    </row>
    <row r="9197" spans="1:3" x14ac:dyDescent="0.25">
      <c r="A9197">
        <v>39</v>
      </c>
      <c r="B9197" t="str">
        <f>"9:03:50.924144"</f>
        <v>9:03:50.924144</v>
      </c>
      <c r="C9197">
        <v>-45</v>
      </c>
    </row>
    <row r="9198" spans="1:3" x14ac:dyDescent="0.25">
      <c r="A9198">
        <v>37</v>
      </c>
      <c r="B9198" t="str">
        <f>"9:03:51.276571"</f>
        <v>9:03:51.276571</v>
      </c>
      <c r="C9198">
        <v>-44</v>
      </c>
    </row>
    <row r="9199" spans="1:3" x14ac:dyDescent="0.25">
      <c r="A9199">
        <v>38</v>
      </c>
      <c r="B9199" t="str">
        <f>"9:03:51.277599"</f>
        <v>9:03:51.277599</v>
      </c>
      <c r="C9199">
        <v>-41</v>
      </c>
    </row>
    <row r="9200" spans="1:3" x14ac:dyDescent="0.25">
      <c r="A9200">
        <v>38</v>
      </c>
      <c r="B9200" t="str">
        <f>"9:03:51.278117"</f>
        <v>9:03:51.278117</v>
      </c>
      <c r="C9200">
        <v>-31</v>
      </c>
    </row>
    <row r="9201" spans="1:3" x14ac:dyDescent="0.25">
      <c r="A9201">
        <v>38</v>
      </c>
      <c r="B9201" t="str">
        <f>"9:03:51.278443"</f>
        <v>9:03:51.278443</v>
      </c>
      <c r="C9201">
        <v>-41</v>
      </c>
    </row>
    <row r="9202" spans="1:3" x14ac:dyDescent="0.25">
      <c r="A9202">
        <v>39</v>
      </c>
      <c r="B9202" t="str">
        <f>"9:03:51.279219"</f>
        <v>9:03:51.279219</v>
      </c>
      <c r="C9202">
        <v>-45</v>
      </c>
    </row>
    <row r="9203" spans="1:3" x14ac:dyDescent="0.25">
      <c r="A9203">
        <v>37</v>
      </c>
      <c r="B9203" t="str">
        <f>"9:03:51.627535"</f>
        <v>9:03:51.627535</v>
      </c>
      <c r="C9203">
        <v>-44</v>
      </c>
    </row>
    <row r="9204" spans="1:3" x14ac:dyDescent="0.25">
      <c r="A9204">
        <v>38</v>
      </c>
      <c r="B9204" t="str">
        <f>"9:03:51.628563"</f>
        <v>9:03:51.628563</v>
      </c>
      <c r="C9204">
        <v>-41</v>
      </c>
    </row>
    <row r="9205" spans="1:3" x14ac:dyDescent="0.25">
      <c r="A9205">
        <v>38</v>
      </c>
      <c r="B9205" t="str">
        <f>"9:03:51.629081"</f>
        <v>9:03:51.629081</v>
      </c>
      <c r="C9205">
        <v>-31</v>
      </c>
    </row>
    <row r="9206" spans="1:3" x14ac:dyDescent="0.25">
      <c r="A9206">
        <v>38</v>
      </c>
      <c r="B9206" t="str">
        <f>"9:03:51.629408"</f>
        <v>9:03:51.629408</v>
      </c>
      <c r="C9206">
        <v>-41</v>
      </c>
    </row>
    <row r="9207" spans="1:3" x14ac:dyDescent="0.25">
      <c r="A9207">
        <v>39</v>
      </c>
      <c r="B9207" t="str">
        <f>"9:03:51.630184"</f>
        <v>9:03:51.630184</v>
      </c>
      <c r="C9207">
        <v>-46</v>
      </c>
    </row>
    <row r="9208" spans="1:3" x14ac:dyDescent="0.25">
      <c r="A9208">
        <v>37</v>
      </c>
      <c r="B9208" t="str">
        <f>"9:03:51.984739"</f>
        <v>9:03:51.984739</v>
      </c>
      <c r="C9208">
        <v>-44</v>
      </c>
    </row>
    <row r="9209" spans="1:3" x14ac:dyDescent="0.25">
      <c r="A9209">
        <v>38</v>
      </c>
      <c r="B9209" t="str">
        <f>"9:03:51.985766"</f>
        <v>9:03:51.985766</v>
      </c>
      <c r="C9209">
        <v>-41</v>
      </c>
    </row>
    <row r="9210" spans="1:3" x14ac:dyDescent="0.25">
      <c r="A9210">
        <v>38</v>
      </c>
      <c r="B9210" t="str">
        <f>"9:03:51.986285"</f>
        <v>9:03:51.986285</v>
      </c>
      <c r="C9210">
        <v>-31</v>
      </c>
    </row>
    <row r="9211" spans="1:3" x14ac:dyDescent="0.25">
      <c r="A9211">
        <v>38</v>
      </c>
      <c r="B9211" t="str">
        <f>"9:03:51.986610"</f>
        <v>9:03:51.986610</v>
      </c>
      <c r="C9211">
        <v>-41</v>
      </c>
    </row>
    <row r="9212" spans="1:3" x14ac:dyDescent="0.25">
      <c r="A9212">
        <v>39</v>
      </c>
      <c r="B9212" t="str">
        <f>"9:03:51.987386"</f>
        <v>9:03:51.987386</v>
      </c>
      <c r="C9212">
        <v>-45</v>
      </c>
    </row>
    <row r="9213" spans="1:3" x14ac:dyDescent="0.25">
      <c r="A9213">
        <v>37</v>
      </c>
      <c r="B9213" t="str">
        <f>"9:03:52.335956"</f>
        <v>9:03:52.335956</v>
      </c>
      <c r="C9213">
        <v>-44</v>
      </c>
    </row>
    <row r="9214" spans="1:3" x14ac:dyDescent="0.25">
      <c r="A9214">
        <v>37</v>
      </c>
      <c r="B9214" t="str">
        <f>"9:03:52.336474"</f>
        <v>9:03:52.336474</v>
      </c>
      <c r="C9214">
        <v>-80</v>
      </c>
    </row>
    <row r="9215" spans="1:3" x14ac:dyDescent="0.25">
      <c r="A9215">
        <v>37</v>
      </c>
      <c r="B9215" t="str">
        <f>"9:03:52.336800"</f>
        <v>9:03:52.336800</v>
      </c>
      <c r="C9215">
        <v>-44</v>
      </c>
    </row>
    <row r="9216" spans="1:3" x14ac:dyDescent="0.25">
      <c r="A9216">
        <v>38</v>
      </c>
      <c r="B9216" t="str">
        <f>"9:03:52.337576"</f>
        <v>9:03:52.337576</v>
      </c>
      <c r="C9216">
        <v>-41</v>
      </c>
    </row>
    <row r="9217" spans="1:3" x14ac:dyDescent="0.25">
      <c r="A9217">
        <v>38</v>
      </c>
      <c r="B9217" t="str">
        <f>"9:03:52.338095"</f>
        <v>9:03:52.338095</v>
      </c>
      <c r="C9217">
        <v>-31</v>
      </c>
    </row>
    <row r="9218" spans="1:3" x14ac:dyDescent="0.25">
      <c r="A9218">
        <v>38</v>
      </c>
      <c r="B9218" t="str">
        <f>"9:03:52.338421"</f>
        <v>9:03:52.338421</v>
      </c>
      <c r="C9218">
        <v>-41</v>
      </c>
    </row>
    <row r="9219" spans="1:3" x14ac:dyDescent="0.25">
      <c r="A9219">
        <v>39</v>
      </c>
      <c r="B9219" t="str">
        <f>"9:03:52.339197"</f>
        <v>9:03:52.339197</v>
      </c>
      <c r="C9219">
        <v>-45</v>
      </c>
    </row>
    <row r="9220" spans="1:3" x14ac:dyDescent="0.25">
      <c r="A9220">
        <v>37</v>
      </c>
      <c r="B9220" t="str">
        <f>"9:03:52.692891"</f>
        <v>9:03:52.692891</v>
      </c>
      <c r="C9220">
        <v>-44</v>
      </c>
    </row>
    <row r="9221" spans="1:3" x14ac:dyDescent="0.25">
      <c r="A9221">
        <v>38</v>
      </c>
      <c r="B9221" t="str">
        <f>"9:03:52.693918"</f>
        <v>9:03:52.693918</v>
      </c>
      <c r="C9221">
        <v>-41</v>
      </c>
    </row>
    <row r="9222" spans="1:3" x14ac:dyDescent="0.25">
      <c r="A9222">
        <v>39</v>
      </c>
      <c r="B9222" t="str">
        <f>"9:03:52.694944"</f>
        <v>9:03:52.694944</v>
      </c>
      <c r="C9222">
        <v>-46</v>
      </c>
    </row>
    <row r="9223" spans="1:3" x14ac:dyDescent="0.25">
      <c r="A9223">
        <v>37</v>
      </c>
      <c r="B9223" t="str">
        <f>"9:03:53.046408"</f>
        <v>9:03:53.046408</v>
      </c>
      <c r="C9223">
        <v>-44</v>
      </c>
    </row>
    <row r="9224" spans="1:3" x14ac:dyDescent="0.25">
      <c r="A9224">
        <v>38</v>
      </c>
      <c r="B9224" t="str">
        <f>"9:03:53.047435"</f>
        <v>9:03:53.047435</v>
      </c>
      <c r="C9224">
        <v>-41</v>
      </c>
    </row>
    <row r="9225" spans="1:3" x14ac:dyDescent="0.25">
      <c r="A9225">
        <v>39</v>
      </c>
      <c r="B9225" t="str">
        <f>"9:03:53.048461"</f>
        <v>9:03:53.048461</v>
      </c>
      <c r="C9225">
        <v>-46</v>
      </c>
    </row>
    <row r="9226" spans="1:3" x14ac:dyDescent="0.25">
      <c r="A9226">
        <v>37</v>
      </c>
      <c r="B9226" t="str">
        <f>"9:03:53.406120"</f>
        <v>9:03:53.406120</v>
      </c>
      <c r="C9226">
        <v>-44</v>
      </c>
    </row>
    <row r="9227" spans="1:3" x14ac:dyDescent="0.25">
      <c r="A9227">
        <v>38</v>
      </c>
      <c r="B9227" t="str">
        <f>"9:03:53.407147"</f>
        <v>9:03:53.407147</v>
      </c>
      <c r="C9227">
        <v>-41</v>
      </c>
    </row>
    <row r="9228" spans="1:3" x14ac:dyDescent="0.25">
      <c r="A9228">
        <v>39</v>
      </c>
      <c r="B9228" t="str">
        <f>"9:03:53.408173"</f>
        <v>9:03:53.408173</v>
      </c>
      <c r="C9228">
        <v>-46</v>
      </c>
    </row>
    <row r="9229" spans="1:3" x14ac:dyDescent="0.25">
      <c r="A9229">
        <v>37</v>
      </c>
      <c r="B9229" t="str">
        <f>"9:03:53.759667"</f>
        <v>9:03:53.759667</v>
      </c>
      <c r="C9229">
        <v>-44</v>
      </c>
    </row>
    <row r="9230" spans="1:3" x14ac:dyDescent="0.25">
      <c r="A9230">
        <v>38</v>
      </c>
      <c r="B9230" t="str">
        <f>"9:03:53.760695"</f>
        <v>9:03:53.760695</v>
      </c>
      <c r="C9230">
        <v>-41</v>
      </c>
    </row>
    <row r="9231" spans="1:3" x14ac:dyDescent="0.25">
      <c r="A9231">
        <v>38</v>
      </c>
      <c r="B9231" t="str">
        <f>"9:03:53.761213"</f>
        <v>9:03:53.761213</v>
      </c>
      <c r="C9231">
        <v>-32</v>
      </c>
    </row>
    <row r="9232" spans="1:3" x14ac:dyDescent="0.25">
      <c r="A9232">
        <v>38</v>
      </c>
      <c r="B9232" t="str">
        <f>"9:03:53.761539"</f>
        <v>9:03:53.761539</v>
      </c>
      <c r="C9232">
        <v>-41</v>
      </c>
    </row>
    <row r="9233" spans="1:3" x14ac:dyDescent="0.25">
      <c r="A9233">
        <v>39</v>
      </c>
      <c r="B9233" t="str">
        <f>"9:03:53.762315"</f>
        <v>9:03:53.762315</v>
      </c>
      <c r="C9233">
        <v>-46</v>
      </c>
    </row>
    <row r="9234" spans="1:3" x14ac:dyDescent="0.25">
      <c r="A9234">
        <v>37</v>
      </c>
      <c r="B9234" t="str">
        <f>"9:03:54.118865"</f>
        <v>9:03:54.118865</v>
      </c>
      <c r="C9234">
        <v>-44</v>
      </c>
    </row>
    <row r="9235" spans="1:3" x14ac:dyDescent="0.25">
      <c r="A9235">
        <v>38</v>
      </c>
      <c r="B9235" t="str">
        <f>"9:03:54.120026"</f>
        <v>9:03:54.120026</v>
      </c>
      <c r="C9235">
        <v>-41</v>
      </c>
    </row>
    <row r="9236" spans="1:3" x14ac:dyDescent="0.25">
      <c r="A9236">
        <v>39</v>
      </c>
      <c r="B9236" t="str">
        <f>"9:03:54.121052"</f>
        <v>9:03:54.121052</v>
      </c>
      <c r="C9236">
        <v>-46</v>
      </c>
    </row>
    <row r="9237" spans="1:3" x14ac:dyDescent="0.25">
      <c r="A9237">
        <v>37</v>
      </c>
      <c r="B9237" t="str">
        <f>"9:03:54.477036"</f>
        <v>9:03:54.477036</v>
      </c>
      <c r="C9237">
        <v>-44</v>
      </c>
    </row>
    <row r="9238" spans="1:3" x14ac:dyDescent="0.25">
      <c r="A9238">
        <v>38</v>
      </c>
      <c r="B9238" t="str">
        <f>"9:03:54.478064"</f>
        <v>9:03:54.478064</v>
      </c>
      <c r="C9238">
        <v>-41</v>
      </c>
    </row>
    <row r="9239" spans="1:3" x14ac:dyDescent="0.25">
      <c r="A9239">
        <v>39</v>
      </c>
      <c r="B9239" t="str">
        <f>"9:03:54.479090"</f>
        <v>9:03:54.479090</v>
      </c>
      <c r="C9239">
        <v>-46</v>
      </c>
    </row>
    <row r="9240" spans="1:3" x14ac:dyDescent="0.25">
      <c r="A9240">
        <v>37</v>
      </c>
      <c r="B9240" t="str">
        <f>"9:03:54.836266"</f>
        <v>9:03:54.836266</v>
      </c>
      <c r="C9240">
        <v>-44</v>
      </c>
    </row>
    <row r="9241" spans="1:3" x14ac:dyDescent="0.25">
      <c r="A9241">
        <v>38</v>
      </c>
      <c r="B9241" t="str">
        <f>"9:03:54.837294"</f>
        <v>9:03:54.837294</v>
      </c>
      <c r="C9241">
        <v>-41</v>
      </c>
    </row>
    <row r="9242" spans="1:3" x14ac:dyDescent="0.25">
      <c r="A9242">
        <v>39</v>
      </c>
      <c r="B9242" t="str">
        <f>"9:03:54.838320"</f>
        <v>9:03:54.838320</v>
      </c>
      <c r="C9242">
        <v>-46</v>
      </c>
    </row>
    <row r="9243" spans="1:3" x14ac:dyDescent="0.25">
      <c r="A9243">
        <v>39</v>
      </c>
      <c r="B9243" t="str">
        <f>"9:03:54.838838"</f>
        <v>9:03:54.838838</v>
      </c>
      <c r="C9243">
        <v>-30</v>
      </c>
    </row>
    <row r="9244" spans="1:3" x14ac:dyDescent="0.25">
      <c r="A9244">
        <v>39</v>
      </c>
      <c r="B9244" t="str">
        <f>"9:03:54.839164"</f>
        <v>9:03:54.839164</v>
      </c>
      <c r="C9244">
        <v>-45</v>
      </c>
    </row>
    <row r="9245" spans="1:3" x14ac:dyDescent="0.25">
      <c r="A9245">
        <v>37</v>
      </c>
      <c r="B9245" t="str">
        <f>"9:03:55.192375"</f>
        <v>9:03:55.192375</v>
      </c>
      <c r="C9245">
        <v>-44</v>
      </c>
    </row>
    <row r="9246" spans="1:3" x14ac:dyDescent="0.25">
      <c r="A9246">
        <v>38</v>
      </c>
      <c r="B9246" t="str">
        <f>"9:03:55.193403"</f>
        <v>9:03:55.193403</v>
      </c>
      <c r="C9246">
        <v>-41</v>
      </c>
    </row>
    <row r="9247" spans="1:3" x14ac:dyDescent="0.25">
      <c r="A9247">
        <v>39</v>
      </c>
      <c r="B9247" t="str">
        <f>"9:03:55.194429"</f>
        <v>9:03:55.194429</v>
      </c>
      <c r="C9247">
        <v>-46</v>
      </c>
    </row>
    <row r="9248" spans="1:3" x14ac:dyDescent="0.25">
      <c r="A9248">
        <v>39</v>
      </c>
      <c r="B9248" t="str">
        <f>"9:03:55.194947"</f>
        <v>9:03:55.194947</v>
      </c>
      <c r="C9248">
        <v>-30</v>
      </c>
    </row>
    <row r="9249" spans="1:3" x14ac:dyDescent="0.25">
      <c r="A9249">
        <v>39</v>
      </c>
      <c r="B9249" t="str">
        <f>"9:03:55.195273"</f>
        <v>9:03:55.195273</v>
      </c>
      <c r="C9249">
        <v>-45</v>
      </c>
    </row>
    <row r="9250" spans="1:3" x14ac:dyDescent="0.25">
      <c r="A9250">
        <v>37</v>
      </c>
      <c r="B9250" t="str">
        <f>"9:03:55.545127"</f>
        <v>9:03:55.545127</v>
      </c>
      <c r="C9250">
        <v>-44</v>
      </c>
    </row>
    <row r="9251" spans="1:3" x14ac:dyDescent="0.25">
      <c r="A9251">
        <v>38</v>
      </c>
      <c r="B9251" t="str">
        <f>"9:03:55.546154"</f>
        <v>9:03:55.546154</v>
      </c>
      <c r="C9251">
        <v>-41</v>
      </c>
    </row>
    <row r="9252" spans="1:3" x14ac:dyDescent="0.25">
      <c r="A9252">
        <v>39</v>
      </c>
      <c r="B9252" t="str">
        <f>"9:03:55.547180"</f>
        <v>9:03:55.547180</v>
      </c>
      <c r="C9252">
        <v>-46</v>
      </c>
    </row>
    <row r="9253" spans="1:3" x14ac:dyDescent="0.25">
      <c r="A9253">
        <v>39</v>
      </c>
      <c r="B9253" t="str">
        <f>"9:03:55.547699"</f>
        <v>9:03:55.547699</v>
      </c>
      <c r="C9253">
        <v>-30</v>
      </c>
    </row>
    <row r="9254" spans="1:3" x14ac:dyDescent="0.25">
      <c r="A9254">
        <v>39</v>
      </c>
      <c r="B9254" t="str">
        <f>"9:03:55.548024"</f>
        <v>9:03:55.548024</v>
      </c>
      <c r="C9254">
        <v>-45</v>
      </c>
    </row>
    <row r="9255" spans="1:3" x14ac:dyDescent="0.25">
      <c r="A9255">
        <v>37</v>
      </c>
      <c r="B9255" t="str">
        <f>"9:03:55.903572"</f>
        <v>9:03:55.903572</v>
      </c>
      <c r="C9255">
        <v>-44</v>
      </c>
    </row>
    <row r="9256" spans="1:3" x14ac:dyDescent="0.25">
      <c r="A9256">
        <v>38</v>
      </c>
      <c r="B9256" t="str">
        <f>"9:03:55.904600"</f>
        <v>9:03:55.904600</v>
      </c>
      <c r="C9256">
        <v>-41</v>
      </c>
    </row>
    <row r="9257" spans="1:3" x14ac:dyDescent="0.25">
      <c r="A9257">
        <v>39</v>
      </c>
      <c r="B9257" t="str">
        <f>"9:03:55.905664"</f>
        <v>9:03:55.905664</v>
      </c>
      <c r="C9257">
        <v>-46</v>
      </c>
    </row>
    <row r="9258" spans="1:3" x14ac:dyDescent="0.25">
      <c r="A9258">
        <v>39</v>
      </c>
      <c r="B9258" t="str">
        <f>"9:03:55.906182"</f>
        <v>9:03:55.906182</v>
      </c>
      <c r="C9258">
        <v>-30</v>
      </c>
    </row>
    <row r="9259" spans="1:3" x14ac:dyDescent="0.25">
      <c r="A9259">
        <v>39</v>
      </c>
      <c r="B9259" t="str">
        <f>"9:03:55.906508"</f>
        <v>9:03:55.906508</v>
      </c>
      <c r="C9259">
        <v>-45</v>
      </c>
    </row>
    <row r="9260" spans="1:3" x14ac:dyDescent="0.25">
      <c r="A9260">
        <v>37</v>
      </c>
      <c r="B9260" t="str">
        <f>"9:03:56.257141"</f>
        <v>9:03:56.257141</v>
      </c>
      <c r="C9260">
        <v>-44</v>
      </c>
    </row>
    <row r="9261" spans="1:3" x14ac:dyDescent="0.25">
      <c r="A9261">
        <v>38</v>
      </c>
      <c r="B9261" t="str">
        <f>"9:03:56.258168"</f>
        <v>9:03:56.258168</v>
      </c>
      <c r="C9261">
        <v>-41</v>
      </c>
    </row>
    <row r="9262" spans="1:3" x14ac:dyDescent="0.25">
      <c r="A9262">
        <v>39</v>
      </c>
      <c r="B9262" t="str">
        <f>"9:03:56.259194"</f>
        <v>9:03:56.259194</v>
      </c>
      <c r="C9262">
        <v>-46</v>
      </c>
    </row>
    <row r="9263" spans="1:3" x14ac:dyDescent="0.25">
      <c r="A9263">
        <v>39</v>
      </c>
      <c r="B9263" t="str">
        <f>"9:03:56.259712"</f>
        <v>9:03:56.259712</v>
      </c>
      <c r="C9263">
        <v>-30</v>
      </c>
    </row>
    <row r="9264" spans="1:3" x14ac:dyDescent="0.25">
      <c r="A9264">
        <v>39</v>
      </c>
      <c r="B9264" t="str">
        <f>"9:03:56.260038"</f>
        <v>9:03:56.260038</v>
      </c>
      <c r="C9264">
        <v>-45</v>
      </c>
    </row>
    <row r="9265" spans="1:3" x14ac:dyDescent="0.25">
      <c r="A9265">
        <v>37</v>
      </c>
      <c r="B9265" t="str">
        <f>"9:03:56.610402"</f>
        <v>9:03:56.610402</v>
      </c>
      <c r="C9265">
        <v>-44</v>
      </c>
    </row>
    <row r="9266" spans="1:3" x14ac:dyDescent="0.25">
      <c r="A9266">
        <v>38</v>
      </c>
      <c r="B9266" t="str">
        <f>"9:03:56.611429"</f>
        <v>9:03:56.611429</v>
      </c>
      <c r="C9266">
        <v>-41</v>
      </c>
    </row>
    <row r="9267" spans="1:3" x14ac:dyDescent="0.25">
      <c r="A9267">
        <v>39</v>
      </c>
      <c r="B9267" t="str">
        <f>"9:03:56.612455"</f>
        <v>9:03:56.612455</v>
      </c>
      <c r="C9267">
        <v>-46</v>
      </c>
    </row>
    <row r="9268" spans="1:3" x14ac:dyDescent="0.25">
      <c r="A9268">
        <v>39</v>
      </c>
      <c r="B9268" t="str">
        <f>"9:03:56.612973"</f>
        <v>9:03:56.612973</v>
      </c>
      <c r="C9268">
        <v>-30</v>
      </c>
    </row>
    <row r="9269" spans="1:3" x14ac:dyDescent="0.25">
      <c r="A9269">
        <v>39</v>
      </c>
      <c r="B9269" t="str">
        <f>"9:03:56.613299"</f>
        <v>9:03:56.613299</v>
      </c>
      <c r="C9269">
        <v>-45</v>
      </c>
    </row>
    <row r="9270" spans="1:3" x14ac:dyDescent="0.25">
      <c r="A9270">
        <v>37</v>
      </c>
      <c r="B9270" t="str">
        <f>"9:03:56.965788"</f>
        <v>9:03:56.965788</v>
      </c>
      <c r="C9270">
        <v>-44</v>
      </c>
    </row>
    <row r="9271" spans="1:3" x14ac:dyDescent="0.25">
      <c r="A9271">
        <v>38</v>
      </c>
      <c r="B9271" t="str">
        <f>"9:03:56.966816"</f>
        <v>9:03:56.966816</v>
      </c>
      <c r="C9271">
        <v>-41</v>
      </c>
    </row>
    <row r="9272" spans="1:3" x14ac:dyDescent="0.25">
      <c r="A9272">
        <v>39</v>
      </c>
      <c r="B9272" t="str">
        <f>"9:03:56.967842"</f>
        <v>9:03:56.967842</v>
      </c>
      <c r="C9272">
        <v>-46</v>
      </c>
    </row>
    <row r="9273" spans="1:3" x14ac:dyDescent="0.25">
      <c r="A9273">
        <v>39</v>
      </c>
      <c r="B9273" t="str">
        <f>"9:03:56.968360"</f>
        <v>9:03:56.968360</v>
      </c>
      <c r="C9273">
        <v>-30</v>
      </c>
    </row>
    <row r="9274" spans="1:3" x14ac:dyDescent="0.25">
      <c r="A9274">
        <v>39</v>
      </c>
      <c r="B9274" t="str">
        <f>"9:03:56.968686"</f>
        <v>9:03:56.968686</v>
      </c>
      <c r="C9274">
        <v>-45</v>
      </c>
    </row>
    <row r="9275" spans="1:3" x14ac:dyDescent="0.25">
      <c r="A9275">
        <v>37</v>
      </c>
      <c r="B9275" t="str">
        <f>"9:03:57.321964"</f>
        <v>9:03:57.321964</v>
      </c>
      <c r="C9275">
        <v>-44</v>
      </c>
    </row>
    <row r="9276" spans="1:3" x14ac:dyDescent="0.25">
      <c r="A9276">
        <v>38</v>
      </c>
      <c r="B9276" t="str">
        <f>"9:03:57.322991"</f>
        <v>9:03:57.322991</v>
      </c>
      <c r="C9276">
        <v>-41</v>
      </c>
    </row>
    <row r="9277" spans="1:3" x14ac:dyDescent="0.25">
      <c r="A9277">
        <v>39</v>
      </c>
      <c r="B9277" t="str">
        <f>"9:03:57.324017"</f>
        <v>9:03:57.324017</v>
      </c>
      <c r="C9277">
        <v>-45</v>
      </c>
    </row>
    <row r="9278" spans="1:3" x14ac:dyDescent="0.25">
      <c r="A9278">
        <v>39</v>
      </c>
      <c r="B9278" t="str">
        <f>"9:03:57.324536"</f>
        <v>9:03:57.324536</v>
      </c>
      <c r="C9278">
        <v>-30</v>
      </c>
    </row>
    <row r="9279" spans="1:3" x14ac:dyDescent="0.25">
      <c r="A9279">
        <v>39</v>
      </c>
      <c r="B9279" t="str">
        <f>"9:03:57.324861"</f>
        <v>9:03:57.324861</v>
      </c>
      <c r="C9279">
        <v>-45</v>
      </c>
    </row>
    <row r="9280" spans="1:3" x14ac:dyDescent="0.25">
      <c r="A9280">
        <v>37</v>
      </c>
      <c r="B9280" t="str">
        <f>"9:03:57.680380"</f>
        <v>9:03:57.680380</v>
      </c>
      <c r="C9280">
        <v>-44</v>
      </c>
    </row>
    <row r="9281" spans="1:3" x14ac:dyDescent="0.25">
      <c r="A9281">
        <v>38</v>
      </c>
      <c r="B9281" t="str">
        <f>"9:03:57.681408"</f>
        <v>9:03:57.681408</v>
      </c>
      <c r="C9281">
        <v>-41</v>
      </c>
    </row>
    <row r="9282" spans="1:3" x14ac:dyDescent="0.25">
      <c r="A9282">
        <v>39</v>
      </c>
      <c r="B9282" t="str">
        <f>"9:03:57.682434"</f>
        <v>9:03:57.682434</v>
      </c>
      <c r="C9282">
        <v>-46</v>
      </c>
    </row>
    <row r="9283" spans="1:3" x14ac:dyDescent="0.25">
      <c r="A9283">
        <v>39</v>
      </c>
      <c r="B9283" t="str">
        <f>"9:03:57.682952"</f>
        <v>9:03:57.682952</v>
      </c>
      <c r="C9283">
        <v>-30</v>
      </c>
    </row>
    <row r="9284" spans="1:3" x14ac:dyDescent="0.25">
      <c r="A9284">
        <v>39</v>
      </c>
      <c r="B9284" t="str">
        <f>"9:03:57.683278"</f>
        <v>9:03:57.683278</v>
      </c>
      <c r="C9284">
        <v>-45</v>
      </c>
    </row>
    <row r="9285" spans="1:3" x14ac:dyDescent="0.25">
      <c r="A9285">
        <v>37</v>
      </c>
      <c r="B9285" t="str">
        <f>"9:03:58.040104"</f>
        <v>9:03:58.040104</v>
      </c>
      <c r="C9285">
        <v>-44</v>
      </c>
    </row>
    <row r="9286" spans="1:3" x14ac:dyDescent="0.25">
      <c r="A9286">
        <v>38</v>
      </c>
      <c r="B9286" t="str">
        <f>"9:03:58.041131"</f>
        <v>9:03:58.041131</v>
      </c>
      <c r="C9286">
        <v>-41</v>
      </c>
    </row>
    <row r="9287" spans="1:3" x14ac:dyDescent="0.25">
      <c r="A9287">
        <v>39</v>
      </c>
      <c r="B9287" t="str">
        <f>"9:03:58.042157"</f>
        <v>9:03:58.042157</v>
      </c>
      <c r="C9287">
        <v>-46</v>
      </c>
    </row>
    <row r="9288" spans="1:3" x14ac:dyDescent="0.25">
      <c r="A9288">
        <v>39</v>
      </c>
      <c r="B9288" t="str">
        <f>"9:03:58.042675"</f>
        <v>9:03:58.042675</v>
      </c>
      <c r="C9288">
        <v>-30</v>
      </c>
    </row>
    <row r="9289" spans="1:3" x14ac:dyDescent="0.25">
      <c r="A9289">
        <v>39</v>
      </c>
      <c r="B9289" t="str">
        <f>"9:03:58.043001"</f>
        <v>9:03:58.043001</v>
      </c>
      <c r="C9289">
        <v>-45</v>
      </c>
    </row>
    <row r="9290" spans="1:3" x14ac:dyDescent="0.25">
      <c r="A9290">
        <v>37</v>
      </c>
      <c r="B9290" t="str">
        <f>"9:03:58.392168"</f>
        <v>9:03:58.392168</v>
      </c>
      <c r="C9290">
        <v>-44</v>
      </c>
    </row>
    <row r="9291" spans="1:3" x14ac:dyDescent="0.25">
      <c r="A9291">
        <v>38</v>
      </c>
      <c r="B9291" t="str">
        <f>"9:03:58.393195"</f>
        <v>9:03:58.393195</v>
      </c>
      <c r="C9291">
        <v>-41</v>
      </c>
    </row>
    <row r="9292" spans="1:3" x14ac:dyDescent="0.25">
      <c r="A9292">
        <v>39</v>
      </c>
      <c r="B9292" t="str">
        <f>"9:03:58.394221"</f>
        <v>9:03:58.394221</v>
      </c>
      <c r="C9292">
        <v>-46</v>
      </c>
    </row>
    <row r="9293" spans="1:3" x14ac:dyDescent="0.25">
      <c r="A9293">
        <v>39</v>
      </c>
      <c r="B9293" t="str">
        <f>"9:03:58.394740"</f>
        <v>9:03:58.394740</v>
      </c>
      <c r="C9293">
        <v>-30</v>
      </c>
    </row>
    <row r="9294" spans="1:3" x14ac:dyDescent="0.25">
      <c r="A9294">
        <v>39</v>
      </c>
      <c r="B9294" t="str">
        <f>"9:03:58.395065"</f>
        <v>9:03:58.395065</v>
      </c>
      <c r="C9294">
        <v>-45</v>
      </c>
    </row>
    <row r="9295" spans="1:3" x14ac:dyDescent="0.25">
      <c r="A9295">
        <v>37</v>
      </c>
      <c r="B9295" t="str">
        <f>"9:03:58.743392"</f>
        <v>9:03:58.743392</v>
      </c>
      <c r="C9295">
        <v>-44</v>
      </c>
    </row>
    <row r="9296" spans="1:3" x14ac:dyDescent="0.25">
      <c r="A9296">
        <v>38</v>
      </c>
      <c r="B9296" t="str">
        <f>"9:03:58.744419"</f>
        <v>9:03:58.744419</v>
      </c>
      <c r="C9296">
        <v>-41</v>
      </c>
    </row>
    <row r="9297" spans="1:3" x14ac:dyDescent="0.25">
      <c r="A9297">
        <v>39</v>
      </c>
      <c r="B9297" t="str">
        <f>"9:03:58.745445"</f>
        <v>9:03:58.745445</v>
      </c>
      <c r="C9297">
        <v>-46</v>
      </c>
    </row>
    <row r="9298" spans="1:3" x14ac:dyDescent="0.25">
      <c r="A9298">
        <v>39</v>
      </c>
      <c r="B9298" t="str">
        <f>"9:03:58.745964"</f>
        <v>9:03:58.745964</v>
      </c>
      <c r="C9298">
        <v>-30</v>
      </c>
    </row>
    <row r="9299" spans="1:3" x14ac:dyDescent="0.25">
      <c r="A9299">
        <v>39</v>
      </c>
      <c r="B9299" t="str">
        <f>"9:03:58.746290"</f>
        <v>9:03:58.746290</v>
      </c>
      <c r="C9299">
        <v>-45</v>
      </c>
    </row>
    <row r="9300" spans="1:3" x14ac:dyDescent="0.25">
      <c r="A9300">
        <v>37</v>
      </c>
      <c r="B9300" t="str">
        <f>"9:03:59.100282"</f>
        <v>9:03:59.100282</v>
      </c>
      <c r="C9300">
        <v>-44</v>
      </c>
    </row>
    <row r="9301" spans="1:3" x14ac:dyDescent="0.25">
      <c r="A9301">
        <v>38</v>
      </c>
      <c r="B9301" t="str">
        <f>"9:03:59.101310"</f>
        <v>9:03:59.101310</v>
      </c>
      <c r="C9301">
        <v>-41</v>
      </c>
    </row>
    <row r="9302" spans="1:3" x14ac:dyDescent="0.25">
      <c r="A9302">
        <v>39</v>
      </c>
      <c r="B9302" t="str">
        <f>"9:03:59.102336"</f>
        <v>9:03:59.102336</v>
      </c>
      <c r="C9302">
        <v>-46</v>
      </c>
    </row>
    <row r="9303" spans="1:3" x14ac:dyDescent="0.25">
      <c r="A9303">
        <v>39</v>
      </c>
      <c r="B9303" t="str">
        <f>"9:03:59.102854"</f>
        <v>9:03:59.102854</v>
      </c>
      <c r="C9303">
        <v>-30</v>
      </c>
    </row>
    <row r="9304" spans="1:3" x14ac:dyDescent="0.25">
      <c r="A9304">
        <v>39</v>
      </c>
      <c r="B9304" t="str">
        <f>"9:03:59.103180"</f>
        <v>9:03:59.103180</v>
      </c>
      <c r="C9304">
        <v>-45</v>
      </c>
    </row>
    <row r="9305" spans="1:3" x14ac:dyDescent="0.25">
      <c r="A9305">
        <v>37</v>
      </c>
      <c r="B9305" t="str">
        <f>"9:03:59.458488"</f>
        <v>9:03:59.458488</v>
      </c>
      <c r="C9305">
        <v>-44</v>
      </c>
    </row>
    <row r="9306" spans="1:3" x14ac:dyDescent="0.25">
      <c r="A9306">
        <v>37</v>
      </c>
      <c r="B9306" t="str">
        <f>"9:03:59.459007"</f>
        <v>9:03:59.459007</v>
      </c>
      <c r="C9306">
        <v>-36</v>
      </c>
    </row>
    <row r="9307" spans="1:3" x14ac:dyDescent="0.25">
      <c r="A9307">
        <v>37</v>
      </c>
      <c r="B9307" t="str">
        <f>"9:03:59.459332"</f>
        <v>9:03:59.459332</v>
      </c>
      <c r="C9307">
        <v>-44</v>
      </c>
    </row>
    <row r="9308" spans="1:3" x14ac:dyDescent="0.25">
      <c r="A9308">
        <v>38</v>
      </c>
      <c r="B9308" t="str">
        <f>"9:03:59.460109"</f>
        <v>9:03:59.460109</v>
      </c>
      <c r="C9308">
        <v>-41</v>
      </c>
    </row>
    <row r="9309" spans="1:3" x14ac:dyDescent="0.25">
      <c r="A9309">
        <v>39</v>
      </c>
      <c r="B9309" t="str">
        <f>"9:03:59.461135"</f>
        <v>9:03:59.461135</v>
      </c>
      <c r="C9309">
        <v>-46</v>
      </c>
    </row>
    <row r="9310" spans="1:3" x14ac:dyDescent="0.25">
      <c r="A9310">
        <v>37</v>
      </c>
      <c r="B9310" t="str">
        <f>"9:03:59.814869"</f>
        <v>9:03:59.814869</v>
      </c>
      <c r="C9310">
        <v>-44</v>
      </c>
    </row>
    <row r="9311" spans="1:3" x14ac:dyDescent="0.25">
      <c r="A9311">
        <v>38</v>
      </c>
      <c r="B9311" t="str">
        <f>"9:03:59.815896"</f>
        <v>9:03:59.815896</v>
      </c>
      <c r="C9311">
        <v>-41</v>
      </c>
    </row>
    <row r="9312" spans="1:3" x14ac:dyDescent="0.25">
      <c r="A9312">
        <v>39</v>
      </c>
      <c r="B9312" t="str">
        <f>"9:03:59.816922"</f>
        <v>9:03:59.816922</v>
      </c>
      <c r="C9312">
        <v>-46</v>
      </c>
    </row>
    <row r="9313" spans="1:3" x14ac:dyDescent="0.25">
      <c r="A9313">
        <v>37</v>
      </c>
      <c r="B9313" t="str">
        <f>"9:04:00.174576"</f>
        <v>9:04:00.174576</v>
      </c>
      <c r="C9313">
        <v>-44</v>
      </c>
    </row>
    <row r="9314" spans="1:3" x14ac:dyDescent="0.25">
      <c r="A9314">
        <v>38</v>
      </c>
      <c r="B9314" t="str">
        <f>"9:04:00.175604"</f>
        <v>9:04:00.175604</v>
      </c>
      <c r="C9314">
        <v>-41</v>
      </c>
    </row>
    <row r="9315" spans="1:3" x14ac:dyDescent="0.25">
      <c r="A9315">
        <v>39</v>
      </c>
      <c r="B9315" t="str">
        <f>"9:04:00.176630"</f>
        <v>9:04:00.176630</v>
      </c>
      <c r="C9315">
        <v>-46</v>
      </c>
    </row>
    <row r="9316" spans="1:3" x14ac:dyDescent="0.25">
      <c r="A9316">
        <v>37</v>
      </c>
      <c r="B9316" t="str">
        <f>"9:04:00.532493"</f>
        <v>9:04:00.532493</v>
      </c>
      <c r="C9316">
        <v>-44</v>
      </c>
    </row>
    <row r="9317" spans="1:3" x14ac:dyDescent="0.25">
      <c r="A9317">
        <v>37</v>
      </c>
      <c r="B9317" t="str">
        <f>"9:04:00.533012"</f>
        <v>9:04:00.533012</v>
      </c>
      <c r="C9317">
        <v>-36</v>
      </c>
    </row>
    <row r="9318" spans="1:3" x14ac:dyDescent="0.25">
      <c r="A9318">
        <v>37</v>
      </c>
      <c r="B9318" t="str">
        <f>"9:04:00.533337"</f>
        <v>9:04:00.533337</v>
      </c>
      <c r="C9318">
        <v>-44</v>
      </c>
    </row>
    <row r="9319" spans="1:3" x14ac:dyDescent="0.25">
      <c r="A9319">
        <v>38</v>
      </c>
      <c r="B9319" t="str">
        <f>"9:04:00.534113"</f>
        <v>9:04:00.534113</v>
      </c>
      <c r="C9319">
        <v>-41</v>
      </c>
    </row>
    <row r="9320" spans="1:3" x14ac:dyDescent="0.25">
      <c r="A9320">
        <v>39</v>
      </c>
      <c r="B9320" t="str">
        <f>"9:04:00.535139"</f>
        <v>9:04:00.535139</v>
      </c>
      <c r="C9320">
        <v>-46</v>
      </c>
    </row>
    <row r="9321" spans="1:3" x14ac:dyDescent="0.25">
      <c r="A9321">
        <v>37</v>
      </c>
      <c r="B9321" t="str">
        <f>"9:04:00.883239"</f>
        <v>9:04:00.883239</v>
      </c>
      <c r="C9321">
        <v>-44</v>
      </c>
    </row>
    <row r="9322" spans="1:3" x14ac:dyDescent="0.25">
      <c r="A9322">
        <v>37</v>
      </c>
      <c r="B9322" t="str">
        <f>"9:04:00.883758"</f>
        <v>9:04:00.883758</v>
      </c>
      <c r="C9322">
        <v>-36</v>
      </c>
    </row>
    <row r="9323" spans="1:3" x14ac:dyDescent="0.25">
      <c r="A9323">
        <v>37</v>
      </c>
      <c r="B9323" t="str">
        <f>"9:04:00.884083"</f>
        <v>9:04:00.884083</v>
      </c>
      <c r="C9323">
        <v>-44</v>
      </c>
    </row>
    <row r="9324" spans="1:3" x14ac:dyDescent="0.25">
      <c r="A9324">
        <v>38</v>
      </c>
      <c r="B9324" t="str">
        <f>"9:04:00.884859"</f>
        <v>9:04:00.884859</v>
      </c>
      <c r="C9324">
        <v>-41</v>
      </c>
    </row>
    <row r="9325" spans="1:3" x14ac:dyDescent="0.25">
      <c r="A9325">
        <v>39</v>
      </c>
      <c r="B9325" t="str">
        <f>"9:04:00.885885"</f>
        <v>9:04:00.885885</v>
      </c>
      <c r="C9325">
        <v>-46</v>
      </c>
    </row>
    <row r="9326" spans="1:3" x14ac:dyDescent="0.25">
      <c r="A9326">
        <v>37</v>
      </c>
      <c r="B9326" t="str">
        <f>"9:04:01.238817"</f>
        <v>9:04:01.238817</v>
      </c>
      <c r="C9326">
        <v>-44</v>
      </c>
    </row>
    <row r="9327" spans="1:3" x14ac:dyDescent="0.25">
      <c r="A9327">
        <v>38</v>
      </c>
      <c r="B9327" t="str">
        <f>"9:04:01.239844"</f>
        <v>9:04:01.239844</v>
      </c>
      <c r="C9327">
        <v>-41</v>
      </c>
    </row>
    <row r="9328" spans="1:3" x14ac:dyDescent="0.25">
      <c r="A9328">
        <v>39</v>
      </c>
      <c r="B9328" t="str">
        <f>"9:04:01.240870"</f>
        <v>9:04:01.240870</v>
      </c>
      <c r="C9328">
        <v>-45</v>
      </c>
    </row>
    <row r="9329" spans="1:3" x14ac:dyDescent="0.25">
      <c r="A9329">
        <v>37</v>
      </c>
      <c r="B9329" t="str">
        <f>"9:04:01.598055"</f>
        <v>9:04:01.598055</v>
      </c>
      <c r="C9329">
        <v>-44</v>
      </c>
    </row>
    <row r="9330" spans="1:3" x14ac:dyDescent="0.25">
      <c r="A9330">
        <v>37</v>
      </c>
      <c r="B9330" t="str">
        <f>"9:04:01.598574"</f>
        <v>9:04:01.598574</v>
      </c>
      <c r="C9330">
        <v>-36</v>
      </c>
    </row>
    <row r="9331" spans="1:3" x14ac:dyDescent="0.25">
      <c r="A9331">
        <v>37</v>
      </c>
      <c r="B9331" t="str">
        <f>"9:04:01.598900"</f>
        <v>9:04:01.598900</v>
      </c>
      <c r="C9331">
        <v>-44</v>
      </c>
    </row>
    <row r="9332" spans="1:3" x14ac:dyDescent="0.25">
      <c r="A9332">
        <v>38</v>
      </c>
      <c r="B9332" t="str">
        <f>"9:04:01.599676"</f>
        <v>9:04:01.599676</v>
      </c>
      <c r="C9332">
        <v>-41</v>
      </c>
    </row>
    <row r="9333" spans="1:3" x14ac:dyDescent="0.25">
      <c r="A9333">
        <v>39</v>
      </c>
      <c r="B9333" t="str">
        <f>"9:04:01.600702"</f>
        <v>9:04:01.600702</v>
      </c>
      <c r="C9333">
        <v>-46</v>
      </c>
    </row>
    <row r="9334" spans="1:3" x14ac:dyDescent="0.25">
      <c r="A9334">
        <v>37</v>
      </c>
      <c r="B9334" t="str">
        <f>"9:04:01.952678"</f>
        <v>9:04:01.952678</v>
      </c>
      <c r="C9334">
        <v>-44</v>
      </c>
    </row>
    <row r="9335" spans="1:3" x14ac:dyDescent="0.25">
      <c r="A9335">
        <v>37</v>
      </c>
      <c r="B9335" t="str">
        <f>"9:04:01.953196"</f>
        <v>9:04:01.953196</v>
      </c>
      <c r="C9335">
        <v>-36</v>
      </c>
    </row>
    <row r="9336" spans="1:3" x14ac:dyDescent="0.25">
      <c r="A9336">
        <v>37</v>
      </c>
      <c r="B9336" t="str">
        <f>"9:04:01.953522"</f>
        <v>9:04:01.953522</v>
      </c>
      <c r="C9336">
        <v>-44</v>
      </c>
    </row>
    <row r="9337" spans="1:3" x14ac:dyDescent="0.25">
      <c r="A9337">
        <v>38</v>
      </c>
      <c r="B9337" t="str">
        <f>"9:04:01.954298"</f>
        <v>9:04:01.954298</v>
      </c>
      <c r="C9337">
        <v>-41</v>
      </c>
    </row>
    <row r="9338" spans="1:3" x14ac:dyDescent="0.25">
      <c r="A9338">
        <v>39</v>
      </c>
      <c r="B9338" t="str">
        <f>"9:04:01.955324"</f>
        <v>9:04:01.955324</v>
      </c>
      <c r="C9338">
        <v>-46</v>
      </c>
    </row>
    <row r="9339" spans="1:3" x14ac:dyDescent="0.25">
      <c r="A9339">
        <v>37</v>
      </c>
      <c r="B9339" t="str">
        <f>"9:04:02.309827"</f>
        <v>9:04:02.309827</v>
      </c>
      <c r="C9339">
        <v>-43</v>
      </c>
    </row>
    <row r="9340" spans="1:3" x14ac:dyDescent="0.25">
      <c r="A9340">
        <v>37</v>
      </c>
      <c r="B9340" t="str">
        <f>"9:04:02.310345"</f>
        <v>9:04:02.310345</v>
      </c>
      <c r="C9340">
        <v>-40</v>
      </c>
    </row>
    <row r="9341" spans="1:3" x14ac:dyDescent="0.25">
      <c r="A9341">
        <v>37</v>
      </c>
      <c r="B9341" t="str">
        <f>"9:04:02.310671"</f>
        <v>9:04:02.310671</v>
      </c>
      <c r="C9341">
        <v>-44</v>
      </c>
    </row>
    <row r="9342" spans="1:3" x14ac:dyDescent="0.25">
      <c r="A9342">
        <v>38</v>
      </c>
      <c r="B9342" t="str">
        <f>"9:04:02.311447"</f>
        <v>9:04:02.311447</v>
      </c>
      <c r="C9342">
        <v>-41</v>
      </c>
    </row>
    <row r="9343" spans="1:3" x14ac:dyDescent="0.25">
      <c r="A9343">
        <v>39</v>
      </c>
      <c r="B9343" t="str">
        <f>"9:04:02.312473"</f>
        <v>9:04:02.312473</v>
      </c>
      <c r="C9343">
        <v>-45</v>
      </c>
    </row>
    <row r="9344" spans="1:3" x14ac:dyDescent="0.25">
      <c r="A9344">
        <v>37</v>
      </c>
      <c r="B9344" t="str">
        <f>"9:04:02.662832"</f>
        <v>9:04:02.662832</v>
      </c>
      <c r="C9344">
        <v>-44</v>
      </c>
    </row>
    <row r="9345" spans="1:3" x14ac:dyDescent="0.25">
      <c r="A9345">
        <v>37</v>
      </c>
      <c r="B9345" t="str">
        <f>"9:04:02.663350"</f>
        <v>9:04:02.663350</v>
      </c>
      <c r="C9345">
        <v>-39</v>
      </c>
    </row>
    <row r="9346" spans="1:3" x14ac:dyDescent="0.25">
      <c r="A9346">
        <v>37</v>
      </c>
      <c r="B9346" t="str">
        <f>"9:04:02.663676"</f>
        <v>9:04:02.663676</v>
      </c>
      <c r="C9346">
        <v>-44</v>
      </c>
    </row>
    <row r="9347" spans="1:3" x14ac:dyDescent="0.25">
      <c r="A9347">
        <v>38</v>
      </c>
      <c r="B9347" t="str">
        <f>"9:04:02.664452"</f>
        <v>9:04:02.664452</v>
      </c>
      <c r="C9347">
        <v>-41</v>
      </c>
    </row>
    <row r="9348" spans="1:3" x14ac:dyDescent="0.25">
      <c r="A9348">
        <v>39</v>
      </c>
      <c r="B9348" t="str">
        <f>"9:04:02.665478"</f>
        <v>9:04:02.665478</v>
      </c>
      <c r="C9348">
        <v>-45</v>
      </c>
    </row>
    <row r="9349" spans="1:3" x14ac:dyDescent="0.25">
      <c r="A9349">
        <v>37</v>
      </c>
      <c r="B9349" t="str">
        <f>"9:04:03.021750"</f>
        <v>9:04:03.021750</v>
      </c>
      <c r="C9349">
        <v>-44</v>
      </c>
    </row>
    <row r="9350" spans="1:3" x14ac:dyDescent="0.25">
      <c r="A9350">
        <v>37</v>
      </c>
      <c r="B9350" t="str">
        <f>"9:04:03.022269"</f>
        <v>9:04:03.022269</v>
      </c>
      <c r="C9350">
        <v>-38</v>
      </c>
    </row>
    <row r="9351" spans="1:3" x14ac:dyDescent="0.25">
      <c r="A9351">
        <v>37</v>
      </c>
      <c r="B9351" t="str">
        <f>"9:04:03.022594"</f>
        <v>9:04:03.022594</v>
      </c>
      <c r="C9351">
        <v>-44</v>
      </c>
    </row>
    <row r="9352" spans="1:3" x14ac:dyDescent="0.25">
      <c r="A9352">
        <v>38</v>
      </c>
      <c r="B9352" t="str">
        <f>"9:04:03.023371"</f>
        <v>9:04:03.023371</v>
      </c>
      <c r="C9352">
        <v>-41</v>
      </c>
    </row>
    <row r="9353" spans="1:3" x14ac:dyDescent="0.25">
      <c r="A9353">
        <v>39</v>
      </c>
      <c r="B9353" t="str">
        <f>"9:04:03.024397"</f>
        <v>9:04:03.024397</v>
      </c>
      <c r="C9353">
        <v>-45</v>
      </c>
    </row>
    <row r="9354" spans="1:3" x14ac:dyDescent="0.25">
      <c r="A9354">
        <v>37</v>
      </c>
      <c r="B9354" t="str">
        <f>"9:04:03.381250"</f>
        <v>9:04:03.381250</v>
      </c>
      <c r="C9354">
        <v>-44</v>
      </c>
    </row>
    <row r="9355" spans="1:3" x14ac:dyDescent="0.25">
      <c r="A9355">
        <v>37</v>
      </c>
      <c r="B9355" t="str">
        <f>"9:04:03.381769"</f>
        <v>9:04:03.381769</v>
      </c>
      <c r="C9355">
        <v>-38</v>
      </c>
    </row>
    <row r="9356" spans="1:3" x14ac:dyDescent="0.25">
      <c r="A9356">
        <v>37</v>
      </c>
      <c r="B9356" t="str">
        <f>"9:04:03.382094"</f>
        <v>9:04:03.382094</v>
      </c>
      <c r="C9356">
        <v>-44</v>
      </c>
    </row>
    <row r="9357" spans="1:3" x14ac:dyDescent="0.25">
      <c r="A9357">
        <v>38</v>
      </c>
      <c r="B9357" t="str">
        <f>"9:04:03.382871"</f>
        <v>9:04:03.382871</v>
      </c>
      <c r="C9357">
        <v>-41</v>
      </c>
    </row>
    <row r="9358" spans="1:3" x14ac:dyDescent="0.25">
      <c r="A9358">
        <v>39</v>
      </c>
      <c r="B9358" t="str">
        <f>"9:04:03.383897"</f>
        <v>9:04:03.383897</v>
      </c>
      <c r="C9358">
        <v>-45</v>
      </c>
    </row>
    <row r="9359" spans="1:3" x14ac:dyDescent="0.25">
      <c r="A9359">
        <v>37</v>
      </c>
      <c r="B9359" t="str">
        <f>"9:04:03.737412"</f>
        <v>9:04:03.737412</v>
      </c>
      <c r="C9359">
        <v>-44</v>
      </c>
    </row>
    <row r="9360" spans="1:3" x14ac:dyDescent="0.25">
      <c r="A9360">
        <v>37</v>
      </c>
      <c r="B9360" t="str">
        <f>"9:04:03.737930"</f>
        <v>9:04:03.737930</v>
      </c>
      <c r="C9360">
        <v>-38</v>
      </c>
    </row>
    <row r="9361" spans="1:3" x14ac:dyDescent="0.25">
      <c r="A9361">
        <v>37</v>
      </c>
      <c r="B9361" t="str">
        <f>"9:04:03.738256"</f>
        <v>9:04:03.738256</v>
      </c>
      <c r="C9361">
        <v>-44</v>
      </c>
    </row>
    <row r="9362" spans="1:3" x14ac:dyDescent="0.25">
      <c r="A9362">
        <v>38</v>
      </c>
      <c r="B9362" t="str">
        <f>"9:04:03.739033"</f>
        <v>9:04:03.739033</v>
      </c>
      <c r="C9362">
        <v>-41</v>
      </c>
    </row>
    <row r="9363" spans="1:3" x14ac:dyDescent="0.25">
      <c r="A9363">
        <v>39</v>
      </c>
      <c r="B9363" t="str">
        <f>"9:04:03.740059"</f>
        <v>9:04:03.740059</v>
      </c>
      <c r="C9363">
        <v>-45</v>
      </c>
    </row>
    <row r="9364" spans="1:3" x14ac:dyDescent="0.25">
      <c r="A9364">
        <v>37</v>
      </c>
      <c r="B9364" t="str">
        <f>"9:04:04.089211"</f>
        <v>9:04:04.089211</v>
      </c>
      <c r="C9364">
        <v>-44</v>
      </c>
    </row>
    <row r="9365" spans="1:3" x14ac:dyDescent="0.25">
      <c r="A9365">
        <v>38</v>
      </c>
      <c r="B9365" t="str">
        <f>"9:04:04.090238"</f>
        <v>9:04:04.090238</v>
      </c>
      <c r="C9365">
        <v>-41</v>
      </c>
    </row>
    <row r="9366" spans="1:3" x14ac:dyDescent="0.25">
      <c r="A9366">
        <v>39</v>
      </c>
      <c r="B9366" t="str">
        <f>"9:04:04.091264"</f>
        <v>9:04:04.091264</v>
      </c>
      <c r="C9366">
        <v>-46</v>
      </c>
    </row>
    <row r="9367" spans="1:3" x14ac:dyDescent="0.25">
      <c r="A9367">
        <v>37</v>
      </c>
      <c r="B9367" t="str">
        <f>"9:04:04.440986"</f>
        <v>9:04:04.440986</v>
      </c>
      <c r="C9367">
        <v>-44</v>
      </c>
    </row>
    <row r="9368" spans="1:3" x14ac:dyDescent="0.25">
      <c r="A9368">
        <v>38</v>
      </c>
      <c r="B9368" t="str">
        <f>"9:04:04.442013"</f>
        <v>9:04:04.442013</v>
      </c>
      <c r="C9368">
        <v>-41</v>
      </c>
    </row>
    <row r="9369" spans="1:3" x14ac:dyDescent="0.25">
      <c r="A9369">
        <v>38</v>
      </c>
      <c r="B9369" t="str">
        <f>"9:04:04.442532"</f>
        <v>9:04:04.442532</v>
      </c>
      <c r="C9369">
        <v>-31</v>
      </c>
    </row>
    <row r="9370" spans="1:3" x14ac:dyDescent="0.25">
      <c r="A9370">
        <v>38</v>
      </c>
      <c r="B9370" t="str">
        <f>"9:04:04.442857"</f>
        <v>9:04:04.442857</v>
      </c>
      <c r="C9370">
        <v>-41</v>
      </c>
    </row>
    <row r="9371" spans="1:3" x14ac:dyDescent="0.25">
      <c r="A9371">
        <v>39</v>
      </c>
      <c r="B9371" t="str">
        <f>"9:04:04.443633"</f>
        <v>9:04:04.443633</v>
      </c>
      <c r="C9371">
        <v>-46</v>
      </c>
    </row>
    <row r="9372" spans="1:3" x14ac:dyDescent="0.25">
      <c r="A9372">
        <v>37</v>
      </c>
      <c r="B9372" t="str">
        <f>"9:04:04.797591"</f>
        <v>9:04:04.797591</v>
      </c>
      <c r="C9372">
        <v>-44</v>
      </c>
    </row>
    <row r="9373" spans="1:3" x14ac:dyDescent="0.25">
      <c r="A9373">
        <v>38</v>
      </c>
      <c r="B9373" t="str">
        <f>"9:04:04.798619"</f>
        <v>9:04:04.798619</v>
      </c>
      <c r="C9373">
        <v>-41</v>
      </c>
    </row>
    <row r="9374" spans="1:3" x14ac:dyDescent="0.25">
      <c r="A9374">
        <v>38</v>
      </c>
      <c r="B9374" t="str">
        <f>"9:04:04.799137"</f>
        <v>9:04:04.799137</v>
      </c>
      <c r="C9374">
        <v>-31</v>
      </c>
    </row>
    <row r="9375" spans="1:3" x14ac:dyDescent="0.25">
      <c r="A9375">
        <v>38</v>
      </c>
      <c r="B9375" t="str">
        <f>"9:04:04.799463"</f>
        <v>9:04:04.799463</v>
      </c>
      <c r="C9375">
        <v>-41</v>
      </c>
    </row>
    <row r="9376" spans="1:3" x14ac:dyDescent="0.25">
      <c r="A9376">
        <v>39</v>
      </c>
      <c r="B9376" t="str">
        <f>"9:04:04.800239"</f>
        <v>9:04:04.800239</v>
      </c>
      <c r="C9376">
        <v>-46</v>
      </c>
    </row>
    <row r="9377" spans="1:3" x14ac:dyDescent="0.25">
      <c r="A9377">
        <v>37</v>
      </c>
      <c r="B9377" t="str">
        <f>"9:04:05.149862"</f>
        <v>9:04:05.149862</v>
      </c>
      <c r="C9377">
        <v>-44</v>
      </c>
    </row>
    <row r="9378" spans="1:3" x14ac:dyDescent="0.25">
      <c r="A9378">
        <v>38</v>
      </c>
      <c r="B9378" t="str">
        <f>"9:04:05.150889"</f>
        <v>9:04:05.150889</v>
      </c>
      <c r="C9378">
        <v>-41</v>
      </c>
    </row>
    <row r="9379" spans="1:3" x14ac:dyDescent="0.25">
      <c r="A9379">
        <v>38</v>
      </c>
      <c r="B9379" t="str">
        <f>"9:04:05.151408"</f>
        <v>9:04:05.151408</v>
      </c>
      <c r="C9379">
        <v>-32</v>
      </c>
    </row>
    <row r="9380" spans="1:3" x14ac:dyDescent="0.25">
      <c r="A9380">
        <v>38</v>
      </c>
      <c r="B9380" t="str">
        <f>"9:04:05.151734"</f>
        <v>9:04:05.151734</v>
      </c>
      <c r="C9380">
        <v>-41</v>
      </c>
    </row>
    <row r="9381" spans="1:3" x14ac:dyDescent="0.25">
      <c r="A9381">
        <v>39</v>
      </c>
      <c r="B9381" t="str">
        <f>"9:04:05.152510"</f>
        <v>9:04:05.152510</v>
      </c>
      <c r="C9381">
        <v>-46</v>
      </c>
    </row>
    <row r="9382" spans="1:3" x14ac:dyDescent="0.25">
      <c r="A9382">
        <v>37</v>
      </c>
      <c r="B9382" t="str">
        <f>"9:04:05.507762"</f>
        <v>9:04:05.507762</v>
      </c>
      <c r="C9382">
        <v>-44</v>
      </c>
    </row>
    <row r="9383" spans="1:3" x14ac:dyDescent="0.25">
      <c r="A9383">
        <v>38</v>
      </c>
      <c r="B9383" t="str">
        <f>"9:04:05.508789"</f>
        <v>9:04:05.508789</v>
      </c>
      <c r="C9383">
        <v>-41</v>
      </c>
    </row>
    <row r="9384" spans="1:3" x14ac:dyDescent="0.25">
      <c r="A9384">
        <v>38</v>
      </c>
      <c r="B9384" t="str">
        <f>"9:04:05.509308"</f>
        <v>9:04:05.509308</v>
      </c>
      <c r="C9384">
        <v>-31</v>
      </c>
    </row>
    <row r="9385" spans="1:3" x14ac:dyDescent="0.25">
      <c r="A9385">
        <v>38</v>
      </c>
      <c r="B9385" t="str">
        <f>"9:04:05.509634"</f>
        <v>9:04:05.509634</v>
      </c>
      <c r="C9385">
        <v>-41</v>
      </c>
    </row>
    <row r="9386" spans="1:3" x14ac:dyDescent="0.25">
      <c r="A9386">
        <v>39</v>
      </c>
      <c r="B9386" t="str">
        <f>"9:04:05.510410"</f>
        <v>9:04:05.510410</v>
      </c>
      <c r="C9386">
        <v>-46</v>
      </c>
    </row>
    <row r="9387" spans="1:3" x14ac:dyDescent="0.25">
      <c r="A9387">
        <v>37</v>
      </c>
      <c r="B9387" t="str">
        <f>"9:04:05.864709"</f>
        <v>9:04:05.864709</v>
      </c>
      <c r="C9387">
        <v>-44</v>
      </c>
    </row>
    <row r="9388" spans="1:3" x14ac:dyDescent="0.25">
      <c r="A9388">
        <v>38</v>
      </c>
      <c r="B9388" t="str">
        <f>"9:04:05.865736"</f>
        <v>9:04:05.865736</v>
      </c>
      <c r="C9388">
        <v>-41</v>
      </c>
    </row>
    <row r="9389" spans="1:3" x14ac:dyDescent="0.25">
      <c r="A9389">
        <v>38</v>
      </c>
      <c r="B9389" t="str">
        <f>"9:04:05.866254"</f>
        <v>9:04:05.866254</v>
      </c>
      <c r="C9389">
        <v>-31</v>
      </c>
    </row>
    <row r="9390" spans="1:3" x14ac:dyDescent="0.25">
      <c r="A9390">
        <v>38</v>
      </c>
      <c r="B9390" t="str">
        <f>"9:04:05.866580"</f>
        <v>9:04:05.866580</v>
      </c>
      <c r="C9390">
        <v>-41</v>
      </c>
    </row>
    <row r="9391" spans="1:3" x14ac:dyDescent="0.25">
      <c r="A9391">
        <v>39</v>
      </c>
      <c r="B9391" t="str">
        <f>"9:04:05.867356"</f>
        <v>9:04:05.867356</v>
      </c>
      <c r="C9391">
        <v>-46</v>
      </c>
    </row>
    <row r="9392" spans="1:3" x14ac:dyDescent="0.25">
      <c r="A9392">
        <v>37</v>
      </c>
      <c r="B9392" t="str">
        <f>"9:04:06.224142"</f>
        <v>9:04:06.224142</v>
      </c>
      <c r="C9392">
        <v>-44</v>
      </c>
    </row>
    <row r="9393" spans="1:3" x14ac:dyDescent="0.25">
      <c r="A9393">
        <v>38</v>
      </c>
      <c r="B9393" t="str">
        <f>"9:04:06.225169"</f>
        <v>9:04:06.225169</v>
      </c>
      <c r="C9393">
        <v>-41</v>
      </c>
    </row>
    <row r="9394" spans="1:3" x14ac:dyDescent="0.25">
      <c r="A9394">
        <v>38</v>
      </c>
      <c r="B9394" t="str">
        <f>"9:04:06.225687"</f>
        <v>9:04:06.225687</v>
      </c>
      <c r="C9394">
        <v>-31</v>
      </c>
    </row>
    <row r="9395" spans="1:3" x14ac:dyDescent="0.25">
      <c r="A9395">
        <v>38</v>
      </c>
      <c r="B9395" t="str">
        <f>"9:04:06.226013"</f>
        <v>9:04:06.226013</v>
      </c>
      <c r="C9395">
        <v>-41</v>
      </c>
    </row>
    <row r="9396" spans="1:3" x14ac:dyDescent="0.25">
      <c r="A9396">
        <v>39</v>
      </c>
      <c r="B9396" t="str">
        <f>"9:04:06.226789"</f>
        <v>9:04:06.226789</v>
      </c>
      <c r="C9396">
        <v>-46</v>
      </c>
    </row>
    <row r="9397" spans="1:3" x14ac:dyDescent="0.25">
      <c r="A9397">
        <v>37</v>
      </c>
      <c r="B9397" t="str">
        <f>"9:04:06.574588"</f>
        <v>9:04:06.574588</v>
      </c>
      <c r="C9397">
        <v>-44</v>
      </c>
    </row>
    <row r="9398" spans="1:3" x14ac:dyDescent="0.25">
      <c r="A9398">
        <v>38</v>
      </c>
      <c r="B9398" t="str">
        <f>"9:04:06.575616"</f>
        <v>9:04:06.575616</v>
      </c>
      <c r="C9398">
        <v>-41</v>
      </c>
    </row>
    <row r="9399" spans="1:3" x14ac:dyDescent="0.25">
      <c r="A9399">
        <v>38</v>
      </c>
      <c r="B9399" t="str">
        <f>"9:04:06.576135"</f>
        <v>9:04:06.576135</v>
      </c>
      <c r="C9399">
        <v>-31</v>
      </c>
    </row>
    <row r="9400" spans="1:3" x14ac:dyDescent="0.25">
      <c r="A9400">
        <v>38</v>
      </c>
      <c r="B9400" t="str">
        <f>"9:04:06.576461"</f>
        <v>9:04:06.576461</v>
      </c>
      <c r="C9400">
        <v>-41</v>
      </c>
    </row>
    <row r="9401" spans="1:3" x14ac:dyDescent="0.25">
      <c r="A9401">
        <v>39</v>
      </c>
      <c r="B9401" t="str">
        <f>"9:04:06.577237"</f>
        <v>9:04:06.577237</v>
      </c>
      <c r="C9401">
        <v>-46</v>
      </c>
    </row>
    <row r="9402" spans="1:3" x14ac:dyDescent="0.25">
      <c r="A9402">
        <v>37</v>
      </c>
      <c r="B9402" t="str">
        <f>"9:04:06.929386"</f>
        <v>9:04:06.929386</v>
      </c>
      <c r="C9402">
        <v>-44</v>
      </c>
    </row>
    <row r="9403" spans="1:3" x14ac:dyDescent="0.25">
      <c r="A9403">
        <v>38</v>
      </c>
      <c r="B9403" t="str">
        <f>"9:04:06.930413"</f>
        <v>9:04:06.930413</v>
      </c>
      <c r="C9403">
        <v>-41</v>
      </c>
    </row>
    <row r="9404" spans="1:3" x14ac:dyDescent="0.25">
      <c r="A9404">
        <v>38</v>
      </c>
      <c r="B9404" t="str">
        <f>"9:04:06.930932"</f>
        <v>9:04:06.930932</v>
      </c>
      <c r="C9404">
        <v>-31</v>
      </c>
    </row>
    <row r="9405" spans="1:3" x14ac:dyDescent="0.25">
      <c r="A9405">
        <v>38</v>
      </c>
      <c r="B9405" t="str">
        <f>"9:04:06.931257"</f>
        <v>9:04:06.931257</v>
      </c>
      <c r="C9405">
        <v>-41</v>
      </c>
    </row>
    <row r="9406" spans="1:3" x14ac:dyDescent="0.25">
      <c r="A9406">
        <v>39</v>
      </c>
      <c r="B9406" t="str">
        <f>"9:04:06.932033"</f>
        <v>9:04:06.932033</v>
      </c>
      <c r="C9406">
        <v>-46</v>
      </c>
    </row>
    <row r="9407" spans="1:3" x14ac:dyDescent="0.25">
      <c r="A9407">
        <v>37</v>
      </c>
      <c r="B9407" t="str">
        <f>"9:04:07.282408"</f>
        <v>9:04:07.282408</v>
      </c>
      <c r="C9407">
        <v>-44</v>
      </c>
    </row>
    <row r="9408" spans="1:3" x14ac:dyDescent="0.25">
      <c r="A9408">
        <v>38</v>
      </c>
      <c r="B9408" t="str">
        <f>"9:04:07.283435"</f>
        <v>9:04:07.283435</v>
      </c>
      <c r="C9408">
        <v>-41</v>
      </c>
    </row>
    <row r="9409" spans="1:3" x14ac:dyDescent="0.25">
      <c r="A9409">
        <v>38</v>
      </c>
      <c r="B9409" t="str">
        <f>"9:04:07.283954"</f>
        <v>9:04:07.283954</v>
      </c>
      <c r="C9409">
        <v>-31</v>
      </c>
    </row>
    <row r="9410" spans="1:3" x14ac:dyDescent="0.25">
      <c r="A9410">
        <v>38</v>
      </c>
      <c r="B9410" t="str">
        <f>"9:04:07.284279"</f>
        <v>9:04:07.284279</v>
      </c>
      <c r="C9410">
        <v>-41</v>
      </c>
    </row>
    <row r="9411" spans="1:3" x14ac:dyDescent="0.25">
      <c r="A9411">
        <v>39</v>
      </c>
      <c r="B9411" t="str">
        <f>"9:04:07.285055"</f>
        <v>9:04:07.285055</v>
      </c>
      <c r="C9411">
        <v>-45</v>
      </c>
    </row>
    <row r="9412" spans="1:3" x14ac:dyDescent="0.25">
      <c r="A9412">
        <v>37</v>
      </c>
      <c r="B9412" t="str">
        <f>"9:04:07.636203"</f>
        <v>9:04:07.636203</v>
      </c>
      <c r="C9412">
        <v>-44</v>
      </c>
    </row>
    <row r="9413" spans="1:3" x14ac:dyDescent="0.25">
      <c r="A9413">
        <v>38</v>
      </c>
      <c r="B9413" t="str">
        <f>"9:04:07.637230"</f>
        <v>9:04:07.637230</v>
      </c>
      <c r="C9413">
        <v>-41</v>
      </c>
    </row>
    <row r="9414" spans="1:3" x14ac:dyDescent="0.25">
      <c r="A9414">
        <v>38</v>
      </c>
      <c r="B9414" t="str">
        <f>"9:04:07.637749"</f>
        <v>9:04:07.637749</v>
      </c>
      <c r="C9414">
        <v>-31</v>
      </c>
    </row>
    <row r="9415" spans="1:3" x14ac:dyDescent="0.25">
      <c r="A9415">
        <v>38</v>
      </c>
      <c r="B9415" t="str">
        <f>"9:04:07.638075"</f>
        <v>9:04:07.638075</v>
      </c>
      <c r="C9415">
        <v>-41</v>
      </c>
    </row>
    <row r="9416" spans="1:3" x14ac:dyDescent="0.25">
      <c r="A9416">
        <v>39</v>
      </c>
      <c r="B9416" t="str">
        <f>"9:04:07.638851"</f>
        <v>9:04:07.638851</v>
      </c>
      <c r="C9416">
        <v>-45</v>
      </c>
    </row>
    <row r="9417" spans="1:3" x14ac:dyDescent="0.25">
      <c r="A9417">
        <v>37</v>
      </c>
      <c r="B9417" t="str">
        <f>"9:04:07.991353"</f>
        <v>9:04:07.991353</v>
      </c>
      <c r="C9417">
        <v>-44</v>
      </c>
    </row>
    <row r="9418" spans="1:3" x14ac:dyDescent="0.25">
      <c r="A9418">
        <v>38</v>
      </c>
      <c r="B9418" t="str">
        <f>"9:04:07.992381"</f>
        <v>9:04:07.992381</v>
      </c>
      <c r="C9418">
        <v>-41</v>
      </c>
    </row>
    <row r="9419" spans="1:3" x14ac:dyDescent="0.25">
      <c r="A9419">
        <v>38</v>
      </c>
      <c r="B9419" t="str">
        <f>"9:04:07.992899"</f>
        <v>9:04:07.992899</v>
      </c>
      <c r="C9419">
        <v>-31</v>
      </c>
    </row>
    <row r="9420" spans="1:3" x14ac:dyDescent="0.25">
      <c r="A9420">
        <v>38</v>
      </c>
      <c r="B9420" t="str">
        <f>"9:04:07.993225"</f>
        <v>9:04:07.993225</v>
      </c>
      <c r="C9420">
        <v>-41</v>
      </c>
    </row>
    <row r="9421" spans="1:3" x14ac:dyDescent="0.25">
      <c r="A9421">
        <v>39</v>
      </c>
      <c r="B9421" t="str">
        <f>"9:04:07.994001"</f>
        <v>9:04:07.994001</v>
      </c>
      <c r="C9421">
        <v>-46</v>
      </c>
    </row>
    <row r="9422" spans="1:3" x14ac:dyDescent="0.25">
      <c r="A9422">
        <v>39</v>
      </c>
      <c r="B9422" t="str">
        <f>"9:04:07.994845"</f>
        <v>9:04:07.994845</v>
      </c>
      <c r="C9422">
        <v>-45</v>
      </c>
    </row>
    <row r="9423" spans="1:3" x14ac:dyDescent="0.25">
      <c r="A9423">
        <v>37</v>
      </c>
      <c r="B9423" t="str">
        <f>"9:04:08.347739"</f>
        <v>9:04:08.347739</v>
      </c>
      <c r="C9423">
        <v>-44</v>
      </c>
    </row>
    <row r="9424" spans="1:3" x14ac:dyDescent="0.25">
      <c r="A9424">
        <v>38</v>
      </c>
      <c r="B9424" t="str">
        <f>"9:04:08.348766"</f>
        <v>9:04:08.348766</v>
      </c>
      <c r="C9424">
        <v>-41</v>
      </c>
    </row>
    <row r="9425" spans="1:3" x14ac:dyDescent="0.25">
      <c r="A9425">
        <v>38</v>
      </c>
      <c r="B9425" t="str">
        <f>"9:04:08.349285"</f>
        <v>9:04:08.349285</v>
      </c>
      <c r="C9425">
        <v>-31</v>
      </c>
    </row>
    <row r="9426" spans="1:3" x14ac:dyDescent="0.25">
      <c r="A9426">
        <v>38</v>
      </c>
      <c r="B9426" t="str">
        <f>"9:04:08.349611"</f>
        <v>9:04:08.349611</v>
      </c>
      <c r="C9426">
        <v>-41</v>
      </c>
    </row>
    <row r="9427" spans="1:3" x14ac:dyDescent="0.25">
      <c r="A9427">
        <v>39</v>
      </c>
      <c r="B9427" t="str">
        <f>"9:04:08.350387"</f>
        <v>9:04:08.350387</v>
      </c>
      <c r="C9427">
        <v>-46</v>
      </c>
    </row>
    <row r="9428" spans="1:3" x14ac:dyDescent="0.25">
      <c r="A9428">
        <v>37</v>
      </c>
      <c r="B9428" t="str">
        <f>"9:04:08.704922"</f>
        <v>9:04:08.704922</v>
      </c>
      <c r="C9428">
        <v>-44</v>
      </c>
    </row>
    <row r="9429" spans="1:3" x14ac:dyDescent="0.25">
      <c r="A9429">
        <v>38</v>
      </c>
      <c r="B9429" t="str">
        <f>"9:04:08.705949"</f>
        <v>9:04:08.705949</v>
      </c>
      <c r="C9429">
        <v>-41</v>
      </c>
    </row>
    <row r="9430" spans="1:3" x14ac:dyDescent="0.25">
      <c r="A9430">
        <v>38</v>
      </c>
      <c r="B9430" t="str">
        <f>"9:04:08.706468"</f>
        <v>9:04:08.706468</v>
      </c>
      <c r="C9430">
        <v>-31</v>
      </c>
    </row>
    <row r="9431" spans="1:3" x14ac:dyDescent="0.25">
      <c r="A9431">
        <v>38</v>
      </c>
      <c r="B9431" t="str">
        <f>"9:04:08.706794"</f>
        <v>9:04:08.706794</v>
      </c>
      <c r="C9431">
        <v>-41</v>
      </c>
    </row>
    <row r="9432" spans="1:3" x14ac:dyDescent="0.25">
      <c r="A9432">
        <v>39</v>
      </c>
      <c r="B9432" t="str">
        <f>"9:04:08.707570"</f>
        <v>9:04:08.707570</v>
      </c>
      <c r="C9432">
        <v>-46</v>
      </c>
    </row>
    <row r="9433" spans="1:3" x14ac:dyDescent="0.25">
      <c r="A9433">
        <v>39</v>
      </c>
      <c r="B9433" t="str">
        <f>"9:04:08.708090"</f>
        <v>9:04:08.708090</v>
      </c>
      <c r="C9433">
        <v>-91</v>
      </c>
    </row>
    <row r="9434" spans="1:3" x14ac:dyDescent="0.25">
      <c r="A9434">
        <v>39</v>
      </c>
      <c r="B9434" t="str">
        <f>"9:04:08.708416"</f>
        <v>9:04:08.708416</v>
      </c>
      <c r="C9434">
        <v>-45</v>
      </c>
    </row>
    <row r="9435" spans="1:3" x14ac:dyDescent="0.25">
      <c r="A9435">
        <v>37</v>
      </c>
      <c r="B9435" t="str">
        <f>"9:04:09.063568"</f>
        <v>9:04:09.063568</v>
      </c>
      <c r="C9435">
        <v>-44</v>
      </c>
    </row>
    <row r="9436" spans="1:3" x14ac:dyDescent="0.25">
      <c r="A9436">
        <v>38</v>
      </c>
      <c r="B9436" t="str">
        <f>"9:04:09.064596"</f>
        <v>9:04:09.064596</v>
      </c>
      <c r="C9436">
        <v>-41</v>
      </c>
    </row>
    <row r="9437" spans="1:3" x14ac:dyDescent="0.25">
      <c r="A9437">
        <v>38</v>
      </c>
      <c r="B9437" t="str">
        <f>"9:04:09.065114"</f>
        <v>9:04:09.065114</v>
      </c>
      <c r="C9437">
        <v>-31</v>
      </c>
    </row>
    <row r="9438" spans="1:3" x14ac:dyDescent="0.25">
      <c r="A9438">
        <v>38</v>
      </c>
      <c r="B9438" t="str">
        <f>"9:04:09.065440"</f>
        <v>9:04:09.065440</v>
      </c>
      <c r="C9438">
        <v>-41</v>
      </c>
    </row>
    <row r="9439" spans="1:3" x14ac:dyDescent="0.25">
      <c r="A9439">
        <v>39</v>
      </c>
      <c r="B9439" t="str">
        <f>"9:04:09.066216"</f>
        <v>9:04:09.066216</v>
      </c>
      <c r="C9439">
        <v>-46</v>
      </c>
    </row>
    <row r="9440" spans="1:3" x14ac:dyDescent="0.25">
      <c r="A9440">
        <v>37</v>
      </c>
      <c r="B9440" t="str">
        <f>"9:04:09.415800"</f>
        <v>9:04:09.415800</v>
      </c>
      <c r="C9440">
        <v>-44</v>
      </c>
    </row>
    <row r="9441" spans="1:3" x14ac:dyDescent="0.25">
      <c r="A9441">
        <v>38</v>
      </c>
      <c r="B9441" t="str">
        <f>"9:04:09.416828"</f>
        <v>9:04:09.416828</v>
      </c>
      <c r="C9441">
        <v>-41</v>
      </c>
    </row>
    <row r="9442" spans="1:3" x14ac:dyDescent="0.25">
      <c r="A9442">
        <v>38</v>
      </c>
      <c r="B9442" t="str">
        <f>"9:04:09.417346"</f>
        <v>9:04:09.417346</v>
      </c>
      <c r="C9442">
        <v>-31</v>
      </c>
    </row>
    <row r="9443" spans="1:3" x14ac:dyDescent="0.25">
      <c r="A9443">
        <v>38</v>
      </c>
      <c r="B9443" t="str">
        <f>"9:04:09.417672"</f>
        <v>9:04:09.417672</v>
      </c>
      <c r="C9443">
        <v>-41</v>
      </c>
    </row>
    <row r="9444" spans="1:3" x14ac:dyDescent="0.25">
      <c r="A9444">
        <v>39</v>
      </c>
      <c r="B9444" t="str">
        <f>"9:04:09.418448"</f>
        <v>9:04:09.418448</v>
      </c>
      <c r="C9444">
        <v>-46</v>
      </c>
    </row>
    <row r="9445" spans="1:3" x14ac:dyDescent="0.25">
      <c r="A9445">
        <v>37</v>
      </c>
      <c r="B9445" t="str">
        <f>"9:04:09.767369"</f>
        <v>9:04:09.767369</v>
      </c>
      <c r="C9445">
        <v>-44</v>
      </c>
    </row>
    <row r="9446" spans="1:3" x14ac:dyDescent="0.25">
      <c r="A9446">
        <v>38</v>
      </c>
      <c r="B9446" t="str">
        <f>"9:04:09.768396"</f>
        <v>9:04:09.768396</v>
      </c>
      <c r="C9446">
        <v>-41</v>
      </c>
    </row>
    <row r="9447" spans="1:3" x14ac:dyDescent="0.25">
      <c r="A9447">
        <v>39</v>
      </c>
      <c r="B9447" t="str">
        <f>"9:04:09.769420"</f>
        <v>9:04:09.769420</v>
      </c>
      <c r="C9447">
        <v>-46</v>
      </c>
    </row>
    <row r="9448" spans="1:3" x14ac:dyDescent="0.25">
      <c r="A9448">
        <v>37</v>
      </c>
      <c r="B9448" t="str">
        <f>"9:04:10.124824"</f>
        <v>9:04:10.124824</v>
      </c>
      <c r="C9448">
        <v>-44</v>
      </c>
    </row>
    <row r="9449" spans="1:3" x14ac:dyDescent="0.25">
      <c r="A9449">
        <v>38</v>
      </c>
      <c r="B9449" t="str">
        <f>"9:04:10.125852"</f>
        <v>9:04:10.125852</v>
      </c>
      <c r="C9449">
        <v>-41</v>
      </c>
    </row>
    <row r="9450" spans="1:3" x14ac:dyDescent="0.25">
      <c r="A9450">
        <v>39</v>
      </c>
      <c r="B9450" t="str">
        <f>"9:04:10.126878"</f>
        <v>9:04:10.126878</v>
      </c>
      <c r="C9450">
        <v>-46</v>
      </c>
    </row>
    <row r="9451" spans="1:3" x14ac:dyDescent="0.25">
      <c r="A9451">
        <v>39</v>
      </c>
      <c r="B9451" t="str">
        <f>"9:04:10.127396"</f>
        <v>9:04:10.127396</v>
      </c>
      <c r="C9451">
        <v>-31</v>
      </c>
    </row>
    <row r="9452" spans="1:3" x14ac:dyDescent="0.25">
      <c r="A9452">
        <v>39</v>
      </c>
      <c r="B9452" t="str">
        <f>"9:04:10.127723"</f>
        <v>9:04:10.127723</v>
      </c>
      <c r="C9452">
        <v>-45</v>
      </c>
    </row>
    <row r="9453" spans="1:3" x14ac:dyDescent="0.25">
      <c r="A9453">
        <v>37</v>
      </c>
      <c r="B9453" t="str">
        <f>"9:04:10.484586"</f>
        <v>9:04:10.484586</v>
      </c>
      <c r="C9453">
        <v>-44</v>
      </c>
    </row>
    <row r="9454" spans="1:3" x14ac:dyDescent="0.25">
      <c r="A9454">
        <v>38</v>
      </c>
      <c r="B9454" t="str">
        <f>"9:04:10.485614"</f>
        <v>9:04:10.485614</v>
      </c>
      <c r="C9454">
        <v>-41</v>
      </c>
    </row>
    <row r="9455" spans="1:3" x14ac:dyDescent="0.25">
      <c r="A9455">
        <v>39</v>
      </c>
      <c r="B9455" t="str">
        <f>"9:04:10.486640"</f>
        <v>9:04:10.486640</v>
      </c>
      <c r="C9455">
        <v>-46</v>
      </c>
    </row>
    <row r="9456" spans="1:3" x14ac:dyDescent="0.25">
      <c r="A9456">
        <v>39</v>
      </c>
      <c r="B9456" t="str">
        <f>"9:04:10.487158"</f>
        <v>9:04:10.487158</v>
      </c>
      <c r="C9456">
        <v>-30</v>
      </c>
    </row>
    <row r="9457" spans="1:3" x14ac:dyDescent="0.25">
      <c r="A9457">
        <v>39</v>
      </c>
      <c r="B9457" t="str">
        <f>"9:04:10.487484"</f>
        <v>9:04:10.487484</v>
      </c>
      <c r="C9457">
        <v>-45</v>
      </c>
    </row>
    <row r="9458" spans="1:3" x14ac:dyDescent="0.25">
      <c r="A9458">
        <v>37</v>
      </c>
      <c r="B9458" t="str">
        <f>"9:04:10.838650"</f>
        <v>9:04:10.838650</v>
      </c>
      <c r="C9458">
        <v>-44</v>
      </c>
    </row>
    <row r="9459" spans="1:3" x14ac:dyDescent="0.25">
      <c r="A9459">
        <v>38</v>
      </c>
      <c r="B9459" t="str">
        <f>"9:04:10.839678"</f>
        <v>9:04:10.839678</v>
      </c>
      <c r="C9459">
        <v>-41</v>
      </c>
    </row>
    <row r="9460" spans="1:3" x14ac:dyDescent="0.25">
      <c r="A9460">
        <v>39</v>
      </c>
      <c r="B9460" t="str">
        <f>"9:04:10.840704"</f>
        <v>9:04:10.840704</v>
      </c>
      <c r="C9460">
        <v>-46</v>
      </c>
    </row>
    <row r="9461" spans="1:3" x14ac:dyDescent="0.25">
      <c r="A9461">
        <v>39</v>
      </c>
      <c r="B9461" t="str">
        <f>"9:04:10.841222"</f>
        <v>9:04:10.841222</v>
      </c>
      <c r="C9461">
        <v>-31</v>
      </c>
    </row>
    <row r="9462" spans="1:3" x14ac:dyDescent="0.25">
      <c r="A9462">
        <v>39</v>
      </c>
      <c r="B9462" t="str">
        <f>"9:04:10.841548"</f>
        <v>9:04:10.841548</v>
      </c>
      <c r="C9462">
        <v>-45</v>
      </c>
    </row>
    <row r="9463" spans="1:3" x14ac:dyDescent="0.25">
      <c r="A9463">
        <v>37</v>
      </c>
      <c r="B9463" t="str">
        <f>"9:04:11.197650"</f>
        <v>9:04:11.197650</v>
      </c>
      <c r="C9463">
        <v>-44</v>
      </c>
    </row>
    <row r="9464" spans="1:3" x14ac:dyDescent="0.25">
      <c r="A9464">
        <v>38</v>
      </c>
      <c r="B9464" t="str">
        <f>"9:04:11.198678"</f>
        <v>9:04:11.198678</v>
      </c>
      <c r="C9464">
        <v>-41</v>
      </c>
    </row>
    <row r="9465" spans="1:3" x14ac:dyDescent="0.25">
      <c r="A9465">
        <v>39</v>
      </c>
      <c r="B9465" t="str">
        <f>"9:04:11.199704"</f>
        <v>9:04:11.199704</v>
      </c>
      <c r="C9465">
        <v>-46</v>
      </c>
    </row>
    <row r="9466" spans="1:3" x14ac:dyDescent="0.25">
      <c r="A9466">
        <v>39</v>
      </c>
      <c r="B9466" t="str">
        <f>"9:04:11.200222"</f>
        <v>9:04:11.200222</v>
      </c>
      <c r="C9466">
        <v>-31</v>
      </c>
    </row>
    <row r="9467" spans="1:3" x14ac:dyDescent="0.25">
      <c r="A9467">
        <v>39</v>
      </c>
      <c r="B9467" t="str">
        <f>"9:04:11.200548"</f>
        <v>9:04:11.200548</v>
      </c>
      <c r="C9467">
        <v>-45</v>
      </c>
    </row>
    <row r="9468" spans="1:3" x14ac:dyDescent="0.25">
      <c r="A9468">
        <v>37</v>
      </c>
      <c r="B9468" t="str">
        <f>"9:04:11.553242"</f>
        <v>9:04:11.553242</v>
      </c>
      <c r="C9468">
        <v>-44</v>
      </c>
    </row>
    <row r="9469" spans="1:3" x14ac:dyDescent="0.25">
      <c r="A9469">
        <v>38</v>
      </c>
      <c r="B9469" t="str">
        <f>"9:04:11.554269"</f>
        <v>9:04:11.554269</v>
      </c>
      <c r="C9469">
        <v>-41</v>
      </c>
    </row>
    <row r="9470" spans="1:3" x14ac:dyDescent="0.25">
      <c r="A9470">
        <v>39</v>
      </c>
      <c r="B9470" t="str">
        <f>"9:04:11.555295"</f>
        <v>9:04:11.555295</v>
      </c>
      <c r="C9470">
        <v>-46</v>
      </c>
    </row>
    <row r="9471" spans="1:3" x14ac:dyDescent="0.25">
      <c r="A9471">
        <v>39</v>
      </c>
      <c r="B9471" t="str">
        <f>"9:04:11.555814"</f>
        <v>9:04:11.555814</v>
      </c>
      <c r="C9471">
        <v>-30</v>
      </c>
    </row>
    <row r="9472" spans="1:3" x14ac:dyDescent="0.25">
      <c r="A9472">
        <v>39</v>
      </c>
      <c r="B9472" t="str">
        <f>"9:04:11.556139"</f>
        <v>9:04:11.556139</v>
      </c>
      <c r="C9472">
        <v>-45</v>
      </c>
    </row>
    <row r="9473" spans="1:3" x14ac:dyDescent="0.25">
      <c r="A9473">
        <v>37</v>
      </c>
      <c r="B9473" t="str">
        <f>"9:04:11.913193"</f>
        <v>9:04:11.913193</v>
      </c>
      <c r="C9473">
        <v>-44</v>
      </c>
    </row>
    <row r="9474" spans="1:3" x14ac:dyDescent="0.25">
      <c r="A9474">
        <v>38</v>
      </c>
      <c r="B9474" t="str">
        <f>"9:04:11.914220"</f>
        <v>9:04:11.914220</v>
      </c>
      <c r="C9474">
        <v>-41</v>
      </c>
    </row>
    <row r="9475" spans="1:3" x14ac:dyDescent="0.25">
      <c r="A9475">
        <v>39</v>
      </c>
      <c r="B9475" t="str">
        <f>"9:04:11.915246"</f>
        <v>9:04:11.915246</v>
      </c>
      <c r="C9475">
        <v>-46</v>
      </c>
    </row>
    <row r="9476" spans="1:3" x14ac:dyDescent="0.25">
      <c r="A9476">
        <v>39</v>
      </c>
      <c r="B9476" t="str">
        <f>"9:04:11.915765"</f>
        <v>9:04:11.915765</v>
      </c>
      <c r="C9476">
        <v>-30</v>
      </c>
    </row>
    <row r="9477" spans="1:3" x14ac:dyDescent="0.25">
      <c r="A9477">
        <v>39</v>
      </c>
      <c r="B9477" t="str">
        <f>"9:04:11.916090"</f>
        <v>9:04:11.916090</v>
      </c>
      <c r="C9477">
        <v>-45</v>
      </c>
    </row>
    <row r="9478" spans="1:3" x14ac:dyDescent="0.25">
      <c r="A9478">
        <v>37</v>
      </c>
      <c r="B9478" t="str">
        <f>"9:04:12.267005"</f>
        <v>9:04:12.267005</v>
      </c>
      <c r="C9478">
        <v>-44</v>
      </c>
    </row>
    <row r="9479" spans="1:3" x14ac:dyDescent="0.25">
      <c r="A9479">
        <v>38</v>
      </c>
      <c r="B9479" t="str">
        <f>"9:04:12.268032"</f>
        <v>9:04:12.268032</v>
      </c>
      <c r="C9479">
        <v>-41</v>
      </c>
    </row>
    <row r="9480" spans="1:3" x14ac:dyDescent="0.25">
      <c r="A9480">
        <v>39</v>
      </c>
      <c r="B9480" t="str">
        <f>"9:04:12.269058"</f>
        <v>9:04:12.269058</v>
      </c>
      <c r="C9480">
        <v>-46</v>
      </c>
    </row>
    <row r="9481" spans="1:3" x14ac:dyDescent="0.25">
      <c r="A9481">
        <v>39</v>
      </c>
      <c r="B9481" t="str">
        <f>"9:04:12.269577"</f>
        <v>9:04:12.269577</v>
      </c>
      <c r="C9481">
        <v>-30</v>
      </c>
    </row>
    <row r="9482" spans="1:3" x14ac:dyDescent="0.25">
      <c r="A9482">
        <v>39</v>
      </c>
      <c r="B9482" t="str">
        <f>"9:04:12.269902"</f>
        <v>9:04:12.269902</v>
      </c>
      <c r="C9482">
        <v>-45</v>
      </c>
    </row>
    <row r="9483" spans="1:3" x14ac:dyDescent="0.25">
      <c r="A9483">
        <v>37</v>
      </c>
      <c r="B9483" t="str">
        <f>"9:04:12.623190"</f>
        <v>9:04:12.623190</v>
      </c>
      <c r="C9483">
        <v>-44</v>
      </c>
    </row>
    <row r="9484" spans="1:3" x14ac:dyDescent="0.25">
      <c r="A9484">
        <v>38</v>
      </c>
      <c r="B9484" t="str">
        <f>"9:04:12.624217"</f>
        <v>9:04:12.624217</v>
      </c>
      <c r="C9484">
        <v>-41</v>
      </c>
    </row>
    <row r="9485" spans="1:3" x14ac:dyDescent="0.25">
      <c r="A9485">
        <v>39</v>
      </c>
      <c r="B9485" t="str">
        <f>"9:04:12.625243"</f>
        <v>9:04:12.625243</v>
      </c>
      <c r="C9485">
        <v>-46</v>
      </c>
    </row>
    <row r="9486" spans="1:3" x14ac:dyDescent="0.25">
      <c r="A9486">
        <v>39</v>
      </c>
      <c r="B9486" t="str">
        <f>"9:04:12.625762"</f>
        <v>9:04:12.625762</v>
      </c>
      <c r="C9486">
        <v>-31</v>
      </c>
    </row>
    <row r="9487" spans="1:3" x14ac:dyDescent="0.25">
      <c r="A9487">
        <v>39</v>
      </c>
      <c r="B9487" t="str">
        <f>"9:04:12.626088"</f>
        <v>9:04:12.626088</v>
      </c>
      <c r="C9487">
        <v>-45</v>
      </c>
    </row>
    <row r="9488" spans="1:3" x14ac:dyDescent="0.25">
      <c r="A9488">
        <v>37</v>
      </c>
      <c r="B9488" t="str">
        <f>"9:04:12.974219"</f>
        <v>9:04:12.974219</v>
      </c>
      <c r="C9488">
        <v>-44</v>
      </c>
    </row>
    <row r="9489" spans="1:3" x14ac:dyDescent="0.25">
      <c r="A9489">
        <v>38</v>
      </c>
      <c r="B9489" t="str">
        <f>"9:04:12.975246"</f>
        <v>9:04:12.975246</v>
      </c>
      <c r="C9489">
        <v>-41</v>
      </c>
    </row>
    <row r="9490" spans="1:3" x14ac:dyDescent="0.25">
      <c r="A9490">
        <v>39</v>
      </c>
      <c r="B9490" t="str">
        <f>"9:04:12.976272"</f>
        <v>9:04:12.976272</v>
      </c>
      <c r="C9490">
        <v>-46</v>
      </c>
    </row>
    <row r="9491" spans="1:3" x14ac:dyDescent="0.25">
      <c r="A9491">
        <v>37</v>
      </c>
      <c r="B9491" t="str">
        <f>"9:04:13.325177"</f>
        <v>9:04:13.325177</v>
      </c>
      <c r="C9491">
        <v>-44</v>
      </c>
    </row>
    <row r="9492" spans="1:3" x14ac:dyDescent="0.25">
      <c r="A9492">
        <v>38</v>
      </c>
      <c r="B9492" t="str">
        <f>"9:04:13.326204"</f>
        <v>9:04:13.326204</v>
      </c>
      <c r="C9492">
        <v>-41</v>
      </c>
    </row>
    <row r="9493" spans="1:3" x14ac:dyDescent="0.25">
      <c r="A9493">
        <v>39</v>
      </c>
      <c r="B9493" t="str">
        <f>"9:04:13.327230"</f>
        <v>9:04:13.327230</v>
      </c>
      <c r="C9493">
        <v>-46</v>
      </c>
    </row>
    <row r="9494" spans="1:3" x14ac:dyDescent="0.25">
      <c r="A9494">
        <v>37</v>
      </c>
      <c r="B9494" t="str">
        <f>"9:04:13.679734"</f>
        <v>9:04:13.679734</v>
      </c>
      <c r="C9494">
        <v>-44</v>
      </c>
    </row>
    <row r="9495" spans="1:3" x14ac:dyDescent="0.25">
      <c r="A9495">
        <v>38</v>
      </c>
      <c r="B9495" t="str">
        <f>"9:04:13.680761"</f>
        <v>9:04:13.680761</v>
      </c>
      <c r="C9495">
        <v>-41</v>
      </c>
    </row>
    <row r="9496" spans="1:3" x14ac:dyDescent="0.25">
      <c r="A9496">
        <v>39</v>
      </c>
      <c r="B9496" t="str">
        <f>"9:04:13.681787"</f>
        <v>9:04:13.681787</v>
      </c>
      <c r="C9496">
        <v>-46</v>
      </c>
    </row>
    <row r="9497" spans="1:3" x14ac:dyDescent="0.25">
      <c r="A9497">
        <v>39</v>
      </c>
      <c r="B9497" t="str">
        <f>"9:04:13.682306"</f>
        <v>9:04:13.682306</v>
      </c>
      <c r="C9497">
        <v>-31</v>
      </c>
    </row>
    <row r="9498" spans="1:3" x14ac:dyDescent="0.25">
      <c r="A9498">
        <v>39</v>
      </c>
      <c r="B9498" t="str">
        <f>"9:04:13.682631"</f>
        <v>9:04:13.682631</v>
      </c>
      <c r="C9498">
        <v>-45</v>
      </c>
    </row>
    <row r="9499" spans="1:3" x14ac:dyDescent="0.25">
      <c r="A9499">
        <v>37</v>
      </c>
      <c r="B9499" t="str">
        <f>"9:04:14.035353"</f>
        <v>9:04:14.035353</v>
      </c>
      <c r="C9499">
        <v>-44</v>
      </c>
    </row>
    <row r="9500" spans="1:3" x14ac:dyDescent="0.25">
      <c r="A9500">
        <v>38</v>
      </c>
      <c r="B9500" t="str">
        <f>"9:04:14.036380"</f>
        <v>9:04:14.036380</v>
      </c>
      <c r="C9500">
        <v>-41</v>
      </c>
    </row>
    <row r="9501" spans="1:3" x14ac:dyDescent="0.25">
      <c r="A9501">
        <v>39</v>
      </c>
      <c r="B9501" t="str">
        <f>"9:04:14.037406"</f>
        <v>9:04:14.037406</v>
      </c>
      <c r="C9501">
        <v>-46</v>
      </c>
    </row>
    <row r="9502" spans="1:3" x14ac:dyDescent="0.25">
      <c r="A9502">
        <v>39</v>
      </c>
      <c r="B9502" t="str">
        <f>"9:04:14.037924"</f>
        <v>9:04:14.037924</v>
      </c>
      <c r="C9502">
        <v>-31</v>
      </c>
    </row>
    <row r="9503" spans="1:3" x14ac:dyDescent="0.25">
      <c r="A9503">
        <v>39</v>
      </c>
      <c r="B9503" t="str">
        <f>"9:04:14.038250"</f>
        <v>9:04:14.038250</v>
      </c>
      <c r="C9503">
        <v>-45</v>
      </c>
    </row>
    <row r="9504" spans="1:3" x14ac:dyDescent="0.25">
      <c r="A9504">
        <v>37</v>
      </c>
      <c r="B9504" t="str">
        <f>"9:04:14.392478"</f>
        <v>9:04:14.392478</v>
      </c>
      <c r="C9504">
        <v>-44</v>
      </c>
    </row>
    <row r="9505" spans="1:3" x14ac:dyDescent="0.25">
      <c r="A9505">
        <v>38</v>
      </c>
      <c r="B9505" t="str">
        <f>"9:04:14.393506"</f>
        <v>9:04:14.393506</v>
      </c>
      <c r="C9505">
        <v>-41</v>
      </c>
    </row>
    <row r="9506" spans="1:3" x14ac:dyDescent="0.25">
      <c r="A9506">
        <v>39</v>
      </c>
      <c r="B9506" t="str">
        <f>"9:04:14.394532"</f>
        <v>9:04:14.394532</v>
      </c>
      <c r="C9506">
        <v>-46</v>
      </c>
    </row>
    <row r="9507" spans="1:3" x14ac:dyDescent="0.25">
      <c r="A9507">
        <v>39</v>
      </c>
      <c r="B9507" t="str">
        <f>"9:04:14.395050"</f>
        <v>9:04:14.395050</v>
      </c>
      <c r="C9507">
        <v>-30</v>
      </c>
    </row>
    <row r="9508" spans="1:3" x14ac:dyDescent="0.25">
      <c r="A9508">
        <v>39</v>
      </c>
      <c r="B9508" t="str">
        <f>"9:04:14.395377"</f>
        <v>9:04:14.395377</v>
      </c>
      <c r="C9508">
        <v>-45</v>
      </c>
    </row>
    <row r="9509" spans="1:3" x14ac:dyDescent="0.25">
      <c r="A9509">
        <v>37</v>
      </c>
      <c r="B9509" t="str">
        <f>"9:04:14.749347"</f>
        <v>9:04:14.749347</v>
      </c>
      <c r="C9509">
        <v>-44</v>
      </c>
    </row>
    <row r="9510" spans="1:3" x14ac:dyDescent="0.25">
      <c r="A9510">
        <v>37</v>
      </c>
      <c r="B9510" t="str">
        <f>"9:04:14.749866"</f>
        <v>9:04:14.749866</v>
      </c>
      <c r="C9510">
        <v>-38</v>
      </c>
    </row>
    <row r="9511" spans="1:3" x14ac:dyDescent="0.25">
      <c r="A9511">
        <v>37</v>
      </c>
      <c r="B9511" t="str">
        <f>"9:04:14.750192"</f>
        <v>9:04:14.750192</v>
      </c>
      <c r="C9511">
        <v>-44</v>
      </c>
    </row>
    <row r="9512" spans="1:3" x14ac:dyDescent="0.25">
      <c r="A9512">
        <v>38</v>
      </c>
      <c r="B9512" t="str">
        <f>"9:04:14.750968"</f>
        <v>9:04:14.750968</v>
      </c>
      <c r="C9512">
        <v>-41</v>
      </c>
    </row>
    <row r="9513" spans="1:3" x14ac:dyDescent="0.25">
      <c r="A9513">
        <v>38</v>
      </c>
      <c r="B9513" t="str">
        <f>"9:04:14.751488"</f>
        <v>9:04:14.751488</v>
      </c>
      <c r="C9513">
        <v>-81</v>
      </c>
    </row>
    <row r="9514" spans="1:3" x14ac:dyDescent="0.25">
      <c r="A9514">
        <v>38</v>
      </c>
      <c r="B9514" t="str">
        <f>"9:04:14.751814"</f>
        <v>9:04:14.751814</v>
      </c>
      <c r="C9514">
        <v>-41</v>
      </c>
    </row>
    <row r="9515" spans="1:3" x14ac:dyDescent="0.25">
      <c r="A9515">
        <v>39</v>
      </c>
      <c r="B9515" t="str">
        <f>"9:04:14.752590"</f>
        <v>9:04:14.752590</v>
      </c>
      <c r="C9515">
        <v>-46</v>
      </c>
    </row>
    <row r="9516" spans="1:3" x14ac:dyDescent="0.25">
      <c r="A9516">
        <v>37</v>
      </c>
      <c r="B9516" t="str">
        <f>"9:04:15.102615"</f>
        <v>9:04:15.102615</v>
      </c>
      <c r="C9516">
        <v>-44</v>
      </c>
    </row>
    <row r="9517" spans="1:3" x14ac:dyDescent="0.25">
      <c r="A9517">
        <v>37</v>
      </c>
      <c r="B9517" t="str">
        <f>"9:04:15.103134"</f>
        <v>9:04:15.103134</v>
      </c>
      <c r="C9517">
        <v>-38</v>
      </c>
    </row>
    <row r="9518" spans="1:3" x14ac:dyDescent="0.25">
      <c r="A9518">
        <v>37</v>
      </c>
      <c r="B9518" t="str">
        <f>"9:04:15.103460"</f>
        <v>9:04:15.103460</v>
      </c>
      <c r="C9518">
        <v>-44</v>
      </c>
    </row>
    <row r="9519" spans="1:3" x14ac:dyDescent="0.25">
      <c r="A9519">
        <v>38</v>
      </c>
      <c r="B9519" t="str">
        <f>"9:04:15.104237"</f>
        <v>9:04:15.104237</v>
      </c>
      <c r="C9519">
        <v>-41</v>
      </c>
    </row>
    <row r="9520" spans="1:3" x14ac:dyDescent="0.25">
      <c r="A9520">
        <v>39</v>
      </c>
      <c r="B9520" t="str">
        <f>"9:04:15.105263"</f>
        <v>9:04:15.105263</v>
      </c>
      <c r="C9520">
        <v>-46</v>
      </c>
    </row>
    <row r="9521" spans="1:3" x14ac:dyDescent="0.25">
      <c r="A9521">
        <v>37</v>
      </c>
      <c r="B9521" t="str">
        <f>"9:04:15.452655"</f>
        <v>9:04:15.452655</v>
      </c>
      <c r="C9521">
        <v>-44</v>
      </c>
    </row>
    <row r="9522" spans="1:3" x14ac:dyDescent="0.25">
      <c r="A9522">
        <v>38</v>
      </c>
      <c r="B9522" t="str">
        <f>"9:04:15.453682"</f>
        <v>9:04:15.453682</v>
      </c>
      <c r="C9522">
        <v>-41</v>
      </c>
    </row>
    <row r="9523" spans="1:3" x14ac:dyDescent="0.25">
      <c r="A9523">
        <v>39</v>
      </c>
      <c r="B9523" t="str">
        <f>"9:04:15.454708"</f>
        <v>9:04:15.454708</v>
      </c>
      <c r="C9523">
        <v>-46</v>
      </c>
    </row>
    <row r="9524" spans="1:3" x14ac:dyDescent="0.25">
      <c r="A9524">
        <v>37</v>
      </c>
      <c r="B9524" t="str">
        <f>"9:04:15.803379"</f>
        <v>9:04:15.803379</v>
      </c>
      <c r="C9524">
        <v>-44</v>
      </c>
    </row>
    <row r="9525" spans="1:3" x14ac:dyDescent="0.25">
      <c r="A9525">
        <v>37</v>
      </c>
      <c r="B9525" t="str">
        <f>"9:04:15.803898"</f>
        <v>9:04:15.803898</v>
      </c>
      <c r="C9525">
        <v>-38</v>
      </c>
    </row>
    <row r="9526" spans="1:3" x14ac:dyDescent="0.25">
      <c r="A9526">
        <v>37</v>
      </c>
      <c r="B9526" t="str">
        <f>"9:04:15.804223"</f>
        <v>9:04:15.804223</v>
      </c>
      <c r="C9526">
        <v>-44</v>
      </c>
    </row>
    <row r="9527" spans="1:3" x14ac:dyDescent="0.25">
      <c r="A9527">
        <v>38</v>
      </c>
      <c r="B9527" t="str">
        <f>"9:04:15.805000"</f>
        <v>9:04:15.805000</v>
      </c>
      <c r="C9527">
        <v>-41</v>
      </c>
    </row>
    <row r="9528" spans="1:3" x14ac:dyDescent="0.25">
      <c r="A9528">
        <v>39</v>
      </c>
      <c r="B9528" t="str">
        <f>"9:04:15.806026"</f>
        <v>9:04:15.806026</v>
      </c>
      <c r="C9528">
        <v>-46</v>
      </c>
    </row>
    <row r="9529" spans="1:3" x14ac:dyDescent="0.25">
      <c r="A9529">
        <v>37</v>
      </c>
      <c r="B9529" t="str">
        <f>"9:04:16.155209"</f>
        <v>9:04:16.155209</v>
      </c>
      <c r="C9529">
        <v>-44</v>
      </c>
    </row>
    <row r="9530" spans="1:3" x14ac:dyDescent="0.25">
      <c r="A9530">
        <v>37</v>
      </c>
      <c r="B9530" t="str">
        <f>"9:04:16.155728"</f>
        <v>9:04:16.155728</v>
      </c>
      <c r="C9530">
        <v>-38</v>
      </c>
    </row>
    <row r="9531" spans="1:3" x14ac:dyDescent="0.25">
      <c r="A9531">
        <v>37</v>
      </c>
      <c r="B9531" t="str">
        <f>"9:04:16.156054"</f>
        <v>9:04:16.156054</v>
      </c>
      <c r="C9531">
        <v>-44</v>
      </c>
    </row>
    <row r="9532" spans="1:3" x14ac:dyDescent="0.25">
      <c r="A9532">
        <v>38</v>
      </c>
      <c r="B9532" t="str">
        <f>"9:04:16.156830"</f>
        <v>9:04:16.156830</v>
      </c>
      <c r="C9532">
        <v>-41</v>
      </c>
    </row>
    <row r="9533" spans="1:3" x14ac:dyDescent="0.25">
      <c r="A9533">
        <v>38</v>
      </c>
      <c r="B9533" t="str">
        <f>"9:04:16.157677"</f>
        <v>9:04:16.157677</v>
      </c>
      <c r="C9533">
        <v>-41</v>
      </c>
    </row>
    <row r="9534" spans="1:3" x14ac:dyDescent="0.25">
      <c r="A9534">
        <v>39</v>
      </c>
      <c r="B9534" t="str">
        <f>"9:04:16.158453"</f>
        <v>9:04:16.158453</v>
      </c>
      <c r="C9534">
        <v>-46</v>
      </c>
    </row>
    <row r="9535" spans="1:3" x14ac:dyDescent="0.25">
      <c r="A9535">
        <v>37</v>
      </c>
      <c r="B9535" t="str">
        <f>"9:04:16.509305"</f>
        <v>9:04:16.509305</v>
      </c>
      <c r="C9535">
        <v>-44</v>
      </c>
    </row>
    <row r="9536" spans="1:3" x14ac:dyDescent="0.25">
      <c r="A9536">
        <v>37</v>
      </c>
      <c r="B9536" t="str">
        <f>"9:04:16.509824"</f>
        <v>9:04:16.509824</v>
      </c>
      <c r="C9536">
        <v>-38</v>
      </c>
    </row>
    <row r="9537" spans="1:3" x14ac:dyDescent="0.25">
      <c r="A9537">
        <v>37</v>
      </c>
      <c r="B9537" t="str">
        <f>"9:04:16.510149"</f>
        <v>9:04:16.510149</v>
      </c>
      <c r="C9537">
        <v>-44</v>
      </c>
    </row>
    <row r="9538" spans="1:3" x14ac:dyDescent="0.25">
      <c r="A9538">
        <v>38</v>
      </c>
      <c r="B9538" t="str">
        <f>"9:04:16.510926"</f>
        <v>9:04:16.510926</v>
      </c>
      <c r="C9538">
        <v>-41</v>
      </c>
    </row>
    <row r="9539" spans="1:3" x14ac:dyDescent="0.25">
      <c r="A9539">
        <v>39</v>
      </c>
      <c r="B9539" t="str">
        <f>"9:04:16.511952"</f>
        <v>9:04:16.511952</v>
      </c>
      <c r="C9539">
        <v>-45</v>
      </c>
    </row>
    <row r="9540" spans="1:3" x14ac:dyDescent="0.25">
      <c r="A9540">
        <v>37</v>
      </c>
      <c r="B9540" t="str">
        <f>"9:04:16.865916"</f>
        <v>9:04:16.865916</v>
      </c>
      <c r="C9540">
        <v>-44</v>
      </c>
    </row>
    <row r="9541" spans="1:3" x14ac:dyDescent="0.25">
      <c r="A9541">
        <v>37</v>
      </c>
      <c r="B9541" t="str">
        <f>"9:04:16.866435"</f>
        <v>9:04:16.866435</v>
      </c>
      <c r="C9541">
        <v>-37</v>
      </c>
    </row>
    <row r="9542" spans="1:3" x14ac:dyDescent="0.25">
      <c r="A9542">
        <v>37</v>
      </c>
      <c r="B9542" t="str">
        <f>"9:04:16.866761"</f>
        <v>9:04:16.866761</v>
      </c>
      <c r="C9542">
        <v>-44</v>
      </c>
    </row>
    <row r="9543" spans="1:3" x14ac:dyDescent="0.25">
      <c r="A9543">
        <v>38</v>
      </c>
      <c r="B9543" t="str">
        <f>"9:04:16.867538"</f>
        <v>9:04:16.867538</v>
      </c>
      <c r="C9543">
        <v>-41</v>
      </c>
    </row>
    <row r="9544" spans="1:3" x14ac:dyDescent="0.25">
      <c r="A9544">
        <v>39</v>
      </c>
      <c r="B9544" t="str">
        <f>"9:04:16.868564"</f>
        <v>9:04:16.868564</v>
      </c>
      <c r="C9544">
        <v>-46</v>
      </c>
    </row>
    <row r="9545" spans="1:3" x14ac:dyDescent="0.25">
      <c r="A9545">
        <v>37</v>
      </c>
      <c r="B9545" t="str">
        <f>"9:04:17.218762"</f>
        <v>9:04:17.218762</v>
      </c>
      <c r="C9545">
        <v>-44</v>
      </c>
    </row>
    <row r="9546" spans="1:3" x14ac:dyDescent="0.25">
      <c r="A9546">
        <v>37</v>
      </c>
      <c r="B9546" t="str">
        <f>"9:04:17.219280"</f>
        <v>9:04:17.219280</v>
      </c>
      <c r="C9546">
        <v>-37</v>
      </c>
    </row>
    <row r="9547" spans="1:3" x14ac:dyDescent="0.25">
      <c r="A9547">
        <v>37</v>
      </c>
      <c r="B9547" t="str">
        <f>"9:04:17.219606"</f>
        <v>9:04:17.219606</v>
      </c>
      <c r="C9547">
        <v>-44</v>
      </c>
    </row>
    <row r="9548" spans="1:3" x14ac:dyDescent="0.25">
      <c r="A9548">
        <v>38</v>
      </c>
      <c r="B9548" t="str">
        <f>"9:04:17.220382"</f>
        <v>9:04:17.220382</v>
      </c>
      <c r="C9548">
        <v>-41</v>
      </c>
    </row>
    <row r="9549" spans="1:3" x14ac:dyDescent="0.25">
      <c r="A9549">
        <v>39</v>
      </c>
      <c r="B9549" t="str">
        <f>"9:04:17.221408"</f>
        <v>9:04:17.221408</v>
      </c>
      <c r="C9549">
        <v>-46</v>
      </c>
    </row>
    <row r="9550" spans="1:3" x14ac:dyDescent="0.25">
      <c r="A9550">
        <v>39</v>
      </c>
      <c r="B9550" t="str">
        <f>"9:04:17.221927"</f>
        <v>9:04:17.221927</v>
      </c>
      <c r="C9550">
        <v>-84</v>
      </c>
    </row>
    <row r="9551" spans="1:3" x14ac:dyDescent="0.25">
      <c r="A9551">
        <v>37</v>
      </c>
      <c r="B9551" t="str">
        <f>"9:04:17.570785"</f>
        <v>9:04:17.570785</v>
      </c>
      <c r="C9551">
        <v>-44</v>
      </c>
    </row>
    <row r="9552" spans="1:3" x14ac:dyDescent="0.25">
      <c r="A9552">
        <v>37</v>
      </c>
      <c r="B9552" t="str">
        <f>"9:04:17.571303"</f>
        <v>9:04:17.571303</v>
      </c>
      <c r="C9552">
        <v>-38</v>
      </c>
    </row>
    <row r="9553" spans="1:3" x14ac:dyDescent="0.25">
      <c r="A9553">
        <v>37</v>
      </c>
      <c r="B9553" t="str">
        <f>"9:04:17.571630"</f>
        <v>9:04:17.571630</v>
      </c>
      <c r="C9553">
        <v>-44</v>
      </c>
    </row>
    <row r="9554" spans="1:3" x14ac:dyDescent="0.25">
      <c r="A9554">
        <v>38</v>
      </c>
      <c r="B9554" t="str">
        <f>"9:04:17.572406"</f>
        <v>9:04:17.572406</v>
      </c>
      <c r="C9554">
        <v>-41</v>
      </c>
    </row>
    <row r="9555" spans="1:3" x14ac:dyDescent="0.25">
      <c r="A9555">
        <v>39</v>
      </c>
      <c r="B9555" t="str">
        <f>"9:04:17.573432"</f>
        <v>9:04:17.573432</v>
      </c>
      <c r="C9555">
        <v>-46</v>
      </c>
    </row>
    <row r="9556" spans="1:3" x14ac:dyDescent="0.25">
      <c r="A9556">
        <v>37</v>
      </c>
      <c r="B9556" t="str">
        <f>"9:04:17.921541"</f>
        <v>9:04:17.921541</v>
      </c>
      <c r="C9556">
        <v>-44</v>
      </c>
    </row>
    <row r="9557" spans="1:3" x14ac:dyDescent="0.25">
      <c r="A9557">
        <v>37</v>
      </c>
      <c r="B9557" t="str">
        <f>"9:04:17.922060"</f>
        <v>9:04:17.922060</v>
      </c>
      <c r="C9557">
        <v>-40</v>
      </c>
    </row>
    <row r="9558" spans="1:3" x14ac:dyDescent="0.25">
      <c r="A9558">
        <v>37</v>
      </c>
      <c r="B9558" t="str">
        <f>"9:04:17.922387"</f>
        <v>9:04:17.922387</v>
      </c>
      <c r="C9558">
        <v>-44</v>
      </c>
    </row>
    <row r="9559" spans="1:3" x14ac:dyDescent="0.25">
      <c r="A9559">
        <v>38</v>
      </c>
      <c r="B9559" t="str">
        <f>"9:04:17.923163"</f>
        <v>9:04:17.923163</v>
      </c>
      <c r="C9559">
        <v>-41</v>
      </c>
    </row>
    <row r="9560" spans="1:3" x14ac:dyDescent="0.25">
      <c r="A9560">
        <v>39</v>
      </c>
      <c r="B9560" t="str">
        <f>"9:04:17.924189"</f>
        <v>9:04:17.924189</v>
      </c>
      <c r="C9560">
        <v>-46</v>
      </c>
    </row>
    <row r="9561" spans="1:3" x14ac:dyDescent="0.25">
      <c r="A9561">
        <v>37</v>
      </c>
      <c r="B9561" t="str">
        <f>"9:04:18.280243"</f>
        <v>9:04:18.280243</v>
      </c>
      <c r="C9561">
        <v>-44</v>
      </c>
    </row>
    <row r="9562" spans="1:3" x14ac:dyDescent="0.25">
      <c r="A9562">
        <v>37</v>
      </c>
      <c r="B9562" t="str">
        <f>"9:04:18.280761"</f>
        <v>9:04:18.280761</v>
      </c>
      <c r="C9562">
        <v>-39</v>
      </c>
    </row>
    <row r="9563" spans="1:3" x14ac:dyDescent="0.25">
      <c r="A9563">
        <v>37</v>
      </c>
      <c r="B9563" t="str">
        <f>"9:04:18.281088"</f>
        <v>9:04:18.281088</v>
      </c>
      <c r="C9563">
        <v>-44</v>
      </c>
    </row>
    <row r="9564" spans="1:3" x14ac:dyDescent="0.25">
      <c r="A9564">
        <v>38</v>
      </c>
      <c r="B9564" t="str">
        <f>"9:04:18.281864"</f>
        <v>9:04:18.281864</v>
      </c>
      <c r="C9564">
        <v>-41</v>
      </c>
    </row>
    <row r="9565" spans="1:3" x14ac:dyDescent="0.25">
      <c r="A9565">
        <v>39</v>
      </c>
      <c r="B9565" t="str">
        <f>"9:04:18.282890"</f>
        <v>9:04:18.282890</v>
      </c>
      <c r="C9565">
        <v>-46</v>
      </c>
    </row>
    <row r="9566" spans="1:3" x14ac:dyDescent="0.25">
      <c r="A9566">
        <v>37</v>
      </c>
      <c r="B9566" t="str">
        <f>"9:04:18.633764"</f>
        <v>9:04:18.633764</v>
      </c>
      <c r="C9566">
        <v>-44</v>
      </c>
    </row>
    <row r="9567" spans="1:3" x14ac:dyDescent="0.25">
      <c r="A9567">
        <v>37</v>
      </c>
      <c r="B9567" t="str">
        <f>"9:04:18.634283"</f>
        <v>9:04:18.634283</v>
      </c>
      <c r="C9567">
        <v>-39</v>
      </c>
    </row>
    <row r="9568" spans="1:3" x14ac:dyDescent="0.25">
      <c r="A9568">
        <v>37</v>
      </c>
      <c r="B9568" t="str">
        <f>"9:04:18.634609"</f>
        <v>9:04:18.634609</v>
      </c>
      <c r="C9568">
        <v>-44</v>
      </c>
    </row>
    <row r="9569" spans="1:3" x14ac:dyDescent="0.25">
      <c r="A9569">
        <v>38</v>
      </c>
      <c r="B9569" t="str">
        <f>"9:04:18.635385"</f>
        <v>9:04:18.635385</v>
      </c>
      <c r="C9569">
        <v>-41</v>
      </c>
    </row>
    <row r="9570" spans="1:3" x14ac:dyDescent="0.25">
      <c r="A9570">
        <v>39</v>
      </c>
      <c r="B9570" t="str">
        <f>"9:04:18.636411"</f>
        <v>9:04:18.636411</v>
      </c>
      <c r="C9570">
        <v>-46</v>
      </c>
    </row>
    <row r="9571" spans="1:3" x14ac:dyDescent="0.25">
      <c r="A9571">
        <v>37</v>
      </c>
      <c r="B9571" t="str">
        <f>"9:04:18.985320"</f>
        <v>9:04:18.985320</v>
      </c>
      <c r="C9571">
        <v>-44</v>
      </c>
    </row>
    <row r="9572" spans="1:3" x14ac:dyDescent="0.25">
      <c r="A9572">
        <v>38</v>
      </c>
      <c r="B9572" t="str">
        <f>"9:04:18.986347"</f>
        <v>9:04:18.986347</v>
      </c>
      <c r="C9572">
        <v>-41</v>
      </c>
    </row>
    <row r="9573" spans="1:3" x14ac:dyDescent="0.25">
      <c r="A9573">
        <v>39</v>
      </c>
      <c r="B9573" t="str">
        <f>"9:04:18.987373"</f>
        <v>9:04:18.987373</v>
      </c>
      <c r="C9573">
        <v>-46</v>
      </c>
    </row>
    <row r="9574" spans="1:3" x14ac:dyDescent="0.25">
      <c r="A9574">
        <v>37</v>
      </c>
      <c r="B9574" t="str">
        <f>"9:04:19.339640"</f>
        <v>9:04:19.339640</v>
      </c>
      <c r="C9574">
        <v>-44</v>
      </c>
    </row>
    <row r="9575" spans="1:3" x14ac:dyDescent="0.25">
      <c r="A9575">
        <v>37</v>
      </c>
      <c r="B9575" t="str">
        <f>"9:04:19.340159"</f>
        <v>9:04:19.340159</v>
      </c>
      <c r="C9575">
        <v>-40</v>
      </c>
    </row>
    <row r="9576" spans="1:3" x14ac:dyDescent="0.25">
      <c r="A9576">
        <v>37</v>
      </c>
      <c r="B9576" t="str">
        <f>"9:04:19.340484"</f>
        <v>9:04:19.340484</v>
      </c>
      <c r="C9576">
        <v>-44</v>
      </c>
    </row>
    <row r="9577" spans="1:3" x14ac:dyDescent="0.25">
      <c r="A9577">
        <v>38</v>
      </c>
      <c r="B9577" t="str">
        <f>"9:04:19.341260"</f>
        <v>9:04:19.341260</v>
      </c>
      <c r="C9577">
        <v>-41</v>
      </c>
    </row>
    <row r="9578" spans="1:3" x14ac:dyDescent="0.25">
      <c r="A9578">
        <v>39</v>
      </c>
      <c r="B9578" t="str">
        <f>"9:04:19.342287"</f>
        <v>9:04:19.342287</v>
      </c>
      <c r="C9578">
        <v>-45</v>
      </c>
    </row>
    <row r="9579" spans="1:3" x14ac:dyDescent="0.25">
      <c r="A9579">
        <v>37</v>
      </c>
      <c r="B9579" t="str">
        <f>"9:04:19.692673"</f>
        <v>9:04:19.692673</v>
      </c>
      <c r="C9579">
        <v>-44</v>
      </c>
    </row>
    <row r="9580" spans="1:3" x14ac:dyDescent="0.25">
      <c r="A9580">
        <v>38</v>
      </c>
      <c r="B9580" t="str">
        <f>"9:04:19.693700"</f>
        <v>9:04:19.693700</v>
      </c>
      <c r="C9580">
        <v>-41</v>
      </c>
    </row>
    <row r="9581" spans="1:3" x14ac:dyDescent="0.25">
      <c r="A9581">
        <v>38</v>
      </c>
      <c r="B9581" t="str">
        <f>"9:04:19.694219"</f>
        <v>9:04:19.694219</v>
      </c>
      <c r="C9581">
        <v>-32</v>
      </c>
    </row>
    <row r="9582" spans="1:3" x14ac:dyDescent="0.25">
      <c r="A9582">
        <v>38</v>
      </c>
      <c r="B9582" t="str">
        <f>"9:04:19.694544"</f>
        <v>9:04:19.694544</v>
      </c>
      <c r="C9582">
        <v>-41</v>
      </c>
    </row>
    <row r="9583" spans="1:3" x14ac:dyDescent="0.25">
      <c r="A9583">
        <v>39</v>
      </c>
      <c r="B9583" t="str">
        <f>"9:04:19.695320"</f>
        <v>9:04:19.695320</v>
      </c>
      <c r="C9583">
        <v>-45</v>
      </c>
    </row>
    <row r="9584" spans="1:3" x14ac:dyDescent="0.25">
      <c r="A9584">
        <v>37</v>
      </c>
      <c r="B9584" t="str">
        <f>"9:04:20.047811"</f>
        <v>9:04:20.047811</v>
      </c>
      <c r="C9584">
        <v>-44</v>
      </c>
    </row>
    <row r="9585" spans="1:3" x14ac:dyDescent="0.25">
      <c r="A9585">
        <v>38</v>
      </c>
      <c r="B9585" t="str">
        <f>"9:04:20.048839"</f>
        <v>9:04:20.048839</v>
      </c>
      <c r="C9585">
        <v>-41</v>
      </c>
    </row>
    <row r="9586" spans="1:3" x14ac:dyDescent="0.25">
      <c r="A9586">
        <v>38</v>
      </c>
      <c r="B9586" t="str">
        <f>"9:04:20.049357"</f>
        <v>9:04:20.049357</v>
      </c>
      <c r="C9586">
        <v>-32</v>
      </c>
    </row>
    <row r="9587" spans="1:3" x14ac:dyDescent="0.25">
      <c r="A9587">
        <v>38</v>
      </c>
      <c r="B9587" t="str">
        <f>"9:04:20.049683"</f>
        <v>9:04:20.049683</v>
      </c>
      <c r="C9587">
        <v>-41</v>
      </c>
    </row>
    <row r="9588" spans="1:3" x14ac:dyDescent="0.25">
      <c r="A9588">
        <v>39</v>
      </c>
      <c r="B9588" t="str">
        <f>"9:04:20.050459"</f>
        <v>9:04:20.050459</v>
      </c>
      <c r="C9588">
        <v>-45</v>
      </c>
    </row>
    <row r="9589" spans="1:3" x14ac:dyDescent="0.25">
      <c r="A9589">
        <v>37</v>
      </c>
      <c r="B9589" t="str">
        <f>"9:04:20.400111"</f>
        <v>9:04:20.400111</v>
      </c>
      <c r="C9589">
        <v>-44</v>
      </c>
    </row>
    <row r="9590" spans="1:3" x14ac:dyDescent="0.25">
      <c r="A9590">
        <v>38</v>
      </c>
      <c r="B9590" t="str">
        <f>"9:04:20.401139"</f>
        <v>9:04:20.401139</v>
      </c>
      <c r="C9590">
        <v>-41</v>
      </c>
    </row>
    <row r="9591" spans="1:3" x14ac:dyDescent="0.25">
      <c r="A9591">
        <v>38</v>
      </c>
      <c r="B9591" t="str">
        <f>"9:04:20.401657"</f>
        <v>9:04:20.401657</v>
      </c>
      <c r="C9591">
        <v>-32</v>
      </c>
    </row>
    <row r="9592" spans="1:3" x14ac:dyDescent="0.25">
      <c r="A9592">
        <v>38</v>
      </c>
      <c r="B9592" t="str">
        <f>"9:04:20.401983"</f>
        <v>9:04:20.401983</v>
      </c>
      <c r="C9592">
        <v>-41</v>
      </c>
    </row>
    <row r="9593" spans="1:3" x14ac:dyDescent="0.25">
      <c r="A9593">
        <v>39</v>
      </c>
      <c r="B9593" t="str">
        <f>"9:04:20.402759"</f>
        <v>9:04:20.402759</v>
      </c>
      <c r="C9593">
        <v>-45</v>
      </c>
    </row>
    <row r="9594" spans="1:3" x14ac:dyDescent="0.25">
      <c r="A9594">
        <v>37</v>
      </c>
      <c r="B9594" t="str">
        <f>"9:04:20.759306"</f>
        <v>9:04:20.759306</v>
      </c>
      <c r="C9594">
        <v>-44</v>
      </c>
    </row>
    <row r="9595" spans="1:3" x14ac:dyDescent="0.25">
      <c r="A9595">
        <v>38</v>
      </c>
      <c r="B9595" t="str">
        <f>"9:04:20.760333"</f>
        <v>9:04:20.760333</v>
      </c>
      <c r="C9595">
        <v>-41</v>
      </c>
    </row>
    <row r="9596" spans="1:3" x14ac:dyDescent="0.25">
      <c r="A9596">
        <v>38</v>
      </c>
      <c r="B9596" t="str">
        <f>"9:04:20.760852"</f>
        <v>9:04:20.760852</v>
      </c>
      <c r="C9596">
        <v>-32</v>
      </c>
    </row>
    <row r="9597" spans="1:3" x14ac:dyDescent="0.25">
      <c r="A9597">
        <v>38</v>
      </c>
      <c r="B9597" t="str">
        <f>"9:04:20.761177"</f>
        <v>9:04:20.761177</v>
      </c>
      <c r="C9597">
        <v>-41</v>
      </c>
    </row>
    <row r="9598" spans="1:3" x14ac:dyDescent="0.25">
      <c r="A9598">
        <v>39</v>
      </c>
      <c r="B9598" t="str">
        <f>"9:04:20.761953"</f>
        <v>9:04:20.761953</v>
      </c>
      <c r="C9598">
        <v>-45</v>
      </c>
    </row>
    <row r="9599" spans="1:3" x14ac:dyDescent="0.25">
      <c r="A9599">
        <v>37</v>
      </c>
      <c r="B9599" t="str">
        <f>"9:04:21.115137"</f>
        <v>9:04:21.115137</v>
      </c>
      <c r="C9599">
        <v>-44</v>
      </c>
    </row>
    <row r="9600" spans="1:3" x14ac:dyDescent="0.25">
      <c r="A9600">
        <v>38</v>
      </c>
      <c r="B9600" t="str">
        <f>"9:04:21.116164"</f>
        <v>9:04:21.116164</v>
      </c>
      <c r="C9600">
        <v>-41</v>
      </c>
    </row>
    <row r="9601" spans="1:3" x14ac:dyDescent="0.25">
      <c r="A9601">
        <v>39</v>
      </c>
      <c r="B9601" t="str">
        <f>"9:04:21.117191"</f>
        <v>9:04:21.117191</v>
      </c>
      <c r="C9601">
        <v>-45</v>
      </c>
    </row>
    <row r="9602" spans="1:3" x14ac:dyDescent="0.25">
      <c r="A9602">
        <v>37</v>
      </c>
      <c r="B9602" t="str">
        <f>"9:04:21.468231"</f>
        <v>9:04:21.468231</v>
      </c>
      <c r="C9602">
        <v>-44</v>
      </c>
    </row>
    <row r="9603" spans="1:3" x14ac:dyDescent="0.25">
      <c r="A9603">
        <v>38</v>
      </c>
      <c r="B9603" t="str">
        <f>"9:04:21.469258"</f>
        <v>9:04:21.469258</v>
      </c>
      <c r="C9603">
        <v>-41</v>
      </c>
    </row>
    <row r="9604" spans="1:3" x14ac:dyDescent="0.25">
      <c r="A9604">
        <v>38</v>
      </c>
      <c r="B9604" t="str">
        <f>"9:04:21.469776"</f>
        <v>9:04:21.469776</v>
      </c>
      <c r="C9604">
        <v>-32</v>
      </c>
    </row>
    <row r="9605" spans="1:3" x14ac:dyDescent="0.25">
      <c r="A9605">
        <v>38</v>
      </c>
      <c r="B9605" t="str">
        <f>"9:04:21.470102"</f>
        <v>9:04:21.470102</v>
      </c>
      <c r="C9605">
        <v>-41</v>
      </c>
    </row>
    <row r="9606" spans="1:3" x14ac:dyDescent="0.25">
      <c r="A9606">
        <v>39</v>
      </c>
      <c r="B9606" t="str">
        <f>"9:04:21.470878"</f>
        <v>9:04:21.470878</v>
      </c>
      <c r="C9606">
        <v>-45</v>
      </c>
    </row>
    <row r="9607" spans="1:3" x14ac:dyDescent="0.25">
      <c r="A9607">
        <v>37</v>
      </c>
      <c r="B9607" t="str">
        <f>"9:04:21.821241"</f>
        <v>9:04:21.821241</v>
      </c>
      <c r="C9607">
        <v>-44</v>
      </c>
    </row>
    <row r="9608" spans="1:3" x14ac:dyDescent="0.25">
      <c r="A9608">
        <v>38</v>
      </c>
      <c r="B9608" t="str">
        <f>"9:04:21.822268"</f>
        <v>9:04:21.822268</v>
      </c>
      <c r="C9608">
        <v>-41</v>
      </c>
    </row>
    <row r="9609" spans="1:3" x14ac:dyDescent="0.25">
      <c r="A9609">
        <v>39</v>
      </c>
      <c r="B9609" t="str">
        <f>"9:04:21.823295"</f>
        <v>9:04:21.823295</v>
      </c>
      <c r="C9609">
        <v>-45</v>
      </c>
    </row>
    <row r="9610" spans="1:3" x14ac:dyDescent="0.25">
      <c r="A9610">
        <v>37</v>
      </c>
      <c r="B9610" t="str">
        <f>"9:04:22.177867"</f>
        <v>9:04:22.177867</v>
      </c>
      <c r="C9610">
        <v>-44</v>
      </c>
    </row>
    <row r="9611" spans="1:3" x14ac:dyDescent="0.25">
      <c r="A9611">
        <v>38</v>
      </c>
      <c r="B9611" t="str">
        <f>"9:04:22.178894"</f>
        <v>9:04:22.178894</v>
      </c>
      <c r="C9611">
        <v>-41</v>
      </c>
    </row>
    <row r="9612" spans="1:3" x14ac:dyDescent="0.25">
      <c r="A9612">
        <v>39</v>
      </c>
      <c r="B9612" t="str">
        <f>"9:04:22.179920"</f>
        <v>9:04:22.179920</v>
      </c>
      <c r="C9612">
        <v>-45</v>
      </c>
    </row>
    <row r="9613" spans="1:3" x14ac:dyDescent="0.25">
      <c r="A9613">
        <v>37</v>
      </c>
      <c r="B9613" t="str">
        <f>"9:04:22.528308"</f>
        <v>9:04:22.528308</v>
      </c>
      <c r="C9613">
        <v>-44</v>
      </c>
    </row>
    <row r="9614" spans="1:3" x14ac:dyDescent="0.25">
      <c r="A9614">
        <v>37</v>
      </c>
      <c r="B9614" t="str">
        <f>"9:04:22.529154"</f>
        <v>9:04:22.529154</v>
      </c>
      <c r="C9614">
        <v>-44</v>
      </c>
    </row>
    <row r="9615" spans="1:3" x14ac:dyDescent="0.25">
      <c r="A9615">
        <v>38</v>
      </c>
      <c r="B9615" t="str">
        <f>"9:04:22.529931"</f>
        <v>9:04:22.529931</v>
      </c>
      <c r="C9615">
        <v>-41</v>
      </c>
    </row>
    <row r="9616" spans="1:3" x14ac:dyDescent="0.25">
      <c r="A9616">
        <v>38</v>
      </c>
      <c r="B9616" t="str">
        <f>"9:04:22.530449"</f>
        <v>9:04:22.530449</v>
      </c>
      <c r="C9616">
        <v>-32</v>
      </c>
    </row>
    <row r="9617" spans="1:3" x14ac:dyDescent="0.25">
      <c r="A9617">
        <v>38</v>
      </c>
      <c r="B9617" t="str">
        <f>"9:04:22.530775"</f>
        <v>9:04:22.530775</v>
      </c>
      <c r="C9617">
        <v>-41</v>
      </c>
    </row>
    <row r="9618" spans="1:3" x14ac:dyDescent="0.25">
      <c r="A9618">
        <v>39</v>
      </c>
      <c r="B9618" t="str">
        <f>"9:04:22.531551"</f>
        <v>9:04:22.531551</v>
      </c>
      <c r="C9618">
        <v>-45</v>
      </c>
    </row>
    <row r="9619" spans="1:3" x14ac:dyDescent="0.25">
      <c r="A9619">
        <v>37</v>
      </c>
      <c r="B9619" t="str">
        <f>"9:04:22.883661"</f>
        <v>9:04:22.883661</v>
      </c>
      <c r="C9619">
        <v>-44</v>
      </c>
    </row>
    <row r="9620" spans="1:3" x14ac:dyDescent="0.25">
      <c r="A9620">
        <v>38</v>
      </c>
      <c r="B9620" t="str">
        <f>"9:04:22.884688"</f>
        <v>9:04:22.884688</v>
      </c>
      <c r="C9620">
        <v>-41</v>
      </c>
    </row>
    <row r="9621" spans="1:3" x14ac:dyDescent="0.25">
      <c r="A9621">
        <v>38</v>
      </c>
      <c r="B9621" t="str">
        <f>"9:04:22.885207"</f>
        <v>9:04:22.885207</v>
      </c>
      <c r="C9621">
        <v>-32</v>
      </c>
    </row>
    <row r="9622" spans="1:3" x14ac:dyDescent="0.25">
      <c r="A9622">
        <v>38</v>
      </c>
      <c r="B9622" t="str">
        <f>"9:04:22.885532"</f>
        <v>9:04:22.885532</v>
      </c>
      <c r="C9622">
        <v>-41</v>
      </c>
    </row>
    <row r="9623" spans="1:3" x14ac:dyDescent="0.25">
      <c r="A9623">
        <v>39</v>
      </c>
      <c r="B9623" t="str">
        <f>"9:04:22.886308"</f>
        <v>9:04:22.886308</v>
      </c>
      <c r="C9623">
        <v>-46</v>
      </c>
    </row>
    <row r="9624" spans="1:3" x14ac:dyDescent="0.25">
      <c r="A9624">
        <v>37</v>
      </c>
      <c r="B9624" t="str">
        <f>"9:04:23.241334"</f>
        <v>9:04:23.241334</v>
      </c>
      <c r="C9624">
        <v>-44</v>
      </c>
    </row>
    <row r="9625" spans="1:3" x14ac:dyDescent="0.25">
      <c r="A9625">
        <v>38</v>
      </c>
      <c r="B9625" t="str">
        <f>"9:04:23.242361"</f>
        <v>9:04:23.242361</v>
      </c>
      <c r="C9625">
        <v>-41</v>
      </c>
    </row>
    <row r="9626" spans="1:3" x14ac:dyDescent="0.25">
      <c r="A9626">
        <v>38</v>
      </c>
      <c r="B9626" t="str">
        <f>"9:04:23.242880"</f>
        <v>9:04:23.242880</v>
      </c>
      <c r="C9626">
        <v>-32</v>
      </c>
    </row>
    <row r="9627" spans="1:3" x14ac:dyDescent="0.25">
      <c r="A9627">
        <v>38</v>
      </c>
      <c r="B9627" t="str">
        <f>"9:04:23.243206"</f>
        <v>9:04:23.243206</v>
      </c>
      <c r="C9627">
        <v>-41</v>
      </c>
    </row>
    <row r="9628" spans="1:3" x14ac:dyDescent="0.25">
      <c r="A9628">
        <v>39</v>
      </c>
      <c r="B9628" t="str">
        <f>"9:04:23.243982"</f>
        <v>9:04:23.243982</v>
      </c>
      <c r="C9628">
        <v>-45</v>
      </c>
    </row>
    <row r="9629" spans="1:3" x14ac:dyDescent="0.25">
      <c r="A9629">
        <v>37</v>
      </c>
      <c r="B9629" t="str">
        <f>"9:04:23.596739"</f>
        <v>9:04:23.596739</v>
      </c>
      <c r="C9629">
        <v>-44</v>
      </c>
    </row>
    <row r="9630" spans="1:3" x14ac:dyDescent="0.25">
      <c r="A9630">
        <v>38</v>
      </c>
      <c r="B9630" t="str">
        <f>"9:04:23.597766"</f>
        <v>9:04:23.597766</v>
      </c>
      <c r="C9630">
        <v>-41</v>
      </c>
    </row>
    <row r="9631" spans="1:3" x14ac:dyDescent="0.25">
      <c r="A9631">
        <v>38</v>
      </c>
      <c r="B9631" t="str">
        <f>"9:04:23.598285"</f>
        <v>9:04:23.598285</v>
      </c>
      <c r="C9631">
        <v>-32</v>
      </c>
    </row>
    <row r="9632" spans="1:3" x14ac:dyDescent="0.25">
      <c r="A9632">
        <v>38</v>
      </c>
      <c r="B9632" t="str">
        <f>"9:04:23.598611"</f>
        <v>9:04:23.598611</v>
      </c>
      <c r="C9632">
        <v>-41</v>
      </c>
    </row>
    <row r="9633" spans="1:3" x14ac:dyDescent="0.25">
      <c r="A9633">
        <v>39</v>
      </c>
      <c r="B9633" t="str">
        <f>"9:04:23.599387"</f>
        <v>9:04:23.599387</v>
      </c>
      <c r="C9633">
        <v>-45</v>
      </c>
    </row>
    <row r="9634" spans="1:3" x14ac:dyDescent="0.25">
      <c r="A9634">
        <v>37</v>
      </c>
      <c r="B9634" t="str">
        <f>"9:04:23.949292"</f>
        <v>9:04:23.949292</v>
      </c>
      <c r="C9634">
        <v>-44</v>
      </c>
    </row>
    <row r="9635" spans="1:3" x14ac:dyDescent="0.25">
      <c r="A9635">
        <v>38</v>
      </c>
      <c r="B9635" t="str">
        <f>"9:04:23.950320"</f>
        <v>9:04:23.950320</v>
      </c>
      <c r="C9635">
        <v>-41</v>
      </c>
    </row>
    <row r="9636" spans="1:3" x14ac:dyDescent="0.25">
      <c r="A9636">
        <v>39</v>
      </c>
      <c r="B9636" t="str">
        <f>"9:04:23.951346"</f>
        <v>9:04:23.951346</v>
      </c>
      <c r="C9636">
        <v>-45</v>
      </c>
    </row>
    <row r="9637" spans="1:3" x14ac:dyDescent="0.25">
      <c r="A9637">
        <v>37</v>
      </c>
      <c r="B9637" t="str">
        <f>"9:04:24.307223"</f>
        <v>9:04:24.307223</v>
      </c>
      <c r="C9637">
        <v>-44</v>
      </c>
    </row>
    <row r="9638" spans="1:3" x14ac:dyDescent="0.25">
      <c r="A9638">
        <v>38</v>
      </c>
      <c r="B9638" t="str">
        <f>"9:04:24.308251"</f>
        <v>9:04:24.308251</v>
      </c>
      <c r="C9638">
        <v>-41</v>
      </c>
    </row>
    <row r="9639" spans="1:3" x14ac:dyDescent="0.25">
      <c r="A9639">
        <v>38</v>
      </c>
      <c r="B9639" t="str">
        <f>"9:04:24.308769"</f>
        <v>9:04:24.308769</v>
      </c>
      <c r="C9639">
        <v>-32</v>
      </c>
    </row>
    <row r="9640" spans="1:3" x14ac:dyDescent="0.25">
      <c r="A9640">
        <v>38</v>
      </c>
      <c r="B9640" t="str">
        <f>"9:04:24.309095"</f>
        <v>9:04:24.309095</v>
      </c>
      <c r="C9640">
        <v>-41</v>
      </c>
    </row>
    <row r="9641" spans="1:3" x14ac:dyDescent="0.25">
      <c r="A9641">
        <v>39</v>
      </c>
      <c r="B9641" t="str">
        <f>"9:04:24.309871"</f>
        <v>9:04:24.309871</v>
      </c>
      <c r="C9641">
        <v>-45</v>
      </c>
    </row>
    <row r="9642" spans="1:3" x14ac:dyDescent="0.25">
      <c r="A9642">
        <v>37</v>
      </c>
      <c r="B9642" t="str">
        <f>"9:04:24.665444"</f>
        <v>9:04:24.665444</v>
      </c>
      <c r="C9642">
        <v>-44</v>
      </c>
    </row>
    <row r="9643" spans="1:3" x14ac:dyDescent="0.25">
      <c r="A9643">
        <v>38</v>
      </c>
      <c r="B9643" t="str">
        <f>"9:04:24.666472"</f>
        <v>9:04:24.666472</v>
      </c>
      <c r="C9643">
        <v>-41</v>
      </c>
    </row>
    <row r="9644" spans="1:3" x14ac:dyDescent="0.25">
      <c r="A9644">
        <v>39</v>
      </c>
      <c r="B9644" t="str">
        <f>"9:04:24.667498"</f>
        <v>9:04:24.667498</v>
      </c>
      <c r="C9644">
        <v>-46</v>
      </c>
    </row>
    <row r="9645" spans="1:3" x14ac:dyDescent="0.25">
      <c r="A9645">
        <v>37</v>
      </c>
      <c r="B9645" t="str">
        <f>"9:04:25.022609"</f>
        <v>9:04:25.022609</v>
      </c>
      <c r="C9645">
        <v>-44</v>
      </c>
    </row>
    <row r="9646" spans="1:3" x14ac:dyDescent="0.25">
      <c r="A9646">
        <v>38</v>
      </c>
      <c r="B9646" t="str">
        <f>"9:04:25.023636"</f>
        <v>9:04:25.023636</v>
      </c>
      <c r="C9646">
        <v>-41</v>
      </c>
    </row>
    <row r="9647" spans="1:3" x14ac:dyDescent="0.25">
      <c r="A9647">
        <v>39</v>
      </c>
      <c r="B9647" t="str">
        <f>"9:04:25.024663"</f>
        <v>9:04:25.024663</v>
      </c>
      <c r="C9647">
        <v>-45</v>
      </c>
    </row>
    <row r="9648" spans="1:3" x14ac:dyDescent="0.25">
      <c r="A9648">
        <v>39</v>
      </c>
      <c r="B9648" t="str">
        <f>"9:04:25.025181"</f>
        <v>9:04:25.025181</v>
      </c>
      <c r="C9648">
        <v>-31</v>
      </c>
    </row>
    <row r="9649" spans="1:3" x14ac:dyDescent="0.25">
      <c r="A9649">
        <v>39</v>
      </c>
      <c r="B9649" t="str">
        <f>"9:04:25.025508"</f>
        <v>9:04:25.025508</v>
      </c>
      <c r="C9649">
        <v>-45</v>
      </c>
    </row>
    <row r="9650" spans="1:3" x14ac:dyDescent="0.25">
      <c r="A9650">
        <v>37</v>
      </c>
      <c r="B9650" t="str">
        <f>"9:04:25.377683"</f>
        <v>9:04:25.377683</v>
      </c>
      <c r="C9650">
        <v>-44</v>
      </c>
    </row>
    <row r="9651" spans="1:3" x14ac:dyDescent="0.25">
      <c r="A9651">
        <v>38</v>
      </c>
      <c r="B9651" t="str">
        <f>"9:04:25.378710"</f>
        <v>9:04:25.378710</v>
      </c>
      <c r="C9651">
        <v>-41</v>
      </c>
    </row>
    <row r="9652" spans="1:3" x14ac:dyDescent="0.25">
      <c r="A9652">
        <v>39</v>
      </c>
      <c r="B9652" t="str">
        <f>"9:04:25.379737"</f>
        <v>9:04:25.379737</v>
      </c>
      <c r="C9652">
        <v>-46</v>
      </c>
    </row>
    <row r="9653" spans="1:3" x14ac:dyDescent="0.25">
      <c r="A9653">
        <v>37</v>
      </c>
      <c r="B9653" t="str">
        <f>"9:04:25.736088"</f>
        <v>9:04:25.736088</v>
      </c>
      <c r="C9653">
        <v>-44</v>
      </c>
    </row>
    <row r="9654" spans="1:3" x14ac:dyDescent="0.25">
      <c r="A9654">
        <v>38</v>
      </c>
      <c r="B9654" t="str">
        <f>"9:04:25.737115"</f>
        <v>9:04:25.737115</v>
      </c>
      <c r="C9654">
        <v>-41</v>
      </c>
    </row>
    <row r="9655" spans="1:3" x14ac:dyDescent="0.25">
      <c r="A9655">
        <v>39</v>
      </c>
      <c r="B9655" t="str">
        <f>"9:04:25.738141"</f>
        <v>9:04:25.738141</v>
      </c>
      <c r="C9655">
        <v>-45</v>
      </c>
    </row>
    <row r="9656" spans="1:3" x14ac:dyDescent="0.25">
      <c r="A9656">
        <v>39</v>
      </c>
      <c r="B9656" t="str">
        <f>"9:04:25.738660"</f>
        <v>9:04:25.738660</v>
      </c>
      <c r="C9656">
        <v>-31</v>
      </c>
    </row>
    <row r="9657" spans="1:3" x14ac:dyDescent="0.25">
      <c r="A9657">
        <v>39</v>
      </c>
      <c r="B9657" t="str">
        <f>"9:04:25.738985"</f>
        <v>9:04:25.738985</v>
      </c>
      <c r="C9657">
        <v>-45</v>
      </c>
    </row>
    <row r="9658" spans="1:3" x14ac:dyDescent="0.25">
      <c r="A9658">
        <v>37</v>
      </c>
      <c r="B9658" t="str">
        <f>"9:04:26.086270"</f>
        <v>9:04:26.086270</v>
      </c>
      <c r="C9658">
        <v>-44</v>
      </c>
    </row>
    <row r="9659" spans="1:3" x14ac:dyDescent="0.25">
      <c r="A9659">
        <v>38</v>
      </c>
      <c r="B9659" t="str">
        <f>"9:04:26.087298"</f>
        <v>9:04:26.087298</v>
      </c>
      <c r="C9659">
        <v>-41</v>
      </c>
    </row>
    <row r="9660" spans="1:3" x14ac:dyDescent="0.25">
      <c r="A9660">
        <v>39</v>
      </c>
      <c r="B9660" t="str">
        <f>"9:04:26.088324"</f>
        <v>9:04:26.088324</v>
      </c>
      <c r="C9660">
        <v>-46</v>
      </c>
    </row>
    <row r="9661" spans="1:3" x14ac:dyDescent="0.25">
      <c r="A9661">
        <v>39</v>
      </c>
      <c r="B9661" t="str">
        <f>"9:04:26.088842"</f>
        <v>9:04:26.088842</v>
      </c>
      <c r="C9661">
        <v>-31</v>
      </c>
    </row>
    <row r="9662" spans="1:3" x14ac:dyDescent="0.25">
      <c r="A9662">
        <v>39</v>
      </c>
      <c r="B9662" t="str">
        <f>"9:04:26.089168"</f>
        <v>9:04:26.089168</v>
      </c>
      <c r="C9662">
        <v>-45</v>
      </c>
    </row>
    <row r="9663" spans="1:3" x14ac:dyDescent="0.25">
      <c r="A9663">
        <v>37</v>
      </c>
      <c r="B9663" t="str">
        <f>"9:04:26.439110"</f>
        <v>9:04:26.439110</v>
      </c>
      <c r="C9663">
        <v>-44</v>
      </c>
    </row>
    <row r="9664" spans="1:3" x14ac:dyDescent="0.25">
      <c r="A9664">
        <v>38</v>
      </c>
      <c r="B9664" t="str">
        <f>"9:04:26.440137"</f>
        <v>9:04:26.440137</v>
      </c>
      <c r="C9664">
        <v>-41</v>
      </c>
    </row>
    <row r="9665" spans="1:3" x14ac:dyDescent="0.25">
      <c r="A9665">
        <v>39</v>
      </c>
      <c r="B9665" t="str">
        <f>"9:04:26.441163"</f>
        <v>9:04:26.441163</v>
      </c>
      <c r="C9665">
        <v>-46</v>
      </c>
    </row>
    <row r="9666" spans="1:3" x14ac:dyDescent="0.25">
      <c r="A9666">
        <v>39</v>
      </c>
      <c r="B9666" t="str">
        <f>"9:04:26.441682"</f>
        <v>9:04:26.441682</v>
      </c>
      <c r="C9666">
        <v>-31</v>
      </c>
    </row>
    <row r="9667" spans="1:3" x14ac:dyDescent="0.25">
      <c r="A9667">
        <v>39</v>
      </c>
      <c r="B9667" t="str">
        <f>"9:04:26.442007"</f>
        <v>9:04:26.442007</v>
      </c>
      <c r="C9667">
        <v>-45</v>
      </c>
    </row>
    <row r="9668" spans="1:3" x14ac:dyDescent="0.25">
      <c r="A9668">
        <v>37</v>
      </c>
      <c r="B9668" t="str">
        <f>"9:04:26.797577"</f>
        <v>9:04:26.797577</v>
      </c>
      <c r="C9668">
        <v>-44</v>
      </c>
    </row>
    <row r="9669" spans="1:3" x14ac:dyDescent="0.25">
      <c r="A9669">
        <v>38</v>
      </c>
      <c r="B9669" t="str">
        <f>"9:04:26.798604"</f>
        <v>9:04:26.798604</v>
      </c>
      <c r="C9669">
        <v>-41</v>
      </c>
    </row>
    <row r="9670" spans="1:3" x14ac:dyDescent="0.25">
      <c r="A9670">
        <v>39</v>
      </c>
      <c r="B9670" t="str">
        <f>"9:04:26.799630"</f>
        <v>9:04:26.799630</v>
      </c>
      <c r="C9670">
        <v>-46</v>
      </c>
    </row>
    <row r="9671" spans="1:3" x14ac:dyDescent="0.25">
      <c r="A9671">
        <v>39</v>
      </c>
      <c r="B9671" t="str">
        <f>"9:04:26.800149"</f>
        <v>9:04:26.800149</v>
      </c>
      <c r="C9671">
        <v>-31</v>
      </c>
    </row>
    <row r="9672" spans="1:3" x14ac:dyDescent="0.25">
      <c r="A9672">
        <v>39</v>
      </c>
      <c r="B9672" t="str">
        <f>"9:04:26.800474"</f>
        <v>9:04:26.800474</v>
      </c>
      <c r="C9672">
        <v>-45</v>
      </c>
    </row>
    <row r="9673" spans="1:3" x14ac:dyDescent="0.25">
      <c r="A9673">
        <v>37</v>
      </c>
      <c r="B9673" t="str">
        <f>"9:04:27.154424"</f>
        <v>9:04:27.154424</v>
      </c>
      <c r="C9673">
        <v>-44</v>
      </c>
    </row>
    <row r="9674" spans="1:3" x14ac:dyDescent="0.25">
      <c r="A9674">
        <v>38</v>
      </c>
      <c r="B9674" t="str">
        <f>"9:04:27.155452"</f>
        <v>9:04:27.155452</v>
      </c>
      <c r="C9674">
        <v>-41</v>
      </c>
    </row>
    <row r="9675" spans="1:3" x14ac:dyDescent="0.25">
      <c r="A9675">
        <v>39</v>
      </c>
      <c r="B9675" t="str">
        <f>"9:04:27.156478"</f>
        <v>9:04:27.156478</v>
      </c>
      <c r="C9675">
        <v>-46</v>
      </c>
    </row>
    <row r="9676" spans="1:3" x14ac:dyDescent="0.25">
      <c r="A9676">
        <v>39</v>
      </c>
      <c r="B9676" t="str">
        <f>"9:04:27.156996"</f>
        <v>9:04:27.156996</v>
      </c>
      <c r="C9676">
        <v>-31</v>
      </c>
    </row>
    <row r="9677" spans="1:3" x14ac:dyDescent="0.25">
      <c r="A9677">
        <v>39</v>
      </c>
      <c r="B9677" t="str">
        <f>"9:04:27.157322"</f>
        <v>9:04:27.157322</v>
      </c>
      <c r="C9677">
        <v>-45</v>
      </c>
    </row>
    <row r="9678" spans="1:3" x14ac:dyDescent="0.25">
      <c r="A9678">
        <v>37</v>
      </c>
      <c r="B9678" t="str">
        <f>"9:04:27.512092"</f>
        <v>9:04:27.512092</v>
      </c>
      <c r="C9678">
        <v>-44</v>
      </c>
    </row>
    <row r="9679" spans="1:3" x14ac:dyDescent="0.25">
      <c r="A9679">
        <v>38</v>
      </c>
      <c r="B9679" t="str">
        <f>"9:04:27.513119"</f>
        <v>9:04:27.513119</v>
      </c>
      <c r="C9679">
        <v>-41</v>
      </c>
    </row>
    <row r="9680" spans="1:3" x14ac:dyDescent="0.25">
      <c r="A9680">
        <v>37</v>
      </c>
      <c r="B9680" t="str">
        <f>"9:04:27.863602"</f>
        <v>9:04:27.863602</v>
      </c>
      <c r="C9680">
        <v>-44</v>
      </c>
    </row>
    <row r="9681" spans="1:3" x14ac:dyDescent="0.25">
      <c r="A9681">
        <v>38</v>
      </c>
      <c r="B9681" t="str">
        <f>"9:04:27.864630"</f>
        <v>9:04:27.864630</v>
      </c>
      <c r="C9681">
        <v>-41</v>
      </c>
    </row>
    <row r="9682" spans="1:3" x14ac:dyDescent="0.25">
      <c r="A9682">
        <v>39</v>
      </c>
      <c r="B9682" t="str">
        <f>"9:04:27.865656"</f>
        <v>9:04:27.865656</v>
      </c>
      <c r="C9682">
        <v>-46</v>
      </c>
    </row>
    <row r="9683" spans="1:3" x14ac:dyDescent="0.25">
      <c r="A9683">
        <v>39</v>
      </c>
      <c r="B9683" t="str">
        <f>"9:04:27.866174"</f>
        <v>9:04:27.866174</v>
      </c>
      <c r="C9683">
        <v>-31</v>
      </c>
    </row>
    <row r="9684" spans="1:3" x14ac:dyDescent="0.25">
      <c r="A9684">
        <v>39</v>
      </c>
      <c r="B9684" t="str">
        <f>"9:04:27.866500"</f>
        <v>9:04:27.866500</v>
      </c>
      <c r="C9684">
        <v>-45</v>
      </c>
    </row>
    <row r="9685" spans="1:3" x14ac:dyDescent="0.25">
      <c r="A9685">
        <v>37</v>
      </c>
      <c r="B9685" t="str">
        <f>"9:04:28.214039"</f>
        <v>9:04:28.214039</v>
      </c>
      <c r="C9685">
        <v>-44</v>
      </c>
    </row>
    <row r="9686" spans="1:3" x14ac:dyDescent="0.25">
      <c r="A9686">
        <v>38</v>
      </c>
      <c r="B9686" t="str">
        <f>"9:04:28.215066"</f>
        <v>9:04:28.215066</v>
      </c>
      <c r="C9686">
        <v>-41</v>
      </c>
    </row>
    <row r="9687" spans="1:3" x14ac:dyDescent="0.25">
      <c r="A9687">
        <v>39</v>
      </c>
      <c r="B9687" t="str">
        <f>"9:04:28.216092"</f>
        <v>9:04:28.216092</v>
      </c>
      <c r="C9687">
        <v>-46</v>
      </c>
    </row>
    <row r="9688" spans="1:3" x14ac:dyDescent="0.25">
      <c r="A9688">
        <v>39</v>
      </c>
      <c r="B9688" t="str">
        <f>"9:04:28.216611"</f>
        <v>9:04:28.216611</v>
      </c>
      <c r="C9688">
        <v>-31</v>
      </c>
    </row>
    <row r="9689" spans="1:3" x14ac:dyDescent="0.25">
      <c r="A9689">
        <v>39</v>
      </c>
      <c r="B9689" t="str">
        <f>"9:04:28.216937"</f>
        <v>9:04:28.216937</v>
      </c>
      <c r="C9689">
        <v>-45</v>
      </c>
    </row>
    <row r="9690" spans="1:3" x14ac:dyDescent="0.25">
      <c r="A9690">
        <v>37</v>
      </c>
      <c r="B9690" t="str">
        <f>"9:04:28.568317"</f>
        <v>9:04:28.568317</v>
      </c>
      <c r="C9690">
        <v>-44</v>
      </c>
    </row>
    <row r="9691" spans="1:3" x14ac:dyDescent="0.25">
      <c r="A9691">
        <v>38</v>
      </c>
      <c r="B9691" t="str">
        <f>"9:04:28.569345"</f>
        <v>9:04:28.569345</v>
      </c>
      <c r="C9691">
        <v>-41</v>
      </c>
    </row>
    <row r="9692" spans="1:3" x14ac:dyDescent="0.25">
      <c r="A9692">
        <v>38</v>
      </c>
      <c r="B9692" t="str">
        <f>"9:04:28.570189"</f>
        <v>9:04:28.570189</v>
      </c>
      <c r="C9692">
        <v>-41</v>
      </c>
    </row>
    <row r="9693" spans="1:3" x14ac:dyDescent="0.25">
      <c r="A9693">
        <v>39</v>
      </c>
      <c r="B9693" t="str">
        <f>"9:04:28.570965"</f>
        <v>9:04:28.570965</v>
      </c>
      <c r="C9693">
        <v>-46</v>
      </c>
    </row>
    <row r="9694" spans="1:3" x14ac:dyDescent="0.25">
      <c r="A9694">
        <v>39</v>
      </c>
      <c r="B9694" t="str">
        <f>"9:04:28.571483"</f>
        <v>9:04:28.571483</v>
      </c>
      <c r="C9694">
        <v>-31</v>
      </c>
    </row>
    <row r="9695" spans="1:3" x14ac:dyDescent="0.25">
      <c r="A9695">
        <v>39</v>
      </c>
      <c r="B9695" t="str">
        <f>"9:04:28.571809"</f>
        <v>9:04:28.571809</v>
      </c>
      <c r="C9695">
        <v>-45</v>
      </c>
    </row>
    <row r="9696" spans="1:3" x14ac:dyDescent="0.25">
      <c r="A9696">
        <v>37</v>
      </c>
      <c r="B9696" t="str">
        <f>"9:04:28.919268"</f>
        <v>9:04:28.919268</v>
      </c>
      <c r="C9696">
        <v>-44</v>
      </c>
    </row>
    <row r="9697" spans="1:3" x14ac:dyDescent="0.25">
      <c r="A9697">
        <v>38</v>
      </c>
      <c r="B9697" t="str">
        <f>"9:04:28.920296"</f>
        <v>9:04:28.920296</v>
      </c>
      <c r="C9697">
        <v>-41</v>
      </c>
    </row>
    <row r="9698" spans="1:3" x14ac:dyDescent="0.25">
      <c r="A9698">
        <v>39</v>
      </c>
      <c r="B9698" t="str">
        <f>"9:04:28.921322"</f>
        <v>9:04:28.921322</v>
      </c>
      <c r="C9698">
        <v>-46</v>
      </c>
    </row>
    <row r="9699" spans="1:3" x14ac:dyDescent="0.25">
      <c r="A9699">
        <v>39</v>
      </c>
      <c r="B9699" t="str">
        <f>"9:04:28.921840"</f>
        <v>9:04:28.921840</v>
      </c>
      <c r="C9699">
        <v>-30</v>
      </c>
    </row>
    <row r="9700" spans="1:3" x14ac:dyDescent="0.25">
      <c r="A9700">
        <v>39</v>
      </c>
      <c r="B9700" t="str">
        <f>"9:04:28.922167"</f>
        <v>9:04:28.922167</v>
      </c>
      <c r="C9700">
        <v>-45</v>
      </c>
    </row>
    <row r="9701" spans="1:3" x14ac:dyDescent="0.25">
      <c r="A9701">
        <v>37</v>
      </c>
      <c r="B9701" t="str">
        <f>"9:04:29.272809"</f>
        <v>9:04:29.272809</v>
      </c>
      <c r="C9701">
        <v>-44</v>
      </c>
    </row>
    <row r="9702" spans="1:3" x14ac:dyDescent="0.25">
      <c r="A9702">
        <v>38</v>
      </c>
      <c r="B9702" t="str">
        <f>"9:04:29.273836"</f>
        <v>9:04:29.273836</v>
      </c>
      <c r="C9702">
        <v>-41</v>
      </c>
    </row>
    <row r="9703" spans="1:3" x14ac:dyDescent="0.25">
      <c r="A9703">
        <v>39</v>
      </c>
      <c r="B9703" t="str">
        <f>"9:04:29.274862"</f>
        <v>9:04:29.274862</v>
      </c>
      <c r="C9703">
        <v>-46</v>
      </c>
    </row>
    <row r="9704" spans="1:3" x14ac:dyDescent="0.25">
      <c r="A9704">
        <v>39</v>
      </c>
      <c r="B9704" t="str">
        <f>"9:04:29.275380"</f>
        <v>9:04:29.275380</v>
      </c>
      <c r="C9704">
        <v>-30</v>
      </c>
    </row>
    <row r="9705" spans="1:3" x14ac:dyDescent="0.25">
      <c r="A9705">
        <v>39</v>
      </c>
      <c r="B9705" t="str">
        <f>"9:04:29.275706"</f>
        <v>9:04:29.275706</v>
      </c>
      <c r="C9705">
        <v>-45</v>
      </c>
    </row>
    <row r="9706" spans="1:3" x14ac:dyDescent="0.25">
      <c r="A9706">
        <v>37</v>
      </c>
      <c r="B9706" t="str">
        <f>"9:04:29.625581"</f>
        <v>9:04:29.625581</v>
      </c>
      <c r="C9706">
        <v>-44</v>
      </c>
    </row>
    <row r="9707" spans="1:3" x14ac:dyDescent="0.25">
      <c r="A9707">
        <v>37</v>
      </c>
      <c r="B9707" t="str">
        <f>"9:04:29.626100"</f>
        <v>9:04:29.626100</v>
      </c>
      <c r="C9707">
        <v>-37</v>
      </c>
    </row>
    <row r="9708" spans="1:3" x14ac:dyDescent="0.25">
      <c r="A9708">
        <v>37</v>
      </c>
      <c r="B9708" t="str">
        <f>"9:04:29.626425"</f>
        <v>9:04:29.626425</v>
      </c>
      <c r="C9708">
        <v>-44</v>
      </c>
    </row>
    <row r="9709" spans="1:3" x14ac:dyDescent="0.25">
      <c r="A9709">
        <v>38</v>
      </c>
      <c r="B9709" t="str">
        <f>"9:04:29.627202"</f>
        <v>9:04:29.627202</v>
      </c>
      <c r="C9709">
        <v>-41</v>
      </c>
    </row>
    <row r="9710" spans="1:3" x14ac:dyDescent="0.25">
      <c r="A9710">
        <v>39</v>
      </c>
      <c r="B9710" t="str">
        <f>"9:04:29.628228"</f>
        <v>9:04:29.628228</v>
      </c>
      <c r="C9710">
        <v>-46</v>
      </c>
    </row>
    <row r="9711" spans="1:3" x14ac:dyDescent="0.25">
      <c r="A9711">
        <v>37</v>
      </c>
      <c r="B9711" t="str">
        <f>"9:04:29.976278"</f>
        <v>9:04:29.976278</v>
      </c>
      <c r="C9711">
        <v>-44</v>
      </c>
    </row>
    <row r="9712" spans="1:3" x14ac:dyDescent="0.25">
      <c r="A9712">
        <v>37</v>
      </c>
      <c r="B9712" t="str">
        <f>"9:04:29.976797"</f>
        <v>9:04:29.976797</v>
      </c>
      <c r="C9712">
        <v>-39</v>
      </c>
    </row>
    <row r="9713" spans="1:3" x14ac:dyDescent="0.25">
      <c r="A9713">
        <v>37</v>
      </c>
      <c r="B9713" t="str">
        <f>"9:04:29.977122"</f>
        <v>9:04:29.977122</v>
      </c>
      <c r="C9713">
        <v>-44</v>
      </c>
    </row>
    <row r="9714" spans="1:3" x14ac:dyDescent="0.25">
      <c r="A9714">
        <v>38</v>
      </c>
      <c r="B9714" t="str">
        <f>"9:04:29.977899"</f>
        <v>9:04:29.977899</v>
      </c>
      <c r="C9714">
        <v>-41</v>
      </c>
    </row>
    <row r="9715" spans="1:3" x14ac:dyDescent="0.25">
      <c r="A9715">
        <v>39</v>
      </c>
      <c r="B9715" t="str">
        <f>"9:04:29.978925"</f>
        <v>9:04:29.978925</v>
      </c>
      <c r="C9715">
        <v>-45</v>
      </c>
    </row>
    <row r="9716" spans="1:3" x14ac:dyDescent="0.25">
      <c r="A9716">
        <v>37</v>
      </c>
      <c r="B9716" t="str">
        <f>"9:04:30.334718"</f>
        <v>9:04:30.334718</v>
      </c>
      <c r="C9716">
        <v>-44</v>
      </c>
    </row>
    <row r="9717" spans="1:3" x14ac:dyDescent="0.25">
      <c r="A9717">
        <v>37</v>
      </c>
      <c r="B9717" t="str">
        <f>"9:04:30.335236"</f>
        <v>9:04:30.335236</v>
      </c>
      <c r="C9717">
        <v>-39</v>
      </c>
    </row>
    <row r="9718" spans="1:3" x14ac:dyDescent="0.25">
      <c r="A9718">
        <v>37</v>
      </c>
      <c r="B9718" t="str">
        <f>"9:04:30.335562"</f>
        <v>9:04:30.335562</v>
      </c>
      <c r="C9718">
        <v>-44</v>
      </c>
    </row>
    <row r="9719" spans="1:3" x14ac:dyDescent="0.25">
      <c r="A9719">
        <v>38</v>
      </c>
      <c r="B9719" t="str">
        <f>"9:04:30.336338"</f>
        <v>9:04:30.336338</v>
      </c>
      <c r="C9719">
        <v>-41</v>
      </c>
    </row>
    <row r="9720" spans="1:3" x14ac:dyDescent="0.25">
      <c r="A9720">
        <v>39</v>
      </c>
      <c r="B9720" t="str">
        <f>"9:04:30.337364"</f>
        <v>9:04:30.337364</v>
      </c>
      <c r="C9720">
        <v>-45</v>
      </c>
    </row>
    <row r="9721" spans="1:3" x14ac:dyDescent="0.25">
      <c r="A9721">
        <v>37</v>
      </c>
      <c r="B9721" t="str">
        <f>"9:04:30.689030"</f>
        <v>9:04:30.689030</v>
      </c>
      <c r="C9721">
        <v>-44</v>
      </c>
    </row>
    <row r="9722" spans="1:3" x14ac:dyDescent="0.25">
      <c r="A9722">
        <v>37</v>
      </c>
      <c r="B9722" t="str">
        <f>"9:04:30.689549"</f>
        <v>9:04:30.689549</v>
      </c>
      <c r="C9722">
        <v>-39</v>
      </c>
    </row>
    <row r="9723" spans="1:3" x14ac:dyDescent="0.25">
      <c r="A9723">
        <v>37</v>
      </c>
      <c r="B9723" t="str">
        <f>"9:04:30.689875"</f>
        <v>9:04:30.689875</v>
      </c>
      <c r="C9723">
        <v>-44</v>
      </c>
    </row>
    <row r="9724" spans="1:3" x14ac:dyDescent="0.25">
      <c r="A9724">
        <v>38</v>
      </c>
      <c r="B9724" t="str">
        <f>"9:04:30.690652"</f>
        <v>9:04:30.690652</v>
      </c>
      <c r="C9724">
        <v>-41</v>
      </c>
    </row>
    <row r="9725" spans="1:3" x14ac:dyDescent="0.25">
      <c r="A9725">
        <v>39</v>
      </c>
      <c r="B9725" t="str">
        <f>"9:04:30.691678"</f>
        <v>9:04:30.691678</v>
      </c>
      <c r="C9725">
        <v>-45</v>
      </c>
    </row>
    <row r="9726" spans="1:3" x14ac:dyDescent="0.25">
      <c r="A9726">
        <v>37</v>
      </c>
      <c r="B9726" t="str">
        <f>"9:04:31.044948"</f>
        <v>9:04:31.044948</v>
      </c>
      <c r="C9726">
        <v>-44</v>
      </c>
    </row>
    <row r="9727" spans="1:3" x14ac:dyDescent="0.25">
      <c r="A9727">
        <v>37</v>
      </c>
      <c r="B9727" t="str">
        <f>"9:04:31.045467"</f>
        <v>9:04:31.045467</v>
      </c>
      <c r="C9727">
        <v>-39</v>
      </c>
    </row>
    <row r="9728" spans="1:3" x14ac:dyDescent="0.25">
      <c r="A9728">
        <v>37</v>
      </c>
      <c r="B9728" t="str">
        <f>"9:04:31.045793"</f>
        <v>9:04:31.045793</v>
      </c>
      <c r="C9728">
        <v>-44</v>
      </c>
    </row>
    <row r="9729" spans="1:3" x14ac:dyDescent="0.25">
      <c r="A9729">
        <v>38</v>
      </c>
      <c r="B9729" t="str">
        <f>"9:04:31.046570"</f>
        <v>9:04:31.046570</v>
      </c>
      <c r="C9729">
        <v>-41</v>
      </c>
    </row>
    <row r="9730" spans="1:3" x14ac:dyDescent="0.25">
      <c r="A9730">
        <v>39</v>
      </c>
      <c r="B9730" t="str">
        <f>"9:04:31.047596"</f>
        <v>9:04:31.047596</v>
      </c>
      <c r="C9730">
        <v>-45</v>
      </c>
    </row>
    <row r="9731" spans="1:3" x14ac:dyDescent="0.25">
      <c r="A9731">
        <v>37</v>
      </c>
      <c r="B9731" t="str">
        <f>"9:04:31.402391"</f>
        <v>9:04:31.402391</v>
      </c>
      <c r="C9731">
        <v>-44</v>
      </c>
    </row>
    <row r="9732" spans="1:3" x14ac:dyDescent="0.25">
      <c r="A9732">
        <v>37</v>
      </c>
      <c r="B9732" t="str">
        <f>"9:04:31.402910"</f>
        <v>9:04:31.402910</v>
      </c>
      <c r="C9732">
        <v>-40</v>
      </c>
    </row>
    <row r="9733" spans="1:3" x14ac:dyDescent="0.25">
      <c r="A9733">
        <v>37</v>
      </c>
      <c r="B9733" t="str">
        <f>"9:04:31.403236"</f>
        <v>9:04:31.403236</v>
      </c>
      <c r="C9733">
        <v>-44</v>
      </c>
    </row>
    <row r="9734" spans="1:3" x14ac:dyDescent="0.25">
      <c r="A9734">
        <v>38</v>
      </c>
      <c r="B9734" t="str">
        <f>"9:04:31.404013"</f>
        <v>9:04:31.404013</v>
      </c>
      <c r="C9734">
        <v>-41</v>
      </c>
    </row>
    <row r="9735" spans="1:3" x14ac:dyDescent="0.25">
      <c r="A9735">
        <v>39</v>
      </c>
      <c r="B9735" t="str">
        <f>"9:04:31.405039"</f>
        <v>9:04:31.405039</v>
      </c>
      <c r="C9735">
        <v>-46</v>
      </c>
    </row>
    <row r="9736" spans="1:3" x14ac:dyDescent="0.25">
      <c r="A9736">
        <v>37</v>
      </c>
      <c r="B9736" t="str">
        <f>"9:04:31.753595"</f>
        <v>9:04:31.753595</v>
      </c>
      <c r="C9736">
        <v>-44</v>
      </c>
    </row>
    <row r="9737" spans="1:3" x14ac:dyDescent="0.25">
      <c r="A9737">
        <v>37</v>
      </c>
      <c r="B9737" t="str">
        <f>"9:04:31.754114"</f>
        <v>9:04:31.754114</v>
      </c>
      <c r="C9737">
        <v>-40</v>
      </c>
    </row>
    <row r="9738" spans="1:3" x14ac:dyDescent="0.25">
      <c r="A9738">
        <v>37</v>
      </c>
      <c r="B9738" t="str">
        <f>"9:04:31.754440"</f>
        <v>9:04:31.754440</v>
      </c>
      <c r="C9738">
        <v>-44</v>
      </c>
    </row>
    <row r="9739" spans="1:3" x14ac:dyDescent="0.25">
      <c r="A9739">
        <v>38</v>
      </c>
      <c r="B9739" t="str">
        <f>"9:04:31.755217"</f>
        <v>9:04:31.755217</v>
      </c>
      <c r="C9739">
        <v>-41</v>
      </c>
    </row>
    <row r="9740" spans="1:3" x14ac:dyDescent="0.25">
      <c r="A9740">
        <v>39</v>
      </c>
      <c r="B9740" t="str">
        <f>"9:04:31.756243"</f>
        <v>9:04:31.756243</v>
      </c>
      <c r="C9740">
        <v>-46</v>
      </c>
    </row>
    <row r="9741" spans="1:3" x14ac:dyDescent="0.25">
      <c r="A9741">
        <v>37</v>
      </c>
      <c r="B9741" t="str">
        <f>"9:04:32.112750"</f>
        <v>9:04:32.112750</v>
      </c>
      <c r="C9741">
        <v>-44</v>
      </c>
    </row>
    <row r="9742" spans="1:3" x14ac:dyDescent="0.25">
      <c r="A9742">
        <v>37</v>
      </c>
      <c r="B9742" t="str">
        <f>"9:04:32.113268"</f>
        <v>9:04:32.113268</v>
      </c>
      <c r="C9742">
        <v>-40</v>
      </c>
    </row>
    <row r="9743" spans="1:3" x14ac:dyDescent="0.25">
      <c r="A9743">
        <v>37</v>
      </c>
      <c r="B9743" t="str">
        <f>"9:04:32.113594"</f>
        <v>9:04:32.113594</v>
      </c>
      <c r="C9743">
        <v>-44</v>
      </c>
    </row>
    <row r="9744" spans="1:3" x14ac:dyDescent="0.25">
      <c r="A9744">
        <v>38</v>
      </c>
      <c r="B9744" t="str">
        <f>"9:04:32.114370"</f>
        <v>9:04:32.114370</v>
      </c>
      <c r="C9744">
        <v>-41</v>
      </c>
    </row>
    <row r="9745" spans="1:3" x14ac:dyDescent="0.25">
      <c r="A9745">
        <v>39</v>
      </c>
      <c r="B9745" t="str">
        <f>"9:04:32.115396"</f>
        <v>9:04:32.115396</v>
      </c>
      <c r="C9745">
        <v>-46</v>
      </c>
    </row>
    <row r="9746" spans="1:3" x14ac:dyDescent="0.25">
      <c r="A9746">
        <v>37</v>
      </c>
      <c r="B9746" t="str">
        <f>"9:04:32.464814"</f>
        <v>9:04:32.464814</v>
      </c>
      <c r="C9746">
        <v>-44</v>
      </c>
    </row>
    <row r="9747" spans="1:3" x14ac:dyDescent="0.25">
      <c r="A9747">
        <v>37</v>
      </c>
      <c r="B9747" t="str">
        <f>"9:04:32.465332"</f>
        <v>9:04:32.465332</v>
      </c>
      <c r="C9747">
        <v>-40</v>
      </c>
    </row>
    <row r="9748" spans="1:3" x14ac:dyDescent="0.25">
      <c r="A9748">
        <v>37</v>
      </c>
      <c r="B9748" t="str">
        <f>"9:04:32.465659"</f>
        <v>9:04:32.465659</v>
      </c>
      <c r="C9748">
        <v>-44</v>
      </c>
    </row>
    <row r="9749" spans="1:3" x14ac:dyDescent="0.25">
      <c r="A9749">
        <v>38</v>
      </c>
      <c r="B9749" t="str">
        <f>"9:04:32.466435"</f>
        <v>9:04:32.466435</v>
      </c>
      <c r="C9749">
        <v>-41</v>
      </c>
    </row>
    <row r="9750" spans="1:3" x14ac:dyDescent="0.25">
      <c r="A9750">
        <v>39</v>
      </c>
      <c r="B9750" t="str">
        <f>"9:04:32.467461"</f>
        <v>9:04:32.467461</v>
      </c>
      <c r="C9750">
        <v>-45</v>
      </c>
    </row>
    <row r="9751" spans="1:3" x14ac:dyDescent="0.25">
      <c r="A9751">
        <v>37</v>
      </c>
      <c r="B9751" t="str">
        <f>"9:04:32.815798"</f>
        <v>9:04:32.815798</v>
      </c>
      <c r="C9751">
        <v>-44</v>
      </c>
    </row>
    <row r="9752" spans="1:3" x14ac:dyDescent="0.25">
      <c r="A9752">
        <v>37</v>
      </c>
      <c r="B9752" t="str">
        <f>"9:04:32.816317"</f>
        <v>9:04:32.816317</v>
      </c>
      <c r="C9752">
        <v>-40</v>
      </c>
    </row>
    <row r="9753" spans="1:3" x14ac:dyDescent="0.25">
      <c r="A9753">
        <v>37</v>
      </c>
      <c r="B9753" t="str">
        <f>"9:04:32.816642"</f>
        <v>9:04:32.816642</v>
      </c>
      <c r="C9753">
        <v>-44</v>
      </c>
    </row>
    <row r="9754" spans="1:3" x14ac:dyDescent="0.25">
      <c r="A9754">
        <v>38</v>
      </c>
      <c r="B9754" t="str">
        <f>"9:04:32.817418"</f>
        <v>9:04:32.817418</v>
      </c>
      <c r="C9754">
        <v>-41</v>
      </c>
    </row>
    <row r="9755" spans="1:3" x14ac:dyDescent="0.25">
      <c r="A9755">
        <v>38</v>
      </c>
      <c r="B9755" t="str">
        <f>"9:04:32.817937"</f>
        <v>9:04:32.817937</v>
      </c>
      <c r="C9755">
        <v>-75</v>
      </c>
    </row>
    <row r="9756" spans="1:3" x14ac:dyDescent="0.25">
      <c r="A9756">
        <v>39</v>
      </c>
      <c r="B9756" t="str">
        <f>"9:04:32.818578"</f>
        <v>9:04:32.818578</v>
      </c>
      <c r="C9756">
        <v>-46</v>
      </c>
    </row>
    <row r="9757" spans="1:3" x14ac:dyDescent="0.25">
      <c r="A9757">
        <v>37</v>
      </c>
      <c r="B9757" t="str">
        <f>"9:04:33.173961"</f>
        <v>9:04:33.173961</v>
      </c>
      <c r="C9757">
        <v>-44</v>
      </c>
    </row>
    <row r="9758" spans="1:3" x14ac:dyDescent="0.25">
      <c r="A9758">
        <v>38</v>
      </c>
      <c r="B9758" t="str">
        <f>"9:04:33.174988"</f>
        <v>9:04:33.174988</v>
      </c>
      <c r="C9758">
        <v>-41</v>
      </c>
    </row>
    <row r="9759" spans="1:3" x14ac:dyDescent="0.25">
      <c r="A9759">
        <v>39</v>
      </c>
      <c r="B9759" t="str">
        <f>"9:04:33.176014"</f>
        <v>9:04:33.176014</v>
      </c>
      <c r="C9759">
        <v>-45</v>
      </c>
    </row>
    <row r="9760" spans="1:3" x14ac:dyDescent="0.25">
      <c r="A9760">
        <v>37</v>
      </c>
      <c r="B9760" t="str">
        <f>"9:04:33.526785"</f>
        <v>9:04:33.526785</v>
      </c>
      <c r="C9760">
        <v>-44</v>
      </c>
    </row>
    <row r="9761" spans="1:3" x14ac:dyDescent="0.25">
      <c r="A9761">
        <v>37</v>
      </c>
      <c r="B9761" t="str">
        <f>"9:04:33.527304"</f>
        <v>9:04:33.527304</v>
      </c>
      <c r="C9761">
        <v>-40</v>
      </c>
    </row>
    <row r="9762" spans="1:3" x14ac:dyDescent="0.25">
      <c r="A9762">
        <v>37</v>
      </c>
      <c r="B9762" t="str">
        <f>"9:04:33.527630"</f>
        <v>9:04:33.527630</v>
      </c>
      <c r="C9762">
        <v>-44</v>
      </c>
    </row>
    <row r="9763" spans="1:3" x14ac:dyDescent="0.25">
      <c r="A9763">
        <v>38</v>
      </c>
      <c r="B9763" t="str">
        <f>"9:04:33.528406"</f>
        <v>9:04:33.528406</v>
      </c>
      <c r="C9763">
        <v>-41</v>
      </c>
    </row>
    <row r="9764" spans="1:3" x14ac:dyDescent="0.25">
      <c r="A9764">
        <v>39</v>
      </c>
      <c r="B9764" t="str">
        <f>"9:04:33.529432"</f>
        <v>9:04:33.529432</v>
      </c>
      <c r="C9764">
        <v>-46</v>
      </c>
    </row>
    <row r="9765" spans="1:3" x14ac:dyDescent="0.25">
      <c r="A9765">
        <v>37</v>
      </c>
      <c r="B9765" t="str">
        <f>"9:04:33.878836"</f>
        <v>9:04:33.878836</v>
      </c>
      <c r="C9765">
        <v>-44</v>
      </c>
    </row>
    <row r="9766" spans="1:3" x14ac:dyDescent="0.25">
      <c r="A9766">
        <v>38</v>
      </c>
      <c r="B9766" t="str">
        <f>"9:04:33.879864"</f>
        <v>9:04:33.879864</v>
      </c>
      <c r="C9766">
        <v>-41</v>
      </c>
    </row>
    <row r="9767" spans="1:3" x14ac:dyDescent="0.25">
      <c r="A9767">
        <v>39</v>
      </c>
      <c r="B9767" t="str">
        <f>"9:04:33.880890"</f>
        <v>9:04:33.880890</v>
      </c>
      <c r="C9767">
        <v>-46</v>
      </c>
    </row>
    <row r="9768" spans="1:3" x14ac:dyDescent="0.25">
      <c r="A9768">
        <v>37</v>
      </c>
      <c r="B9768" t="str">
        <f>"9:04:34.238037"</f>
        <v>9:04:34.238037</v>
      </c>
      <c r="C9768">
        <v>-44</v>
      </c>
    </row>
    <row r="9769" spans="1:3" x14ac:dyDescent="0.25">
      <c r="A9769">
        <v>37</v>
      </c>
      <c r="B9769" t="str">
        <f>"9:04:34.238555"</f>
        <v>9:04:34.238555</v>
      </c>
      <c r="C9769">
        <v>-38</v>
      </c>
    </row>
    <row r="9770" spans="1:3" x14ac:dyDescent="0.25">
      <c r="A9770">
        <v>37</v>
      </c>
      <c r="B9770" t="str">
        <f>"9:04:34.238882"</f>
        <v>9:04:34.238882</v>
      </c>
      <c r="C9770">
        <v>-44</v>
      </c>
    </row>
    <row r="9771" spans="1:3" x14ac:dyDescent="0.25">
      <c r="A9771">
        <v>38</v>
      </c>
      <c r="B9771" t="str">
        <f>"9:04:34.239658"</f>
        <v>9:04:34.239658</v>
      </c>
      <c r="C9771">
        <v>-41</v>
      </c>
    </row>
    <row r="9772" spans="1:3" x14ac:dyDescent="0.25">
      <c r="A9772">
        <v>39</v>
      </c>
      <c r="B9772" t="str">
        <f>"9:04:34.240684"</f>
        <v>9:04:34.240684</v>
      </c>
      <c r="C9772">
        <v>-46</v>
      </c>
    </row>
    <row r="9773" spans="1:3" x14ac:dyDescent="0.25">
      <c r="A9773">
        <v>37</v>
      </c>
      <c r="B9773" t="str">
        <f>"9:04:34.593688"</f>
        <v>9:04:34.593688</v>
      </c>
      <c r="C9773">
        <v>-44</v>
      </c>
    </row>
    <row r="9774" spans="1:3" x14ac:dyDescent="0.25">
      <c r="A9774">
        <v>38</v>
      </c>
      <c r="B9774" t="str">
        <f>"9:04:34.594715"</f>
        <v>9:04:34.594715</v>
      </c>
      <c r="C9774">
        <v>-41</v>
      </c>
    </row>
    <row r="9775" spans="1:3" x14ac:dyDescent="0.25">
      <c r="A9775">
        <v>39</v>
      </c>
      <c r="B9775" t="str">
        <f>"9:04:34.595741"</f>
        <v>9:04:34.595741</v>
      </c>
      <c r="C9775">
        <v>-46</v>
      </c>
    </row>
    <row r="9776" spans="1:3" x14ac:dyDescent="0.25">
      <c r="A9776">
        <v>37</v>
      </c>
      <c r="B9776" t="str">
        <f>"9:04:34.953613"</f>
        <v>9:04:34.953613</v>
      </c>
      <c r="C9776">
        <v>-44</v>
      </c>
    </row>
    <row r="9777" spans="1:3" x14ac:dyDescent="0.25">
      <c r="A9777">
        <v>38</v>
      </c>
      <c r="B9777" t="str">
        <f>"9:04:34.954640"</f>
        <v>9:04:34.954640</v>
      </c>
      <c r="C9777">
        <v>-41</v>
      </c>
    </row>
    <row r="9778" spans="1:3" x14ac:dyDescent="0.25">
      <c r="A9778">
        <v>38</v>
      </c>
      <c r="B9778" t="str">
        <f>"9:04:34.955159"</f>
        <v>9:04:34.955159</v>
      </c>
      <c r="C9778">
        <v>-32</v>
      </c>
    </row>
    <row r="9779" spans="1:3" x14ac:dyDescent="0.25">
      <c r="A9779">
        <v>38</v>
      </c>
      <c r="B9779" t="str">
        <f>"9:04:34.955484"</f>
        <v>9:04:34.955484</v>
      </c>
      <c r="C9779">
        <v>-41</v>
      </c>
    </row>
    <row r="9780" spans="1:3" x14ac:dyDescent="0.25">
      <c r="A9780">
        <v>39</v>
      </c>
      <c r="B9780" t="str">
        <f>"9:04:34.956260"</f>
        <v>9:04:34.956260</v>
      </c>
      <c r="C9780">
        <v>-46</v>
      </c>
    </row>
    <row r="9781" spans="1:3" x14ac:dyDescent="0.25">
      <c r="A9781">
        <v>37</v>
      </c>
      <c r="B9781" t="str">
        <f>"9:04:35.304627"</f>
        <v>9:04:35.304627</v>
      </c>
      <c r="C9781">
        <v>-44</v>
      </c>
    </row>
    <row r="9782" spans="1:3" x14ac:dyDescent="0.25">
      <c r="A9782">
        <v>38</v>
      </c>
      <c r="B9782" t="str">
        <f>"9:04:35.305655"</f>
        <v>9:04:35.305655</v>
      </c>
      <c r="C9782">
        <v>-41</v>
      </c>
    </row>
    <row r="9783" spans="1:3" x14ac:dyDescent="0.25">
      <c r="A9783">
        <v>38</v>
      </c>
      <c r="B9783" t="str">
        <f>"9:04:35.306173"</f>
        <v>9:04:35.306173</v>
      </c>
      <c r="C9783">
        <v>-32</v>
      </c>
    </row>
    <row r="9784" spans="1:3" x14ac:dyDescent="0.25">
      <c r="A9784">
        <v>38</v>
      </c>
      <c r="B9784" t="str">
        <f>"9:04:35.306499"</f>
        <v>9:04:35.306499</v>
      </c>
      <c r="C9784">
        <v>-41</v>
      </c>
    </row>
    <row r="9785" spans="1:3" x14ac:dyDescent="0.25">
      <c r="A9785">
        <v>39</v>
      </c>
      <c r="B9785" t="str">
        <f>"9:04:35.307275"</f>
        <v>9:04:35.307275</v>
      </c>
      <c r="C9785">
        <v>-46</v>
      </c>
    </row>
    <row r="9786" spans="1:3" x14ac:dyDescent="0.25">
      <c r="A9786">
        <v>37</v>
      </c>
      <c r="B9786" t="str">
        <f>"9:04:35.659770"</f>
        <v>9:04:35.659770</v>
      </c>
      <c r="C9786">
        <v>-44</v>
      </c>
    </row>
    <row r="9787" spans="1:3" x14ac:dyDescent="0.25">
      <c r="A9787">
        <v>38</v>
      </c>
      <c r="B9787" t="str">
        <f>"9:04:35.660797"</f>
        <v>9:04:35.660797</v>
      </c>
      <c r="C9787">
        <v>-41</v>
      </c>
    </row>
    <row r="9788" spans="1:3" x14ac:dyDescent="0.25">
      <c r="A9788">
        <v>38</v>
      </c>
      <c r="B9788" t="str">
        <f>"9:04:35.661316"</f>
        <v>9:04:35.661316</v>
      </c>
      <c r="C9788">
        <v>-32</v>
      </c>
    </row>
    <row r="9789" spans="1:3" x14ac:dyDescent="0.25">
      <c r="A9789">
        <v>38</v>
      </c>
      <c r="B9789" t="str">
        <f>"9:04:35.661641"</f>
        <v>9:04:35.661641</v>
      </c>
      <c r="C9789">
        <v>-41</v>
      </c>
    </row>
    <row r="9790" spans="1:3" x14ac:dyDescent="0.25">
      <c r="A9790">
        <v>39</v>
      </c>
      <c r="B9790" t="str">
        <f>"9:04:35.662417"</f>
        <v>9:04:35.662417</v>
      </c>
      <c r="C9790">
        <v>-46</v>
      </c>
    </row>
    <row r="9791" spans="1:3" x14ac:dyDescent="0.25">
      <c r="A9791">
        <v>37</v>
      </c>
      <c r="B9791" t="str">
        <f>"9:04:36.014384"</f>
        <v>9:04:36.014384</v>
      </c>
      <c r="C9791">
        <v>-44</v>
      </c>
    </row>
    <row r="9792" spans="1:3" x14ac:dyDescent="0.25">
      <c r="A9792">
        <v>38</v>
      </c>
      <c r="B9792" t="str">
        <f>"9:04:36.015411"</f>
        <v>9:04:36.015411</v>
      </c>
      <c r="C9792">
        <v>-41</v>
      </c>
    </row>
    <row r="9793" spans="1:3" x14ac:dyDescent="0.25">
      <c r="A9793">
        <v>38</v>
      </c>
      <c r="B9793" t="str">
        <f>"9:04:36.015929"</f>
        <v>9:04:36.015929</v>
      </c>
      <c r="C9793">
        <v>-32</v>
      </c>
    </row>
    <row r="9794" spans="1:3" x14ac:dyDescent="0.25">
      <c r="A9794">
        <v>38</v>
      </c>
      <c r="B9794" t="str">
        <f>"9:04:36.016255"</f>
        <v>9:04:36.016255</v>
      </c>
      <c r="C9794">
        <v>-41</v>
      </c>
    </row>
    <row r="9795" spans="1:3" x14ac:dyDescent="0.25">
      <c r="A9795">
        <v>39</v>
      </c>
      <c r="B9795" t="str">
        <f>"9:04:36.017031"</f>
        <v>9:04:36.017031</v>
      </c>
      <c r="C9795">
        <v>-46</v>
      </c>
    </row>
    <row r="9796" spans="1:3" x14ac:dyDescent="0.25">
      <c r="A9796">
        <v>39</v>
      </c>
      <c r="B9796" t="str">
        <f>"9:04:36.017875"</f>
        <v>9:04:36.017875</v>
      </c>
      <c r="C9796">
        <v>-45</v>
      </c>
    </row>
    <row r="9797" spans="1:3" x14ac:dyDescent="0.25">
      <c r="A9797">
        <v>37</v>
      </c>
      <c r="B9797" t="str">
        <f>"9:04:36.367667"</f>
        <v>9:04:36.367667</v>
      </c>
      <c r="C9797">
        <v>-44</v>
      </c>
    </row>
    <row r="9798" spans="1:3" x14ac:dyDescent="0.25">
      <c r="A9798">
        <v>38</v>
      </c>
      <c r="B9798" t="str">
        <f>"9:04:36.368694"</f>
        <v>9:04:36.368694</v>
      </c>
      <c r="C9798">
        <v>-41</v>
      </c>
    </row>
    <row r="9799" spans="1:3" x14ac:dyDescent="0.25">
      <c r="A9799">
        <v>38</v>
      </c>
      <c r="B9799" t="str">
        <f>"9:04:36.369212"</f>
        <v>9:04:36.369212</v>
      </c>
      <c r="C9799">
        <v>-32</v>
      </c>
    </row>
    <row r="9800" spans="1:3" x14ac:dyDescent="0.25">
      <c r="A9800">
        <v>38</v>
      </c>
      <c r="B9800" t="str">
        <f>"9:04:36.369538"</f>
        <v>9:04:36.369538</v>
      </c>
      <c r="C9800">
        <v>-41</v>
      </c>
    </row>
    <row r="9801" spans="1:3" x14ac:dyDescent="0.25">
      <c r="A9801">
        <v>39</v>
      </c>
      <c r="B9801" t="str">
        <f>"9:04:36.370314"</f>
        <v>9:04:36.370314</v>
      </c>
      <c r="C9801">
        <v>-46</v>
      </c>
    </row>
    <row r="9802" spans="1:3" x14ac:dyDescent="0.25">
      <c r="A9802">
        <v>37</v>
      </c>
      <c r="B9802" t="str">
        <f>"9:04:36.721790"</f>
        <v>9:04:36.721790</v>
      </c>
      <c r="C9802">
        <v>-44</v>
      </c>
    </row>
    <row r="9803" spans="1:3" x14ac:dyDescent="0.25">
      <c r="A9803">
        <v>38</v>
      </c>
      <c r="B9803" t="str">
        <f>"9:04:36.722817"</f>
        <v>9:04:36.722817</v>
      </c>
      <c r="C9803">
        <v>-41</v>
      </c>
    </row>
    <row r="9804" spans="1:3" x14ac:dyDescent="0.25">
      <c r="A9804">
        <v>39</v>
      </c>
      <c r="B9804" t="str">
        <f>"9:04:36.723843"</f>
        <v>9:04:36.723843</v>
      </c>
      <c r="C9804">
        <v>-46</v>
      </c>
    </row>
    <row r="9805" spans="1:3" x14ac:dyDescent="0.25">
      <c r="A9805">
        <v>37</v>
      </c>
      <c r="B9805" t="str">
        <f>"9:04:37.077436"</f>
        <v>9:04:37.077436</v>
      </c>
      <c r="C9805">
        <v>-44</v>
      </c>
    </row>
    <row r="9806" spans="1:3" x14ac:dyDescent="0.25">
      <c r="A9806">
        <v>38</v>
      </c>
      <c r="B9806" t="str">
        <f>"9:04:37.078463"</f>
        <v>9:04:37.078463</v>
      </c>
      <c r="C9806">
        <v>-41</v>
      </c>
    </row>
    <row r="9807" spans="1:3" x14ac:dyDescent="0.25">
      <c r="A9807">
        <v>38</v>
      </c>
      <c r="B9807" t="str">
        <f>"9:04:37.078982"</f>
        <v>9:04:37.078982</v>
      </c>
      <c r="C9807">
        <v>-32</v>
      </c>
    </row>
    <row r="9808" spans="1:3" x14ac:dyDescent="0.25">
      <c r="A9808">
        <v>38</v>
      </c>
      <c r="B9808" t="str">
        <f>"9:04:37.079308"</f>
        <v>9:04:37.079308</v>
      </c>
      <c r="C9808">
        <v>-41</v>
      </c>
    </row>
    <row r="9809" spans="1:3" x14ac:dyDescent="0.25">
      <c r="A9809">
        <v>39</v>
      </c>
      <c r="B9809" t="str">
        <f>"9:04:37.080084"</f>
        <v>9:04:37.080084</v>
      </c>
      <c r="C9809">
        <v>-46</v>
      </c>
    </row>
    <row r="9810" spans="1:3" x14ac:dyDescent="0.25">
      <c r="A9810">
        <v>37</v>
      </c>
      <c r="B9810" t="str">
        <f>"9:04:37.435841"</f>
        <v>9:04:37.435841</v>
      </c>
      <c r="C9810">
        <v>-44</v>
      </c>
    </row>
    <row r="9811" spans="1:3" x14ac:dyDescent="0.25">
      <c r="A9811">
        <v>38</v>
      </c>
      <c r="B9811" t="str">
        <f>"9:04:37.436869"</f>
        <v>9:04:37.436869</v>
      </c>
      <c r="C9811">
        <v>-41</v>
      </c>
    </row>
    <row r="9812" spans="1:3" x14ac:dyDescent="0.25">
      <c r="A9812">
        <v>38</v>
      </c>
      <c r="B9812" t="str">
        <f>"9:04:37.437387"</f>
        <v>9:04:37.437387</v>
      </c>
      <c r="C9812">
        <v>-32</v>
      </c>
    </row>
    <row r="9813" spans="1:3" x14ac:dyDescent="0.25">
      <c r="A9813">
        <v>38</v>
      </c>
      <c r="B9813" t="str">
        <f>"9:04:37.437713"</f>
        <v>9:04:37.437713</v>
      </c>
      <c r="C9813">
        <v>-41</v>
      </c>
    </row>
    <row r="9814" spans="1:3" x14ac:dyDescent="0.25">
      <c r="A9814">
        <v>39</v>
      </c>
      <c r="B9814" t="str">
        <f>"9:04:37.438489"</f>
        <v>9:04:37.438489</v>
      </c>
      <c r="C9814">
        <v>-46</v>
      </c>
    </row>
    <row r="9815" spans="1:3" x14ac:dyDescent="0.25">
      <c r="A9815">
        <v>37</v>
      </c>
      <c r="B9815" t="str">
        <f>"9:04:37.788073"</f>
        <v>9:04:37.788073</v>
      </c>
      <c r="C9815">
        <v>-44</v>
      </c>
    </row>
    <row r="9816" spans="1:3" x14ac:dyDescent="0.25">
      <c r="A9816">
        <v>38</v>
      </c>
      <c r="B9816" t="str">
        <f>"9:04:37.789101"</f>
        <v>9:04:37.789101</v>
      </c>
      <c r="C9816">
        <v>-41</v>
      </c>
    </row>
    <row r="9817" spans="1:3" x14ac:dyDescent="0.25">
      <c r="A9817">
        <v>38</v>
      </c>
      <c r="B9817" t="str">
        <f>"9:04:37.789619"</f>
        <v>9:04:37.789619</v>
      </c>
      <c r="C9817">
        <v>-32</v>
      </c>
    </row>
    <row r="9818" spans="1:3" x14ac:dyDescent="0.25">
      <c r="A9818">
        <v>38</v>
      </c>
      <c r="B9818" t="str">
        <f>"9:04:37.789945"</f>
        <v>9:04:37.789945</v>
      </c>
      <c r="C9818">
        <v>-41</v>
      </c>
    </row>
    <row r="9819" spans="1:3" x14ac:dyDescent="0.25">
      <c r="A9819">
        <v>39</v>
      </c>
      <c r="B9819" t="str">
        <f>"9:04:37.790721"</f>
        <v>9:04:37.790721</v>
      </c>
      <c r="C9819">
        <v>-46</v>
      </c>
    </row>
    <row r="9820" spans="1:3" x14ac:dyDescent="0.25">
      <c r="A9820">
        <v>37</v>
      </c>
      <c r="B9820" t="str">
        <f>"9:04:38.147779"</f>
        <v>9:04:38.147779</v>
      </c>
      <c r="C9820">
        <v>-44</v>
      </c>
    </row>
    <row r="9821" spans="1:3" x14ac:dyDescent="0.25">
      <c r="A9821">
        <v>38</v>
      </c>
      <c r="B9821" t="str">
        <f>"9:04:38.148806"</f>
        <v>9:04:38.148806</v>
      </c>
      <c r="C9821">
        <v>-41</v>
      </c>
    </row>
    <row r="9822" spans="1:3" x14ac:dyDescent="0.25">
      <c r="A9822">
        <v>38</v>
      </c>
      <c r="B9822" t="str">
        <f>"9:04:38.149324"</f>
        <v>9:04:38.149324</v>
      </c>
      <c r="C9822">
        <v>-32</v>
      </c>
    </row>
    <row r="9823" spans="1:3" x14ac:dyDescent="0.25">
      <c r="A9823">
        <v>38</v>
      </c>
      <c r="B9823" t="str">
        <f>"9:04:38.149650"</f>
        <v>9:04:38.149650</v>
      </c>
      <c r="C9823">
        <v>-41</v>
      </c>
    </row>
    <row r="9824" spans="1:3" x14ac:dyDescent="0.25">
      <c r="A9824">
        <v>39</v>
      </c>
      <c r="B9824" t="str">
        <f>"9:04:38.150426"</f>
        <v>9:04:38.150426</v>
      </c>
      <c r="C9824">
        <v>-45</v>
      </c>
    </row>
    <row r="9825" spans="1:3" x14ac:dyDescent="0.25">
      <c r="A9825">
        <v>39</v>
      </c>
      <c r="B9825" t="str">
        <f>"9:04:38.150946"</f>
        <v>9:04:38.150946</v>
      </c>
      <c r="C9825">
        <v>-79</v>
      </c>
    </row>
    <row r="9826" spans="1:3" x14ac:dyDescent="0.25">
      <c r="A9826">
        <v>39</v>
      </c>
      <c r="B9826" t="str">
        <f>"9:04:38.151272"</f>
        <v>9:04:38.151272</v>
      </c>
      <c r="C9826">
        <v>-45</v>
      </c>
    </row>
    <row r="9827" spans="1:3" x14ac:dyDescent="0.25">
      <c r="A9827">
        <v>37</v>
      </c>
      <c r="B9827" t="str">
        <f>"9:04:38.500346"</f>
        <v>9:04:38.500346</v>
      </c>
      <c r="C9827">
        <v>-44</v>
      </c>
    </row>
    <row r="9828" spans="1:3" x14ac:dyDescent="0.25">
      <c r="A9828">
        <v>38</v>
      </c>
      <c r="B9828" t="str">
        <f>"9:04:38.501373"</f>
        <v>9:04:38.501373</v>
      </c>
      <c r="C9828">
        <v>-41</v>
      </c>
    </row>
    <row r="9829" spans="1:3" x14ac:dyDescent="0.25">
      <c r="A9829">
        <v>38</v>
      </c>
      <c r="B9829" t="str">
        <f>"9:04:38.501891"</f>
        <v>9:04:38.501891</v>
      </c>
      <c r="C9829">
        <v>-32</v>
      </c>
    </row>
    <row r="9830" spans="1:3" x14ac:dyDescent="0.25">
      <c r="A9830">
        <v>38</v>
      </c>
      <c r="B9830" t="str">
        <f>"9:04:38.502217"</f>
        <v>9:04:38.502217</v>
      </c>
      <c r="C9830">
        <v>-41</v>
      </c>
    </row>
    <row r="9831" spans="1:3" x14ac:dyDescent="0.25">
      <c r="A9831">
        <v>39</v>
      </c>
      <c r="B9831" t="str">
        <f>"9:04:38.502993"</f>
        <v>9:04:38.502993</v>
      </c>
      <c r="C9831">
        <v>-45</v>
      </c>
    </row>
    <row r="9832" spans="1:3" x14ac:dyDescent="0.25">
      <c r="A9832">
        <v>37</v>
      </c>
      <c r="B9832" t="str">
        <f>"9:04:38.852120"</f>
        <v>9:04:38.852120</v>
      </c>
      <c r="C9832">
        <v>-44</v>
      </c>
    </row>
    <row r="9833" spans="1:3" x14ac:dyDescent="0.25">
      <c r="A9833">
        <v>38</v>
      </c>
      <c r="B9833" t="str">
        <f>"9:04:38.853147"</f>
        <v>9:04:38.853147</v>
      </c>
      <c r="C9833">
        <v>-41</v>
      </c>
    </row>
    <row r="9834" spans="1:3" x14ac:dyDescent="0.25">
      <c r="A9834">
        <v>38</v>
      </c>
      <c r="B9834" t="str">
        <f>"9:04:38.853666"</f>
        <v>9:04:38.853666</v>
      </c>
      <c r="C9834">
        <v>-32</v>
      </c>
    </row>
    <row r="9835" spans="1:3" x14ac:dyDescent="0.25">
      <c r="A9835">
        <v>38</v>
      </c>
      <c r="B9835" t="str">
        <f>"9:04:38.853992"</f>
        <v>9:04:38.853992</v>
      </c>
      <c r="C9835">
        <v>-41</v>
      </c>
    </row>
    <row r="9836" spans="1:3" x14ac:dyDescent="0.25">
      <c r="A9836">
        <v>39</v>
      </c>
      <c r="B9836" t="str">
        <f>"9:04:38.854768"</f>
        <v>9:04:38.854768</v>
      </c>
      <c r="C9836">
        <v>-45</v>
      </c>
    </row>
    <row r="9837" spans="1:3" x14ac:dyDescent="0.25">
      <c r="A9837">
        <v>37</v>
      </c>
      <c r="B9837" t="str">
        <f>"9:04:39.209317"</f>
        <v>9:04:39.209317</v>
      </c>
      <c r="C9837">
        <v>-44</v>
      </c>
    </row>
    <row r="9838" spans="1:3" x14ac:dyDescent="0.25">
      <c r="A9838">
        <v>38</v>
      </c>
      <c r="B9838" t="str">
        <f>"9:04:39.210344"</f>
        <v>9:04:39.210344</v>
      </c>
      <c r="C9838">
        <v>-41</v>
      </c>
    </row>
    <row r="9839" spans="1:3" x14ac:dyDescent="0.25">
      <c r="A9839">
        <v>38</v>
      </c>
      <c r="B9839" t="str">
        <f>"9:04:39.210863"</f>
        <v>9:04:39.210863</v>
      </c>
      <c r="C9839">
        <v>-32</v>
      </c>
    </row>
    <row r="9840" spans="1:3" x14ac:dyDescent="0.25">
      <c r="A9840">
        <v>38</v>
      </c>
      <c r="B9840" t="str">
        <f>"9:04:39.211188"</f>
        <v>9:04:39.211188</v>
      </c>
      <c r="C9840">
        <v>-41</v>
      </c>
    </row>
    <row r="9841" spans="1:3" x14ac:dyDescent="0.25">
      <c r="A9841">
        <v>39</v>
      </c>
      <c r="B9841" t="str">
        <f>"9:04:39.211964"</f>
        <v>9:04:39.211964</v>
      </c>
      <c r="C9841">
        <v>-45</v>
      </c>
    </row>
    <row r="9842" spans="1:3" x14ac:dyDescent="0.25">
      <c r="A9842">
        <v>37</v>
      </c>
      <c r="B9842" t="str">
        <f>"9:04:39.563146"</f>
        <v>9:04:39.563146</v>
      </c>
      <c r="C9842">
        <v>-44</v>
      </c>
    </row>
    <row r="9843" spans="1:3" x14ac:dyDescent="0.25">
      <c r="A9843">
        <v>38</v>
      </c>
      <c r="B9843" t="str">
        <f>"9:04:39.564173"</f>
        <v>9:04:39.564173</v>
      </c>
      <c r="C9843">
        <v>-41</v>
      </c>
    </row>
    <row r="9844" spans="1:3" x14ac:dyDescent="0.25">
      <c r="A9844">
        <v>39</v>
      </c>
      <c r="B9844" t="str">
        <f>"9:04:39.565199"</f>
        <v>9:04:39.565199</v>
      </c>
      <c r="C9844">
        <v>-45</v>
      </c>
    </row>
    <row r="9845" spans="1:3" x14ac:dyDescent="0.25">
      <c r="A9845">
        <v>39</v>
      </c>
      <c r="B9845" t="str">
        <f>"9:04:39.565718"</f>
        <v>9:04:39.565718</v>
      </c>
      <c r="C9845">
        <v>-31</v>
      </c>
    </row>
    <row r="9846" spans="1:3" x14ac:dyDescent="0.25">
      <c r="A9846">
        <v>39</v>
      </c>
      <c r="B9846" t="str">
        <f>"9:04:39.566044"</f>
        <v>9:04:39.566044</v>
      </c>
      <c r="C9846">
        <v>-44</v>
      </c>
    </row>
    <row r="9847" spans="1:3" x14ac:dyDescent="0.25">
      <c r="A9847">
        <v>37</v>
      </c>
      <c r="B9847" t="str">
        <f>"9:04:39.918530"</f>
        <v>9:04:39.918530</v>
      </c>
      <c r="C9847">
        <v>-44</v>
      </c>
    </row>
    <row r="9848" spans="1:3" x14ac:dyDescent="0.25">
      <c r="A9848">
        <v>38</v>
      </c>
      <c r="B9848" t="str">
        <f>"9:04:39.919558"</f>
        <v>9:04:39.919558</v>
      </c>
      <c r="C9848">
        <v>-41</v>
      </c>
    </row>
    <row r="9849" spans="1:3" x14ac:dyDescent="0.25">
      <c r="A9849">
        <v>38</v>
      </c>
      <c r="B9849" t="str">
        <f>"9:04:39.920078"</f>
        <v>9:04:39.920078</v>
      </c>
      <c r="C9849">
        <v>-87</v>
      </c>
    </row>
    <row r="9850" spans="1:3" x14ac:dyDescent="0.25">
      <c r="A9850">
        <v>39</v>
      </c>
      <c r="B9850" t="str">
        <f>"9:04:39.920584"</f>
        <v>9:04:39.920584</v>
      </c>
      <c r="C9850">
        <v>-45</v>
      </c>
    </row>
    <row r="9851" spans="1:3" x14ac:dyDescent="0.25">
      <c r="A9851">
        <v>39</v>
      </c>
      <c r="B9851" t="str">
        <f>"9:04:39.921102"</f>
        <v>9:04:39.921102</v>
      </c>
      <c r="C9851">
        <v>-31</v>
      </c>
    </row>
    <row r="9852" spans="1:3" x14ac:dyDescent="0.25">
      <c r="A9852">
        <v>39</v>
      </c>
      <c r="B9852" t="str">
        <f>"9:04:39.921428"</f>
        <v>9:04:39.921428</v>
      </c>
      <c r="C9852">
        <v>-45</v>
      </c>
    </row>
    <row r="9853" spans="1:3" x14ac:dyDescent="0.25">
      <c r="A9853">
        <v>37</v>
      </c>
      <c r="B9853" t="str">
        <f>"9:04:40.275895"</f>
        <v>9:04:40.275895</v>
      </c>
      <c r="C9853">
        <v>-44</v>
      </c>
    </row>
    <row r="9854" spans="1:3" x14ac:dyDescent="0.25">
      <c r="A9854">
        <v>38</v>
      </c>
      <c r="B9854" t="str">
        <f>"9:04:40.276922"</f>
        <v>9:04:40.276922</v>
      </c>
      <c r="C9854">
        <v>-41</v>
      </c>
    </row>
    <row r="9855" spans="1:3" x14ac:dyDescent="0.25">
      <c r="A9855">
        <v>39</v>
      </c>
      <c r="B9855" t="str">
        <f>"9:04:40.277949"</f>
        <v>9:04:40.277949</v>
      </c>
      <c r="C9855">
        <v>-45</v>
      </c>
    </row>
    <row r="9856" spans="1:3" x14ac:dyDescent="0.25">
      <c r="A9856">
        <v>39</v>
      </c>
      <c r="B9856" t="str">
        <f>"9:04:40.278467"</f>
        <v>9:04:40.278467</v>
      </c>
      <c r="C9856">
        <v>-31</v>
      </c>
    </row>
    <row r="9857" spans="1:3" x14ac:dyDescent="0.25">
      <c r="A9857">
        <v>39</v>
      </c>
      <c r="B9857" t="str">
        <f>"9:04:40.278793"</f>
        <v>9:04:40.278793</v>
      </c>
      <c r="C9857">
        <v>-45</v>
      </c>
    </row>
    <row r="9858" spans="1:3" x14ac:dyDescent="0.25">
      <c r="A9858">
        <v>37</v>
      </c>
      <c r="B9858" t="str">
        <f>"9:04:40.628660"</f>
        <v>9:04:40.628660</v>
      </c>
      <c r="C9858">
        <v>-44</v>
      </c>
    </row>
    <row r="9859" spans="1:3" x14ac:dyDescent="0.25">
      <c r="A9859">
        <v>38</v>
      </c>
      <c r="B9859" t="str">
        <f>"9:04:40.629687"</f>
        <v>9:04:40.629687</v>
      </c>
      <c r="C9859">
        <v>-41</v>
      </c>
    </row>
    <row r="9860" spans="1:3" x14ac:dyDescent="0.25">
      <c r="A9860">
        <v>39</v>
      </c>
      <c r="B9860" t="str">
        <f>"9:04:40.630713"</f>
        <v>9:04:40.630713</v>
      </c>
      <c r="C9860">
        <v>-45</v>
      </c>
    </row>
    <row r="9861" spans="1:3" x14ac:dyDescent="0.25">
      <c r="A9861">
        <v>37</v>
      </c>
      <c r="B9861" t="str">
        <f>"9:04:40.983277"</f>
        <v>9:04:40.983277</v>
      </c>
      <c r="C9861">
        <v>-44</v>
      </c>
    </row>
    <row r="9862" spans="1:3" x14ac:dyDescent="0.25">
      <c r="A9862">
        <v>38</v>
      </c>
      <c r="B9862" t="str">
        <f>"9:04:40.984304"</f>
        <v>9:04:40.984304</v>
      </c>
      <c r="C9862">
        <v>-41</v>
      </c>
    </row>
    <row r="9863" spans="1:3" x14ac:dyDescent="0.25">
      <c r="A9863">
        <v>39</v>
      </c>
      <c r="B9863" t="str">
        <f>"9:04:40.985330"</f>
        <v>9:04:40.985330</v>
      </c>
      <c r="C9863">
        <v>-45</v>
      </c>
    </row>
    <row r="9864" spans="1:3" x14ac:dyDescent="0.25">
      <c r="A9864">
        <v>39</v>
      </c>
      <c r="B9864" t="str">
        <f>"9:04:40.985849"</f>
        <v>9:04:40.985849</v>
      </c>
      <c r="C9864">
        <v>-31</v>
      </c>
    </row>
    <row r="9865" spans="1:3" x14ac:dyDescent="0.25">
      <c r="A9865">
        <v>39</v>
      </c>
      <c r="B9865" t="str">
        <f>"9:04:40.986175"</f>
        <v>9:04:40.986175</v>
      </c>
      <c r="C9865">
        <v>-45</v>
      </c>
    </row>
    <row r="9866" spans="1:3" x14ac:dyDescent="0.25">
      <c r="A9866">
        <v>37</v>
      </c>
      <c r="B9866" t="str">
        <f>"9:04:41.336537"</f>
        <v>9:04:41.336537</v>
      </c>
      <c r="C9866">
        <v>-44</v>
      </c>
    </row>
    <row r="9867" spans="1:3" x14ac:dyDescent="0.25">
      <c r="A9867">
        <v>38</v>
      </c>
      <c r="B9867" t="str">
        <f>"9:04:41.337564"</f>
        <v>9:04:41.337564</v>
      </c>
      <c r="C9867">
        <v>-41</v>
      </c>
    </row>
    <row r="9868" spans="1:3" x14ac:dyDescent="0.25">
      <c r="A9868">
        <v>39</v>
      </c>
      <c r="B9868" t="str">
        <f>"9:04:41.338590"</f>
        <v>9:04:41.338590</v>
      </c>
      <c r="C9868">
        <v>-45</v>
      </c>
    </row>
    <row r="9869" spans="1:3" x14ac:dyDescent="0.25">
      <c r="A9869">
        <v>39</v>
      </c>
      <c r="B9869" t="str">
        <f>"9:04:41.339108"</f>
        <v>9:04:41.339108</v>
      </c>
      <c r="C9869">
        <v>-31</v>
      </c>
    </row>
    <row r="9870" spans="1:3" x14ac:dyDescent="0.25">
      <c r="A9870">
        <v>39</v>
      </c>
      <c r="B9870" t="str">
        <f>"9:04:41.339434"</f>
        <v>9:04:41.339434</v>
      </c>
      <c r="C9870">
        <v>-45</v>
      </c>
    </row>
    <row r="9871" spans="1:3" x14ac:dyDescent="0.25">
      <c r="A9871">
        <v>37</v>
      </c>
      <c r="B9871" t="str">
        <f>"9:04:41.694721"</f>
        <v>9:04:41.694721</v>
      </c>
      <c r="C9871">
        <v>-44</v>
      </c>
    </row>
    <row r="9872" spans="1:3" x14ac:dyDescent="0.25">
      <c r="A9872">
        <v>38</v>
      </c>
      <c r="B9872" t="str">
        <f>"9:04:41.695749"</f>
        <v>9:04:41.695749</v>
      </c>
      <c r="C9872">
        <v>-41</v>
      </c>
    </row>
    <row r="9873" spans="1:3" x14ac:dyDescent="0.25">
      <c r="A9873">
        <v>39</v>
      </c>
      <c r="B9873" t="str">
        <f>"9:04:41.696775"</f>
        <v>9:04:41.696775</v>
      </c>
      <c r="C9873">
        <v>-45</v>
      </c>
    </row>
    <row r="9874" spans="1:3" x14ac:dyDescent="0.25">
      <c r="A9874">
        <v>39</v>
      </c>
      <c r="B9874" t="str">
        <f>"9:04:41.697293"</f>
        <v>9:04:41.697293</v>
      </c>
      <c r="C9874">
        <v>-31</v>
      </c>
    </row>
    <row r="9875" spans="1:3" x14ac:dyDescent="0.25">
      <c r="A9875">
        <v>39</v>
      </c>
      <c r="B9875" t="str">
        <f>"9:04:41.697619"</f>
        <v>9:04:41.697619</v>
      </c>
      <c r="C9875">
        <v>-45</v>
      </c>
    </row>
    <row r="9876" spans="1:3" x14ac:dyDescent="0.25">
      <c r="A9876">
        <v>37</v>
      </c>
      <c r="B9876" t="str">
        <f>"9:04:42.051912"</f>
        <v>9:04:42.051912</v>
      </c>
      <c r="C9876">
        <v>-44</v>
      </c>
    </row>
    <row r="9877" spans="1:3" x14ac:dyDescent="0.25">
      <c r="A9877">
        <v>38</v>
      </c>
      <c r="B9877" t="str">
        <f>"9:04:42.052940"</f>
        <v>9:04:42.052940</v>
      </c>
      <c r="C9877">
        <v>-41</v>
      </c>
    </row>
    <row r="9878" spans="1:3" x14ac:dyDescent="0.25">
      <c r="A9878">
        <v>39</v>
      </c>
      <c r="B9878" t="str">
        <f>"9:04:42.053966"</f>
        <v>9:04:42.053966</v>
      </c>
      <c r="C9878">
        <v>-46</v>
      </c>
    </row>
    <row r="9879" spans="1:3" x14ac:dyDescent="0.25">
      <c r="A9879">
        <v>37</v>
      </c>
      <c r="B9879" t="str">
        <f>"9:04:42.406260"</f>
        <v>9:04:42.406260</v>
      </c>
      <c r="C9879">
        <v>-44</v>
      </c>
    </row>
    <row r="9880" spans="1:3" x14ac:dyDescent="0.25">
      <c r="A9880">
        <v>38</v>
      </c>
      <c r="B9880" t="str">
        <f>"9:04:42.407287"</f>
        <v>9:04:42.407287</v>
      </c>
      <c r="C9880">
        <v>-41</v>
      </c>
    </row>
    <row r="9881" spans="1:3" x14ac:dyDescent="0.25">
      <c r="A9881">
        <v>39</v>
      </c>
      <c r="B9881" t="str">
        <f>"9:04:42.408313"</f>
        <v>9:04:42.408313</v>
      </c>
      <c r="C9881">
        <v>-45</v>
      </c>
    </row>
    <row r="9882" spans="1:3" x14ac:dyDescent="0.25">
      <c r="A9882">
        <v>39</v>
      </c>
      <c r="B9882" t="str">
        <f>"9:04:42.408831"</f>
        <v>9:04:42.408831</v>
      </c>
      <c r="C9882">
        <v>-31</v>
      </c>
    </row>
    <row r="9883" spans="1:3" x14ac:dyDescent="0.25">
      <c r="A9883">
        <v>39</v>
      </c>
      <c r="B9883" t="str">
        <f>"9:04:42.409157"</f>
        <v>9:04:42.409157</v>
      </c>
      <c r="C9883">
        <v>-45</v>
      </c>
    </row>
    <row r="9884" spans="1:3" x14ac:dyDescent="0.25">
      <c r="A9884">
        <v>37</v>
      </c>
      <c r="B9884" t="str">
        <f>"9:04:42.764925"</f>
        <v>9:04:42.764925</v>
      </c>
      <c r="C9884">
        <v>-44</v>
      </c>
    </row>
    <row r="9885" spans="1:3" x14ac:dyDescent="0.25">
      <c r="A9885">
        <v>38</v>
      </c>
      <c r="B9885" t="str">
        <f>"9:04:42.765953"</f>
        <v>9:04:42.765953</v>
      </c>
      <c r="C9885">
        <v>-41</v>
      </c>
    </row>
    <row r="9886" spans="1:3" x14ac:dyDescent="0.25">
      <c r="A9886">
        <v>39</v>
      </c>
      <c r="B9886" t="str">
        <f>"9:04:42.766979"</f>
        <v>9:04:42.766979</v>
      </c>
      <c r="C9886">
        <v>-46</v>
      </c>
    </row>
    <row r="9887" spans="1:3" x14ac:dyDescent="0.25">
      <c r="A9887">
        <v>39</v>
      </c>
      <c r="B9887" t="str">
        <f>"9:04:42.767497"</f>
        <v>9:04:42.767497</v>
      </c>
      <c r="C9887">
        <v>-31</v>
      </c>
    </row>
    <row r="9888" spans="1:3" x14ac:dyDescent="0.25">
      <c r="A9888">
        <v>39</v>
      </c>
      <c r="B9888" t="str">
        <f>"9:04:42.767823"</f>
        <v>9:04:42.767823</v>
      </c>
      <c r="C9888">
        <v>-45</v>
      </c>
    </row>
    <row r="9889" spans="1:3" x14ac:dyDescent="0.25">
      <c r="A9889">
        <v>37</v>
      </c>
      <c r="B9889" t="str">
        <f>"9:04:43.115932"</f>
        <v>9:04:43.115932</v>
      </c>
      <c r="C9889">
        <v>-44</v>
      </c>
    </row>
    <row r="9890" spans="1:3" x14ac:dyDescent="0.25">
      <c r="A9890">
        <v>38</v>
      </c>
      <c r="B9890" t="str">
        <f>"9:04:43.116960"</f>
        <v>9:04:43.116960</v>
      </c>
      <c r="C9890">
        <v>-41</v>
      </c>
    </row>
    <row r="9891" spans="1:3" x14ac:dyDescent="0.25">
      <c r="A9891">
        <v>39</v>
      </c>
      <c r="B9891" t="str">
        <f>"9:04:43.117986"</f>
        <v>9:04:43.117986</v>
      </c>
      <c r="C9891">
        <v>-45</v>
      </c>
    </row>
    <row r="9892" spans="1:3" x14ac:dyDescent="0.25">
      <c r="A9892">
        <v>39</v>
      </c>
      <c r="B9892" t="str">
        <f>"9:04:43.118504"</f>
        <v>9:04:43.118504</v>
      </c>
      <c r="C9892">
        <v>-31</v>
      </c>
    </row>
    <row r="9893" spans="1:3" x14ac:dyDescent="0.25">
      <c r="A9893">
        <v>39</v>
      </c>
      <c r="B9893" t="str">
        <f>"9:04:43.118830"</f>
        <v>9:04:43.118830</v>
      </c>
      <c r="C9893">
        <v>-45</v>
      </c>
    </row>
    <row r="9894" spans="1:3" x14ac:dyDescent="0.25">
      <c r="A9894">
        <v>37</v>
      </c>
      <c r="B9894" t="str">
        <f>"9:04:43.474653"</f>
        <v>9:04:43.474653</v>
      </c>
      <c r="C9894">
        <v>-44</v>
      </c>
    </row>
    <row r="9895" spans="1:3" x14ac:dyDescent="0.25">
      <c r="A9895">
        <v>38</v>
      </c>
      <c r="B9895" t="str">
        <f>"9:04:43.475681"</f>
        <v>9:04:43.475681</v>
      </c>
      <c r="C9895">
        <v>-41</v>
      </c>
    </row>
    <row r="9896" spans="1:3" x14ac:dyDescent="0.25">
      <c r="A9896">
        <v>39</v>
      </c>
      <c r="B9896" t="str">
        <f>"9:04:43.476707"</f>
        <v>9:04:43.476707</v>
      </c>
      <c r="C9896">
        <v>-45</v>
      </c>
    </row>
    <row r="9897" spans="1:3" x14ac:dyDescent="0.25">
      <c r="A9897">
        <v>39</v>
      </c>
      <c r="B9897" t="str">
        <f>"9:04:43.477225"</f>
        <v>9:04:43.477225</v>
      </c>
      <c r="C9897">
        <v>-31</v>
      </c>
    </row>
    <row r="9898" spans="1:3" x14ac:dyDescent="0.25">
      <c r="A9898">
        <v>39</v>
      </c>
      <c r="B9898" t="str">
        <f>"9:04:43.477551"</f>
        <v>9:04:43.477551</v>
      </c>
      <c r="C9898">
        <v>-45</v>
      </c>
    </row>
    <row r="9899" spans="1:3" x14ac:dyDescent="0.25">
      <c r="A9899">
        <v>37</v>
      </c>
      <c r="B9899" t="str">
        <f>"9:04:43.828755"</f>
        <v>9:04:43.828755</v>
      </c>
      <c r="C9899">
        <v>-44</v>
      </c>
    </row>
    <row r="9900" spans="1:3" x14ac:dyDescent="0.25">
      <c r="A9900">
        <v>38</v>
      </c>
      <c r="B9900" t="str">
        <f>"9:04:43.829782"</f>
        <v>9:04:43.829782</v>
      </c>
      <c r="C9900">
        <v>-41</v>
      </c>
    </row>
    <row r="9901" spans="1:3" x14ac:dyDescent="0.25">
      <c r="A9901">
        <v>39</v>
      </c>
      <c r="B9901" t="str">
        <f>"9:04:43.830808"</f>
        <v>9:04:43.830808</v>
      </c>
      <c r="C9901">
        <v>-46</v>
      </c>
    </row>
    <row r="9902" spans="1:3" x14ac:dyDescent="0.25">
      <c r="A9902">
        <v>37</v>
      </c>
      <c r="B9902" t="str">
        <f>"9:04:44.180251"</f>
        <v>9:04:44.180251</v>
      </c>
      <c r="C9902">
        <v>-44</v>
      </c>
    </row>
    <row r="9903" spans="1:3" x14ac:dyDescent="0.25">
      <c r="A9903">
        <v>37</v>
      </c>
      <c r="B9903" t="str">
        <f>"9:04:44.181097"</f>
        <v>9:04:44.181097</v>
      </c>
      <c r="C9903">
        <v>-44</v>
      </c>
    </row>
    <row r="9904" spans="1:3" x14ac:dyDescent="0.25">
      <c r="A9904">
        <v>38</v>
      </c>
      <c r="B9904" t="str">
        <f>"9:04:44.181873"</f>
        <v>9:04:44.181873</v>
      </c>
      <c r="C9904">
        <v>-41</v>
      </c>
    </row>
    <row r="9905" spans="1:3" x14ac:dyDescent="0.25">
      <c r="A9905">
        <v>39</v>
      </c>
      <c r="B9905" t="str">
        <f>"9:04:44.182899"</f>
        <v>9:04:44.182899</v>
      </c>
      <c r="C9905">
        <v>-46</v>
      </c>
    </row>
    <row r="9906" spans="1:3" x14ac:dyDescent="0.25">
      <c r="A9906">
        <v>39</v>
      </c>
      <c r="B9906" t="str">
        <f>"9:04:44.183417"</f>
        <v>9:04:44.183417</v>
      </c>
      <c r="C9906">
        <v>-31</v>
      </c>
    </row>
    <row r="9907" spans="1:3" x14ac:dyDescent="0.25">
      <c r="A9907">
        <v>39</v>
      </c>
      <c r="B9907" t="str">
        <f>"9:04:44.183743"</f>
        <v>9:04:44.183743</v>
      </c>
      <c r="C9907">
        <v>-45</v>
      </c>
    </row>
    <row r="9908" spans="1:3" x14ac:dyDescent="0.25">
      <c r="A9908">
        <v>37</v>
      </c>
      <c r="B9908" t="str">
        <f>"9:04:44.536882"</f>
        <v>9:04:44.536882</v>
      </c>
      <c r="C9908">
        <v>-44</v>
      </c>
    </row>
    <row r="9909" spans="1:3" x14ac:dyDescent="0.25">
      <c r="A9909">
        <v>37</v>
      </c>
      <c r="B9909" t="str">
        <f>"9:04:44.537401"</f>
        <v>9:04:44.537401</v>
      </c>
      <c r="C9909">
        <v>-39</v>
      </c>
    </row>
    <row r="9910" spans="1:3" x14ac:dyDescent="0.25">
      <c r="A9910">
        <v>37</v>
      </c>
      <c r="B9910" t="str">
        <f>"9:04:44.537726"</f>
        <v>9:04:44.537726</v>
      </c>
      <c r="C9910">
        <v>-44</v>
      </c>
    </row>
    <row r="9911" spans="1:3" x14ac:dyDescent="0.25">
      <c r="A9911">
        <v>38</v>
      </c>
      <c r="B9911" t="str">
        <f>"9:04:44.538503"</f>
        <v>9:04:44.538503</v>
      </c>
      <c r="C9911">
        <v>-41</v>
      </c>
    </row>
    <row r="9912" spans="1:3" x14ac:dyDescent="0.25">
      <c r="A9912">
        <v>39</v>
      </c>
      <c r="B9912" t="str">
        <f>"9:04:44.539529"</f>
        <v>9:04:44.539529</v>
      </c>
      <c r="C9912">
        <v>-46</v>
      </c>
    </row>
    <row r="9913" spans="1:3" x14ac:dyDescent="0.25">
      <c r="A9913">
        <v>37</v>
      </c>
      <c r="B9913" t="str">
        <f>"9:04:44.888103"</f>
        <v>9:04:44.888103</v>
      </c>
      <c r="C9913">
        <v>-44</v>
      </c>
    </row>
    <row r="9914" spans="1:3" x14ac:dyDescent="0.25">
      <c r="A9914">
        <v>38</v>
      </c>
      <c r="B9914" t="str">
        <f>"9:04:44.889131"</f>
        <v>9:04:44.889131</v>
      </c>
      <c r="C9914">
        <v>-41</v>
      </c>
    </row>
    <row r="9915" spans="1:3" x14ac:dyDescent="0.25">
      <c r="A9915">
        <v>39</v>
      </c>
      <c r="B9915" t="str">
        <f>"9:04:44.890157"</f>
        <v>9:04:44.890157</v>
      </c>
      <c r="C9915">
        <v>-46</v>
      </c>
    </row>
    <row r="9916" spans="1:3" x14ac:dyDescent="0.25">
      <c r="A9916">
        <v>37</v>
      </c>
      <c r="B9916" t="str">
        <f>"9:04:45.239571"</f>
        <v>9:04:45.239571</v>
      </c>
      <c r="C9916">
        <v>-44</v>
      </c>
    </row>
    <row r="9917" spans="1:3" x14ac:dyDescent="0.25">
      <c r="A9917">
        <v>37</v>
      </c>
      <c r="B9917" t="str">
        <f>"9:04:45.240090"</f>
        <v>9:04:45.240090</v>
      </c>
      <c r="C9917">
        <v>-38</v>
      </c>
    </row>
    <row r="9918" spans="1:3" x14ac:dyDescent="0.25">
      <c r="A9918">
        <v>37</v>
      </c>
      <c r="B9918" t="str">
        <f>"9:04:45.240416"</f>
        <v>9:04:45.240416</v>
      </c>
      <c r="C9918">
        <v>-44</v>
      </c>
    </row>
    <row r="9919" spans="1:3" x14ac:dyDescent="0.25">
      <c r="A9919">
        <v>38</v>
      </c>
      <c r="B9919" t="str">
        <f>"9:04:45.241193"</f>
        <v>9:04:45.241193</v>
      </c>
      <c r="C9919">
        <v>-41</v>
      </c>
    </row>
    <row r="9920" spans="1:3" x14ac:dyDescent="0.25">
      <c r="A9920">
        <v>39</v>
      </c>
      <c r="B9920" t="str">
        <f>"9:04:45.242219"</f>
        <v>9:04:45.242219</v>
      </c>
      <c r="C9920">
        <v>-45</v>
      </c>
    </row>
    <row r="9921" spans="1:3" x14ac:dyDescent="0.25">
      <c r="A9921">
        <v>37</v>
      </c>
      <c r="B9921" t="str">
        <f>"9:04:45.595929"</f>
        <v>9:04:45.595929</v>
      </c>
      <c r="C9921">
        <v>-44</v>
      </c>
    </row>
    <row r="9922" spans="1:3" x14ac:dyDescent="0.25">
      <c r="A9922">
        <v>37</v>
      </c>
      <c r="B9922" t="str">
        <f>"9:04:45.596447"</f>
        <v>9:04:45.596447</v>
      </c>
      <c r="C9922">
        <v>-38</v>
      </c>
    </row>
    <row r="9923" spans="1:3" x14ac:dyDescent="0.25">
      <c r="A9923">
        <v>37</v>
      </c>
      <c r="B9923" t="str">
        <f>"9:04:45.596773"</f>
        <v>9:04:45.596773</v>
      </c>
      <c r="C9923">
        <v>-44</v>
      </c>
    </row>
    <row r="9924" spans="1:3" x14ac:dyDescent="0.25">
      <c r="A9924">
        <v>38</v>
      </c>
      <c r="B9924" t="str">
        <f>"9:04:45.597549"</f>
        <v>9:04:45.597549</v>
      </c>
      <c r="C9924">
        <v>-41</v>
      </c>
    </row>
    <row r="9925" spans="1:3" x14ac:dyDescent="0.25">
      <c r="A9925">
        <v>39</v>
      </c>
      <c r="B9925" t="str">
        <f>"9:04:45.598575"</f>
        <v>9:04:45.598575</v>
      </c>
      <c r="C9925">
        <v>-45</v>
      </c>
    </row>
    <row r="9926" spans="1:3" x14ac:dyDescent="0.25">
      <c r="A9926">
        <v>37</v>
      </c>
      <c r="B9926" t="str">
        <f>"9:04:45.951762"</f>
        <v>9:04:45.951762</v>
      </c>
      <c r="C9926">
        <v>-44</v>
      </c>
    </row>
    <row r="9927" spans="1:3" x14ac:dyDescent="0.25">
      <c r="A9927">
        <v>37</v>
      </c>
      <c r="B9927" t="str">
        <f>"9:04:45.952280"</f>
        <v>9:04:45.952280</v>
      </c>
      <c r="C9927">
        <v>-38</v>
      </c>
    </row>
    <row r="9928" spans="1:3" x14ac:dyDescent="0.25">
      <c r="A9928">
        <v>37</v>
      </c>
      <c r="B9928" t="str">
        <f>"9:04:45.952607"</f>
        <v>9:04:45.952607</v>
      </c>
      <c r="C9928">
        <v>-44</v>
      </c>
    </row>
    <row r="9929" spans="1:3" x14ac:dyDescent="0.25">
      <c r="A9929">
        <v>38</v>
      </c>
      <c r="B9929" t="str">
        <f>"9:04:45.953383"</f>
        <v>9:04:45.953383</v>
      </c>
      <c r="C9929">
        <v>-41</v>
      </c>
    </row>
    <row r="9930" spans="1:3" x14ac:dyDescent="0.25">
      <c r="A9930">
        <v>39</v>
      </c>
      <c r="B9930" t="str">
        <f>"9:04:45.954409"</f>
        <v>9:04:45.954409</v>
      </c>
      <c r="C9930">
        <v>-46</v>
      </c>
    </row>
    <row r="9931" spans="1:3" x14ac:dyDescent="0.25">
      <c r="A9931">
        <v>37</v>
      </c>
      <c r="B9931" t="str">
        <f>"9:04:46.303822"</f>
        <v>9:04:46.303822</v>
      </c>
      <c r="C9931">
        <v>-44</v>
      </c>
    </row>
    <row r="9932" spans="1:3" x14ac:dyDescent="0.25">
      <c r="A9932">
        <v>37</v>
      </c>
      <c r="B9932" t="str">
        <f>"9:04:46.304340"</f>
        <v>9:04:46.304340</v>
      </c>
      <c r="C9932">
        <v>-38</v>
      </c>
    </row>
    <row r="9933" spans="1:3" x14ac:dyDescent="0.25">
      <c r="A9933">
        <v>37</v>
      </c>
      <c r="B9933" t="str">
        <f>"9:04:46.304666"</f>
        <v>9:04:46.304666</v>
      </c>
      <c r="C9933">
        <v>-44</v>
      </c>
    </row>
    <row r="9934" spans="1:3" x14ac:dyDescent="0.25">
      <c r="A9934">
        <v>38</v>
      </c>
      <c r="B9934" t="str">
        <f>"9:04:46.305442"</f>
        <v>9:04:46.305442</v>
      </c>
      <c r="C9934">
        <v>-41</v>
      </c>
    </row>
    <row r="9935" spans="1:3" x14ac:dyDescent="0.25">
      <c r="A9935">
        <v>39</v>
      </c>
      <c r="B9935" t="str">
        <f>"9:04:46.306468"</f>
        <v>9:04:46.306468</v>
      </c>
      <c r="C9935">
        <v>-45</v>
      </c>
    </row>
    <row r="9936" spans="1:3" x14ac:dyDescent="0.25">
      <c r="A9936">
        <v>37</v>
      </c>
      <c r="B9936" t="str">
        <f>"9:04:46.657388"</f>
        <v>9:04:46.657388</v>
      </c>
      <c r="C9936">
        <v>-44</v>
      </c>
    </row>
    <row r="9937" spans="1:3" x14ac:dyDescent="0.25">
      <c r="A9937">
        <v>37</v>
      </c>
      <c r="B9937" t="str">
        <f>"9:04:46.657907"</f>
        <v>9:04:46.657907</v>
      </c>
      <c r="C9937">
        <v>-37</v>
      </c>
    </row>
    <row r="9938" spans="1:3" x14ac:dyDescent="0.25">
      <c r="A9938">
        <v>37</v>
      </c>
      <c r="B9938" t="str">
        <f>"9:04:46.658233"</f>
        <v>9:04:46.658233</v>
      </c>
      <c r="C9938">
        <v>-44</v>
      </c>
    </row>
    <row r="9939" spans="1:3" x14ac:dyDescent="0.25">
      <c r="A9939">
        <v>38</v>
      </c>
      <c r="B9939" t="str">
        <f>"9:04:46.659009"</f>
        <v>9:04:46.659009</v>
      </c>
      <c r="C9939">
        <v>-41</v>
      </c>
    </row>
    <row r="9940" spans="1:3" x14ac:dyDescent="0.25">
      <c r="A9940">
        <v>39</v>
      </c>
      <c r="B9940" t="str">
        <f>"9:04:46.660035"</f>
        <v>9:04:46.660035</v>
      </c>
      <c r="C9940">
        <v>-46</v>
      </c>
    </row>
    <row r="9941" spans="1:3" x14ac:dyDescent="0.25">
      <c r="A9941">
        <v>37</v>
      </c>
      <c r="B9941" t="str">
        <f>"9:04:47.015319"</f>
        <v>9:04:47.015319</v>
      </c>
      <c r="C9941">
        <v>-44</v>
      </c>
    </row>
    <row r="9942" spans="1:3" x14ac:dyDescent="0.25">
      <c r="A9942">
        <v>37</v>
      </c>
      <c r="B9942" t="str">
        <f>"9:04:47.015837"</f>
        <v>9:04:47.015837</v>
      </c>
      <c r="C9942">
        <v>-37</v>
      </c>
    </row>
    <row r="9943" spans="1:3" x14ac:dyDescent="0.25">
      <c r="A9943">
        <v>37</v>
      </c>
      <c r="B9943" t="str">
        <f>"9:04:47.016163"</f>
        <v>9:04:47.016163</v>
      </c>
      <c r="C9943">
        <v>-44</v>
      </c>
    </row>
    <row r="9944" spans="1:3" x14ac:dyDescent="0.25">
      <c r="A9944">
        <v>38</v>
      </c>
      <c r="B9944" t="str">
        <f>"9:04:47.016939"</f>
        <v>9:04:47.016939</v>
      </c>
      <c r="C9944">
        <v>-41</v>
      </c>
    </row>
    <row r="9945" spans="1:3" x14ac:dyDescent="0.25">
      <c r="A9945">
        <v>39</v>
      </c>
      <c r="B9945" t="str">
        <f>"9:04:47.017965"</f>
        <v>9:04:47.017965</v>
      </c>
      <c r="C9945">
        <v>-46</v>
      </c>
    </row>
    <row r="9946" spans="1:3" x14ac:dyDescent="0.25">
      <c r="A9946">
        <v>37</v>
      </c>
      <c r="B9946" t="str">
        <f>"9:04:47.373801"</f>
        <v>9:04:47.373801</v>
      </c>
      <c r="C9946">
        <v>-44</v>
      </c>
    </row>
    <row r="9947" spans="1:3" x14ac:dyDescent="0.25">
      <c r="A9947">
        <v>38</v>
      </c>
      <c r="B9947" t="str">
        <f>"9:04:47.374828"</f>
        <v>9:04:47.374828</v>
      </c>
      <c r="C9947">
        <v>-41</v>
      </c>
    </row>
    <row r="9948" spans="1:3" x14ac:dyDescent="0.25">
      <c r="A9948">
        <v>39</v>
      </c>
      <c r="B9948" t="str">
        <f>"9:04:47.375854"</f>
        <v>9:04:47.375854</v>
      </c>
      <c r="C9948">
        <v>-46</v>
      </c>
    </row>
    <row r="9949" spans="1:3" x14ac:dyDescent="0.25">
      <c r="A9949">
        <v>39</v>
      </c>
      <c r="B9949" t="str">
        <f>"9:04:47.376699"</f>
        <v>9:04:47.376699</v>
      </c>
      <c r="C9949">
        <v>-45</v>
      </c>
    </row>
    <row r="9950" spans="1:3" x14ac:dyDescent="0.25">
      <c r="A9950">
        <v>37</v>
      </c>
      <c r="B9950" t="str">
        <f>"9:04:47.728671"</f>
        <v>9:04:47.728671</v>
      </c>
      <c r="C9950">
        <v>-44</v>
      </c>
    </row>
    <row r="9951" spans="1:3" x14ac:dyDescent="0.25">
      <c r="A9951">
        <v>37</v>
      </c>
      <c r="B9951" t="str">
        <f>"9:04:47.729189"</f>
        <v>9:04:47.729189</v>
      </c>
      <c r="C9951">
        <v>-37</v>
      </c>
    </row>
    <row r="9952" spans="1:3" x14ac:dyDescent="0.25">
      <c r="A9952">
        <v>37</v>
      </c>
      <c r="B9952" t="str">
        <f>"9:04:47.729515"</f>
        <v>9:04:47.729515</v>
      </c>
      <c r="C9952">
        <v>-44</v>
      </c>
    </row>
    <row r="9953" spans="1:3" x14ac:dyDescent="0.25">
      <c r="A9953">
        <v>38</v>
      </c>
      <c r="B9953" t="str">
        <f>"9:04:47.730291"</f>
        <v>9:04:47.730291</v>
      </c>
      <c r="C9953">
        <v>-41</v>
      </c>
    </row>
    <row r="9954" spans="1:3" x14ac:dyDescent="0.25">
      <c r="A9954">
        <v>39</v>
      </c>
      <c r="B9954" t="str">
        <f>"9:04:47.731317"</f>
        <v>9:04:47.731317</v>
      </c>
      <c r="C9954">
        <v>-46</v>
      </c>
    </row>
    <row r="9955" spans="1:3" x14ac:dyDescent="0.25">
      <c r="A9955">
        <v>37</v>
      </c>
      <c r="B9955" t="str">
        <f>"9:04:48.079881"</f>
        <v>9:04:48.079881</v>
      </c>
      <c r="C9955">
        <v>-44</v>
      </c>
    </row>
    <row r="9956" spans="1:3" x14ac:dyDescent="0.25">
      <c r="A9956">
        <v>37</v>
      </c>
      <c r="B9956" t="str">
        <f>"9:04:48.080400"</f>
        <v>9:04:48.080400</v>
      </c>
      <c r="C9956">
        <v>-40</v>
      </c>
    </row>
    <row r="9957" spans="1:3" x14ac:dyDescent="0.25">
      <c r="A9957">
        <v>37</v>
      </c>
      <c r="B9957" t="str">
        <f>"9:04:48.080726"</f>
        <v>9:04:48.080726</v>
      </c>
      <c r="C9957">
        <v>-44</v>
      </c>
    </row>
    <row r="9958" spans="1:3" x14ac:dyDescent="0.25">
      <c r="A9958">
        <v>38</v>
      </c>
      <c r="B9958" t="str">
        <f>"9:04:48.081503"</f>
        <v>9:04:48.081503</v>
      </c>
      <c r="C9958">
        <v>-41</v>
      </c>
    </row>
    <row r="9959" spans="1:3" x14ac:dyDescent="0.25">
      <c r="A9959">
        <v>39</v>
      </c>
      <c r="B9959" t="str">
        <f>"9:04:48.082529"</f>
        <v>9:04:48.082529</v>
      </c>
      <c r="C9959">
        <v>-45</v>
      </c>
    </row>
    <row r="9960" spans="1:3" x14ac:dyDescent="0.25">
      <c r="A9960">
        <v>37</v>
      </c>
      <c r="B9960" t="str">
        <f>"9:04:48.439378"</f>
        <v>9:04:48.439378</v>
      </c>
      <c r="C9960">
        <v>-44</v>
      </c>
    </row>
    <row r="9961" spans="1:3" x14ac:dyDescent="0.25">
      <c r="A9961">
        <v>37</v>
      </c>
      <c r="B9961" t="str">
        <f>"9:04:48.439897"</f>
        <v>9:04:48.439897</v>
      </c>
      <c r="C9961">
        <v>-40</v>
      </c>
    </row>
    <row r="9962" spans="1:3" x14ac:dyDescent="0.25">
      <c r="A9962">
        <v>37</v>
      </c>
      <c r="B9962" t="str">
        <f>"9:04:48.440223"</f>
        <v>9:04:48.440223</v>
      </c>
      <c r="C9962">
        <v>-44</v>
      </c>
    </row>
    <row r="9963" spans="1:3" x14ac:dyDescent="0.25">
      <c r="A9963">
        <v>38</v>
      </c>
      <c r="B9963" t="str">
        <f>"9:04:48.440999"</f>
        <v>9:04:48.440999</v>
      </c>
      <c r="C9963">
        <v>-41</v>
      </c>
    </row>
    <row r="9964" spans="1:3" x14ac:dyDescent="0.25">
      <c r="A9964">
        <v>39</v>
      </c>
      <c r="B9964" t="str">
        <f>"9:04:48.442026"</f>
        <v>9:04:48.442026</v>
      </c>
      <c r="C9964">
        <v>-45</v>
      </c>
    </row>
    <row r="9965" spans="1:3" x14ac:dyDescent="0.25">
      <c r="A9965">
        <v>37</v>
      </c>
      <c r="B9965" t="str">
        <f>"9:04:48.795979"</f>
        <v>9:04:48.795979</v>
      </c>
      <c r="C9965">
        <v>-44</v>
      </c>
    </row>
    <row r="9966" spans="1:3" x14ac:dyDescent="0.25">
      <c r="A9966">
        <v>37</v>
      </c>
      <c r="B9966" t="str">
        <f>"9:04:48.796497"</f>
        <v>9:04:48.796497</v>
      </c>
      <c r="C9966">
        <v>-40</v>
      </c>
    </row>
    <row r="9967" spans="1:3" x14ac:dyDescent="0.25">
      <c r="A9967">
        <v>37</v>
      </c>
      <c r="B9967" t="str">
        <f>"9:04:48.796823"</f>
        <v>9:04:48.796823</v>
      </c>
      <c r="C9967">
        <v>-44</v>
      </c>
    </row>
    <row r="9968" spans="1:3" x14ac:dyDescent="0.25">
      <c r="A9968">
        <v>38</v>
      </c>
      <c r="B9968" t="str">
        <f>"9:04:48.797599"</f>
        <v>9:04:48.797599</v>
      </c>
      <c r="C9968">
        <v>-41</v>
      </c>
    </row>
    <row r="9969" spans="1:3" x14ac:dyDescent="0.25">
      <c r="A9969">
        <v>39</v>
      </c>
      <c r="B9969" t="str">
        <f>"9:04:48.798625"</f>
        <v>9:04:48.798625</v>
      </c>
      <c r="C9969">
        <v>-45</v>
      </c>
    </row>
    <row r="9970" spans="1:3" x14ac:dyDescent="0.25">
      <c r="A9970">
        <v>37</v>
      </c>
      <c r="B9970" t="str">
        <f>"9:04:49.150606"</f>
        <v>9:04:49.150606</v>
      </c>
      <c r="C9970">
        <v>-44</v>
      </c>
    </row>
    <row r="9971" spans="1:3" x14ac:dyDescent="0.25">
      <c r="A9971">
        <v>37</v>
      </c>
      <c r="B9971" t="str">
        <f>"9:04:49.151125"</f>
        <v>9:04:49.151125</v>
      </c>
      <c r="C9971">
        <v>-42</v>
      </c>
    </row>
    <row r="9972" spans="1:3" x14ac:dyDescent="0.25">
      <c r="A9972">
        <v>37</v>
      </c>
      <c r="B9972" t="str">
        <f>"9:04:49.151451"</f>
        <v>9:04:49.151451</v>
      </c>
      <c r="C9972">
        <v>-44</v>
      </c>
    </row>
    <row r="9973" spans="1:3" x14ac:dyDescent="0.25">
      <c r="A9973">
        <v>38</v>
      </c>
      <c r="B9973" t="str">
        <f>"9:04:49.152228"</f>
        <v>9:04:49.152228</v>
      </c>
      <c r="C9973">
        <v>-41</v>
      </c>
    </row>
    <row r="9974" spans="1:3" x14ac:dyDescent="0.25">
      <c r="A9974">
        <v>39</v>
      </c>
      <c r="B9974" t="str">
        <f>"9:04:49.153254"</f>
        <v>9:04:49.153254</v>
      </c>
      <c r="C9974">
        <v>-45</v>
      </c>
    </row>
    <row r="9975" spans="1:3" x14ac:dyDescent="0.25">
      <c r="A9975">
        <v>37</v>
      </c>
      <c r="B9975" t="str">
        <f>"9:04:49.510571"</f>
        <v>9:04:49.510571</v>
      </c>
      <c r="C9975">
        <v>-44</v>
      </c>
    </row>
    <row r="9976" spans="1:3" x14ac:dyDescent="0.25">
      <c r="A9976">
        <v>38</v>
      </c>
      <c r="B9976" t="str">
        <f>"9:04:49.511598"</f>
        <v>9:04:49.511598</v>
      </c>
      <c r="C9976">
        <v>-41</v>
      </c>
    </row>
    <row r="9977" spans="1:3" x14ac:dyDescent="0.25">
      <c r="A9977">
        <v>38</v>
      </c>
      <c r="B9977" t="str">
        <f>"9:04:49.512116"</f>
        <v>9:04:49.512116</v>
      </c>
      <c r="C9977">
        <v>-33</v>
      </c>
    </row>
    <row r="9978" spans="1:3" x14ac:dyDescent="0.25">
      <c r="A9978">
        <v>38</v>
      </c>
      <c r="B9978" t="str">
        <f>"9:04:49.512442"</f>
        <v>9:04:49.512442</v>
      </c>
      <c r="C9978">
        <v>-41</v>
      </c>
    </row>
    <row r="9979" spans="1:3" x14ac:dyDescent="0.25">
      <c r="A9979">
        <v>39</v>
      </c>
      <c r="B9979" t="str">
        <f>"9:04:49.513218"</f>
        <v>9:04:49.513218</v>
      </c>
      <c r="C9979">
        <v>-45</v>
      </c>
    </row>
    <row r="9980" spans="1:3" x14ac:dyDescent="0.25">
      <c r="A9980">
        <v>37</v>
      </c>
      <c r="B9980" t="str">
        <f>"9:04:49.868224"</f>
        <v>9:04:49.868224</v>
      </c>
      <c r="C9980">
        <v>-44</v>
      </c>
    </row>
    <row r="9981" spans="1:3" x14ac:dyDescent="0.25">
      <c r="A9981">
        <v>38</v>
      </c>
      <c r="B9981" t="str">
        <f>"9:04:49.869251"</f>
        <v>9:04:49.869251</v>
      </c>
      <c r="C9981">
        <v>-41</v>
      </c>
    </row>
    <row r="9982" spans="1:3" x14ac:dyDescent="0.25">
      <c r="A9982">
        <v>38</v>
      </c>
      <c r="B9982" t="str">
        <f>"9:04:49.869769"</f>
        <v>9:04:49.869769</v>
      </c>
      <c r="C9982">
        <v>-33</v>
      </c>
    </row>
    <row r="9983" spans="1:3" x14ac:dyDescent="0.25">
      <c r="A9983">
        <v>38</v>
      </c>
      <c r="B9983" t="str">
        <f>"9:04:49.870095"</f>
        <v>9:04:49.870095</v>
      </c>
      <c r="C9983">
        <v>-41</v>
      </c>
    </row>
    <row r="9984" spans="1:3" x14ac:dyDescent="0.25">
      <c r="A9984">
        <v>39</v>
      </c>
      <c r="B9984" t="str">
        <f>"9:04:49.870871"</f>
        <v>9:04:49.870871</v>
      </c>
      <c r="C9984">
        <v>-45</v>
      </c>
    </row>
    <row r="9985" spans="1:3" x14ac:dyDescent="0.25">
      <c r="A9985">
        <v>37</v>
      </c>
      <c r="B9985" t="str">
        <f>"9:04:50.223366"</f>
        <v>9:04:50.223366</v>
      </c>
      <c r="C9985">
        <v>-44</v>
      </c>
    </row>
    <row r="9986" spans="1:3" x14ac:dyDescent="0.25">
      <c r="A9986">
        <v>38</v>
      </c>
      <c r="B9986" t="str">
        <f>"9:04:50.224393"</f>
        <v>9:04:50.224393</v>
      </c>
      <c r="C9986">
        <v>-41</v>
      </c>
    </row>
    <row r="9987" spans="1:3" x14ac:dyDescent="0.25">
      <c r="A9987">
        <v>38</v>
      </c>
      <c r="B9987" t="str">
        <f>"9:04:50.224912"</f>
        <v>9:04:50.224912</v>
      </c>
      <c r="C9987">
        <v>-32</v>
      </c>
    </row>
    <row r="9988" spans="1:3" x14ac:dyDescent="0.25">
      <c r="A9988">
        <v>38</v>
      </c>
      <c r="B9988" t="str">
        <f>"9:04:50.225238"</f>
        <v>9:04:50.225238</v>
      </c>
      <c r="C9988">
        <v>-41</v>
      </c>
    </row>
    <row r="9989" spans="1:3" x14ac:dyDescent="0.25">
      <c r="A9989">
        <v>39</v>
      </c>
      <c r="B9989" t="str">
        <f>"9:04:50.226014"</f>
        <v>9:04:50.226014</v>
      </c>
      <c r="C9989">
        <v>-45</v>
      </c>
    </row>
    <row r="9990" spans="1:3" x14ac:dyDescent="0.25">
      <c r="A9990">
        <v>37</v>
      </c>
      <c r="B9990" t="str">
        <f>"9:04:50.577394"</f>
        <v>9:04:50.577394</v>
      </c>
      <c r="C9990">
        <v>-44</v>
      </c>
    </row>
    <row r="9991" spans="1:3" x14ac:dyDescent="0.25">
      <c r="A9991">
        <v>37</v>
      </c>
      <c r="B9991" t="str">
        <f>"9:04:50.577913"</f>
        <v>9:04:50.577913</v>
      </c>
      <c r="C9991">
        <v>-77</v>
      </c>
    </row>
    <row r="9992" spans="1:3" x14ac:dyDescent="0.25">
      <c r="A9992">
        <v>37</v>
      </c>
      <c r="B9992" t="str">
        <f>"9:04:50.578240"</f>
        <v>9:04:50.578240</v>
      </c>
      <c r="C9992">
        <v>-44</v>
      </c>
    </row>
    <row r="9993" spans="1:3" x14ac:dyDescent="0.25">
      <c r="A9993">
        <v>38</v>
      </c>
      <c r="B9993" t="str">
        <f>"9:04:50.579016"</f>
        <v>9:04:50.579016</v>
      </c>
      <c r="C9993">
        <v>-41</v>
      </c>
    </row>
    <row r="9994" spans="1:3" x14ac:dyDescent="0.25">
      <c r="A9994">
        <v>38</v>
      </c>
      <c r="B9994" t="str">
        <f>"9:04:50.579535"</f>
        <v>9:04:50.579535</v>
      </c>
      <c r="C9994">
        <v>-32</v>
      </c>
    </row>
    <row r="9995" spans="1:3" x14ac:dyDescent="0.25">
      <c r="A9995">
        <v>38</v>
      </c>
      <c r="B9995" t="str">
        <f>"9:04:50.579860"</f>
        <v>9:04:50.579860</v>
      </c>
      <c r="C9995">
        <v>-41</v>
      </c>
    </row>
    <row r="9996" spans="1:3" x14ac:dyDescent="0.25">
      <c r="A9996">
        <v>39</v>
      </c>
      <c r="B9996" t="str">
        <f>"9:04:50.580636"</f>
        <v>9:04:50.580636</v>
      </c>
      <c r="C9996">
        <v>-45</v>
      </c>
    </row>
    <row r="9997" spans="1:3" x14ac:dyDescent="0.25">
      <c r="A9997">
        <v>37</v>
      </c>
      <c r="B9997" t="str">
        <f>"9:04:50.927622"</f>
        <v>9:04:50.927622</v>
      </c>
      <c r="C9997">
        <v>-44</v>
      </c>
    </row>
    <row r="9998" spans="1:3" x14ac:dyDescent="0.25">
      <c r="A9998">
        <v>38</v>
      </c>
      <c r="B9998" t="str">
        <f>"9:04:50.928650"</f>
        <v>9:04:50.928650</v>
      </c>
      <c r="C9998">
        <v>-41</v>
      </c>
    </row>
    <row r="9999" spans="1:3" x14ac:dyDescent="0.25">
      <c r="A9999">
        <v>39</v>
      </c>
      <c r="B9999" t="str">
        <f>"9:04:50.929676"</f>
        <v>9:04:50.929676</v>
      </c>
      <c r="C9999">
        <v>-46</v>
      </c>
    </row>
    <row r="10000" spans="1:3" x14ac:dyDescent="0.25">
      <c r="A10000">
        <v>37</v>
      </c>
      <c r="B10000" t="str">
        <f>"9:04:51.285567"</f>
        <v>9:04:51.285567</v>
      </c>
      <c r="C10000">
        <v>-44</v>
      </c>
    </row>
    <row r="10001" spans="1:3" x14ac:dyDescent="0.25">
      <c r="A10001">
        <v>38</v>
      </c>
      <c r="B10001" t="str">
        <f>"9:04:51.286594"</f>
        <v>9:04:51.286594</v>
      </c>
      <c r="C10001">
        <v>-41</v>
      </c>
    </row>
    <row r="10002" spans="1:3" x14ac:dyDescent="0.25">
      <c r="A10002">
        <v>39</v>
      </c>
      <c r="B10002" t="str">
        <f>"9:04:51.287620"</f>
        <v>9:04:51.287620</v>
      </c>
      <c r="C10002">
        <v>-46</v>
      </c>
    </row>
    <row r="10003" spans="1:3" x14ac:dyDescent="0.25">
      <c r="A10003">
        <v>37</v>
      </c>
      <c r="B10003" t="str">
        <f>"9:04:51.644490"</f>
        <v>9:04:51.644490</v>
      </c>
      <c r="C10003">
        <v>-44</v>
      </c>
    </row>
    <row r="10004" spans="1:3" x14ac:dyDescent="0.25">
      <c r="A10004">
        <v>38</v>
      </c>
      <c r="B10004" t="str">
        <f>"9:04:51.645517"</f>
        <v>9:04:51.645517</v>
      </c>
      <c r="C10004">
        <v>-41</v>
      </c>
    </row>
    <row r="10005" spans="1:3" x14ac:dyDescent="0.25">
      <c r="A10005">
        <v>38</v>
      </c>
      <c r="B10005" t="str">
        <f>"9:04:51.646036"</f>
        <v>9:04:51.646036</v>
      </c>
      <c r="C10005">
        <v>-32</v>
      </c>
    </row>
    <row r="10006" spans="1:3" x14ac:dyDescent="0.25">
      <c r="A10006">
        <v>38</v>
      </c>
      <c r="B10006" t="str">
        <f>"9:04:51.646361"</f>
        <v>9:04:51.646361</v>
      </c>
      <c r="C10006">
        <v>-41</v>
      </c>
    </row>
    <row r="10007" spans="1:3" x14ac:dyDescent="0.25">
      <c r="A10007">
        <v>39</v>
      </c>
      <c r="B10007" t="str">
        <f>"9:04:51.647137"</f>
        <v>9:04:51.647137</v>
      </c>
      <c r="C10007">
        <v>-46</v>
      </c>
    </row>
    <row r="10008" spans="1:3" x14ac:dyDescent="0.25">
      <c r="A10008">
        <v>37</v>
      </c>
      <c r="B10008" t="str">
        <f>"9:04:52.001667"</f>
        <v>9:04:52.001667</v>
      </c>
      <c r="C10008">
        <v>-44</v>
      </c>
    </row>
    <row r="10009" spans="1:3" x14ac:dyDescent="0.25">
      <c r="A10009">
        <v>38</v>
      </c>
      <c r="B10009" t="str">
        <f>"9:04:52.002695"</f>
        <v>9:04:52.002695</v>
      </c>
      <c r="C10009">
        <v>-41</v>
      </c>
    </row>
    <row r="10010" spans="1:3" x14ac:dyDescent="0.25">
      <c r="A10010">
        <v>38</v>
      </c>
      <c r="B10010" t="str">
        <f>"9:04:52.003213"</f>
        <v>9:04:52.003213</v>
      </c>
      <c r="C10010">
        <v>-32</v>
      </c>
    </row>
    <row r="10011" spans="1:3" x14ac:dyDescent="0.25">
      <c r="A10011">
        <v>38</v>
      </c>
      <c r="B10011" t="str">
        <f>"9:04:52.003539"</f>
        <v>9:04:52.003539</v>
      </c>
      <c r="C10011">
        <v>-41</v>
      </c>
    </row>
    <row r="10012" spans="1:3" x14ac:dyDescent="0.25">
      <c r="A10012">
        <v>39</v>
      </c>
      <c r="B10012" t="str">
        <f>"9:04:52.004315"</f>
        <v>9:04:52.004315</v>
      </c>
      <c r="C10012">
        <v>-46</v>
      </c>
    </row>
    <row r="10013" spans="1:3" x14ac:dyDescent="0.25">
      <c r="A10013">
        <v>37</v>
      </c>
      <c r="B10013" t="str">
        <f>"9:04:52.358825"</f>
        <v>9:04:52.358825</v>
      </c>
      <c r="C10013">
        <v>-44</v>
      </c>
    </row>
    <row r="10014" spans="1:3" x14ac:dyDescent="0.25">
      <c r="A10014">
        <v>38</v>
      </c>
      <c r="B10014" t="str">
        <f>"9:04:52.359853"</f>
        <v>9:04:52.359853</v>
      </c>
      <c r="C10014">
        <v>-41</v>
      </c>
    </row>
    <row r="10015" spans="1:3" x14ac:dyDescent="0.25">
      <c r="A10015">
        <v>38</v>
      </c>
      <c r="B10015" t="str">
        <f>"9:04:52.360371"</f>
        <v>9:04:52.360371</v>
      </c>
      <c r="C10015">
        <v>-32</v>
      </c>
    </row>
    <row r="10016" spans="1:3" x14ac:dyDescent="0.25">
      <c r="A10016">
        <v>38</v>
      </c>
      <c r="B10016" t="str">
        <f>"9:04:52.360697"</f>
        <v>9:04:52.360697</v>
      </c>
      <c r="C10016">
        <v>-41</v>
      </c>
    </row>
    <row r="10017" spans="1:3" x14ac:dyDescent="0.25">
      <c r="A10017">
        <v>39</v>
      </c>
      <c r="B10017" t="str">
        <f>"9:04:52.361473"</f>
        <v>9:04:52.361473</v>
      </c>
      <c r="C10017">
        <v>-46</v>
      </c>
    </row>
    <row r="10018" spans="1:3" x14ac:dyDescent="0.25">
      <c r="A10018">
        <v>39</v>
      </c>
      <c r="B10018" t="str">
        <f>"9:04:52.362319"</f>
        <v>9:04:52.362319</v>
      </c>
      <c r="C10018">
        <v>-45</v>
      </c>
    </row>
    <row r="10019" spans="1:3" x14ac:dyDescent="0.25">
      <c r="A10019">
        <v>37</v>
      </c>
      <c r="B10019" t="str">
        <f>"9:04:52.712389"</f>
        <v>9:04:52.712389</v>
      </c>
      <c r="C10019">
        <v>-44</v>
      </c>
    </row>
    <row r="10020" spans="1:3" x14ac:dyDescent="0.25">
      <c r="A10020">
        <v>38</v>
      </c>
      <c r="B10020" t="str">
        <f>"9:04:52.713416"</f>
        <v>9:04:52.713416</v>
      </c>
      <c r="C10020">
        <v>-41</v>
      </c>
    </row>
    <row r="10021" spans="1:3" x14ac:dyDescent="0.25">
      <c r="A10021">
        <v>38</v>
      </c>
      <c r="B10021" t="str">
        <f>"9:04:52.713935"</f>
        <v>9:04:52.713935</v>
      </c>
      <c r="C10021">
        <v>-32</v>
      </c>
    </row>
    <row r="10022" spans="1:3" x14ac:dyDescent="0.25">
      <c r="A10022">
        <v>38</v>
      </c>
      <c r="B10022" t="str">
        <f>"9:04:52.714261"</f>
        <v>9:04:52.714261</v>
      </c>
      <c r="C10022">
        <v>-41</v>
      </c>
    </row>
    <row r="10023" spans="1:3" x14ac:dyDescent="0.25">
      <c r="A10023">
        <v>39</v>
      </c>
      <c r="B10023" t="str">
        <f>"9:04:52.715037"</f>
        <v>9:04:52.715037</v>
      </c>
      <c r="C10023">
        <v>-45</v>
      </c>
    </row>
    <row r="10024" spans="1:3" x14ac:dyDescent="0.25">
      <c r="A10024">
        <v>37</v>
      </c>
      <c r="B10024" t="str">
        <f>"9:04:53.071067"</f>
        <v>9:04:53.071067</v>
      </c>
      <c r="C10024">
        <v>-44</v>
      </c>
    </row>
    <row r="10025" spans="1:3" x14ac:dyDescent="0.25">
      <c r="A10025">
        <v>38</v>
      </c>
      <c r="B10025" t="str">
        <f>"9:04:53.072094"</f>
        <v>9:04:53.072094</v>
      </c>
      <c r="C10025">
        <v>-41</v>
      </c>
    </row>
    <row r="10026" spans="1:3" x14ac:dyDescent="0.25">
      <c r="A10026">
        <v>38</v>
      </c>
      <c r="B10026" t="str">
        <f>"9:04:53.072612"</f>
        <v>9:04:53.072612</v>
      </c>
      <c r="C10026">
        <v>-32</v>
      </c>
    </row>
    <row r="10027" spans="1:3" x14ac:dyDescent="0.25">
      <c r="A10027">
        <v>38</v>
      </c>
      <c r="B10027" t="str">
        <f>"9:04:53.072938"</f>
        <v>9:04:53.072938</v>
      </c>
      <c r="C10027">
        <v>-41</v>
      </c>
    </row>
    <row r="10028" spans="1:3" x14ac:dyDescent="0.25">
      <c r="A10028">
        <v>39</v>
      </c>
      <c r="B10028" t="str">
        <f>"9:04:53.073714"</f>
        <v>9:04:53.073714</v>
      </c>
      <c r="C10028">
        <v>-45</v>
      </c>
    </row>
    <row r="10029" spans="1:3" x14ac:dyDescent="0.25">
      <c r="A10029">
        <v>37</v>
      </c>
      <c r="B10029" t="str">
        <f>"9:04:53.428229"</f>
        <v>9:04:53.428229</v>
      </c>
      <c r="C10029">
        <v>-44</v>
      </c>
    </row>
    <row r="10030" spans="1:3" x14ac:dyDescent="0.25">
      <c r="A10030">
        <v>38</v>
      </c>
      <c r="B10030" t="str">
        <f>"9:04:53.429257"</f>
        <v>9:04:53.429257</v>
      </c>
      <c r="C10030">
        <v>-41</v>
      </c>
    </row>
    <row r="10031" spans="1:3" x14ac:dyDescent="0.25">
      <c r="A10031">
        <v>38</v>
      </c>
      <c r="B10031" t="str">
        <f>"9:04:53.429775"</f>
        <v>9:04:53.429775</v>
      </c>
      <c r="C10031">
        <v>-32</v>
      </c>
    </row>
    <row r="10032" spans="1:3" x14ac:dyDescent="0.25">
      <c r="A10032">
        <v>38</v>
      </c>
      <c r="B10032" t="str">
        <f>"9:04:53.430101"</f>
        <v>9:04:53.430101</v>
      </c>
      <c r="C10032">
        <v>-41</v>
      </c>
    </row>
    <row r="10033" spans="1:3" x14ac:dyDescent="0.25">
      <c r="A10033">
        <v>39</v>
      </c>
      <c r="B10033" t="str">
        <f>"9:04:53.430877"</f>
        <v>9:04:53.430877</v>
      </c>
      <c r="C10033">
        <v>-46</v>
      </c>
    </row>
    <row r="10034" spans="1:3" x14ac:dyDescent="0.25">
      <c r="A10034">
        <v>37</v>
      </c>
      <c r="B10034" t="str">
        <f>"9:04:53.784112"</f>
        <v>9:04:53.784112</v>
      </c>
      <c r="C10034">
        <v>-44</v>
      </c>
    </row>
    <row r="10035" spans="1:3" x14ac:dyDescent="0.25">
      <c r="A10035">
        <v>38</v>
      </c>
      <c r="B10035" t="str">
        <f>"9:04:53.785139"</f>
        <v>9:04:53.785139</v>
      </c>
      <c r="C10035">
        <v>-41</v>
      </c>
    </row>
    <row r="10036" spans="1:3" x14ac:dyDescent="0.25">
      <c r="A10036">
        <v>39</v>
      </c>
      <c r="B10036" t="str">
        <f>"9:04:53.786165"</f>
        <v>9:04:53.786165</v>
      </c>
      <c r="C10036">
        <v>-46</v>
      </c>
    </row>
    <row r="10037" spans="1:3" x14ac:dyDescent="0.25">
      <c r="A10037">
        <v>37</v>
      </c>
      <c r="B10037" t="str">
        <f>"9:04:54.144052"</f>
        <v>9:04:54.144052</v>
      </c>
      <c r="C10037">
        <v>-44</v>
      </c>
    </row>
    <row r="10038" spans="1:3" x14ac:dyDescent="0.25">
      <c r="A10038">
        <v>38</v>
      </c>
      <c r="B10038" t="str">
        <f>"9:04:54.145080"</f>
        <v>9:04:54.145080</v>
      </c>
      <c r="C10038">
        <v>-41</v>
      </c>
    </row>
    <row r="10039" spans="1:3" x14ac:dyDescent="0.25">
      <c r="A10039">
        <v>38</v>
      </c>
      <c r="B10039" t="str">
        <f>"9:04:54.145598"</f>
        <v>9:04:54.145598</v>
      </c>
      <c r="C10039">
        <v>-32</v>
      </c>
    </row>
    <row r="10040" spans="1:3" x14ac:dyDescent="0.25">
      <c r="A10040">
        <v>38</v>
      </c>
      <c r="B10040" t="str">
        <f>"9:04:54.145924"</f>
        <v>9:04:54.145924</v>
      </c>
      <c r="C10040">
        <v>-41</v>
      </c>
    </row>
    <row r="10041" spans="1:3" x14ac:dyDescent="0.25">
      <c r="A10041">
        <v>39</v>
      </c>
      <c r="B10041" t="str">
        <f>"9:04:54.146700"</f>
        <v>9:04:54.146700</v>
      </c>
      <c r="C10041">
        <v>-46</v>
      </c>
    </row>
    <row r="10042" spans="1:3" x14ac:dyDescent="0.25">
      <c r="A10042">
        <v>37</v>
      </c>
      <c r="B10042" t="str">
        <f>"9:04:54.495880"</f>
        <v>9:04:54.495880</v>
      </c>
      <c r="C10042">
        <v>-44</v>
      </c>
    </row>
    <row r="10043" spans="1:3" x14ac:dyDescent="0.25">
      <c r="A10043">
        <v>38</v>
      </c>
      <c r="B10043" t="str">
        <f>"9:04:54.496908"</f>
        <v>9:04:54.496908</v>
      </c>
      <c r="C10043">
        <v>-41</v>
      </c>
    </row>
    <row r="10044" spans="1:3" x14ac:dyDescent="0.25">
      <c r="A10044">
        <v>39</v>
      </c>
      <c r="B10044" t="str">
        <f>"9:04:54.497934"</f>
        <v>9:04:54.497934</v>
      </c>
      <c r="C10044">
        <v>-46</v>
      </c>
    </row>
    <row r="10045" spans="1:3" x14ac:dyDescent="0.25">
      <c r="A10045">
        <v>39</v>
      </c>
      <c r="B10045" t="str">
        <f>"9:04:54.498452"</f>
        <v>9:04:54.498452</v>
      </c>
      <c r="C10045">
        <v>-31</v>
      </c>
    </row>
    <row r="10046" spans="1:3" x14ac:dyDescent="0.25">
      <c r="A10046">
        <v>39</v>
      </c>
      <c r="B10046" t="str">
        <f>"9:04:54.498778"</f>
        <v>9:04:54.498778</v>
      </c>
      <c r="C10046">
        <v>-45</v>
      </c>
    </row>
    <row r="10047" spans="1:3" x14ac:dyDescent="0.25">
      <c r="A10047">
        <v>37</v>
      </c>
      <c r="B10047" t="str">
        <f>"9:04:54.850526"</f>
        <v>9:04:54.850526</v>
      </c>
      <c r="C10047">
        <v>-44</v>
      </c>
    </row>
    <row r="10048" spans="1:3" x14ac:dyDescent="0.25">
      <c r="A10048">
        <v>38</v>
      </c>
      <c r="B10048" t="str">
        <f>"9:04:54.851553"</f>
        <v>9:04:54.851553</v>
      </c>
      <c r="C10048">
        <v>-41</v>
      </c>
    </row>
    <row r="10049" spans="1:3" x14ac:dyDescent="0.25">
      <c r="A10049">
        <v>39</v>
      </c>
      <c r="B10049" t="str">
        <f>"9:04:54.852579"</f>
        <v>9:04:54.852579</v>
      </c>
      <c r="C10049">
        <v>-46</v>
      </c>
    </row>
    <row r="10050" spans="1:3" x14ac:dyDescent="0.25">
      <c r="A10050">
        <v>37</v>
      </c>
      <c r="B10050" t="str">
        <f>"9:04:55.200773"</f>
        <v>9:04:55.200773</v>
      </c>
      <c r="C10050">
        <v>-44</v>
      </c>
    </row>
    <row r="10051" spans="1:3" x14ac:dyDescent="0.25">
      <c r="A10051">
        <v>38</v>
      </c>
      <c r="B10051" t="str">
        <f>"9:04:55.201800"</f>
        <v>9:04:55.201800</v>
      </c>
      <c r="C10051">
        <v>-41</v>
      </c>
    </row>
    <row r="10052" spans="1:3" x14ac:dyDescent="0.25">
      <c r="A10052">
        <v>39</v>
      </c>
      <c r="B10052" t="str">
        <f>"9:04:55.202826"</f>
        <v>9:04:55.202826</v>
      </c>
      <c r="C10052">
        <v>-46</v>
      </c>
    </row>
    <row r="10053" spans="1:3" x14ac:dyDescent="0.25">
      <c r="A10053">
        <v>39</v>
      </c>
      <c r="B10053" t="str">
        <f>"9:04:55.203345"</f>
        <v>9:04:55.203345</v>
      </c>
      <c r="C10053">
        <v>-31</v>
      </c>
    </row>
    <row r="10054" spans="1:3" x14ac:dyDescent="0.25">
      <c r="A10054">
        <v>39</v>
      </c>
      <c r="B10054" t="str">
        <f>"9:04:55.203670"</f>
        <v>9:04:55.203670</v>
      </c>
      <c r="C10054">
        <v>-45</v>
      </c>
    </row>
    <row r="10055" spans="1:3" x14ac:dyDescent="0.25">
      <c r="A10055">
        <v>37</v>
      </c>
      <c r="B10055" t="str">
        <f>"9:04:55.554336"</f>
        <v>9:04:55.554336</v>
      </c>
      <c r="C10055">
        <v>-44</v>
      </c>
    </row>
    <row r="10056" spans="1:3" x14ac:dyDescent="0.25">
      <c r="A10056">
        <v>38</v>
      </c>
      <c r="B10056" t="str">
        <f>"9:04:55.555364"</f>
        <v>9:04:55.555364</v>
      </c>
      <c r="C10056">
        <v>-41</v>
      </c>
    </row>
    <row r="10057" spans="1:3" x14ac:dyDescent="0.25">
      <c r="A10057">
        <v>39</v>
      </c>
      <c r="B10057" t="str">
        <f>"9:04:55.556390"</f>
        <v>9:04:55.556390</v>
      </c>
      <c r="C10057">
        <v>-46</v>
      </c>
    </row>
    <row r="10058" spans="1:3" x14ac:dyDescent="0.25">
      <c r="A10058">
        <v>39</v>
      </c>
      <c r="B10058" t="str">
        <f>"9:04:55.556908"</f>
        <v>9:04:55.556908</v>
      </c>
      <c r="C10058">
        <v>-31</v>
      </c>
    </row>
    <row r="10059" spans="1:3" x14ac:dyDescent="0.25">
      <c r="A10059">
        <v>39</v>
      </c>
      <c r="B10059" t="str">
        <f>"9:04:55.557234"</f>
        <v>9:04:55.557234</v>
      </c>
      <c r="C10059">
        <v>-45</v>
      </c>
    </row>
    <row r="10060" spans="1:3" x14ac:dyDescent="0.25">
      <c r="A10060">
        <v>37</v>
      </c>
      <c r="B10060" t="str">
        <f>"9:04:55.910747"</f>
        <v>9:04:55.910747</v>
      </c>
      <c r="C10060">
        <v>-44</v>
      </c>
    </row>
    <row r="10061" spans="1:3" x14ac:dyDescent="0.25">
      <c r="A10061">
        <v>38</v>
      </c>
      <c r="B10061" t="str">
        <f>"9:04:55.911774"</f>
        <v>9:04:55.911774</v>
      </c>
      <c r="C10061">
        <v>-41</v>
      </c>
    </row>
    <row r="10062" spans="1:3" x14ac:dyDescent="0.25">
      <c r="A10062">
        <v>39</v>
      </c>
      <c r="B10062" t="str">
        <f>"9:04:55.912800"</f>
        <v>9:04:55.912800</v>
      </c>
      <c r="C10062">
        <v>-46</v>
      </c>
    </row>
    <row r="10063" spans="1:3" x14ac:dyDescent="0.25">
      <c r="A10063">
        <v>39</v>
      </c>
      <c r="B10063" t="str">
        <f>"9:04:55.913318"</f>
        <v>9:04:55.913318</v>
      </c>
      <c r="C10063">
        <v>-31</v>
      </c>
    </row>
    <row r="10064" spans="1:3" x14ac:dyDescent="0.25">
      <c r="A10064">
        <v>39</v>
      </c>
      <c r="B10064" t="str">
        <f>"9:04:55.913644"</f>
        <v>9:04:55.913644</v>
      </c>
      <c r="C10064">
        <v>-45</v>
      </c>
    </row>
    <row r="10065" spans="1:3" x14ac:dyDescent="0.25">
      <c r="A10065">
        <v>37</v>
      </c>
      <c r="B10065" t="str">
        <f>"9:04:56.263812"</f>
        <v>9:04:56.263812</v>
      </c>
      <c r="C10065">
        <v>-44</v>
      </c>
    </row>
    <row r="10066" spans="1:3" x14ac:dyDescent="0.25">
      <c r="A10066">
        <v>38</v>
      </c>
      <c r="B10066" t="str">
        <f>"9:04:56.264839"</f>
        <v>9:04:56.264839</v>
      </c>
      <c r="C10066">
        <v>-41</v>
      </c>
    </row>
    <row r="10067" spans="1:3" x14ac:dyDescent="0.25">
      <c r="A10067">
        <v>39</v>
      </c>
      <c r="B10067" t="str">
        <f>"9:04:56.265865"</f>
        <v>9:04:56.265865</v>
      </c>
      <c r="C10067">
        <v>-46</v>
      </c>
    </row>
    <row r="10068" spans="1:3" x14ac:dyDescent="0.25">
      <c r="A10068">
        <v>39</v>
      </c>
      <c r="B10068" t="str">
        <f>"9:04:56.266384"</f>
        <v>9:04:56.266384</v>
      </c>
      <c r="C10068">
        <v>-31</v>
      </c>
    </row>
    <row r="10069" spans="1:3" x14ac:dyDescent="0.25">
      <c r="A10069">
        <v>39</v>
      </c>
      <c r="B10069" t="str">
        <f>"9:04:56.266709"</f>
        <v>9:04:56.266709</v>
      </c>
      <c r="C10069">
        <v>-45</v>
      </c>
    </row>
    <row r="10070" spans="1:3" x14ac:dyDescent="0.25">
      <c r="A10070">
        <v>37</v>
      </c>
      <c r="B10070" t="str">
        <f>"9:04:56.623038"</f>
        <v>9:04:56.623038</v>
      </c>
      <c r="C10070">
        <v>-44</v>
      </c>
    </row>
    <row r="10071" spans="1:3" x14ac:dyDescent="0.25">
      <c r="A10071">
        <v>38</v>
      </c>
      <c r="B10071" t="str">
        <f>"9:04:56.624065"</f>
        <v>9:04:56.624065</v>
      </c>
      <c r="C10071">
        <v>-41</v>
      </c>
    </row>
    <row r="10072" spans="1:3" x14ac:dyDescent="0.25">
      <c r="A10072">
        <v>38</v>
      </c>
      <c r="B10072" t="str">
        <f>"9:04:56.624909"</f>
        <v>9:04:56.624909</v>
      </c>
      <c r="C10072">
        <v>-41</v>
      </c>
    </row>
    <row r="10073" spans="1:3" x14ac:dyDescent="0.25">
      <c r="A10073">
        <v>39</v>
      </c>
      <c r="B10073" t="str">
        <f>"9:04:56.625685"</f>
        <v>9:04:56.625685</v>
      </c>
      <c r="C10073">
        <v>-46</v>
      </c>
    </row>
    <row r="10074" spans="1:3" x14ac:dyDescent="0.25">
      <c r="A10074">
        <v>39</v>
      </c>
      <c r="B10074" t="str">
        <f>"9:04:56.626204"</f>
        <v>9:04:56.626204</v>
      </c>
      <c r="C10074">
        <v>-31</v>
      </c>
    </row>
    <row r="10075" spans="1:3" x14ac:dyDescent="0.25">
      <c r="A10075">
        <v>39</v>
      </c>
      <c r="B10075" t="str">
        <f>"9:04:56.626530"</f>
        <v>9:04:56.626530</v>
      </c>
      <c r="C10075">
        <v>-45</v>
      </c>
    </row>
    <row r="10076" spans="1:3" x14ac:dyDescent="0.25">
      <c r="A10076">
        <v>37</v>
      </c>
      <c r="B10076" t="str">
        <f>"9:04:56.973552"</f>
        <v>9:04:56.973552</v>
      </c>
      <c r="C10076">
        <v>-44</v>
      </c>
    </row>
    <row r="10077" spans="1:3" x14ac:dyDescent="0.25">
      <c r="A10077">
        <v>38</v>
      </c>
      <c r="B10077" t="str">
        <f>"9:04:56.974579"</f>
        <v>9:04:56.974579</v>
      </c>
      <c r="C10077">
        <v>-41</v>
      </c>
    </row>
    <row r="10078" spans="1:3" x14ac:dyDescent="0.25">
      <c r="A10078">
        <v>39</v>
      </c>
      <c r="B10078" t="str">
        <f>"9:04:56.975605"</f>
        <v>9:04:56.975605</v>
      </c>
      <c r="C10078">
        <v>-46</v>
      </c>
    </row>
    <row r="10079" spans="1:3" x14ac:dyDescent="0.25">
      <c r="A10079">
        <v>39</v>
      </c>
      <c r="B10079" t="str">
        <f>"9:04:56.976123"</f>
        <v>9:04:56.976123</v>
      </c>
      <c r="C10079">
        <v>-31</v>
      </c>
    </row>
    <row r="10080" spans="1:3" x14ac:dyDescent="0.25">
      <c r="A10080">
        <v>39</v>
      </c>
      <c r="B10080" t="str">
        <f>"9:04:56.976449"</f>
        <v>9:04:56.976449</v>
      </c>
      <c r="C10080">
        <v>-45</v>
      </c>
    </row>
    <row r="10081" spans="1:3" x14ac:dyDescent="0.25">
      <c r="A10081">
        <v>37</v>
      </c>
      <c r="B10081" t="str">
        <f>"9:04:57.328423"</f>
        <v>9:04:57.328423</v>
      </c>
      <c r="C10081">
        <v>-44</v>
      </c>
    </row>
    <row r="10082" spans="1:3" x14ac:dyDescent="0.25">
      <c r="A10082">
        <v>38</v>
      </c>
      <c r="B10082" t="str">
        <f>"9:04:57.329450"</f>
        <v>9:04:57.329450</v>
      </c>
      <c r="C10082">
        <v>-41</v>
      </c>
    </row>
    <row r="10083" spans="1:3" x14ac:dyDescent="0.25">
      <c r="A10083">
        <v>39</v>
      </c>
      <c r="B10083" t="str">
        <f>"9:04:57.330476"</f>
        <v>9:04:57.330476</v>
      </c>
      <c r="C10083">
        <v>-46</v>
      </c>
    </row>
    <row r="10084" spans="1:3" x14ac:dyDescent="0.25">
      <c r="A10084">
        <v>39</v>
      </c>
      <c r="B10084" t="str">
        <f>"9:04:57.330995"</f>
        <v>9:04:57.330995</v>
      </c>
      <c r="C10084">
        <v>-31</v>
      </c>
    </row>
    <row r="10085" spans="1:3" x14ac:dyDescent="0.25">
      <c r="A10085">
        <v>39</v>
      </c>
      <c r="B10085" t="str">
        <f>"9:04:57.331321"</f>
        <v>9:04:57.331321</v>
      </c>
      <c r="C10085">
        <v>-46</v>
      </c>
    </row>
    <row r="10086" spans="1:3" x14ac:dyDescent="0.25">
      <c r="A10086">
        <v>37</v>
      </c>
      <c r="B10086" t="str">
        <f>"9:04:57.682480"</f>
        <v>9:04:57.682480</v>
      </c>
      <c r="C10086">
        <v>-44</v>
      </c>
    </row>
    <row r="10087" spans="1:3" x14ac:dyDescent="0.25">
      <c r="A10087">
        <v>38</v>
      </c>
      <c r="B10087" t="str">
        <f>"9:04:57.683507"</f>
        <v>9:04:57.683507</v>
      </c>
      <c r="C10087">
        <v>-41</v>
      </c>
    </row>
    <row r="10088" spans="1:3" x14ac:dyDescent="0.25">
      <c r="A10088">
        <v>39</v>
      </c>
      <c r="B10088" t="str">
        <f>"9:04:57.684533"</f>
        <v>9:04:57.684533</v>
      </c>
      <c r="C10088">
        <v>-46</v>
      </c>
    </row>
    <row r="10089" spans="1:3" x14ac:dyDescent="0.25">
      <c r="A10089">
        <v>37</v>
      </c>
      <c r="B10089" t="str">
        <f>"9:04:58.040668"</f>
        <v>9:04:58.040668</v>
      </c>
      <c r="C10089">
        <v>-44</v>
      </c>
    </row>
    <row r="10090" spans="1:3" x14ac:dyDescent="0.25">
      <c r="A10090">
        <v>38</v>
      </c>
      <c r="B10090" t="str">
        <f>"9:04:58.041696"</f>
        <v>9:04:58.041696</v>
      </c>
      <c r="C10090">
        <v>-41</v>
      </c>
    </row>
    <row r="10091" spans="1:3" x14ac:dyDescent="0.25">
      <c r="A10091">
        <v>39</v>
      </c>
      <c r="B10091" t="str">
        <f>"9:04:58.042722"</f>
        <v>9:04:58.042722</v>
      </c>
      <c r="C10091">
        <v>-46</v>
      </c>
    </row>
    <row r="10092" spans="1:3" x14ac:dyDescent="0.25">
      <c r="A10092">
        <v>39</v>
      </c>
      <c r="B10092" t="str">
        <f>"9:04:58.043240"</f>
        <v>9:04:58.043240</v>
      </c>
      <c r="C10092">
        <v>-31</v>
      </c>
    </row>
    <row r="10093" spans="1:3" x14ac:dyDescent="0.25">
      <c r="A10093">
        <v>39</v>
      </c>
      <c r="B10093" t="str">
        <f>"9:04:58.043566"</f>
        <v>9:04:58.043566</v>
      </c>
      <c r="C10093">
        <v>-45</v>
      </c>
    </row>
    <row r="10094" spans="1:3" x14ac:dyDescent="0.25">
      <c r="A10094">
        <v>37</v>
      </c>
      <c r="B10094" t="str">
        <f>"9:04:58.396756"</f>
        <v>9:04:58.396756</v>
      </c>
      <c r="C10094">
        <v>-44</v>
      </c>
    </row>
    <row r="10095" spans="1:3" x14ac:dyDescent="0.25">
      <c r="A10095">
        <v>38</v>
      </c>
      <c r="B10095" t="str">
        <f>"9:04:58.397783"</f>
        <v>9:04:58.397783</v>
      </c>
      <c r="C10095">
        <v>-41</v>
      </c>
    </row>
    <row r="10096" spans="1:3" x14ac:dyDescent="0.25">
      <c r="A10096">
        <v>39</v>
      </c>
      <c r="B10096" t="str">
        <f>"9:04:58.398809"</f>
        <v>9:04:58.398809</v>
      </c>
      <c r="C10096">
        <v>-45</v>
      </c>
    </row>
    <row r="10097" spans="1:3" x14ac:dyDescent="0.25">
      <c r="A10097">
        <v>39</v>
      </c>
      <c r="B10097" t="str">
        <f>"9:04:58.399327"</f>
        <v>9:04:58.399327</v>
      </c>
      <c r="C10097">
        <v>-31</v>
      </c>
    </row>
    <row r="10098" spans="1:3" x14ac:dyDescent="0.25">
      <c r="A10098">
        <v>39</v>
      </c>
      <c r="B10098" t="str">
        <f>"9:04:58.399653"</f>
        <v>9:04:58.399653</v>
      </c>
      <c r="C10098">
        <v>-45</v>
      </c>
    </row>
    <row r="10099" spans="1:3" x14ac:dyDescent="0.25">
      <c r="A10099">
        <v>37</v>
      </c>
      <c r="B10099" t="str">
        <f>"9:04:58.749763"</f>
        <v>9:04:58.749763</v>
      </c>
      <c r="C10099">
        <v>-44</v>
      </c>
    </row>
    <row r="10100" spans="1:3" x14ac:dyDescent="0.25">
      <c r="A10100">
        <v>38</v>
      </c>
      <c r="B10100" t="str">
        <f>"9:04:58.750790"</f>
        <v>9:04:58.750790</v>
      </c>
      <c r="C10100">
        <v>-41</v>
      </c>
    </row>
    <row r="10101" spans="1:3" x14ac:dyDescent="0.25">
      <c r="A10101">
        <v>39</v>
      </c>
      <c r="B10101" t="str">
        <f>"9:04:58.751816"</f>
        <v>9:04:58.751816</v>
      </c>
      <c r="C10101">
        <v>-45</v>
      </c>
    </row>
    <row r="10102" spans="1:3" x14ac:dyDescent="0.25">
      <c r="A10102">
        <v>39</v>
      </c>
      <c r="B10102" t="str">
        <f>"9:04:58.752334"</f>
        <v>9:04:58.752334</v>
      </c>
      <c r="C10102">
        <v>-31</v>
      </c>
    </row>
    <row r="10103" spans="1:3" x14ac:dyDescent="0.25">
      <c r="A10103">
        <v>39</v>
      </c>
      <c r="B10103" t="str">
        <f>"9:04:58.752660"</f>
        <v>9:04:58.752660</v>
      </c>
      <c r="C10103">
        <v>-45</v>
      </c>
    </row>
    <row r="10104" spans="1:3" x14ac:dyDescent="0.25">
      <c r="A10104">
        <v>37</v>
      </c>
      <c r="B10104" t="str">
        <f>"9:04:59.108946"</f>
        <v>9:04:59.108946</v>
      </c>
      <c r="C10104">
        <v>-44</v>
      </c>
    </row>
    <row r="10105" spans="1:3" x14ac:dyDescent="0.25">
      <c r="A10105">
        <v>38</v>
      </c>
      <c r="B10105" t="str">
        <f>"9:04:59.109974"</f>
        <v>9:04:59.109974</v>
      </c>
      <c r="C10105">
        <v>-41</v>
      </c>
    </row>
    <row r="10106" spans="1:3" x14ac:dyDescent="0.25">
      <c r="A10106">
        <v>39</v>
      </c>
      <c r="B10106" t="str">
        <f>"9:04:59.111000"</f>
        <v>9:04:59.111000</v>
      </c>
      <c r="C10106">
        <v>-45</v>
      </c>
    </row>
    <row r="10107" spans="1:3" x14ac:dyDescent="0.25">
      <c r="A10107">
        <v>39</v>
      </c>
      <c r="B10107" t="str">
        <f>"9:04:59.111519"</f>
        <v>9:04:59.111519</v>
      </c>
      <c r="C10107">
        <v>-31</v>
      </c>
    </row>
    <row r="10108" spans="1:3" x14ac:dyDescent="0.25">
      <c r="A10108">
        <v>39</v>
      </c>
      <c r="B10108" t="str">
        <f>"9:04:59.111845"</f>
        <v>9:04:59.111845</v>
      </c>
      <c r="C10108">
        <v>-45</v>
      </c>
    </row>
    <row r="10109" spans="1:3" x14ac:dyDescent="0.25">
      <c r="A10109">
        <v>37</v>
      </c>
      <c r="B10109" t="str">
        <f>"9:04:59.466608"</f>
        <v>9:04:59.466608</v>
      </c>
      <c r="C10109">
        <v>-44</v>
      </c>
    </row>
    <row r="10110" spans="1:3" x14ac:dyDescent="0.25">
      <c r="A10110">
        <v>37</v>
      </c>
      <c r="B10110" t="str">
        <f>"9:04:59.467127"</f>
        <v>9:04:59.467127</v>
      </c>
      <c r="C10110">
        <v>-39</v>
      </c>
    </row>
    <row r="10111" spans="1:3" x14ac:dyDescent="0.25">
      <c r="A10111">
        <v>37</v>
      </c>
      <c r="B10111" t="str">
        <f>"9:04:59.467453"</f>
        <v>9:04:59.467453</v>
      </c>
      <c r="C10111">
        <v>-44</v>
      </c>
    </row>
    <row r="10112" spans="1:3" x14ac:dyDescent="0.25">
      <c r="A10112">
        <v>38</v>
      </c>
      <c r="B10112" t="str">
        <f>"9:04:59.468229"</f>
        <v>9:04:59.468229</v>
      </c>
      <c r="C10112">
        <v>-41</v>
      </c>
    </row>
    <row r="10113" spans="1:3" x14ac:dyDescent="0.25">
      <c r="A10113">
        <v>39</v>
      </c>
      <c r="B10113" t="str">
        <f>"9:04:59.469255"</f>
        <v>9:04:59.469255</v>
      </c>
      <c r="C10113">
        <v>-45</v>
      </c>
    </row>
    <row r="10114" spans="1:3" x14ac:dyDescent="0.25">
      <c r="A10114">
        <v>37</v>
      </c>
      <c r="B10114" t="str">
        <f>"9:04:59.823001"</f>
        <v>9:04:59.823001</v>
      </c>
      <c r="C10114">
        <v>-44</v>
      </c>
    </row>
    <row r="10115" spans="1:3" x14ac:dyDescent="0.25">
      <c r="A10115">
        <v>37</v>
      </c>
      <c r="B10115" t="str">
        <f>"9:04:59.823520"</f>
        <v>9:04:59.823520</v>
      </c>
      <c r="C10115">
        <v>-40</v>
      </c>
    </row>
    <row r="10116" spans="1:3" x14ac:dyDescent="0.25">
      <c r="A10116">
        <v>37</v>
      </c>
      <c r="B10116" t="str">
        <f>"9:04:59.823845"</f>
        <v>9:04:59.823845</v>
      </c>
      <c r="C10116">
        <v>-44</v>
      </c>
    </row>
    <row r="10117" spans="1:3" x14ac:dyDescent="0.25">
      <c r="A10117">
        <v>38</v>
      </c>
      <c r="B10117" t="str">
        <f>"9:04:59.824622"</f>
        <v>9:04:59.824622</v>
      </c>
      <c r="C10117">
        <v>-41</v>
      </c>
    </row>
    <row r="10118" spans="1:3" x14ac:dyDescent="0.25">
      <c r="A10118">
        <v>39</v>
      </c>
      <c r="B10118" t="str">
        <f>"9:04:59.825648"</f>
        <v>9:04:59.825648</v>
      </c>
      <c r="C10118">
        <v>-46</v>
      </c>
    </row>
    <row r="10119" spans="1:3" x14ac:dyDescent="0.25">
      <c r="A10119">
        <v>37</v>
      </c>
      <c r="B10119" t="str">
        <f>"9:05:00.181173"</f>
        <v>9:05:00.181173</v>
      </c>
      <c r="C10119">
        <v>-44</v>
      </c>
    </row>
    <row r="10120" spans="1:3" x14ac:dyDescent="0.25">
      <c r="A10120">
        <v>38</v>
      </c>
      <c r="B10120" t="str">
        <f>"9:05:00.182200"</f>
        <v>9:05:00.182200</v>
      </c>
      <c r="C10120">
        <v>-41</v>
      </c>
    </row>
    <row r="10121" spans="1:3" x14ac:dyDescent="0.25">
      <c r="A10121">
        <v>39</v>
      </c>
      <c r="B10121" t="str">
        <f>"9:05:00.183226"</f>
        <v>9:05:00.183226</v>
      </c>
      <c r="C10121">
        <v>-46</v>
      </c>
    </row>
    <row r="10122" spans="1:3" x14ac:dyDescent="0.25">
      <c r="A10122">
        <v>37</v>
      </c>
      <c r="B10122" t="str">
        <f>"9:05:00.535014"</f>
        <v>9:05:00.535014</v>
      </c>
      <c r="C10122">
        <v>-44</v>
      </c>
    </row>
    <row r="10123" spans="1:3" x14ac:dyDescent="0.25">
      <c r="A10123">
        <v>37</v>
      </c>
      <c r="B10123" t="str">
        <f>"9:05:00.535532"</f>
        <v>9:05:00.535532</v>
      </c>
      <c r="C10123">
        <v>-40</v>
      </c>
    </row>
    <row r="10124" spans="1:3" x14ac:dyDescent="0.25">
      <c r="A10124">
        <v>37</v>
      </c>
      <c r="B10124" t="str">
        <f>"9:05:00.535858"</f>
        <v>9:05:00.535858</v>
      </c>
      <c r="C10124">
        <v>-44</v>
      </c>
    </row>
    <row r="10125" spans="1:3" x14ac:dyDescent="0.25">
      <c r="A10125">
        <v>38</v>
      </c>
      <c r="B10125" t="str">
        <f>"9:05:00.536634"</f>
        <v>9:05:00.536634</v>
      </c>
      <c r="C10125">
        <v>-41</v>
      </c>
    </row>
    <row r="10126" spans="1:3" x14ac:dyDescent="0.25">
      <c r="A10126">
        <v>39</v>
      </c>
      <c r="B10126" t="str">
        <f>"9:05:00.537660"</f>
        <v>9:05:00.537660</v>
      </c>
      <c r="C10126">
        <v>-46</v>
      </c>
    </row>
    <row r="10127" spans="1:3" x14ac:dyDescent="0.25">
      <c r="A10127">
        <v>37</v>
      </c>
      <c r="B10127" t="str">
        <f>"9:05:00.887267"</f>
        <v>9:05:00.887267</v>
      </c>
      <c r="C10127">
        <v>-43</v>
      </c>
    </row>
    <row r="10128" spans="1:3" x14ac:dyDescent="0.25">
      <c r="A10128">
        <v>37</v>
      </c>
      <c r="B10128" t="str">
        <f>"9:05:00.887786"</f>
        <v>9:05:00.887786</v>
      </c>
      <c r="C10128">
        <v>-40</v>
      </c>
    </row>
    <row r="10129" spans="1:3" x14ac:dyDescent="0.25">
      <c r="A10129">
        <v>37</v>
      </c>
      <c r="B10129" t="str">
        <f>"9:05:00.888112"</f>
        <v>9:05:00.888112</v>
      </c>
      <c r="C10129">
        <v>-44</v>
      </c>
    </row>
    <row r="10130" spans="1:3" x14ac:dyDescent="0.25">
      <c r="A10130">
        <v>38</v>
      </c>
      <c r="B10130" t="str">
        <f>"9:05:00.888888"</f>
        <v>9:05:00.888888</v>
      </c>
      <c r="C10130">
        <v>-41</v>
      </c>
    </row>
    <row r="10131" spans="1:3" x14ac:dyDescent="0.25">
      <c r="A10131">
        <v>39</v>
      </c>
      <c r="B10131" t="str">
        <f>"9:05:00.889914"</f>
        <v>9:05:00.889914</v>
      </c>
      <c r="C10131">
        <v>-45</v>
      </c>
    </row>
    <row r="10132" spans="1:3" x14ac:dyDescent="0.25">
      <c r="A10132">
        <v>37</v>
      </c>
      <c r="B10132" t="str">
        <f>"9:05:01.245974"</f>
        <v>9:05:01.245974</v>
      </c>
      <c r="C10132">
        <v>-43</v>
      </c>
    </row>
    <row r="10133" spans="1:3" x14ac:dyDescent="0.25">
      <c r="A10133">
        <v>37</v>
      </c>
      <c r="B10133" t="str">
        <f>"9:05:01.246492"</f>
        <v>9:05:01.246492</v>
      </c>
      <c r="C10133">
        <v>-40</v>
      </c>
    </row>
    <row r="10134" spans="1:3" x14ac:dyDescent="0.25">
      <c r="A10134">
        <v>37</v>
      </c>
      <c r="B10134" t="str">
        <f>"9:05:01.246818"</f>
        <v>9:05:01.246818</v>
      </c>
      <c r="C10134">
        <v>-44</v>
      </c>
    </row>
    <row r="10135" spans="1:3" x14ac:dyDescent="0.25">
      <c r="A10135">
        <v>38</v>
      </c>
      <c r="B10135" t="str">
        <f>"9:05:01.247594"</f>
        <v>9:05:01.247594</v>
      </c>
      <c r="C10135">
        <v>-41</v>
      </c>
    </row>
    <row r="10136" spans="1:3" x14ac:dyDescent="0.25">
      <c r="A10136">
        <v>39</v>
      </c>
      <c r="B10136" t="str">
        <f>"9:05:01.248620"</f>
        <v>9:05:01.248620</v>
      </c>
      <c r="C10136">
        <v>-45</v>
      </c>
    </row>
    <row r="10137" spans="1:3" x14ac:dyDescent="0.25">
      <c r="A10137">
        <v>37</v>
      </c>
      <c r="B10137" t="str">
        <f>"9:05:01.598718"</f>
        <v>9:05:01.598718</v>
      </c>
      <c r="C10137">
        <v>-44</v>
      </c>
    </row>
    <row r="10138" spans="1:3" x14ac:dyDescent="0.25">
      <c r="A10138">
        <v>37</v>
      </c>
      <c r="B10138" t="str">
        <f>"9:05:01.599236"</f>
        <v>9:05:01.599236</v>
      </c>
      <c r="C10138">
        <v>-40</v>
      </c>
    </row>
    <row r="10139" spans="1:3" x14ac:dyDescent="0.25">
      <c r="A10139">
        <v>37</v>
      </c>
      <c r="B10139" t="str">
        <f>"9:05:01.599562"</f>
        <v>9:05:01.599562</v>
      </c>
      <c r="C10139">
        <v>-44</v>
      </c>
    </row>
    <row r="10140" spans="1:3" x14ac:dyDescent="0.25">
      <c r="A10140">
        <v>38</v>
      </c>
      <c r="B10140" t="str">
        <f>"9:05:01.600338"</f>
        <v>9:05:01.600338</v>
      </c>
      <c r="C10140">
        <v>-41</v>
      </c>
    </row>
    <row r="10141" spans="1:3" x14ac:dyDescent="0.25">
      <c r="A10141">
        <v>39</v>
      </c>
      <c r="B10141" t="str">
        <f>"9:05:01.601364"</f>
        <v>9:05:01.601364</v>
      </c>
      <c r="C10141">
        <v>-45</v>
      </c>
    </row>
    <row r="10142" spans="1:3" x14ac:dyDescent="0.25">
      <c r="A10142">
        <v>37</v>
      </c>
      <c r="B10142" t="str">
        <f>"9:05:01.952794"</f>
        <v>9:05:01.952794</v>
      </c>
      <c r="C10142">
        <v>-44</v>
      </c>
    </row>
    <row r="10143" spans="1:3" x14ac:dyDescent="0.25">
      <c r="A10143">
        <v>37</v>
      </c>
      <c r="B10143" t="str">
        <f>"9:05:01.953313"</f>
        <v>9:05:01.953313</v>
      </c>
      <c r="C10143">
        <v>-40</v>
      </c>
    </row>
    <row r="10144" spans="1:3" x14ac:dyDescent="0.25">
      <c r="A10144">
        <v>37</v>
      </c>
      <c r="B10144" t="str">
        <f>"9:05:01.953639"</f>
        <v>9:05:01.953639</v>
      </c>
      <c r="C10144">
        <v>-44</v>
      </c>
    </row>
    <row r="10145" spans="1:3" x14ac:dyDescent="0.25">
      <c r="A10145">
        <v>38</v>
      </c>
      <c r="B10145" t="str">
        <f>"9:05:01.954416"</f>
        <v>9:05:01.954416</v>
      </c>
      <c r="C10145">
        <v>-41</v>
      </c>
    </row>
    <row r="10146" spans="1:3" x14ac:dyDescent="0.25">
      <c r="A10146">
        <v>39</v>
      </c>
      <c r="B10146" t="str">
        <f>"9:05:01.955442"</f>
        <v>9:05:01.955442</v>
      </c>
      <c r="C10146">
        <v>-45</v>
      </c>
    </row>
    <row r="10147" spans="1:3" x14ac:dyDescent="0.25">
      <c r="A10147">
        <v>37</v>
      </c>
      <c r="B10147" t="str">
        <f>"9:05:02.307382"</f>
        <v>9:05:02.307382</v>
      </c>
      <c r="C10147">
        <v>-44</v>
      </c>
    </row>
    <row r="10148" spans="1:3" x14ac:dyDescent="0.25">
      <c r="A10148">
        <v>37</v>
      </c>
      <c r="B10148" t="str">
        <f>"9:05:02.307900"</f>
        <v>9:05:02.307900</v>
      </c>
      <c r="C10148">
        <v>-40</v>
      </c>
    </row>
    <row r="10149" spans="1:3" x14ac:dyDescent="0.25">
      <c r="A10149">
        <v>37</v>
      </c>
      <c r="B10149" t="str">
        <f>"9:05:02.308226"</f>
        <v>9:05:02.308226</v>
      </c>
      <c r="C10149">
        <v>-44</v>
      </c>
    </row>
    <row r="10150" spans="1:3" x14ac:dyDescent="0.25">
      <c r="A10150">
        <v>38</v>
      </c>
      <c r="B10150" t="str">
        <f>"9:05:02.309002"</f>
        <v>9:05:02.309002</v>
      </c>
      <c r="C10150">
        <v>-41</v>
      </c>
    </row>
    <row r="10151" spans="1:3" x14ac:dyDescent="0.25">
      <c r="A10151">
        <v>39</v>
      </c>
      <c r="B10151" t="str">
        <f>"9:05:02.310028"</f>
        <v>9:05:02.310028</v>
      </c>
      <c r="C10151">
        <v>-45</v>
      </c>
    </row>
    <row r="10152" spans="1:3" x14ac:dyDescent="0.25">
      <c r="A10152">
        <v>37</v>
      </c>
      <c r="B10152" t="str">
        <f>"9:05:02.665011"</f>
        <v>9:05:02.665011</v>
      </c>
      <c r="C10152">
        <v>-43</v>
      </c>
    </row>
    <row r="10153" spans="1:3" x14ac:dyDescent="0.25">
      <c r="A10153">
        <v>37</v>
      </c>
      <c r="B10153" t="str">
        <f>"9:05:02.665529"</f>
        <v>9:05:02.665529</v>
      </c>
      <c r="C10153">
        <v>-40</v>
      </c>
    </row>
    <row r="10154" spans="1:3" x14ac:dyDescent="0.25">
      <c r="A10154">
        <v>37</v>
      </c>
      <c r="B10154" t="str">
        <f>"9:05:02.665855"</f>
        <v>9:05:02.665855</v>
      </c>
      <c r="C10154">
        <v>-44</v>
      </c>
    </row>
    <row r="10155" spans="1:3" x14ac:dyDescent="0.25">
      <c r="A10155">
        <v>38</v>
      </c>
      <c r="B10155" t="str">
        <f>"9:05:02.666631"</f>
        <v>9:05:02.666631</v>
      </c>
      <c r="C10155">
        <v>-41</v>
      </c>
    </row>
    <row r="10156" spans="1:3" x14ac:dyDescent="0.25">
      <c r="A10156">
        <v>39</v>
      </c>
      <c r="B10156" t="str">
        <f>"9:05:02.667657"</f>
        <v>9:05:02.667657</v>
      </c>
      <c r="C10156">
        <v>-45</v>
      </c>
    </row>
    <row r="10157" spans="1:3" x14ac:dyDescent="0.25">
      <c r="A10157">
        <v>37</v>
      </c>
      <c r="B10157" t="str">
        <f>"9:05:03.018621"</f>
        <v>9:05:03.018621</v>
      </c>
      <c r="C10157">
        <v>-44</v>
      </c>
    </row>
    <row r="10158" spans="1:3" x14ac:dyDescent="0.25">
      <c r="A10158">
        <v>38</v>
      </c>
      <c r="B10158" t="str">
        <f>"9:05:03.019648"</f>
        <v>9:05:03.019648</v>
      </c>
      <c r="C10158">
        <v>-41</v>
      </c>
    </row>
    <row r="10159" spans="1:3" x14ac:dyDescent="0.25">
      <c r="A10159">
        <v>39</v>
      </c>
      <c r="B10159" t="str">
        <f>"9:05:03.020674"</f>
        <v>9:05:03.020674</v>
      </c>
      <c r="C10159">
        <v>-45</v>
      </c>
    </row>
    <row r="10160" spans="1:3" x14ac:dyDescent="0.25">
      <c r="A10160">
        <v>37</v>
      </c>
      <c r="B10160" t="str">
        <f>"9:05:03.373748"</f>
        <v>9:05:03.373748</v>
      </c>
      <c r="C10160">
        <v>-44</v>
      </c>
    </row>
    <row r="10161" spans="1:3" x14ac:dyDescent="0.25">
      <c r="A10161">
        <v>37</v>
      </c>
      <c r="B10161" t="str">
        <f>"9:05:03.374267"</f>
        <v>9:05:03.374267</v>
      </c>
      <c r="C10161">
        <v>-40</v>
      </c>
    </row>
    <row r="10162" spans="1:3" x14ac:dyDescent="0.25">
      <c r="A10162">
        <v>37</v>
      </c>
      <c r="B10162" t="str">
        <f>"9:05:03.374593"</f>
        <v>9:05:03.374593</v>
      </c>
      <c r="C10162">
        <v>-44</v>
      </c>
    </row>
    <row r="10163" spans="1:3" x14ac:dyDescent="0.25">
      <c r="A10163">
        <v>38</v>
      </c>
      <c r="B10163" t="str">
        <f>"9:05:03.375369"</f>
        <v>9:05:03.375369</v>
      </c>
      <c r="C10163">
        <v>-41</v>
      </c>
    </row>
    <row r="10164" spans="1:3" x14ac:dyDescent="0.25">
      <c r="A10164">
        <v>39</v>
      </c>
      <c r="B10164" t="str">
        <f>"9:05:03.376395"</f>
        <v>9:05:03.376395</v>
      </c>
      <c r="C10164">
        <v>-45</v>
      </c>
    </row>
    <row r="10165" spans="1:3" x14ac:dyDescent="0.25">
      <c r="A10165">
        <v>37</v>
      </c>
      <c r="B10165" t="str">
        <f>"9:05:03.727291"</f>
        <v>9:05:03.727291</v>
      </c>
      <c r="C10165">
        <v>-43</v>
      </c>
    </row>
    <row r="10166" spans="1:3" x14ac:dyDescent="0.25">
      <c r="A10166">
        <v>37</v>
      </c>
      <c r="B10166" t="str">
        <f>"9:05:03.727810"</f>
        <v>9:05:03.727810</v>
      </c>
      <c r="C10166">
        <v>-41</v>
      </c>
    </row>
    <row r="10167" spans="1:3" x14ac:dyDescent="0.25">
      <c r="A10167">
        <v>37</v>
      </c>
      <c r="B10167" t="str">
        <f>"9:05:03.728135"</f>
        <v>9:05:03.728135</v>
      </c>
      <c r="C10167">
        <v>-44</v>
      </c>
    </row>
    <row r="10168" spans="1:3" x14ac:dyDescent="0.25">
      <c r="A10168">
        <v>38</v>
      </c>
      <c r="B10168" t="str">
        <f>"9:05:03.728912"</f>
        <v>9:05:03.728912</v>
      </c>
      <c r="C10168">
        <v>-41</v>
      </c>
    </row>
    <row r="10169" spans="1:3" x14ac:dyDescent="0.25">
      <c r="A10169">
        <v>39</v>
      </c>
      <c r="B10169" t="str">
        <f>"9:05:03.729938"</f>
        <v>9:05:03.729938</v>
      </c>
      <c r="C10169">
        <v>-46</v>
      </c>
    </row>
    <row r="10170" spans="1:3" x14ac:dyDescent="0.25">
      <c r="A10170">
        <v>37</v>
      </c>
      <c r="B10170" t="str">
        <f>"9:05:04.081125"</f>
        <v>9:05:04.081125</v>
      </c>
      <c r="C10170">
        <v>-43</v>
      </c>
    </row>
    <row r="10171" spans="1:3" x14ac:dyDescent="0.25">
      <c r="A10171">
        <v>37</v>
      </c>
      <c r="B10171" t="str">
        <f>"9:05:04.081644"</f>
        <v>9:05:04.081644</v>
      </c>
      <c r="C10171">
        <v>-74</v>
      </c>
    </row>
    <row r="10172" spans="1:3" x14ac:dyDescent="0.25">
      <c r="A10172">
        <v>38</v>
      </c>
      <c r="B10172" t="str">
        <f>"9:05:04.082285"</f>
        <v>9:05:04.082285</v>
      </c>
      <c r="C10172">
        <v>-41</v>
      </c>
    </row>
    <row r="10173" spans="1:3" x14ac:dyDescent="0.25">
      <c r="A10173">
        <v>39</v>
      </c>
      <c r="B10173" t="str">
        <f>"9:05:04.083311"</f>
        <v>9:05:04.083311</v>
      </c>
      <c r="C10173">
        <v>-45</v>
      </c>
    </row>
    <row r="10174" spans="1:3" x14ac:dyDescent="0.25">
      <c r="A10174">
        <v>39</v>
      </c>
      <c r="B10174" t="str">
        <f>"9:05:04.083830"</f>
        <v>9:05:04.083830</v>
      </c>
      <c r="C10174">
        <v>-86</v>
      </c>
    </row>
    <row r="10175" spans="1:3" x14ac:dyDescent="0.25">
      <c r="A10175">
        <v>37</v>
      </c>
      <c r="B10175" t="str">
        <f>"9:05:04.437022"</f>
        <v>9:05:04.437022</v>
      </c>
      <c r="C10175">
        <v>-43</v>
      </c>
    </row>
    <row r="10176" spans="1:3" x14ac:dyDescent="0.25">
      <c r="A10176">
        <v>38</v>
      </c>
      <c r="B10176" t="str">
        <f>"9:05:04.438050"</f>
        <v>9:05:04.438050</v>
      </c>
      <c r="C10176">
        <v>-41</v>
      </c>
    </row>
    <row r="10177" spans="1:3" x14ac:dyDescent="0.25">
      <c r="A10177">
        <v>38</v>
      </c>
      <c r="B10177" t="str">
        <f>"9:05:04.438569"</f>
        <v>9:05:04.438569</v>
      </c>
      <c r="C10177">
        <v>-32</v>
      </c>
    </row>
    <row r="10178" spans="1:3" x14ac:dyDescent="0.25">
      <c r="A10178">
        <v>38</v>
      </c>
      <c r="B10178" t="str">
        <f>"9:05:04.438895"</f>
        <v>9:05:04.438895</v>
      </c>
      <c r="C10178">
        <v>-41</v>
      </c>
    </row>
    <row r="10179" spans="1:3" x14ac:dyDescent="0.25">
      <c r="A10179">
        <v>39</v>
      </c>
      <c r="B10179" t="str">
        <f>"9:05:04.439671"</f>
        <v>9:05:04.439671</v>
      </c>
      <c r="C10179">
        <v>-46</v>
      </c>
    </row>
    <row r="10180" spans="1:3" x14ac:dyDescent="0.25">
      <c r="A10180">
        <v>37</v>
      </c>
      <c r="B10180" t="str">
        <f>"9:05:04.789526"</f>
        <v>9:05:04.789526</v>
      </c>
      <c r="C10180">
        <v>-43</v>
      </c>
    </row>
    <row r="10181" spans="1:3" x14ac:dyDescent="0.25">
      <c r="A10181">
        <v>38</v>
      </c>
      <c r="B10181" t="str">
        <f>"9:05:04.790553"</f>
        <v>9:05:04.790553</v>
      </c>
      <c r="C10181">
        <v>-41</v>
      </c>
    </row>
    <row r="10182" spans="1:3" x14ac:dyDescent="0.25">
      <c r="A10182">
        <v>38</v>
      </c>
      <c r="B10182" t="str">
        <f>"9:05:04.791072"</f>
        <v>9:05:04.791072</v>
      </c>
      <c r="C10182">
        <v>-32</v>
      </c>
    </row>
    <row r="10183" spans="1:3" x14ac:dyDescent="0.25">
      <c r="A10183">
        <v>38</v>
      </c>
      <c r="B10183" t="str">
        <f>"9:05:04.791398"</f>
        <v>9:05:04.791398</v>
      </c>
      <c r="C10183">
        <v>-41</v>
      </c>
    </row>
    <row r="10184" spans="1:3" x14ac:dyDescent="0.25">
      <c r="A10184">
        <v>39</v>
      </c>
      <c r="B10184" t="str">
        <f>"9:05:04.792174"</f>
        <v>9:05:04.792174</v>
      </c>
      <c r="C10184">
        <v>-45</v>
      </c>
    </row>
    <row r="10185" spans="1:3" x14ac:dyDescent="0.25">
      <c r="A10185">
        <v>37</v>
      </c>
      <c r="B10185" t="str">
        <f>"9:05:05.143322"</f>
        <v>9:05:05.143322</v>
      </c>
      <c r="C10185">
        <v>-44</v>
      </c>
    </row>
    <row r="10186" spans="1:3" x14ac:dyDescent="0.25">
      <c r="A10186">
        <v>38</v>
      </c>
      <c r="B10186" t="str">
        <f>"9:05:05.144349"</f>
        <v>9:05:05.144349</v>
      </c>
      <c r="C10186">
        <v>-41</v>
      </c>
    </row>
    <row r="10187" spans="1:3" x14ac:dyDescent="0.25">
      <c r="A10187">
        <v>39</v>
      </c>
      <c r="B10187" t="str">
        <f>"9:05:05.145375"</f>
        <v>9:05:05.145375</v>
      </c>
      <c r="C10187">
        <v>-46</v>
      </c>
    </row>
    <row r="10188" spans="1:3" x14ac:dyDescent="0.25">
      <c r="A10188">
        <v>37</v>
      </c>
      <c r="B10188" t="str">
        <f>"9:05:05.501235"</f>
        <v>9:05:05.501235</v>
      </c>
      <c r="C10188">
        <v>-44</v>
      </c>
    </row>
    <row r="10189" spans="1:3" x14ac:dyDescent="0.25">
      <c r="A10189">
        <v>38</v>
      </c>
      <c r="B10189" t="str">
        <f>"9:05:05.502262"</f>
        <v>9:05:05.502262</v>
      </c>
      <c r="C10189">
        <v>-41</v>
      </c>
    </row>
    <row r="10190" spans="1:3" x14ac:dyDescent="0.25">
      <c r="A10190">
        <v>39</v>
      </c>
      <c r="B10190" t="str">
        <f>"9:05:05.503288"</f>
        <v>9:05:05.503288</v>
      </c>
      <c r="C10190">
        <v>-46</v>
      </c>
    </row>
    <row r="10191" spans="1:3" x14ac:dyDescent="0.25">
      <c r="A10191">
        <v>37</v>
      </c>
      <c r="B10191" t="str">
        <f>"9:05:05.857620"</f>
        <v>9:05:05.857620</v>
      </c>
      <c r="C10191">
        <v>-44</v>
      </c>
    </row>
    <row r="10192" spans="1:3" x14ac:dyDescent="0.25">
      <c r="A10192">
        <v>38</v>
      </c>
      <c r="B10192" t="str">
        <f>"9:05:05.858647"</f>
        <v>9:05:05.858647</v>
      </c>
      <c r="C10192">
        <v>-41</v>
      </c>
    </row>
    <row r="10193" spans="1:3" x14ac:dyDescent="0.25">
      <c r="A10193">
        <v>38</v>
      </c>
      <c r="B10193" t="str">
        <f>"9:05:05.859165"</f>
        <v>9:05:05.859165</v>
      </c>
      <c r="C10193">
        <v>-32</v>
      </c>
    </row>
    <row r="10194" spans="1:3" x14ac:dyDescent="0.25">
      <c r="A10194">
        <v>38</v>
      </c>
      <c r="B10194" t="str">
        <f>"9:05:05.859491"</f>
        <v>9:05:05.859491</v>
      </c>
      <c r="C10194">
        <v>-41</v>
      </c>
    </row>
    <row r="10195" spans="1:3" x14ac:dyDescent="0.25">
      <c r="A10195">
        <v>39</v>
      </c>
      <c r="B10195" t="str">
        <f>"9:05:05.860267"</f>
        <v>9:05:05.860267</v>
      </c>
      <c r="C10195">
        <v>-46</v>
      </c>
    </row>
    <row r="10196" spans="1:3" x14ac:dyDescent="0.25">
      <c r="A10196">
        <v>37</v>
      </c>
      <c r="B10196" t="str">
        <f>"9:05:06.213526"</f>
        <v>9:05:06.213526</v>
      </c>
      <c r="C10196">
        <v>-44</v>
      </c>
    </row>
    <row r="10197" spans="1:3" x14ac:dyDescent="0.25">
      <c r="A10197">
        <v>38</v>
      </c>
      <c r="B10197" t="str">
        <f>"9:05:06.214553"</f>
        <v>9:05:06.214553</v>
      </c>
      <c r="C10197">
        <v>-41</v>
      </c>
    </row>
    <row r="10198" spans="1:3" x14ac:dyDescent="0.25">
      <c r="A10198">
        <v>38</v>
      </c>
      <c r="B10198" t="str">
        <f>"9:05:06.215072"</f>
        <v>9:05:06.215072</v>
      </c>
      <c r="C10198">
        <v>-32</v>
      </c>
    </row>
    <row r="10199" spans="1:3" x14ac:dyDescent="0.25">
      <c r="A10199">
        <v>38</v>
      </c>
      <c r="B10199" t="str">
        <f>"9:05:06.215398"</f>
        <v>9:05:06.215398</v>
      </c>
      <c r="C10199">
        <v>-41</v>
      </c>
    </row>
    <row r="10200" spans="1:3" x14ac:dyDescent="0.25">
      <c r="A10200">
        <v>39</v>
      </c>
      <c r="B10200" t="str">
        <f>"9:05:06.216174"</f>
        <v>9:05:06.216174</v>
      </c>
      <c r="C10200">
        <v>-46</v>
      </c>
    </row>
    <row r="10201" spans="1:3" x14ac:dyDescent="0.25">
      <c r="A10201">
        <v>39</v>
      </c>
      <c r="B10201" t="str">
        <f>"9:05:06.216693"</f>
        <v>9:05:06.216693</v>
      </c>
      <c r="C10201">
        <v>-86</v>
      </c>
    </row>
    <row r="10202" spans="1:3" x14ac:dyDescent="0.25">
      <c r="A10202">
        <v>39</v>
      </c>
      <c r="B10202" t="str">
        <f>"9:05:06.217019"</f>
        <v>9:05:06.217019</v>
      </c>
      <c r="C10202">
        <v>-45</v>
      </c>
    </row>
    <row r="10203" spans="1:3" x14ac:dyDescent="0.25">
      <c r="A10203">
        <v>37</v>
      </c>
      <c r="B10203" t="str">
        <f>"9:05:06.563786"</f>
        <v>9:05:06.563786</v>
      </c>
      <c r="C10203">
        <v>-44</v>
      </c>
    </row>
    <row r="10204" spans="1:3" x14ac:dyDescent="0.25">
      <c r="A10204">
        <v>38</v>
      </c>
      <c r="B10204" t="str">
        <f>"9:05:06.564814"</f>
        <v>9:05:06.564814</v>
      </c>
      <c r="C10204">
        <v>-41</v>
      </c>
    </row>
    <row r="10205" spans="1:3" x14ac:dyDescent="0.25">
      <c r="A10205">
        <v>39</v>
      </c>
      <c r="B10205" t="str">
        <f>"9:05:06.565840"</f>
        <v>9:05:06.565840</v>
      </c>
      <c r="C10205">
        <v>-46</v>
      </c>
    </row>
    <row r="10206" spans="1:3" x14ac:dyDescent="0.25">
      <c r="A10206">
        <v>37</v>
      </c>
      <c r="B10206" t="str">
        <f>"9:05:06.914480"</f>
        <v>9:05:06.914480</v>
      </c>
      <c r="C10206">
        <v>-44</v>
      </c>
    </row>
    <row r="10207" spans="1:3" x14ac:dyDescent="0.25">
      <c r="A10207">
        <v>38</v>
      </c>
      <c r="B10207" t="str">
        <f>"9:05:06.915507"</f>
        <v>9:05:06.915507</v>
      </c>
      <c r="C10207">
        <v>-41</v>
      </c>
    </row>
    <row r="10208" spans="1:3" x14ac:dyDescent="0.25">
      <c r="A10208">
        <v>38</v>
      </c>
      <c r="B10208" t="str">
        <f>"9:05:06.916025"</f>
        <v>9:05:06.916025</v>
      </c>
      <c r="C10208">
        <v>-32</v>
      </c>
    </row>
    <row r="10209" spans="1:3" x14ac:dyDescent="0.25">
      <c r="A10209">
        <v>38</v>
      </c>
      <c r="B10209" t="str">
        <f>"9:05:06.916351"</f>
        <v>9:05:06.916351</v>
      </c>
      <c r="C10209">
        <v>-41</v>
      </c>
    </row>
    <row r="10210" spans="1:3" x14ac:dyDescent="0.25">
      <c r="A10210">
        <v>39</v>
      </c>
      <c r="B10210" t="str">
        <f>"9:05:06.917127"</f>
        <v>9:05:06.917127</v>
      </c>
      <c r="C10210">
        <v>-46</v>
      </c>
    </row>
    <row r="10211" spans="1:3" x14ac:dyDescent="0.25">
      <c r="A10211">
        <v>37</v>
      </c>
      <c r="B10211" t="str">
        <f>"9:05:07.269607"</f>
        <v>9:05:07.269607</v>
      </c>
      <c r="C10211">
        <v>-44</v>
      </c>
    </row>
    <row r="10212" spans="1:3" x14ac:dyDescent="0.25">
      <c r="A10212">
        <v>37</v>
      </c>
      <c r="B10212" t="str">
        <f>"9:05:07.270126"</f>
        <v>9:05:07.270126</v>
      </c>
      <c r="C10212">
        <v>-75</v>
      </c>
    </row>
    <row r="10213" spans="1:3" x14ac:dyDescent="0.25">
      <c r="A10213">
        <v>37</v>
      </c>
      <c r="B10213" t="str">
        <f>"9:05:07.270452"</f>
        <v>9:05:07.270452</v>
      </c>
      <c r="C10213">
        <v>-44</v>
      </c>
    </row>
    <row r="10214" spans="1:3" x14ac:dyDescent="0.25">
      <c r="A10214">
        <v>38</v>
      </c>
      <c r="B10214" t="str">
        <f>"9:05:07.271229"</f>
        <v>9:05:07.271229</v>
      </c>
      <c r="C10214">
        <v>-41</v>
      </c>
    </row>
    <row r="10215" spans="1:3" x14ac:dyDescent="0.25">
      <c r="A10215">
        <v>38</v>
      </c>
      <c r="B10215" t="str">
        <f>"9:05:07.271748"</f>
        <v>9:05:07.271748</v>
      </c>
      <c r="C10215">
        <v>-32</v>
      </c>
    </row>
    <row r="10216" spans="1:3" x14ac:dyDescent="0.25">
      <c r="A10216">
        <v>38</v>
      </c>
      <c r="B10216" t="str">
        <f>"9:05:07.272074"</f>
        <v>9:05:07.272074</v>
      </c>
      <c r="C10216">
        <v>-41</v>
      </c>
    </row>
    <row r="10217" spans="1:3" x14ac:dyDescent="0.25">
      <c r="A10217">
        <v>39</v>
      </c>
      <c r="B10217" t="str">
        <f>"9:05:07.272850"</f>
        <v>9:05:07.272850</v>
      </c>
      <c r="C10217">
        <v>-46</v>
      </c>
    </row>
    <row r="10218" spans="1:3" x14ac:dyDescent="0.25">
      <c r="A10218">
        <v>37</v>
      </c>
      <c r="B10218" t="str">
        <f>"9:05:07.620366"</f>
        <v>9:05:07.620366</v>
      </c>
      <c r="C10218">
        <v>-44</v>
      </c>
    </row>
    <row r="10219" spans="1:3" x14ac:dyDescent="0.25">
      <c r="A10219">
        <v>38</v>
      </c>
      <c r="B10219" t="str">
        <f>"9:05:07.621393"</f>
        <v>9:05:07.621393</v>
      </c>
      <c r="C10219">
        <v>-41</v>
      </c>
    </row>
    <row r="10220" spans="1:3" x14ac:dyDescent="0.25">
      <c r="A10220">
        <v>38</v>
      </c>
      <c r="B10220" t="str">
        <f>"9:05:07.621912"</f>
        <v>9:05:07.621912</v>
      </c>
      <c r="C10220">
        <v>-32</v>
      </c>
    </row>
    <row r="10221" spans="1:3" x14ac:dyDescent="0.25">
      <c r="A10221">
        <v>38</v>
      </c>
      <c r="B10221" t="str">
        <f>"9:05:07.622238"</f>
        <v>9:05:07.622238</v>
      </c>
      <c r="C10221">
        <v>-41</v>
      </c>
    </row>
    <row r="10222" spans="1:3" x14ac:dyDescent="0.25">
      <c r="A10222">
        <v>39</v>
      </c>
      <c r="B10222" t="str">
        <f>"9:05:07.623014"</f>
        <v>9:05:07.623014</v>
      </c>
      <c r="C10222">
        <v>-46</v>
      </c>
    </row>
    <row r="10223" spans="1:3" x14ac:dyDescent="0.25">
      <c r="A10223">
        <v>37</v>
      </c>
      <c r="B10223" t="str">
        <f>"9:05:07.972180"</f>
        <v>9:05:07.972180</v>
      </c>
      <c r="C10223">
        <v>-44</v>
      </c>
    </row>
    <row r="10224" spans="1:3" x14ac:dyDescent="0.25">
      <c r="A10224">
        <v>38</v>
      </c>
      <c r="B10224" t="str">
        <f>"9:05:07.973207"</f>
        <v>9:05:07.973207</v>
      </c>
      <c r="C10224">
        <v>-41</v>
      </c>
    </row>
    <row r="10225" spans="1:3" x14ac:dyDescent="0.25">
      <c r="A10225">
        <v>38</v>
      </c>
      <c r="B10225" t="str">
        <f>"9:05:07.973726"</f>
        <v>9:05:07.973726</v>
      </c>
      <c r="C10225">
        <v>-32</v>
      </c>
    </row>
    <row r="10226" spans="1:3" x14ac:dyDescent="0.25">
      <c r="A10226">
        <v>38</v>
      </c>
      <c r="B10226" t="str">
        <f>"9:05:07.974052"</f>
        <v>9:05:07.974052</v>
      </c>
      <c r="C10226">
        <v>-41</v>
      </c>
    </row>
    <row r="10227" spans="1:3" x14ac:dyDescent="0.25">
      <c r="A10227">
        <v>39</v>
      </c>
      <c r="B10227" t="str">
        <f>"9:05:07.974828"</f>
        <v>9:05:07.974828</v>
      </c>
      <c r="C10227">
        <v>-45</v>
      </c>
    </row>
    <row r="10228" spans="1:3" x14ac:dyDescent="0.25">
      <c r="A10228">
        <v>37</v>
      </c>
      <c r="B10228" t="str">
        <f>"9:05:08.326248"</f>
        <v>9:05:08.326248</v>
      </c>
      <c r="C10228">
        <v>-44</v>
      </c>
    </row>
    <row r="10229" spans="1:3" x14ac:dyDescent="0.25">
      <c r="A10229">
        <v>38</v>
      </c>
      <c r="B10229" t="str">
        <f>"9:05:08.327275"</f>
        <v>9:05:08.327275</v>
      </c>
      <c r="C10229">
        <v>-41</v>
      </c>
    </row>
    <row r="10230" spans="1:3" x14ac:dyDescent="0.25">
      <c r="A10230">
        <v>38</v>
      </c>
      <c r="B10230" t="str">
        <f>"9:05:08.327794"</f>
        <v>9:05:08.327794</v>
      </c>
      <c r="C10230">
        <v>-32</v>
      </c>
    </row>
    <row r="10231" spans="1:3" x14ac:dyDescent="0.25">
      <c r="A10231">
        <v>38</v>
      </c>
      <c r="B10231" t="str">
        <f>"9:05:08.328120"</f>
        <v>9:05:08.328120</v>
      </c>
      <c r="C10231">
        <v>-41</v>
      </c>
    </row>
    <row r="10232" spans="1:3" x14ac:dyDescent="0.25">
      <c r="A10232">
        <v>39</v>
      </c>
      <c r="B10232" t="str">
        <f>"9:05:08.328896"</f>
        <v>9:05:08.328896</v>
      </c>
      <c r="C10232">
        <v>-46</v>
      </c>
    </row>
    <row r="10233" spans="1:3" x14ac:dyDescent="0.25">
      <c r="A10233">
        <v>37</v>
      </c>
      <c r="B10233" t="str">
        <f>"9:05:08.678736"</f>
        <v>9:05:08.678736</v>
      </c>
      <c r="C10233">
        <v>-44</v>
      </c>
    </row>
    <row r="10234" spans="1:3" x14ac:dyDescent="0.25">
      <c r="A10234">
        <v>38</v>
      </c>
      <c r="B10234" t="str">
        <f>"9:05:08.679764"</f>
        <v>9:05:08.679764</v>
      </c>
      <c r="C10234">
        <v>-41</v>
      </c>
    </row>
    <row r="10235" spans="1:3" x14ac:dyDescent="0.25">
      <c r="A10235">
        <v>38</v>
      </c>
      <c r="B10235" t="str">
        <f>"9:05:08.680282"</f>
        <v>9:05:08.680282</v>
      </c>
      <c r="C10235">
        <v>-32</v>
      </c>
    </row>
    <row r="10236" spans="1:3" x14ac:dyDescent="0.25">
      <c r="A10236">
        <v>38</v>
      </c>
      <c r="B10236" t="str">
        <f>"9:05:08.680608"</f>
        <v>9:05:08.680608</v>
      </c>
      <c r="C10236">
        <v>-41</v>
      </c>
    </row>
    <row r="10237" spans="1:3" x14ac:dyDescent="0.25">
      <c r="A10237">
        <v>39</v>
      </c>
      <c r="B10237" t="str">
        <f>"9:05:08.681384"</f>
        <v>9:05:08.681384</v>
      </c>
      <c r="C10237">
        <v>-46</v>
      </c>
    </row>
    <row r="10238" spans="1:3" x14ac:dyDescent="0.25">
      <c r="A10238">
        <v>37</v>
      </c>
      <c r="B10238" t="str">
        <f>"9:05:09.036690"</f>
        <v>9:05:09.036690</v>
      </c>
      <c r="C10238">
        <v>-44</v>
      </c>
    </row>
    <row r="10239" spans="1:3" x14ac:dyDescent="0.25">
      <c r="A10239">
        <v>38</v>
      </c>
      <c r="B10239" t="str">
        <f>"9:05:09.037718"</f>
        <v>9:05:09.037718</v>
      </c>
      <c r="C10239">
        <v>-41</v>
      </c>
    </row>
    <row r="10240" spans="1:3" x14ac:dyDescent="0.25">
      <c r="A10240">
        <v>38</v>
      </c>
      <c r="B10240" t="str">
        <f>"9:05:09.038236"</f>
        <v>9:05:09.038236</v>
      </c>
      <c r="C10240">
        <v>-32</v>
      </c>
    </row>
    <row r="10241" spans="1:3" x14ac:dyDescent="0.25">
      <c r="A10241">
        <v>38</v>
      </c>
      <c r="B10241" t="str">
        <f>"9:05:09.038562"</f>
        <v>9:05:09.038562</v>
      </c>
      <c r="C10241">
        <v>-41</v>
      </c>
    </row>
    <row r="10242" spans="1:3" x14ac:dyDescent="0.25">
      <c r="A10242">
        <v>39</v>
      </c>
      <c r="B10242" t="str">
        <f>"9:05:09.039338"</f>
        <v>9:05:09.039338</v>
      </c>
      <c r="C10242">
        <v>-46</v>
      </c>
    </row>
    <row r="10243" spans="1:3" x14ac:dyDescent="0.25">
      <c r="A10243">
        <v>37</v>
      </c>
      <c r="B10243" t="str">
        <f>"9:05:09.394887"</f>
        <v>9:05:09.394887</v>
      </c>
      <c r="C10243">
        <v>-44</v>
      </c>
    </row>
    <row r="10244" spans="1:3" x14ac:dyDescent="0.25">
      <c r="A10244">
        <v>38</v>
      </c>
      <c r="B10244" t="str">
        <f>"9:05:09.395914"</f>
        <v>9:05:09.395914</v>
      </c>
      <c r="C10244">
        <v>-41</v>
      </c>
    </row>
    <row r="10245" spans="1:3" x14ac:dyDescent="0.25">
      <c r="A10245">
        <v>38</v>
      </c>
      <c r="B10245" t="str">
        <f>"9:05:09.396432"</f>
        <v>9:05:09.396432</v>
      </c>
      <c r="C10245">
        <v>-32</v>
      </c>
    </row>
    <row r="10246" spans="1:3" x14ac:dyDescent="0.25">
      <c r="A10246">
        <v>38</v>
      </c>
      <c r="B10246" t="str">
        <f>"9:05:09.396758"</f>
        <v>9:05:09.396758</v>
      </c>
      <c r="C10246">
        <v>-41</v>
      </c>
    </row>
    <row r="10247" spans="1:3" x14ac:dyDescent="0.25">
      <c r="A10247">
        <v>39</v>
      </c>
      <c r="B10247" t="str">
        <f>"9:05:09.397534"</f>
        <v>9:05:09.397534</v>
      </c>
      <c r="C10247">
        <v>-46</v>
      </c>
    </row>
    <row r="10248" spans="1:3" x14ac:dyDescent="0.25">
      <c r="A10248">
        <v>37</v>
      </c>
      <c r="B10248" t="str">
        <f>"9:05:09.753089"</f>
        <v>9:05:09.753089</v>
      </c>
      <c r="C10248">
        <v>-44</v>
      </c>
    </row>
    <row r="10249" spans="1:3" x14ac:dyDescent="0.25">
      <c r="A10249">
        <v>38</v>
      </c>
      <c r="B10249" t="str">
        <f>"9:05:09.754116"</f>
        <v>9:05:09.754116</v>
      </c>
      <c r="C10249">
        <v>-41</v>
      </c>
    </row>
    <row r="10250" spans="1:3" x14ac:dyDescent="0.25">
      <c r="A10250">
        <v>39</v>
      </c>
      <c r="B10250" t="str">
        <f>"9:05:09.755142"</f>
        <v>9:05:09.755142</v>
      </c>
      <c r="C10250">
        <v>-46</v>
      </c>
    </row>
    <row r="10251" spans="1:3" x14ac:dyDescent="0.25">
      <c r="A10251">
        <v>39</v>
      </c>
      <c r="B10251" t="str">
        <f>"9:05:09.755660"</f>
        <v>9:05:09.755660</v>
      </c>
      <c r="C10251">
        <v>-31</v>
      </c>
    </row>
    <row r="10252" spans="1:3" x14ac:dyDescent="0.25">
      <c r="A10252">
        <v>39</v>
      </c>
      <c r="B10252" t="str">
        <f>"9:05:09.755986"</f>
        <v>9:05:09.755986</v>
      </c>
      <c r="C10252">
        <v>-45</v>
      </c>
    </row>
    <row r="10253" spans="1:3" x14ac:dyDescent="0.25">
      <c r="A10253">
        <v>37</v>
      </c>
      <c r="B10253" t="str">
        <f>"9:05:10.109426"</f>
        <v>9:05:10.109426</v>
      </c>
      <c r="C10253">
        <v>-44</v>
      </c>
    </row>
    <row r="10254" spans="1:3" x14ac:dyDescent="0.25">
      <c r="A10254">
        <v>38</v>
      </c>
      <c r="B10254" t="str">
        <f>"9:05:10.110453"</f>
        <v>9:05:10.110453</v>
      </c>
      <c r="C10254">
        <v>-41</v>
      </c>
    </row>
    <row r="10255" spans="1:3" x14ac:dyDescent="0.25">
      <c r="A10255">
        <v>39</v>
      </c>
      <c r="B10255" t="str">
        <f>"9:05:10.111479"</f>
        <v>9:05:10.111479</v>
      </c>
      <c r="C10255">
        <v>-46</v>
      </c>
    </row>
    <row r="10256" spans="1:3" x14ac:dyDescent="0.25">
      <c r="A10256">
        <v>39</v>
      </c>
      <c r="B10256" t="str">
        <f>"9:05:10.111997"</f>
        <v>9:05:10.111997</v>
      </c>
      <c r="C10256">
        <v>-31</v>
      </c>
    </row>
    <row r="10257" spans="1:3" x14ac:dyDescent="0.25">
      <c r="A10257">
        <v>39</v>
      </c>
      <c r="B10257" t="str">
        <f>"9:05:10.112323"</f>
        <v>9:05:10.112323</v>
      </c>
      <c r="C10257">
        <v>-45</v>
      </c>
    </row>
    <row r="10258" spans="1:3" x14ac:dyDescent="0.25">
      <c r="A10258">
        <v>37</v>
      </c>
      <c r="B10258" t="str">
        <f>"9:05:10.467085"</f>
        <v>9:05:10.467085</v>
      </c>
      <c r="C10258">
        <v>-44</v>
      </c>
    </row>
    <row r="10259" spans="1:3" x14ac:dyDescent="0.25">
      <c r="A10259">
        <v>38</v>
      </c>
      <c r="B10259" t="str">
        <f>"9:05:10.468112"</f>
        <v>9:05:10.468112</v>
      </c>
      <c r="C10259">
        <v>-41</v>
      </c>
    </row>
    <row r="10260" spans="1:3" x14ac:dyDescent="0.25">
      <c r="A10260">
        <v>39</v>
      </c>
      <c r="B10260" t="str">
        <f>"9:05:10.469138"</f>
        <v>9:05:10.469138</v>
      </c>
      <c r="C10260">
        <v>-46</v>
      </c>
    </row>
    <row r="10261" spans="1:3" x14ac:dyDescent="0.25">
      <c r="A10261">
        <v>39</v>
      </c>
      <c r="B10261" t="str">
        <f>"9:05:10.469657"</f>
        <v>9:05:10.469657</v>
      </c>
      <c r="C10261">
        <v>-31</v>
      </c>
    </row>
    <row r="10262" spans="1:3" x14ac:dyDescent="0.25">
      <c r="A10262">
        <v>39</v>
      </c>
      <c r="B10262" t="str">
        <f>"9:05:10.469983"</f>
        <v>9:05:10.469983</v>
      </c>
      <c r="C10262">
        <v>-45</v>
      </c>
    </row>
    <row r="10263" spans="1:3" x14ac:dyDescent="0.25">
      <c r="A10263">
        <v>37</v>
      </c>
      <c r="B10263" t="str">
        <f>"9:05:10.826758"</f>
        <v>9:05:10.826758</v>
      </c>
      <c r="C10263">
        <v>-44</v>
      </c>
    </row>
    <row r="10264" spans="1:3" x14ac:dyDescent="0.25">
      <c r="A10264">
        <v>38</v>
      </c>
      <c r="B10264" t="str">
        <f>"9:05:10.827786"</f>
        <v>9:05:10.827786</v>
      </c>
      <c r="C10264">
        <v>-41</v>
      </c>
    </row>
    <row r="10265" spans="1:3" x14ac:dyDescent="0.25">
      <c r="A10265">
        <v>39</v>
      </c>
      <c r="B10265" t="str">
        <f>"9:05:10.828812"</f>
        <v>9:05:10.828812</v>
      </c>
      <c r="C10265">
        <v>-46</v>
      </c>
    </row>
    <row r="10266" spans="1:3" x14ac:dyDescent="0.25">
      <c r="A10266">
        <v>39</v>
      </c>
      <c r="B10266" t="str">
        <f>"9:05:10.829330"</f>
        <v>9:05:10.829330</v>
      </c>
      <c r="C10266">
        <v>-31</v>
      </c>
    </row>
    <row r="10267" spans="1:3" x14ac:dyDescent="0.25">
      <c r="A10267">
        <v>39</v>
      </c>
      <c r="B10267" t="str">
        <f>"9:05:10.829656"</f>
        <v>9:05:10.829656</v>
      </c>
      <c r="C10267">
        <v>-45</v>
      </c>
    </row>
    <row r="10268" spans="1:3" x14ac:dyDescent="0.25">
      <c r="A10268">
        <v>37</v>
      </c>
      <c r="B10268" t="str">
        <f>"9:05:11.177249"</f>
        <v>9:05:11.177249</v>
      </c>
      <c r="C10268">
        <v>-44</v>
      </c>
    </row>
    <row r="10269" spans="1:3" x14ac:dyDescent="0.25">
      <c r="A10269">
        <v>38</v>
      </c>
      <c r="B10269" t="str">
        <f>"9:05:11.178276"</f>
        <v>9:05:11.178276</v>
      </c>
      <c r="C10269">
        <v>-41</v>
      </c>
    </row>
    <row r="10270" spans="1:3" x14ac:dyDescent="0.25">
      <c r="A10270">
        <v>39</v>
      </c>
      <c r="B10270" t="str">
        <f>"9:05:11.179302"</f>
        <v>9:05:11.179302</v>
      </c>
      <c r="C10270">
        <v>-46</v>
      </c>
    </row>
    <row r="10271" spans="1:3" x14ac:dyDescent="0.25">
      <c r="A10271">
        <v>39</v>
      </c>
      <c r="B10271" t="str">
        <f>"9:05:11.179821"</f>
        <v>9:05:11.179821</v>
      </c>
      <c r="C10271">
        <v>-31</v>
      </c>
    </row>
    <row r="10272" spans="1:3" x14ac:dyDescent="0.25">
      <c r="A10272">
        <v>39</v>
      </c>
      <c r="B10272" t="str">
        <f>"9:05:11.180146"</f>
        <v>9:05:11.180146</v>
      </c>
      <c r="C10272">
        <v>-45</v>
      </c>
    </row>
    <row r="10273" spans="1:3" x14ac:dyDescent="0.25">
      <c r="A10273">
        <v>37</v>
      </c>
      <c r="B10273" t="str">
        <f>"9:05:11.532858"</f>
        <v>9:05:11.532858</v>
      </c>
      <c r="C10273">
        <v>-44</v>
      </c>
    </row>
    <row r="10274" spans="1:3" x14ac:dyDescent="0.25">
      <c r="A10274">
        <v>38</v>
      </c>
      <c r="B10274" t="str">
        <f>"9:05:11.533886"</f>
        <v>9:05:11.533886</v>
      </c>
      <c r="C10274">
        <v>-41</v>
      </c>
    </row>
    <row r="10275" spans="1:3" x14ac:dyDescent="0.25">
      <c r="A10275">
        <v>39</v>
      </c>
      <c r="B10275" t="str">
        <f>"9:05:11.534912"</f>
        <v>9:05:11.534912</v>
      </c>
      <c r="C10275">
        <v>-46</v>
      </c>
    </row>
    <row r="10276" spans="1:3" x14ac:dyDescent="0.25">
      <c r="A10276">
        <v>39</v>
      </c>
      <c r="B10276" t="str">
        <f>"9:05:11.535430"</f>
        <v>9:05:11.535430</v>
      </c>
      <c r="C10276">
        <v>-31</v>
      </c>
    </row>
    <row r="10277" spans="1:3" x14ac:dyDescent="0.25">
      <c r="A10277">
        <v>39</v>
      </c>
      <c r="B10277" t="str">
        <f>"9:05:11.535756"</f>
        <v>9:05:11.535756</v>
      </c>
      <c r="C10277">
        <v>-45</v>
      </c>
    </row>
    <row r="10278" spans="1:3" x14ac:dyDescent="0.25">
      <c r="A10278">
        <v>37</v>
      </c>
      <c r="B10278" t="str">
        <f>"9:05:11.884575"</f>
        <v>9:05:11.884575</v>
      </c>
      <c r="C10278">
        <v>-44</v>
      </c>
    </row>
    <row r="10279" spans="1:3" x14ac:dyDescent="0.25">
      <c r="A10279">
        <v>38</v>
      </c>
      <c r="B10279" t="str">
        <f>"9:05:11.885603"</f>
        <v>9:05:11.885603</v>
      </c>
      <c r="C10279">
        <v>-41</v>
      </c>
    </row>
    <row r="10280" spans="1:3" x14ac:dyDescent="0.25">
      <c r="A10280">
        <v>39</v>
      </c>
      <c r="B10280" t="str">
        <f>"9:05:11.886629"</f>
        <v>9:05:11.886629</v>
      </c>
      <c r="C10280">
        <v>-46</v>
      </c>
    </row>
    <row r="10281" spans="1:3" x14ac:dyDescent="0.25">
      <c r="A10281">
        <v>39</v>
      </c>
      <c r="B10281" t="str">
        <f>"9:05:11.887147"</f>
        <v>9:05:11.887147</v>
      </c>
      <c r="C10281">
        <v>-31</v>
      </c>
    </row>
    <row r="10282" spans="1:3" x14ac:dyDescent="0.25">
      <c r="A10282">
        <v>39</v>
      </c>
      <c r="B10282" t="str">
        <f>"9:05:11.887473"</f>
        <v>9:05:11.887473</v>
      </c>
      <c r="C10282">
        <v>-45</v>
      </c>
    </row>
    <row r="10283" spans="1:3" x14ac:dyDescent="0.25">
      <c r="A10283">
        <v>37</v>
      </c>
      <c r="B10283" t="str">
        <f>"9:05:12.242797"</f>
        <v>9:05:12.242797</v>
      </c>
      <c r="C10283">
        <v>-44</v>
      </c>
    </row>
    <row r="10284" spans="1:3" x14ac:dyDescent="0.25">
      <c r="A10284">
        <v>37</v>
      </c>
      <c r="B10284" t="str">
        <f>"9:05:12.243641"</f>
        <v>9:05:12.243641</v>
      </c>
      <c r="C10284">
        <v>-44</v>
      </c>
    </row>
    <row r="10285" spans="1:3" x14ac:dyDescent="0.25">
      <c r="A10285">
        <v>38</v>
      </c>
      <c r="B10285" t="str">
        <f>"9:05:12.244417"</f>
        <v>9:05:12.244417</v>
      </c>
      <c r="C10285">
        <v>-41</v>
      </c>
    </row>
    <row r="10286" spans="1:3" x14ac:dyDescent="0.25">
      <c r="A10286">
        <v>39</v>
      </c>
      <c r="B10286" t="str">
        <f>"9:05:12.245443"</f>
        <v>9:05:12.245443</v>
      </c>
      <c r="C10286">
        <v>-46</v>
      </c>
    </row>
    <row r="10287" spans="1:3" x14ac:dyDescent="0.25">
      <c r="A10287">
        <v>39</v>
      </c>
      <c r="B10287" t="str">
        <f>"9:05:12.245962"</f>
        <v>9:05:12.245962</v>
      </c>
      <c r="C10287">
        <v>-31</v>
      </c>
    </row>
    <row r="10288" spans="1:3" x14ac:dyDescent="0.25">
      <c r="A10288">
        <v>39</v>
      </c>
      <c r="B10288" t="str">
        <f>"9:05:12.246288"</f>
        <v>9:05:12.246288</v>
      </c>
      <c r="C10288">
        <v>-45</v>
      </c>
    </row>
    <row r="10289" spans="1:3" x14ac:dyDescent="0.25">
      <c r="A10289">
        <v>37</v>
      </c>
      <c r="B10289" t="str">
        <f>"9:05:12.597157"</f>
        <v>9:05:12.597157</v>
      </c>
      <c r="C10289">
        <v>-44</v>
      </c>
    </row>
    <row r="10290" spans="1:3" x14ac:dyDescent="0.25">
      <c r="A10290">
        <v>38</v>
      </c>
      <c r="B10290" t="str">
        <f>"9:05:12.598184"</f>
        <v>9:05:12.598184</v>
      </c>
      <c r="C10290">
        <v>-41</v>
      </c>
    </row>
    <row r="10291" spans="1:3" x14ac:dyDescent="0.25">
      <c r="A10291">
        <v>39</v>
      </c>
      <c r="B10291" t="str">
        <f>"9:05:12.599210"</f>
        <v>9:05:12.599210</v>
      </c>
      <c r="C10291">
        <v>-46</v>
      </c>
    </row>
    <row r="10292" spans="1:3" x14ac:dyDescent="0.25">
      <c r="A10292">
        <v>39</v>
      </c>
      <c r="B10292" t="str">
        <f>"9:05:12.599728"</f>
        <v>9:05:12.599728</v>
      </c>
      <c r="C10292">
        <v>-31</v>
      </c>
    </row>
    <row r="10293" spans="1:3" x14ac:dyDescent="0.25">
      <c r="A10293">
        <v>39</v>
      </c>
      <c r="B10293" t="str">
        <f>"9:05:12.600054"</f>
        <v>9:05:12.600054</v>
      </c>
      <c r="C10293">
        <v>-45</v>
      </c>
    </row>
    <row r="10294" spans="1:3" x14ac:dyDescent="0.25">
      <c r="A10294">
        <v>37</v>
      </c>
      <c r="B10294" t="str">
        <f>"9:05:12.956898"</f>
        <v>9:05:12.956898</v>
      </c>
      <c r="C10294">
        <v>-44</v>
      </c>
    </row>
    <row r="10295" spans="1:3" x14ac:dyDescent="0.25">
      <c r="A10295">
        <v>38</v>
      </c>
      <c r="B10295" t="str">
        <f>"9:05:12.957925"</f>
        <v>9:05:12.957925</v>
      </c>
      <c r="C10295">
        <v>-41</v>
      </c>
    </row>
    <row r="10296" spans="1:3" x14ac:dyDescent="0.25">
      <c r="A10296">
        <v>39</v>
      </c>
      <c r="B10296" t="str">
        <f>"9:05:12.958951"</f>
        <v>9:05:12.958951</v>
      </c>
      <c r="C10296">
        <v>-46</v>
      </c>
    </row>
    <row r="10297" spans="1:3" x14ac:dyDescent="0.25">
      <c r="A10297">
        <v>39</v>
      </c>
      <c r="B10297" t="str">
        <f>"9:05:12.959469"</f>
        <v>9:05:12.959469</v>
      </c>
      <c r="C10297">
        <v>-31</v>
      </c>
    </row>
    <row r="10298" spans="1:3" x14ac:dyDescent="0.25">
      <c r="A10298">
        <v>39</v>
      </c>
      <c r="B10298" t="str">
        <f>"9:05:12.959795"</f>
        <v>9:05:12.959795</v>
      </c>
      <c r="C10298">
        <v>-45</v>
      </c>
    </row>
    <row r="10299" spans="1:3" x14ac:dyDescent="0.25">
      <c r="A10299">
        <v>37</v>
      </c>
      <c r="B10299" t="str">
        <f>"9:05:13.313504"</f>
        <v>9:05:13.313504</v>
      </c>
      <c r="C10299">
        <v>-44</v>
      </c>
    </row>
    <row r="10300" spans="1:3" x14ac:dyDescent="0.25">
      <c r="A10300">
        <v>38</v>
      </c>
      <c r="B10300" t="str">
        <f>"9:05:13.314531"</f>
        <v>9:05:13.314531</v>
      </c>
      <c r="C10300">
        <v>-41</v>
      </c>
    </row>
    <row r="10301" spans="1:3" x14ac:dyDescent="0.25">
      <c r="A10301">
        <v>39</v>
      </c>
      <c r="B10301" t="str">
        <f>"9:05:13.315557"</f>
        <v>9:05:13.315557</v>
      </c>
      <c r="C10301">
        <v>-46</v>
      </c>
    </row>
    <row r="10302" spans="1:3" x14ac:dyDescent="0.25">
      <c r="A10302">
        <v>39</v>
      </c>
      <c r="B10302" t="str">
        <f>"9:05:13.316076"</f>
        <v>9:05:13.316076</v>
      </c>
      <c r="C10302">
        <v>-31</v>
      </c>
    </row>
    <row r="10303" spans="1:3" x14ac:dyDescent="0.25">
      <c r="A10303">
        <v>39</v>
      </c>
      <c r="B10303" t="str">
        <f>"9:05:13.316402"</f>
        <v>9:05:13.316402</v>
      </c>
      <c r="C10303">
        <v>-45</v>
      </c>
    </row>
    <row r="10304" spans="1:3" x14ac:dyDescent="0.25">
      <c r="A10304">
        <v>37</v>
      </c>
      <c r="B10304" t="str">
        <f>"9:05:13.667887"</f>
        <v>9:05:13.667887</v>
      </c>
      <c r="C10304">
        <v>-44</v>
      </c>
    </row>
    <row r="10305" spans="1:3" x14ac:dyDescent="0.25">
      <c r="A10305">
        <v>38</v>
      </c>
      <c r="B10305" t="str">
        <f>"9:05:13.668915"</f>
        <v>9:05:13.668915</v>
      </c>
      <c r="C10305">
        <v>-41</v>
      </c>
    </row>
    <row r="10306" spans="1:3" x14ac:dyDescent="0.25">
      <c r="A10306">
        <v>39</v>
      </c>
      <c r="B10306" t="str">
        <f>"9:05:13.669941"</f>
        <v>9:05:13.669941</v>
      </c>
      <c r="C10306">
        <v>-46</v>
      </c>
    </row>
    <row r="10307" spans="1:3" x14ac:dyDescent="0.25">
      <c r="A10307">
        <v>39</v>
      </c>
      <c r="B10307" t="str">
        <f>"9:05:13.670459"</f>
        <v>9:05:13.670459</v>
      </c>
      <c r="C10307">
        <v>-31</v>
      </c>
    </row>
    <row r="10308" spans="1:3" x14ac:dyDescent="0.25">
      <c r="A10308">
        <v>39</v>
      </c>
      <c r="B10308" t="str">
        <f>"9:05:13.670785"</f>
        <v>9:05:13.670785</v>
      </c>
      <c r="C10308">
        <v>-45</v>
      </c>
    </row>
    <row r="10309" spans="1:3" x14ac:dyDescent="0.25">
      <c r="A10309">
        <v>37</v>
      </c>
      <c r="B10309" t="str">
        <f>"9:05:14.020632"</f>
        <v>9:05:14.020632</v>
      </c>
      <c r="C10309">
        <v>-44</v>
      </c>
    </row>
    <row r="10310" spans="1:3" x14ac:dyDescent="0.25">
      <c r="A10310">
        <v>38</v>
      </c>
      <c r="B10310" t="str">
        <f>"9:05:14.021660"</f>
        <v>9:05:14.021660</v>
      </c>
      <c r="C10310">
        <v>-41</v>
      </c>
    </row>
    <row r="10311" spans="1:3" x14ac:dyDescent="0.25">
      <c r="A10311">
        <v>39</v>
      </c>
      <c r="B10311" t="str">
        <f>"9:05:14.022686"</f>
        <v>9:05:14.022686</v>
      </c>
      <c r="C10311">
        <v>-46</v>
      </c>
    </row>
    <row r="10312" spans="1:3" x14ac:dyDescent="0.25">
      <c r="A10312">
        <v>39</v>
      </c>
      <c r="B10312" t="str">
        <f>"9:05:14.023204"</f>
        <v>9:05:14.023204</v>
      </c>
      <c r="C10312">
        <v>-31</v>
      </c>
    </row>
    <row r="10313" spans="1:3" x14ac:dyDescent="0.25">
      <c r="A10313">
        <v>39</v>
      </c>
      <c r="B10313" t="str">
        <f>"9:05:14.023530"</f>
        <v>9:05:14.023530</v>
      </c>
      <c r="C10313">
        <v>-45</v>
      </c>
    </row>
    <row r="10314" spans="1:3" x14ac:dyDescent="0.25">
      <c r="A10314">
        <v>37</v>
      </c>
      <c r="B10314" t="str">
        <f>"9:05:14.374941"</f>
        <v>9:05:14.374941</v>
      </c>
      <c r="C10314">
        <v>-44</v>
      </c>
    </row>
    <row r="10315" spans="1:3" x14ac:dyDescent="0.25">
      <c r="A10315">
        <v>38</v>
      </c>
      <c r="B10315" t="str">
        <f>"9:05:14.375968"</f>
        <v>9:05:14.375968</v>
      </c>
      <c r="C10315">
        <v>-41</v>
      </c>
    </row>
    <row r="10316" spans="1:3" x14ac:dyDescent="0.25">
      <c r="A10316">
        <v>39</v>
      </c>
      <c r="B10316" t="str">
        <f>"9:05:14.376994"</f>
        <v>9:05:14.376994</v>
      </c>
      <c r="C10316">
        <v>-46</v>
      </c>
    </row>
    <row r="10317" spans="1:3" x14ac:dyDescent="0.25">
      <c r="A10317">
        <v>39</v>
      </c>
      <c r="B10317" t="str">
        <f>"9:05:14.377513"</f>
        <v>9:05:14.377513</v>
      </c>
      <c r="C10317">
        <v>-31</v>
      </c>
    </row>
    <row r="10318" spans="1:3" x14ac:dyDescent="0.25">
      <c r="A10318">
        <v>39</v>
      </c>
      <c r="B10318" t="str">
        <f>"9:05:14.377839"</f>
        <v>9:05:14.377839</v>
      </c>
      <c r="C10318">
        <v>-45</v>
      </c>
    </row>
    <row r="10319" spans="1:3" x14ac:dyDescent="0.25">
      <c r="A10319">
        <v>37</v>
      </c>
      <c r="B10319" t="str">
        <f>"9:05:14.726238"</f>
        <v>9:05:14.726238</v>
      </c>
      <c r="C10319">
        <v>-44</v>
      </c>
    </row>
    <row r="10320" spans="1:3" x14ac:dyDescent="0.25">
      <c r="A10320">
        <v>38</v>
      </c>
      <c r="B10320" t="str">
        <f>"9:05:14.727265"</f>
        <v>9:05:14.727265</v>
      </c>
      <c r="C10320">
        <v>-41</v>
      </c>
    </row>
    <row r="10321" spans="1:3" x14ac:dyDescent="0.25">
      <c r="A10321">
        <v>39</v>
      </c>
      <c r="B10321" t="str">
        <f>"9:05:14.728291"</f>
        <v>9:05:14.728291</v>
      </c>
      <c r="C10321">
        <v>-46</v>
      </c>
    </row>
    <row r="10322" spans="1:3" x14ac:dyDescent="0.25">
      <c r="A10322">
        <v>37</v>
      </c>
      <c r="B10322" t="str">
        <f>"9:05:15.084451"</f>
        <v>9:05:15.084451</v>
      </c>
      <c r="C10322">
        <v>-44</v>
      </c>
    </row>
    <row r="10323" spans="1:3" x14ac:dyDescent="0.25">
      <c r="A10323">
        <v>37</v>
      </c>
      <c r="B10323" t="str">
        <f>"9:05:15.084970"</f>
        <v>9:05:15.084970</v>
      </c>
      <c r="C10323">
        <v>-37</v>
      </c>
    </row>
    <row r="10324" spans="1:3" x14ac:dyDescent="0.25">
      <c r="A10324">
        <v>37</v>
      </c>
      <c r="B10324" t="str">
        <f>"9:05:15.085296"</f>
        <v>9:05:15.085296</v>
      </c>
      <c r="C10324">
        <v>-44</v>
      </c>
    </row>
    <row r="10325" spans="1:3" x14ac:dyDescent="0.25">
      <c r="A10325">
        <v>38</v>
      </c>
      <c r="B10325" t="str">
        <f>"9:05:15.086072"</f>
        <v>9:05:15.086072</v>
      </c>
      <c r="C10325">
        <v>-41</v>
      </c>
    </row>
    <row r="10326" spans="1:3" x14ac:dyDescent="0.25">
      <c r="A10326">
        <v>39</v>
      </c>
      <c r="B10326" t="str">
        <f>"9:05:15.087098"</f>
        <v>9:05:15.087098</v>
      </c>
      <c r="C10326">
        <v>-46</v>
      </c>
    </row>
    <row r="10327" spans="1:3" x14ac:dyDescent="0.25">
      <c r="A10327">
        <v>37</v>
      </c>
      <c r="B10327" t="str">
        <f>"9:05:15.441845"</f>
        <v>9:05:15.441845</v>
      </c>
      <c r="C10327">
        <v>-44</v>
      </c>
    </row>
    <row r="10328" spans="1:3" x14ac:dyDescent="0.25">
      <c r="A10328">
        <v>37</v>
      </c>
      <c r="B10328" t="str">
        <f>"9:05:15.442363"</f>
        <v>9:05:15.442363</v>
      </c>
      <c r="C10328">
        <v>-37</v>
      </c>
    </row>
    <row r="10329" spans="1:3" x14ac:dyDescent="0.25">
      <c r="A10329">
        <v>37</v>
      </c>
      <c r="B10329" t="str">
        <f>"9:05:15.442689"</f>
        <v>9:05:15.442689</v>
      </c>
      <c r="C10329">
        <v>-44</v>
      </c>
    </row>
    <row r="10330" spans="1:3" x14ac:dyDescent="0.25">
      <c r="A10330">
        <v>38</v>
      </c>
      <c r="B10330" t="str">
        <f>"9:05:15.443465"</f>
        <v>9:05:15.443465</v>
      </c>
      <c r="C10330">
        <v>-41</v>
      </c>
    </row>
    <row r="10331" spans="1:3" x14ac:dyDescent="0.25">
      <c r="A10331">
        <v>39</v>
      </c>
      <c r="B10331" t="str">
        <f>"9:05:15.444491"</f>
        <v>9:05:15.444491</v>
      </c>
      <c r="C10331">
        <v>-46</v>
      </c>
    </row>
    <row r="10332" spans="1:3" x14ac:dyDescent="0.25">
      <c r="A10332">
        <v>39</v>
      </c>
      <c r="B10332" t="str">
        <f>"9:05:15.445337"</f>
        <v>9:05:15.445337</v>
      </c>
      <c r="C10332">
        <v>-45</v>
      </c>
    </row>
    <row r="10333" spans="1:3" x14ac:dyDescent="0.25">
      <c r="A10333">
        <v>37</v>
      </c>
      <c r="B10333" t="str">
        <f>"9:05:15.795382"</f>
        <v>9:05:15.795382</v>
      </c>
      <c r="C10333">
        <v>-44</v>
      </c>
    </row>
    <row r="10334" spans="1:3" x14ac:dyDescent="0.25">
      <c r="A10334">
        <v>37</v>
      </c>
      <c r="B10334" t="str">
        <f>"9:05:15.795900"</f>
        <v>9:05:15.795900</v>
      </c>
      <c r="C10334">
        <v>-37</v>
      </c>
    </row>
    <row r="10335" spans="1:3" x14ac:dyDescent="0.25">
      <c r="A10335">
        <v>37</v>
      </c>
      <c r="B10335" t="str">
        <f>"9:05:15.796226"</f>
        <v>9:05:15.796226</v>
      </c>
      <c r="C10335">
        <v>-44</v>
      </c>
    </row>
    <row r="10336" spans="1:3" x14ac:dyDescent="0.25">
      <c r="A10336">
        <v>38</v>
      </c>
      <c r="B10336" t="str">
        <f>"9:05:15.797002"</f>
        <v>9:05:15.797002</v>
      </c>
      <c r="C10336">
        <v>-41</v>
      </c>
    </row>
    <row r="10337" spans="1:3" x14ac:dyDescent="0.25">
      <c r="A10337">
        <v>39</v>
      </c>
      <c r="B10337" t="str">
        <f>"9:05:15.798028"</f>
        <v>9:05:15.798028</v>
      </c>
      <c r="C10337">
        <v>-46</v>
      </c>
    </row>
    <row r="10338" spans="1:3" x14ac:dyDescent="0.25">
      <c r="A10338">
        <v>38</v>
      </c>
      <c r="B10338" t="str">
        <f>"9:05:16.152267"</f>
        <v>9:05:16.152267</v>
      </c>
      <c r="C10338">
        <v>-41</v>
      </c>
    </row>
    <row r="10339" spans="1:3" x14ac:dyDescent="0.25">
      <c r="A10339">
        <v>39</v>
      </c>
      <c r="B10339" t="str">
        <f>"9:05:16.153293"</f>
        <v>9:05:16.153293</v>
      </c>
      <c r="C10339">
        <v>-46</v>
      </c>
    </row>
    <row r="10340" spans="1:3" x14ac:dyDescent="0.25">
      <c r="A10340">
        <v>37</v>
      </c>
      <c r="B10340" t="str">
        <f>"9:05:16.502776"</f>
        <v>9:05:16.502776</v>
      </c>
      <c r="C10340">
        <v>-44</v>
      </c>
    </row>
    <row r="10341" spans="1:3" x14ac:dyDescent="0.25">
      <c r="A10341">
        <v>37</v>
      </c>
      <c r="B10341" t="str">
        <f>"9:05:16.503294"</f>
        <v>9:05:16.503294</v>
      </c>
      <c r="C10341">
        <v>-37</v>
      </c>
    </row>
    <row r="10342" spans="1:3" x14ac:dyDescent="0.25">
      <c r="A10342">
        <v>37</v>
      </c>
      <c r="B10342" t="str">
        <f>"9:05:16.503620"</f>
        <v>9:05:16.503620</v>
      </c>
      <c r="C10342">
        <v>-44</v>
      </c>
    </row>
    <row r="10343" spans="1:3" x14ac:dyDescent="0.25">
      <c r="A10343">
        <v>38</v>
      </c>
      <c r="B10343" t="str">
        <f>"9:05:16.504396"</f>
        <v>9:05:16.504396</v>
      </c>
      <c r="C10343">
        <v>-41</v>
      </c>
    </row>
    <row r="10344" spans="1:3" x14ac:dyDescent="0.25">
      <c r="A10344">
        <v>39</v>
      </c>
      <c r="B10344" t="str">
        <f>"9:05:16.505422"</f>
        <v>9:05:16.505422</v>
      </c>
      <c r="C10344">
        <v>-46</v>
      </c>
    </row>
    <row r="10345" spans="1:3" x14ac:dyDescent="0.25">
      <c r="A10345">
        <v>37</v>
      </c>
      <c r="B10345" t="str">
        <f>"9:05:16.855891"</f>
        <v>9:05:16.855891</v>
      </c>
      <c r="C10345">
        <v>-44</v>
      </c>
    </row>
    <row r="10346" spans="1:3" x14ac:dyDescent="0.25">
      <c r="A10346">
        <v>37</v>
      </c>
      <c r="B10346" t="str">
        <f>"9:05:16.856409"</f>
        <v>9:05:16.856409</v>
      </c>
      <c r="C10346">
        <v>-37</v>
      </c>
    </row>
    <row r="10347" spans="1:3" x14ac:dyDescent="0.25">
      <c r="A10347">
        <v>37</v>
      </c>
      <c r="B10347" t="str">
        <f>"9:05:16.856736"</f>
        <v>9:05:16.856736</v>
      </c>
      <c r="C10347">
        <v>-44</v>
      </c>
    </row>
    <row r="10348" spans="1:3" x14ac:dyDescent="0.25">
      <c r="A10348">
        <v>38</v>
      </c>
      <c r="B10348" t="str">
        <f>"9:05:16.857512"</f>
        <v>9:05:16.857512</v>
      </c>
      <c r="C10348">
        <v>-41</v>
      </c>
    </row>
    <row r="10349" spans="1:3" x14ac:dyDescent="0.25">
      <c r="A10349">
        <v>39</v>
      </c>
      <c r="B10349" t="str">
        <f>"9:05:16.858538"</f>
        <v>9:05:16.858538</v>
      </c>
      <c r="C10349">
        <v>-46</v>
      </c>
    </row>
    <row r="10350" spans="1:3" x14ac:dyDescent="0.25">
      <c r="A10350">
        <v>37</v>
      </c>
      <c r="B10350" t="str">
        <f>"9:05:17.209423"</f>
        <v>9:05:17.209423</v>
      </c>
      <c r="C10350">
        <v>-44</v>
      </c>
    </row>
    <row r="10351" spans="1:3" x14ac:dyDescent="0.25">
      <c r="A10351">
        <v>37</v>
      </c>
      <c r="B10351" t="str">
        <f>"9:05:17.209942"</f>
        <v>9:05:17.209942</v>
      </c>
      <c r="C10351">
        <v>-37</v>
      </c>
    </row>
    <row r="10352" spans="1:3" x14ac:dyDescent="0.25">
      <c r="A10352">
        <v>37</v>
      </c>
      <c r="B10352" t="str">
        <f>"9:05:17.210269"</f>
        <v>9:05:17.210269</v>
      </c>
      <c r="C10352">
        <v>-44</v>
      </c>
    </row>
    <row r="10353" spans="1:3" x14ac:dyDescent="0.25">
      <c r="A10353">
        <v>38</v>
      </c>
      <c r="B10353" t="str">
        <f>"9:05:17.211045"</f>
        <v>9:05:17.211045</v>
      </c>
      <c r="C10353">
        <v>-41</v>
      </c>
    </row>
    <row r="10354" spans="1:3" x14ac:dyDescent="0.25">
      <c r="A10354">
        <v>39</v>
      </c>
      <c r="B10354" t="str">
        <f>"9:05:17.212071"</f>
        <v>9:05:17.212071</v>
      </c>
      <c r="C10354">
        <v>-46</v>
      </c>
    </row>
    <row r="10355" spans="1:3" x14ac:dyDescent="0.25">
      <c r="A10355">
        <v>37</v>
      </c>
      <c r="B10355" t="str">
        <f>"9:05:17.564073"</f>
        <v>9:05:17.564073</v>
      </c>
      <c r="C10355">
        <v>-44</v>
      </c>
    </row>
    <row r="10356" spans="1:3" x14ac:dyDescent="0.25">
      <c r="A10356">
        <v>38</v>
      </c>
      <c r="B10356" t="str">
        <f>"9:05:17.565100"</f>
        <v>9:05:17.565100</v>
      </c>
      <c r="C10356">
        <v>-41</v>
      </c>
    </row>
    <row r="10357" spans="1:3" x14ac:dyDescent="0.25">
      <c r="A10357">
        <v>39</v>
      </c>
      <c r="B10357" t="str">
        <f>"9:05:17.566126"</f>
        <v>9:05:17.566126</v>
      </c>
      <c r="C10357">
        <v>-45</v>
      </c>
    </row>
    <row r="10358" spans="1:3" x14ac:dyDescent="0.25">
      <c r="A10358">
        <v>37</v>
      </c>
      <c r="B10358" t="str">
        <f>"9:05:17.915908"</f>
        <v>9:05:17.915908</v>
      </c>
      <c r="C10358">
        <v>-44</v>
      </c>
    </row>
    <row r="10359" spans="1:3" x14ac:dyDescent="0.25">
      <c r="A10359">
        <v>37</v>
      </c>
      <c r="B10359" t="str">
        <f>"9:05:17.916427"</f>
        <v>9:05:17.916427</v>
      </c>
      <c r="C10359">
        <v>-40</v>
      </c>
    </row>
    <row r="10360" spans="1:3" x14ac:dyDescent="0.25">
      <c r="A10360">
        <v>37</v>
      </c>
      <c r="B10360" t="str">
        <f>"9:05:17.916753"</f>
        <v>9:05:17.916753</v>
      </c>
      <c r="C10360">
        <v>-44</v>
      </c>
    </row>
    <row r="10361" spans="1:3" x14ac:dyDescent="0.25">
      <c r="A10361">
        <v>38</v>
      </c>
      <c r="B10361" t="str">
        <f>"9:05:17.917529"</f>
        <v>9:05:17.917529</v>
      </c>
      <c r="C10361">
        <v>-41</v>
      </c>
    </row>
    <row r="10362" spans="1:3" x14ac:dyDescent="0.25">
      <c r="A10362">
        <v>39</v>
      </c>
      <c r="B10362" t="str">
        <f>"9:05:17.918555"</f>
        <v>9:05:17.918555</v>
      </c>
      <c r="C10362">
        <v>-45</v>
      </c>
    </row>
    <row r="10363" spans="1:3" x14ac:dyDescent="0.25">
      <c r="A10363">
        <v>37</v>
      </c>
      <c r="B10363" t="str">
        <f>"9:05:18.273850"</f>
        <v>9:05:18.273850</v>
      </c>
      <c r="C10363">
        <v>-44</v>
      </c>
    </row>
    <row r="10364" spans="1:3" x14ac:dyDescent="0.25">
      <c r="A10364">
        <v>37</v>
      </c>
      <c r="B10364" t="str">
        <f>"9:05:18.274369"</f>
        <v>9:05:18.274369</v>
      </c>
      <c r="C10364">
        <v>-40</v>
      </c>
    </row>
    <row r="10365" spans="1:3" x14ac:dyDescent="0.25">
      <c r="A10365">
        <v>37</v>
      </c>
      <c r="B10365" t="str">
        <f>"9:05:18.274694"</f>
        <v>9:05:18.274694</v>
      </c>
      <c r="C10365">
        <v>-44</v>
      </c>
    </row>
    <row r="10366" spans="1:3" x14ac:dyDescent="0.25">
      <c r="A10366">
        <v>38</v>
      </c>
      <c r="B10366" t="str">
        <f>"9:05:18.275471"</f>
        <v>9:05:18.275471</v>
      </c>
      <c r="C10366">
        <v>-41</v>
      </c>
    </row>
    <row r="10367" spans="1:3" x14ac:dyDescent="0.25">
      <c r="A10367">
        <v>39</v>
      </c>
      <c r="B10367" t="str">
        <f>"9:05:18.276497"</f>
        <v>9:05:18.276497</v>
      </c>
      <c r="C10367">
        <v>-45</v>
      </c>
    </row>
    <row r="10368" spans="1:3" x14ac:dyDescent="0.25">
      <c r="A10368">
        <v>37</v>
      </c>
      <c r="B10368" t="str">
        <f>"9:05:18.624834"</f>
        <v>9:05:18.624834</v>
      </c>
      <c r="C10368">
        <v>-44</v>
      </c>
    </row>
    <row r="10369" spans="1:3" x14ac:dyDescent="0.25">
      <c r="A10369">
        <v>37</v>
      </c>
      <c r="B10369" t="str">
        <f>"9:05:18.625353"</f>
        <v>9:05:18.625353</v>
      </c>
      <c r="C10369">
        <v>-40</v>
      </c>
    </row>
    <row r="10370" spans="1:3" x14ac:dyDescent="0.25">
      <c r="A10370">
        <v>37</v>
      </c>
      <c r="B10370" t="str">
        <f>"9:05:18.625678"</f>
        <v>9:05:18.625678</v>
      </c>
      <c r="C10370">
        <v>-44</v>
      </c>
    </row>
    <row r="10371" spans="1:3" x14ac:dyDescent="0.25">
      <c r="A10371">
        <v>38</v>
      </c>
      <c r="B10371" t="str">
        <f>"9:05:18.626455"</f>
        <v>9:05:18.626455</v>
      </c>
      <c r="C10371">
        <v>-41</v>
      </c>
    </row>
    <row r="10372" spans="1:3" x14ac:dyDescent="0.25">
      <c r="A10372">
        <v>39</v>
      </c>
      <c r="B10372" t="str">
        <f>"9:05:18.627481"</f>
        <v>9:05:18.627481</v>
      </c>
      <c r="C10372">
        <v>-45</v>
      </c>
    </row>
    <row r="10373" spans="1:3" x14ac:dyDescent="0.25">
      <c r="A10373">
        <v>37</v>
      </c>
      <c r="B10373" t="str">
        <f>"9:05:18.979388"</f>
        <v>9:05:18.979388</v>
      </c>
      <c r="C10373">
        <v>-44</v>
      </c>
    </row>
    <row r="10374" spans="1:3" x14ac:dyDescent="0.25">
      <c r="A10374">
        <v>37</v>
      </c>
      <c r="B10374" t="str">
        <f>"9:05:18.979907"</f>
        <v>9:05:18.979907</v>
      </c>
      <c r="C10374">
        <v>-40</v>
      </c>
    </row>
    <row r="10375" spans="1:3" x14ac:dyDescent="0.25">
      <c r="A10375">
        <v>37</v>
      </c>
      <c r="B10375" t="str">
        <f>"9:05:18.980233"</f>
        <v>9:05:18.980233</v>
      </c>
      <c r="C10375">
        <v>-44</v>
      </c>
    </row>
    <row r="10376" spans="1:3" x14ac:dyDescent="0.25">
      <c r="A10376">
        <v>38</v>
      </c>
      <c r="B10376" t="str">
        <f>"9:05:18.981009"</f>
        <v>9:05:18.981009</v>
      </c>
      <c r="C10376">
        <v>-41</v>
      </c>
    </row>
    <row r="10377" spans="1:3" x14ac:dyDescent="0.25">
      <c r="A10377">
        <v>39</v>
      </c>
      <c r="B10377" t="str">
        <f>"9:05:18.982035"</f>
        <v>9:05:18.982035</v>
      </c>
      <c r="C10377">
        <v>-45</v>
      </c>
    </row>
    <row r="10378" spans="1:3" x14ac:dyDescent="0.25">
      <c r="A10378">
        <v>37</v>
      </c>
      <c r="B10378" t="str">
        <f>"9:05:19.338311"</f>
        <v>9:05:19.338311</v>
      </c>
      <c r="C10378">
        <v>-44</v>
      </c>
    </row>
    <row r="10379" spans="1:3" x14ac:dyDescent="0.25">
      <c r="A10379">
        <v>37</v>
      </c>
      <c r="B10379" t="str">
        <f>"9:05:19.338830"</f>
        <v>9:05:19.338830</v>
      </c>
      <c r="C10379">
        <v>-42</v>
      </c>
    </row>
    <row r="10380" spans="1:3" x14ac:dyDescent="0.25">
      <c r="A10380">
        <v>37</v>
      </c>
      <c r="B10380" t="str">
        <f>"9:05:19.339155"</f>
        <v>9:05:19.339155</v>
      </c>
      <c r="C10380">
        <v>-44</v>
      </c>
    </row>
    <row r="10381" spans="1:3" x14ac:dyDescent="0.25">
      <c r="A10381">
        <v>38</v>
      </c>
      <c r="B10381" t="str">
        <f>"9:05:19.339932"</f>
        <v>9:05:19.339932</v>
      </c>
      <c r="C10381">
        <v>-41</v>
      </c>
    </row>
    <row r="10382" spans="1:3" x14ac:dyDescent="0.25">
      <c r="A10382">
        <v>39</v>
      </c>
      <c r="B10382" t="str">
        <f>"9:05:19.340958"</f>
        <v>9:05:19.340958</v>
      </c>
      <c r="C10382">
        <v>-45</v>
      </c>
    </row>
    <row r="10383" spans="1:3" x14ac:dyDescent="0.25">
      <c r="A10383">
        <v>37</v>
      </c>
      <c r="B10383" t="str">
        <f>"9:05:19.691644"</f>
        <v>9:05:19.691644</v>
      </c>
      <c r="C10383">
        <v>-44</v>
      </c>
    </row>
    <row r="10384" spans="1:3" x14ac:dyDescent="0.25">
      <c r="A10384">
        <v>38</v>
      </c>
      <c r="B10384" t="str">
        <f>"9:05:19.692671"</f>
        <v>9:05:19.692671</v>
      </c>
      <c r="C10384">
        <v>-41</v>
      </c>
    </row>
    <row r="10385" spans="1:3" x14ac:dyDescent="0.25">
      <c r="A10385">
        <v>39</v>
      </c>
      <c r="B10385" t="str">
        <f>"9:05:19.693697"</f>
        <v>9:05:19.693697</v>
      </c>
      <c r="C10385">
        <v>-46</v>
      </c>
    </row>
    <row r="10386" spans="1:3" x14ac:dyDescent="0.25">
      <c r="A10386">
        <v>37</v>
      </c>
      <c r="B10386" t="str">
        <f>"9:05:20.048527"</f>
        <v>9:05:20.048527</v>
      </c>
      <c r="C10386">
        <v>-44</v>
      </c>
    </row>
    <row r="10387" spans="1:3" x14ac:dyDescent="0.25">
      <c r="A10387">
        <v>38</v>
      </c>
      <c r="B10387" t="str">
        <f>"9:05:20.049555"</f>
        <v>9:05:20.049555</v>
      </c>
      <c r="C10387">
        <v>-41</v>
      </c>
    </row>
    <row r="10388" spans="1:3" x14ac:dyDescent="0.25">
      <c r="A10388">
        <v>38</v>
      </c>
      <c r="B10388" t="str">
        <f>"9:05:20.050073"</f>
        <v>9:05:20.050073</v>
      </c>
      <c r="C10388">
        <v>-32</v>
      </c>
    </row>
    <row r="10389" spans="1:3" x14ac:dyDescent="0.25">
      <c r="A10389">
        <v>38</v>
      </c>
      <c r="B10389" t="str">
        <f>"9:05:20.050399"</f>
        <v>9:05:20.050399</v>
      </c>
      <c r="C10389">
        <v>-41</v>
      </c>
    </row>
    <row r="10390" spans="1:3" x14ac:dyDescent="0.25">
      <c r="A10390">
        <v>39</v>
      </c>
      <c r="B10390" t="str">
        <f>"9:05:20.051175"</f>
        <v>9:05:20.051175</v>
      </c>
      <c r="C10390">
        <v>-46</v>
      </c>
    </row>
    <row r="10391" spans="1:3" x14ac:dyDescent="0.25">
      <c r="A10391">
        <v>37</v>
      </c>
      <c r="B10391" t="str">
        <f>"9:05:20.399261"</f>
        <v>9:05:20.399261</v>
      </c>
      <c r="C10391">
        <v>-44</v>
      </c>
    </row>
    <row r="10392" spans="1:3" x14ac:dyDescent="0.25">
      <c r="A10392">
        <v>38</v>
      </c>
      <c r="B10392" t="str">
        <f>"9:05:20.400289"</f>
        <v>9:05:20.400289</v>
      </c>
      <c r="C10392">
        <v>-41</v>
      </c>
    </row>
    <row r="10393" spans="1:3" x14ac:dyDescent="0.25">
      <c r="A10393">
        <v>38</v>
      </c>
      <c r="B10393" t="str">
        <f>"9:05:20.400807"</f>
        <v>9:05:20.400807</v>
      </c>
      <c r="C10393">
        <v>-32</v>
      </c>
    </row>
    <row r="10394" spans="1:3" x14ac:dyDescent="0.25">
      <c r="A10394">
        <v>38</v>
      </c>
      <c r="B10394" t="str">
        <f>"9:05:20.401133"</f>
        <v>9:05:20.401133</v>
      </c>
      <c r="C10394">
        <v>-41</v>
      </c>
    </row>
    <row r="10395" spans="1:3" x14ac:dyDescent="0.25">
      <c r="A10395">
        <v>39</v>
      </c>
      <c r="B10395" t="str">
        <f>"9:05:20.401909"</f>
        <v>9:05:20.401909</v>
      </c>
      <c r="C10395">
        <v>-46</v>
      </c>
    </row>
    <row r="10396" spans="1:3" x14ac:dyDescent="0.25">
      <c r="A10396">
        <v>37</v>
      </c>
      <c r="B10396" t="str">
        <f>"9:05:20.752270"</f>
        <v>9:05:20.752270</v>
      </c>
      <c r="C10396">
        <v>-44</v>
      </c>
    </row>
    <row r="10397" spans="1:3" x14ac:dyDescent="0.25">
      <c r="A10397">
        <v>38</v>
      </c>
      <c r="B10397" t="str">
        <f>"9:05:20.753298"</f>
        <v>9:05:20.753298</v>
      </c>
      <c r="C10397">
        <v>-41</v>
      </c>
    </row>
    <row r="10398" spans="1:3" x14ac:dyDescent="0.25">
      <c r="A10398">
        <v>38</v>
      </c>
      <c r="B10398" t="str">
        <f>"9:05:20.753816"</f>
        <v>9:05:20.753816</v>
      </c>
      <c r="C10398">
        <v>-32</v>
      </c>
    </row>
    <row r="10399" spans="1:3" x14ac:dyDescent="0.25">
      <c r="A10399">
        <v>38</v>
      </c>
      <c r="B10399" t="str">
        <f>"9:05:20.754142"</f>
        <v>9:05:20.754142</v>
      </c>
      <c r="C10399">
        <v>-41</v>
      </c>
    </row>
    <row r="10400" spans="1:3" x14ac:dyDescent="0.25">
      <c r="A10400">
        <v>39</v>
      </c>
      <c r="B10400" t="str">
        <f>"9:05:20.754918"</f>
        <v>9:05:20.754918</v>
      </c>
      <c r="C10400">
        <v>-45</v>
      </c>
    </row>
    <row r="10401" spans="1:3" x14ac:dyDescent="0.25">
      <c r="A10401">
        <v>37</v>
      </c>
      <c r="B10401" t="str">
        <f>"9:05:21.111017"</f>
        <v>9:05:21.111017</v>
      </c>
      <c r="C10401">
        <v>-44</v>
      </c>
    </row>
    <row r="10402" spans="1:3" x14ac:dyDescent="0.25">
      <c r="A10402">
        <v>38</v>
      </c>
      <c r="B10402" t="str">
        <f>"9:05:21.112045"</f>
        <v>9:05:21.112045</v>
      </c>
      <c r="C10402">
        <v>-41</v>
      </c>
    </row>
    <row r="10403" spans="1:3" x14ac:dyDescent="0.25">
      <c r="A10403">
        <v>38</v>
      </c>
      <c r="B10403" t="str">
        <f>"9:05:21.112563"</f>
        <v>9:05:21.112563</v>
      </c>
      <c r="C10403">
        <v>-32</v>
      </c>
    </row>
    <row r="10404" spans="1:3" x14ac:dyDescent="0.25">
      <c r="A10404">
        <v>38</v>
      </c>
      <c r="B10404" t="str">
        <f>"9:05:21.112889"</f>
        <v>9:05:21.112889</v>
      </c>
      <c r="C10404">
        <v>-41</v>
      </c>
    </row>
    <row r="10405" spans="1:3" x14ac:dyDescent="0.25">
      <c r="A10405">
        <v>39</v>
      </c>
      <c r="B10405" t="str">
        <f>"9:05:21.113665"</f>
        <v>9:05:21.113665</v>
      </c>
      <c r="C10405">
        <v>-45</v>
      </c>
    </row>
    <row r="10406" spans="1:3" x14ac:dyDescent="0.25">
      <c r="A10406">
        <v>37</v>
      </c>
      <c r="B10406" t="str">
        <f>"9:05:21.467185"</f>
        <v>9:05:21.467185</v>
      </c>
      <c r="C10406">
        <v>-44</v>
      </c>
    </row>
    <row r="10407" spans="1:3" x14ac:dyDescent="0.25">
      <c r="A10407">
        <v>38</v>
      </c>
      <c r="B10407" t="str">
        <f>"9:05:21.468212"</f>
        <v>9:05:21.468212</v>
      </c>
      <c r="C10407">
        <v>-41</v>
      </c>
    </row>
    <row r="10408" spans="1:3" x14ac:dyDescent="0.25">
      <c r="A10408">
        <v>38</v>
      </c>
      <c r="B10408" t="str">
        <f>"9:05:21.468731"</f>
        <v>9:05:21.468731</v>
      </c>
      <c r="C10408">
        <v>-32</v>
      </c>
    </row>
    <row r="10409" spans="1:3" x14ac:dyDescent="0.25">
      <c r="A10409">
        <v>38</v>
      </c>
      <c r="B10409" t="str">
        <f>"9:05:21.469057"</f>
        <v>9:05:21.469057</v>
      </c>
      <c r="C10409">
        <v>-41</v>
      </c>
    </row>
    <row r="10410" spans="1:3" x14ac:dyDescent="0.25">
      <c r="A10410">
        <v>39</v>
      </c>
      <c r="B10410" t="str">
        <f>"9:05:21.469832"</f>
        <v>9:05:21.469832</v>
      </c>
      <c r="C10410">
        <v>-45</v>
      </c>
    </row>
    <row r="10411" spans="1:3" x14ac:dyDescent="0.25">
      <c r="A10411">
        <v>37</v>
      </c>
      <c r="B10411" t="str">
        <f>"9:05:21.823801"</f>
        <v>9:05:21.823801</v>
      </c>
      <c r="C10411">
        <v>-44</v>
      </c>
    </row>
    <row r="10412" spans="1:3" x14ac:dyDescent="0.25">
      <c r="A10412">
        <v>38</v>
      </c>
      <c r="B10412" t="str">
        <f>"9:05:21.824829"</f>
        <v>9:05:21.824829</v>
      </c>
      <c r="C10412">
        <v>-41</v>
      </c>
    </row>
    <row r="10413" spans="1:3" x14ac:dyDescent="0.25">
      <c r="A10413">
        <v>38</v>
      </c>
      <c r="B10413" t="str">
        <f>"9:05:21.825347"</f>
        <v>9:05:21.825347</v>
      </c>
      <c r="C10413">
        <v>-32</v>
      </c>
    </row>
    <row r="10414" spans="1:3" x14ac:dyDescent="0.25">
      <c r="A10414">
        <v>38</v>
      </c>
      <c r="B10414" t="str">
        <f>"9:05:21.825673"</f>
        <v>9:05:21.825673</v>
      </c>
      <c r="C10414">
        <v>-41</v>
      </c>
    </row>
    <row r="10415" spans="1:3" x14ac:dyDescent="0.25">
      <c r="A10415">
        <v>39</v>
      </c>
      <c r="B10415" t="str">
        <f>"9:05:21.826449"</f>
        <v>9:05:21.826449</v>
      </c>
      <c r="C10415">
        <v>-45</v>
      </c>
    </row>
    <row r="10416" spans="1:3" x14ac:dyDescent="0.25">
      <c r="A10416">
        <v>37</v>
      </c>
      <c r="B10416" t="str">
        <f>"9:05:22.176861"</f>
        <v>9:05:22.176861</v>
      </c>
      <c r="C10416">
        <v>-44</v>
      </c>
    </row>
    <row r="10417" spans="1:3" x14ac:dyDescent="0.25">
      <c r="A10417">
        <v>38</v>
      </c>
      <c r="B10417" t="str">
        <f>"9:05:22.177889"</f>
        <v>9:05:22.177889</v>
      </c>
      <c r="C10417">
        <v>-41</v>
      </c>
    </row>
    <row r="10418" spans="1:3" x14ac:dyDescent="0.25">
      <c r="A10418">
        <v>38</v>
      </c>
      <c r="B10418" t="str">
        <f>"9:05:22.178407"</f>
        <v>9:05:22.178407</v>
      </c>
      <c r="C10418">
        <v>-32</v>
      </c>
    </row>
    <row r="10419" spans="1:3" x14ac:dyDescent="0.25">
      <c r="A10419">
        <v>38</v>
      </c>
      <c r="B10419" t="str">
        <f>"9:05:22.178733"</f>
        <v>9:05:22.178733</v>
      </c>
      <c r="C10419">
        <v>-41</v>
      </c>
    </row>
    <row r="10420" spans="1:3" x14ac:dyDescent="0.25">
      <c r="A10420">
        <v>39</v>
      </c>
      <c r="B10420" t="str">
        <f>"9:05:22.179509"</f>
        <v>9:05:22.179509</v>
      </c>
      <c r="C10420">
        <v>-45</v>
      </c>
    </row>
    <row r="10421" spans="1:3" x14ac:dyDescent="0.25">
      <c r="A10421">
        <v>37</v>
      </c>
      <c r="B10421" t="str">
        <f>"9:05:22.528140"</f>
        <v>9:05:22.528140</v>
      </c>
      <c r="C10421">
        <v>-44</v>
      </c>
    </row>
    <row r="10422" spans="1:3" x14ac:dyDescent="0.25">
      <c r="A10422">
        <v>38</v>
      </c>
      <c r="B10422" t="str">
        <f>"9:05:22.529168"</f>
        <v>9:05:22.529168</v>
      </c>
      <c r="C10422">
        <v>-41</v>
      </c>
    </row>
    <row r="10423" spans="1:3" x14ac:dyDescent="0.25">
      <c r="A10423">
        <v>38</v>
      </c>
      <c r="B10423" t="str">
        <f>"9:05:22.529686"</f>
        <v>9:05:22.529686</v>
      </c>
      <c r="C10423">
        <v>-32</v>
      </c>
    </row>
    <row r="10424" spans="1:3" x14ac:dyDescent="0.25">
      <c r="A10424">
        <v>38</v>
      </c>
      <c r="B10424" t="str">
        <f>"9:05:22.530012"</f>
        <v>9:05:22.530012</v>
      </c>
      <c r="C10424">
        <v>-41</v>
      </c>
    </row>
    <row r="10425" spans="1:3" x14ac:dyDescent="0.25">
      <c r="A10425">
        <v>39</v>
      </c>
      <c r="B10425" t="str">
        <f>"9:05:22.530788"</f>
        <v>9:05:22.530788</v>
      </c>
      <c r="C10425">
        <v>-45</v>
      </c>
    </row>
    <row r="10426" spans="1:3" x14ac:dyDescent="0.25">
      <c r="A10426">
        <v>37</v>
      </c>
      <c r="B10426" t="str">
        <f>"9:05:22.879125"</f>
        <v>9:05:22.879125</v>
      </c>
      <c r="C10426">
        <v>-44</v>
      </c>
    </row>
    <row r="10427" spans="1:3" x14ac:dyDescent="0.25">
      <c r="A10427">
        <v>38</v>
      </c>
      <c r="B10427" t="str">
        <f>"9:05:22.880152"</f>
        <v>9:05:22.880152</v>
      </c>
      <c r="C10427">
        <v>-41</v>
      </c>
    </row>
    <row r="10428" spans="1:3" x14ac:dyDescent="0.25">
      <c r="A10428">
        <v>38</v>
      </c>
      <c r="B10428" t="str">
        <f>"9:05:22.880671"</f>
        <v>9:05:22.880671</v>
      </c>
      <c r="C10428">
        <v>-32</v>
      </c>
    </row>
    <row r="10429" spans="1:3" x14ac:dyDescent="0.25">
      <c r="A10429">
        <v>38</v>
      </c>
      <c r="B10429" t="str">
        <f>"9:05:22.880997"</f>
        <v>9:05:22.880997</v>
      </c>
      <c r="C10429">
        <v>-41</v>
      </c>
    </row>
    <row r="10430" spans="1:3" x14ac:dyDescent="0.25">
      <c r="A10430">
        <v>39</v>
      </c>
      <c r="B10430" t="str">
        <f>"9:05:22.881773"</f>
        <v>9:05:22.881773</v>
      </c>
      <c r="C10430">
        <v>-45</v>
      </c>
    </row>
    <row r="10431" spans="1:3" x14ac:dyDescent="0.25">
      <c r="A10431">
        <v>39</v>
      </c>
      <c r="B10431" t="str">
        <f>"9:05:22.882292"</f>
        <v>9:05:22.882292</v>
      </c>
      <c r="C10431">
        <v>-87</v>
      </c>
    </row>
    <row r="10432" spans="1:3" x14ac:dyDescent="0.25">
      <c r="A10432">
        <v>39</v>
      </c>
      <c r="B10432" t="str">
        <f>"9:05:22.882618"</f>
        <v>9:05:22.882618</v>
      </c>
      <c r="C10432">
        <v>-45</v>
      </c>
    </row>
    <row r="10433" spans="1:3" x14ac:dyDescent="0.25">
      <c r="A10433">
        <v>37</v>
      </c>
      <c r="B10433" t="str">
        <f>"9:05:23.230342"</f>
        <v>9:05:23.230342</v>
      </c>
      <c r="C10433">
        <v>-44</v>
      </c>
    </row>
    <row r="10434" spans="1:3" x14ac:dyDescent="0.25">
      <c r="A10434">
        <v>38</v>
      </c>
      <c r="B10434" t="str">
        <f>"9:05:23.231369"</f>
        <v>9:05:23.231369</v>
      </c>
      <c r="C10434">
        <v>-41</v>
      </c>
    </row>
    <row r="10435" spans="1:3" x14ac:dyDescent="0.25">
      <c r="A10435">
        <v>38</v>
      </c>
      <c r="B10435" t="str">
        <f>"9:05:23.231888"</f>
        <v>9:05:23.231888</v>
      </c>
      <c r="C10435">
        <v>-32</v>
      </c>
    </row>
    <row r="10436" spans="1:3" x14ac:dyDescent="0.25">
      <c r="A10436">
        <v>38</v>
      </c>
      <c r="B10436" t="str">
        <f>"9:05:23.232214"</f>
        <v>9:05:23.232214</v>
      </c>
      <c r="C10436">
        <v>-41</v>
      </c>
    </row>
    <row r="10437" spans="1:3" x14ac:dyDescent="0.25">
      <c r="A10437">
        <v>39</v>
      </c>
      <c r="B10437" t="str">
        <f>"9:05:23.232990"</f>
        <v>9:05:23.232990</v>
      </c>
      <c r="C10437">
        <v>-45</v>
      </c>
    </row>
    <row r="10438" spans="1:3" x14ac:dyDescent="0.25">
      <c r="A10438">
        <v>37</v>
      </c>
      <c r="B10438" t="str">
        <f>"9:05:23.584943"</f>
        <v>9:05:23.584943</v>
      </c>
      <c r="C10438">
        <v>-44</v>
      </c>
    </row>
    <row r="10439" spans="1:3" x14ac:dyDescent="0.25">
      <c r="A10439">
        <v>38</v>
      </c>
      <c r="B10439" t="str">
        <f>"9:05:23.585970"</f>
        <v>9:05:23.585970</v>
      </c>
      <c r="C10439">
        <v>-41</v>
      </c>
    </row>
    <row r="10440" spans="1:3" x14ac:dyDescent="0.25">
      <c r="A10440">
        <v>38</v>
      </c>
      <c r="B10440" t="str">
        <f>"9:05:23.586489"</f>
        <v>9:05:23.586489</v>
      </c>
      <c r="C10440">
        <v>-32</v>
      </c>
    </row>
    <row r="10441" spans="1:3" x14ac:dyDescent="0.25">
      <c r="A10441">
        <v>38</v>
      </c>
      <c r="B10441" t="str">
        <f>"9:05:23.586815"</f>
        <v>9:05:23.586815</v>
      </c>
      <c r="C10441">
        <v>-41</v>
      </c>
    </row>
    <row r="10442" spans="1:3" x14ac:dyDescent="0.25">
      <c r="A10442">
        <v>39</v>
      </c>
      <c r="B10442" t="str">
        <f>"9:05:23.587591"</f>
        <v>9:05:23.587591</v>
      </c>
      <c r="C10442">
        <v>-45</v>
      </c>
    </row>
    <row r="10443" spans="1:3" x14ac:dyDescent="0.25">
      <c r="A10443">
        <v>37</v>
      </c>
      <c r="B10443" t="str">
        <f>"9:05:23.938439"</f>
        <v>9:05:23.938439</v>
      </c>
      <c r="C10443">
        <v>-44</v>
      </c>
    </row>
    <row r="10444" spans="1:3" x14ac:dyDescent="0.25">
      <c r="A10444">
        <v>38</v>
      </c>
      <c r="B10444" t="str">
        <f>"9:05:23.939466"</f>
        <v>9:05:23.939466</v>
      </c>
      <c r="C10444">
        <v>-41</v>
      </c>
    </row>
    <row r="10445" spans="1:3" x14ac:dyDescent="0.25">
      <c r="A10445">
        <v>38</v>
      </c>
      <c r="B10445" t="str">
        <f>"9:05:23.939984"</f>
        <v>9:05:23.939984</v>
      </c>
      <c r="C10445">
        <v>-32</v>
      </c>
    </row>
    <row r="10446" spans="1:3" x14ac:dyDescent="0.25">
      <c r="A10446">
        <v>38</v>
      </c>
      <c r="B10446" t="str">
        <f>"9:05:23.940310"</f>
        <v>9:05:23.940310</v>
      </c>
      <c r="C10446">
        <v>-41</v>
      </c>
    </row>
    <row r="10447" spans="1:3" x14ac:dyDescent="0.25">
      <c r="A10447">
        <v>39</v>
      </c>
      <c r="B10447" t="str">
        <f>"9:05:23.941086"</f>
        <v>9:05:23.941086</v>
      </c>
      <c r="C10447">
        <v>-45</v>
      </c>
    </row>
    <row r="10448" spans="1:3" x14ac:dyDescent="0.25">
      <c r="A10448">
        <v>37</v>
      </c>
      <c r="B10448" t="str">
        <f>"9:05:24.293284"</f>
        <v>9:05:24.293284</v>
      </c>
      <c r="C10448">
        <v>-44</v>
      </c>
    </row>
    <row r="10449" spans="1:3" x14ac:dyDescent="0.25">
      <c r="A10449">
        <v>38</v>
      </c>
      <c r="B10449" t="str">
        <f>"9:05:24.294312"</f>
        <v>9:05:24.294312</v>
      </c>
      <c r="C10449">
        <v>-41</v>
      </c>
    </row>
    <row r="10450" spans="1:3" x14ac:dyDescent="0.25">
      <c r="A10450">
        <v>38</v>
      </c>
      <c r="B10450" t="str">
        <f>"9:05:24.294830"</f>
        <v>9:05:24.294830</v>
      </c>
      <c r="C10450">
        <v>-32</v>
      </c>
    </row>
    <row r="10451" spans="1:3" x14ac:dyDescent="0.25">
      <c r="A10451">
        <v>38</v>
      </c>
      <c r="B10451" t="str">
        <f>"9:05:24.295157"</f>
        <v>9:05:24.295157</v>
      </c>
      <c r="C10451">
        <v>-41</v>
      </c>
    </row>
    <row r="10452" spans="1:3" x14ac:dyDescent="0.25">
      <c r="A10452">
        <v>39</v>
      </c>
      <c r="B10452" t="str">
        <f>"9:05:24.295933"</f>
        <v>9:05:24.295933</v>
      </c>
      <c r="C10452">
        <v>-46</v>
      </c>
    </row>
    <row r="10453" spans="1:3" x14ac:dyDescent="0.25">
      <c r="A10453">
        <v>37</v>
      </c>
      <c r="B10453" t="str">
        <f>"9:05:24.647068"</f>
        <v>9:05:24.647068</v>
      </c>
      <c r="C10453">
        <v>-44</v>
      </c>
    </row>
    <row r="10454" spans="1:3" x14ac:dyDescent="0.25">
      <c r="A10454">
        <v>38</v>
      </c>
      <c r="B10454" t="str">
        <f>"9:05:24.648096"</f>
        <v>9:05:24.648096</v>
      </c>
      <c r="C10454">
        <v>-41</v>
      </c>
    </row>
    <row r="10455" spans="1:3" x14ac:dyDescent="0.25">
      <c r="A10455">
        <v>39</v>
      </c>
      <c r="B10455" t="str">
        <f>"9:05:24.649122"</f>
        <v>9:05:24.649122</v>
      </c>
      <c r="C10455">
        <v>-46</v>
      </c>
    </row>
    <row r="10456" spans="1:3" x14ac:dyDescent="0.25">
      <c r="A10456">
        <v>39</v>
      </c>
      <c r="B10456" t="str">
        <f>"9:05:24.649640"</f>
        <v>9:05:24.649640</v>
      </c>
      <c r="C10456">
        <v>-31</v>
      </c>
    </row>
    <row r="10457" spans="1:3" x14ac:dyDescent="0.25">
      <c r="A10457">
        <v>39</v>
      </c>
      <c r="B10457" t="str">
        <f>"9:05:24.649966"</f>
        <v>9:05:24.649966</v>
      </c>
      <c r="C10457">
        <v>-45</v>
      </c>
    </row>
    <row r="10458" spans="1:3" x14ac:dyDescent="0.25">
      <c r="A10458">
        <v>37</v>
      </c>
      <c r="B10458" t="str">
        <f>"9:05:24.999574"</f>
        <v>9:05:24.999574</v>
      </c>
      <c r="C10458">
        <v>-44</v>
      </c>
    </row>
    <row r="10459" spans="1:3" x14ac:dyDescent="0.25">
      <c r="A10459">
        <v>37</v>
      </c>
      <c r="B10459" t="str">
        <f>"9:05:25.000419"</f>
        <v>9:05:25.000419</v>
      </c>
      <c r="C10459">
        <v>-44</v>
      </c>
    </row>
    <row r="10460" spans="1:3" x14ac:dyDescent="0.25">
      <c r="A10460">
        <v>38</v>
      </c>
      <c r="B10460" t="str">
        <f>"9:05:25.001196"</f>
        <v>9:05:25.001196</v>
      </c>
      <c r="C10460">
        <v>-41</v>
      </c>
    </row>
    <row r="10461" spans="1:3" x14ac:dyDescent="0.25">
      <c r="A10461">
        <v>39</v>
      </c>
      <c r="B10461" t="str">
        <f>"9:05:25.002222"</f>
        <v>9:05:25.002222</v>
      </c>
      <c r="C10461">
        <v>-46</v>
      </c>
    </row>
    <row r="10462" spans="1:3" x14ac:dyDescent="0.25">
      <c r="A10462">
        <v>39</v>
      </c>
      <c r="B10462" t="str">
        <f>"9:05:25.002741"</f>
        <v>9:05:25.002741</v>
      </c>
      <c r="C10462">
        <v>-31</v>
      </c>
    </row>
    <row r="10463" spans="1:3" x14ac:dyDescent="0.25">
      <c r="A10463">
        <v>39</v>
      </c>
      <c r="B10463" t="str">
        <f>"9:05:25.003067"</f>
        <v>9:05:25.003067</v>
      </c>
      <c r="C10463">
        <v>-45</v>
      </c>
    </row>
    <row r="10464" spans="1:3" x14ac:dyDescent="0.25">
      <c r="A10464">
        <v>37</v>
      </c>
      <c r="B10464" t="str">
        <f>"9:05:25.352366"</f>
        <v>9:05:25.352366</v>
      </c>
      <c r="C10464">
        <v>-44</v>
      </c>
    </row>
    <row r="10465" spans="1:3" x14ac:dyDescent="0.25">
      <c r="A10465">
        <v>38</v>
      </c>
      <c r="B10465" t="str">
        <f>"9:05:25.353394"</f>
        <v>9:05:25.353394</v>
      </c>
      <c r="C10465">
        <v>-41</v>
      </c>
    </row>
    <row r="10466" spans="1:3" x14ac:dyDescent="0.25">
      <c r="A10466">
        <v>39</v>
      </c>
      <c r="B10466" t="str">
        <f>"9:05:25.354420"</f>
        <v>9:05:25.354420</v>
      </c>
      <c r="C10466">
        <v>-46</v>
      </c>
    </row>
    <row r="10467" spans="1:3" x14ac:dyDescent="0.25">
      <c r="A10467">
        <v>39</v>
      </c>
      <c r="B10467" t="str">
        <f>"9:05:25.354938"</f>
        <v>9:05:25.354938</v>
      </c>
      <c r="C10467">
        <v>-31</v>
      </c>
    </row>
    <row r="10468" spans="1:3" x14ac:dyDescent="0.25">
      <c r="A10468">
        <v>39</v>
      </c>
      <c r="B10468" t="str">
        <f>"9:05:25.355264"</f>
        <v>9:05:25.355264</v>
      </c>
      <c r="C10468">
        <v>-45</v>
      </c>
    </row>
    <row r="10469" spans="1:3" x14ac:dyDescent="0.25">
      <c r="A10469">
        <v>37</v>
      </c>
      <c r="B10469" t="str">
        <f>"9:05:25.706210"</f>
        <v>9:05:25.706210</v>
      </c>
      <c r="C10469">
        <v>-44</v>
      </c>
    </row>
    <row r="10470" spans="1:3" x14ac:dyDescent="0.25">
      <c r="A10470">
        <v>38</v>
      </c>
      <c r="B10470" t="str">
        <f>"9:05:25.707237"</f>
        <v>9:05:25.707237</v>
      </c>
      <c r="C10470">
        <v>-41</v>
      </c>
    </row>
    <row r="10471" spans="1:3" x14ac:dyDescent="0.25">
      <c r="A10471">
        <v>39</v>
      </c>
      <c r="B10471" t="str">
        <f>"9:05:25.708263"</f>
        <v>9:05:25.708263</v>
      </c>
      <c r="C10471">
        <v>-46</v>
      </c>
    </row>
    <row r="10472" spans="1:3" x14ac:dyDescent="0.25">
      <c r="A10472">
        <v>39</v>
      </c>
      <c r="B10472" t="str">
        <f>"9:05:25.708781"</f>
        <v>9:05:25.708781</v>
      </c>
      <c r="C10472">
        <v>-31</v>
      </c>
    </row>
    <row r="10473" spans="1:3" x14ac:dyDescent="0.25">
      <c r="A10473">
        <v>39</v>
      </c>
      <c r="B10473" t="str">
        <f>"9:05:25.709107"</f>
        <v>9:05:25.709107</v>
      </c>
      <c r="C10473">
        <v>-45</v>
      </c>
    </row>
    <row r="10474" spans="1:3" x14ac:dyDescent="0.25">
      <c r="A10474">
        <v>37</v>
      </c>
      <c r="B10474" t="str">
        <f>"9:05:26.066201"</f>
        <v>9:05:26.066201</v>
      </c>
      <c r="C10474">
        <v>-44</v>
      </c>
    </row>
    <row r="10475" spans="1:3" x14ac:dyDescent="0.25">
      <c r="A10475">
        <v>38</v>
      </c>
      <c r="B10475" t="str">
        <f>"9:05:26.067228"</f>
        <v>9:05:26.067228</v>
      </c>
      <c r="C10475">
        <v>-41</v>
      </c>
    </row>
    <row r="10476" spans="1:3" x14ac:dyDescent="0.25">
      <c r="A10476">
        <v>39</v>
      </c>
      <c r="B10476" t="str">
        <f>"9:05:26.068254"</f>
        <v>9:05:26.068254</v>
      </c>
      <c r="C10476">
        <v>-46</v>
      </c>
    </row>
    <row r="10477" spans="1:3" x14ac:dyDescent="0.25">
      <c r="A10477">
        <v>39</v>
      </c>
      <c r="B10477" t="str">
        <f>"9:05:26.068772"</f>
        <v>9:05:26.068772</v>
      </c>
      <c r="C10477">
        <v>-31</v>
      </c>
    </row>
    <row r="10478" spans="1:3" x14ac:dyDescent="0.25">
      <c r="A10478">
        <v>39</v>
      </c>
      <c r="B10478" t="str">
        <f>"9:05:26.069098"</f>
        <v>9:05:26.069098</v>
      </c>
      <c r="C10478">
        <v>-45</v>
      </c>
    </row>
    <row r="10479" spans="1:3" x14ac:dyDescent="0.25">
      <c r="A10479">
        <v>37</v>
      </c>
      <c r="B10479" t="str">
        <f>"9:05:26.420243"</f>
        <v>9:05:26.420243</v>
      </c>
      <c r="C10479">
        <v>-44</v>
      </c>
    </row>
    <row r="10480" spans="1:3" x14ac:dyDescent="0.25">
      <c r="A10480">
        <v>38</v>
      </c>
      <c r="B10480" t="str">
        <f>"9:05:26.421270"</f>
        <v>9:05:26.421270</v>
      </c>
      <c r="C10480">
        <v>-41</v>
      </c>
    </row>
    <row r="10481" spans="1:3" x14ac:dyDescent="0.25">
      <c r="A10481">
        <v>39</v>
      </c>
      <c r="B10481" t="str">
        <f>"9:05:26.422296"</f>
        <v>9:05:26.422296</v>
      </c>
      <c r="C10481">
        <v>-46</v>
      </c>
    </row>
    <row r="10482" spans="1:3" x14ac:dyDescent="0.25">
      <c r="A10482">
        <v>39</v>
      </c>
      <c r="B10482" t="str">
        <f>"9:05:26.422815"</f>
        <v>9:05:26.422815</v>
      </c>
      <c r="C10482">
        <v>-31</v>
      </c>
    </row>
    <row r="10483" spans="1:3" x14ac:dyDescent="0.25">
      <c r="A10483">
        <v>39</v>
      </c>
      <c r="B10483" t="str">
        <f>"9:05:26.423140"</f>
        <v>9:05:26.423140</v>
      </c>
      <c r="C10483">
        <v>-45</v>
      </c>
    </row>
    <row r="10484" spans="1:3" x14ac:dyDescent="0.25">
      <c r="A10484">
        <v>37</v>
      </c>
      <c r="B10484" t="str">
        <f>"9:05:26.779197"</f>
        <v>9:05:26.779197</v>
      </c>
      <c r="C10484">
        <v>-44</v>
      </c>
    </row>
    <row r="10485" spans="1:3" x14ac:dyDescent="0.25">
      <c r="A10485">
        <v>38</v>
      </c>
      <c r="B10485" t="str">
        <f>"9:05:26.780224"</f>
        <v>9:05:26.780224</v>
      </c>
      <c r="C10485">
        <v>-41</v>
      </c>
    </row>
    <row r="10486" spans="1:3" x14ac:dyDescent="0.25">
      <c r="A10486">
        <v>39</v>
      </c>
      <c r="B10486" t="str">
        <f>"9:05:26.781250"</f>
        <v>9:05:26.781250</v>
      </c>
      <c r="C10486">
        <v>-46</v>
      </c>
    </row>
    <row r="10487" spans="1:3" x14ac:dyDescent="0.25">
      <c r="A10487">
        <v>39</v>
      </c>
      <c r="B10487" t="str">
        <f>"9:05:26.781769"</f>
        <v>9:05:26.781769</v>
      </c>
      <c r="C10487">
        <v>-31</v>
      </c>
    </row>
    <row r="10488" spans="1:3" x14ac:dyDescent="0.25">
      <c r="A10488">
        <v>39</v>
      </c>
      <c r="B10488" t="str">
        <f>"9:05:26.782094"</f>
        <v>9:05:26.782094</v>
      </c>
      <c r="C10488">
        <v>-45</v>
      </c>
    </row>
    <row r="10489" spans="1:3" x14ac:dyDescent="0.25">
      <c r="A10489">
        <v>37</v>
      </c>
      <c r="B10489" t="str">
        <f>"9:05:27.136088"</f>
        <v>9:05:27.136088</v>
      </c>
      <c r="C10489">
        <v>-44</v>
      </c>
    </row>
    <row r="10490" spans="1:3" x14ac:dyDescent="0.25">
      <c r="A10490">
        <v>38</v>
      </c>
      <c r="B10490" t="str">
        <f>"9:05:27.137115"</f>
        <v>9:05:27.137115</v>
      </c>
      <c r="C10490">
        <v>-41</v>
      </c>
    </row>
    <row r="10491" spans="1:3" x14ac:dyDescent="0.25">
      <c r="A10491">
        <v>39</v>
      </c>
      <c r="B10491" t="str">
        <f>"9:05:27.138141"</f>
        <v>9:05:27.138141</v>
      </c>
      <c r="C10491">
        <v>-46</v>
      </c>
    </row>
    <row r="10492" spans="1:3" x14ac:dyDescent="0.25">
      <c r="A10492">
        <v>39</v>
      </c>
      <c r="B10492" t="str">
        <f>"9:05:27.138659"</f>
        <v>9:05:27.138659</v>
      </c>
      <c r="C10492">
        <v>-31</v>
      </c>
    </row>
    <row r="10493" spans="1:3" x14ac:dyDescent="0.25">
      <c r="A10493">
        <v>39</v>
      </c>
      <c r="B10493" t="str">
        <f>"9:05:27.138985"</f>
        <v>9:05:27.138985</v>
      </c>
      <c r="C10493">
        <v>-45</v>
      </c>
    </row>
    <row r="10494" spans="1:3" x14ac:dyDescent="0.25">
      <c r="A10494">
        <v>37</v>
      </c>
      <c r="B10494" t="str">
        <f>"9:05:27.490868"</f>
        <v>9:05:27.490868</v>
      </c>
      <c r="C10494">
        <v>-44</v>
      </c>
    </row>
    <row r="10495" spans="1:3" x14ac:dyDescent="0.25">
      <c r="A10495">
        <v>38</v>
      </c>
      <c r="B10495" t="str">
        <f>"9:05:27.491896"</f>
        <v>9:05:27.491896</v>
      </c>
      <c r="C10495">
        <v>-41</v>
      </c>
    </row>
    <row r="10496" spans="1:3" x14ac:dyDescent="0.25">
      <c r="A10496">
        <v>39</v>
      </c>
      <c r="B10496" t="str">
        <f>"9:05:27.492922"</f>
        <v>9:05:27.492922</v>
      </c>
      <c r="C10496">
        <v>-46</v>
      </c>
    </row>
    <row r="10497" spans="1:3" x14ac:dyDescent="0.25">
      <c r="A10497">
        <v>39</v>
      </c>
      <c r="B10497" t="str">
        <f>"9:05:27.493440"</f>
        <v>9:05:27.493440</v>
      </c>
      <c r="C10497">
        <v>-31</v>
      </c>
    </row>
    <row r="10498" spans="1:3" x14ac:dyDescent="0.25">
      <c r="A10498">
        <v>39</v>
      </c>
      <c r="B10498" t="str">
        <f>"9:05:27.493766"</f>
        <v>9:05:27.493766</v>
      </c>
      <c r="C10498">
        <v>-45</v>
      </c>
    </row>
    <row r="10499" spans="1:3" x14ac:dyDescent="0.25">
      <c r="A10499">
        <v>37</v>
      </c>
      <c r="B10499" t="str">
        <f>"9:05:27.842317"</f>
        <v>9:05:27.842317</v>
      </c>
      <c r="C10499">
        <v>-44</v>
      </c>
    </row>
    <row r="10500" spans="1:3" x14ac:dyDescent="0.25">
      <c r="A10500">
        <v>38</v>
      </c>
      <c r="B10500" t="str">
        <f>"9:05:27.843344"</f>
        <v>9:05:27.843344</v>
      </c>
      <c r="C10500">
        <v>-41</v>
      </c>
    </row>
    <row r="10501" spans="1:3" x14ac:dyDescent="0.25">
      <c r="A10501">
        <v>39</v>
      </c>
      <c r="B10501" t="str">
        <f>"9:05:27.844370"</f>
        <v>9:05:27.844370</v>
      </c>
      <c r="C10501">
        <v>-46</v>
      </c>
    </row>
    <row r="10502" spans="1:3" x14ac:dyDescent="0.25">
      <c r="A10502">
        <v>37</v>
      </c>
      <c r="B10502" t="str">
        <f>"9:05:28.193792"</f>
        <v>9:05:28.193792</v>
      </c>
      <c r="C10502">
        <v>-44</v>
      </c>
    </row>
    <row r="10503" spans="1:3" x14ac:dyDescent="0.25">
      <c r="A10503">
        <v>38</v>
      </c>
      <c r="B10503" t="str">
        <f>"9:05:28.194819"</f>
        <v>9:05:28.194819</v>
      </c>
      <c r="C10503">
        <v>-41</v>
      </c>
    </row>
    <row r="10504" spans="1:3" x14ac:dyDescent="0.25">
      <c r="A10504">
        <v>39</v>
      </c>
      <c r="B10504" t="str">
        <f>"9:05:28.195845"</f>
        <v>9:05:28.195845</v>
      </c>
      <c r="C10504">
        <v>-46</v>
      </c>
    </row>
    <row r="10505" spans="1:3" x14ac:dyDescent="0.25">
      <c r="A10505">
        <v>39</v>
      </c>
      <c r="B10505" t="str">
        <f>"9:05:28.196364"</f>
        <v>9:05:28.196364</v>
      </c>
      <c r="C10505">
        <v>-31</v>
      </c>
    </row>
    <row r="10506" spans="1:3" x14ac:dyDescent="0.25">
      <c r="A10506">
        <v>39</v>
      </c>
      <c r="B10506" t="str">
        <f>"9:05:28.196690"</f>
        <v>9:05:28.196690</v>
      </c>
      <c r="C10506">
        <v>-45</v>
      </c>
    </row>
    <row r="10507" spans="1:3" x14ac:dyDescent="0.25">
      <c r="A10507">
        <v>37</v>
      </c>
      <c r="B10507" t="str">
        <f>"9:05:28.551668"</f>
        <v>9:05:28.551668</v>
      </c>
      <c r="C10507">
        <v>-44</v>
      </c>
    </row>
    <row r="10508" spans="1:3" x14ac:dyDescent="0.25">
      <c r="A10508">
        <v>38</v>
      </c>
      <c r="B10508" t="str">
        <f>"9:05:28.552695"</f>
        <v>9:05:28.552695</v>
      </c>
      <c r="C10508">
        <v>-41</v>
      </c>
    </row>
    <row r="10509" spans="1:3" x14ac:dyDescent="0.25">
      <c r="A10509">
        <v>39</v>
      </c>
      <c r="B10509" t="str">
        <f>"9:05:28.553721"</f>
        <v>9:05:28.553721</v>
      </c>
      <c r="C10509">
        <v>-46</v>
      </c>
    </row>
    <row r="10510" spans="1:3" x14ac:dyDescent="0.25">
      <c r="A10510">
        <v>39</v>
      </c>
      <c r="B10510" t="str">
        <f>"9:05:28.554239"</f>
        <v>9:05:28.554239</v>
      </c>
      <c r="C10510">
        <v>-31</v>
      </c>
    </row>
    <row r="10511" spans="1:3" x14ac:dyDescent="0.25">
      <c r="A10511">
        <v>39</v>
      </c>
      <c r="B10511" t="str">
        <f>"9:05:28.554565"</f>
        <v>9:05:28.554565</v>
      </c>
      <c r="C10511">
        <v>-45</v>
      </c>
    </row>
    <row r="10512" spans="1:3" x14ac:dyDescent="0.25">
      <c r="A10512">
        <v>37</v>
      </c>
      <c r="B10512" t="str">
        <f>"9:05:28.907289"</f>
        <v>9:05:28.907289</v>
      </c>
      <c r="C10512">
        <v>-44</v>
      </c>
    </row>
    <row r="10513" spans="1:3" x14ac:dyDescent="0.25">
      <c r="A10513">
        <v>38</v>
      </c>
      <c r="B10513" t="str">
        <f>"9:05:28.908316"</f>
        <v>9:05:28.908316</v>
      </c>
      <c r="C10513">
        <v>-41</v>
      </c>
    </row>
    <row r="10514" spans="1:3" x14ac:dyDescent="0.25">
      <c r="A10514">
        <v>39</v>
      </c>
      <c r="B10514" t="str">
        <f>"9:05:28.909342"</f>
        <v>9:05:28.909342</v>
      </c>
      <c r="C10514">
        <v>-46</v>
      </c>
    </row>
    <row r="10515" spans="1:3" x14ac:dyDescent="0.25">
      <c r="A10515">
        <v>37</v>
      </c>
      <c r="B10515" t="str">
        <f>"9:05:29.257504"</f>
        <v>9:05:29.257504</v>
      </c>
      <c r="C10515">
        <v>-44</v>
      </c>
    </row>
    <row r="10516" spans="1:3" x14ac:dyDescent="0.25">
      <c r="A10516">
        <v>38</v>
      </c>
      <c r="B10516" t="str">
        <f>"9:05:29.258531"</f>
        <v>9:05:29.258531</v>
      </c>
      <c r="C10516">
        <v>-41</v>
      </c>
    </row>
    <row r="10517" spans="1:3" x14ac:dyDescent="0.25">
      <c r="A10517">
        <v>39</v>
      </c>
      <c r="B10517" t="str">
        <f>"9:05:29.259557"</f>
        <v>9:05:29.259557</v>
      </c>
      <c r="C10517">
        <v>-46</v>
      </c>
    </row>
    <row r="10518" spans="1:3" x14ac:dyDescent="0.25">
      <c r="A10518">
        <v>39</v>
      </c>
      <c r="B10518" t="str">
        <f>"9:05:29.260076"</f>
        <v>9:05:29.260076</v>
      </c>
      <c r="C10518">
        <v>-30</v>
      </c>
    </row>
    <row r="10519" spans="1:3" x14ac:dyDescent="0.25">
      <c r="A10519">
        <v>39</v>
      </c>
      <c r="B10519" t="str">
        <f>"9:05:29.260402"</f>
        <v>9:05:29.260402</v>
      </c>
      <c r="C10519">
        <v>-46</v>
      </c>
    </row>
    <row r="10520" spans="1:3" x14ac:dyDescent="0.25">
      <c r="A10520">
        <v>37</v>
      </c>
      <c r="B10520" t="str">
        <f>"9:05:29.615933"</f>
        <v>9:05:29.615933</v>
      </c>
      <c r="C10520">
        <v>-44</v>
      </c>
    </row>
    <row r="10521" spans="1:3" x14ac:dyDescent="0.25">
      <c r="A10521">
        <v>38</v>
      </c>
      <c r="B10521" t="str">
        <f>"9:05:29.616961"</f>
        <v>9:05:29.616961</v>
      </c>
      <c r="C10521">
        <v>-41</v>
      </c>
    </row>
    <row r="10522" spans="1:3" x14ac:dyDescent="0.25">
      <c r="A10522">
        <v>39</v>
      </c>
      <c r="B10522" t="str">
        <f>"9:05:29.617987"</f>
        <v>9:05:29.617987</v>
      </c>
      <c r="C10522">
        <v>-46</v>
      </c>
    </row>
    <row r="10523" spans="1:3" x14ac:dyDescent="0.25">
      <c r="A10523">
        <v>37</v>
      </c>
      <c r="B10523" t="str">
        <f>"9:05:29.973298"</f>
        <v>9:05:29.973298</v>
      </c>
      <c r="C10523">
        <v>-44</v>
      </c>
    </row>
    <row r="10524" spans="1:3" x14ac:dyDescent="0.25">
      <c r="A10524">
        <v>37</v>
      </c>
      <c r="B10524" t="str">
        <f>"9:05:29.973817"</f>
        <v>9:05:29.973817</v>
      </c>
      <c r="C10524">
        <v>-37</v>
      </c>
    </row>
    <row r="10525" spans="1:3" x14ac:dyDescent="0.25">
      <c r="A10525">
        <v>37</v>
      </c>
      <c r="B10525" t="str">
        <f>"9:05:29.974143"</f>
        <v>9:05:29.974143</v>
      </c>
      <c r="C10525">
        <v>-44</v>
      </c>
    </row>
    <row r="10526" spans="1:3" x14ac:dyDescent="0.25">
      <c r="A10526">
        <v>38</v>
      </c>
      <c r="B10526" t="str">
        <f>"9:05:29.974920"</f>
        <v>9:05:29.974920</v>
      </c>
      <c r="C10526">
        <v>-41</v>
      </c>
    </row>
    <row r="10527" spans="1:3" x14ac:dyDescent="0.25">
      <c r="A10527">
        <v>39</v>
      </c>
      <c r="B10527" t="str">
        <f>"9:05:29.975946"</f>
        <v>9:05:29.975946</v>
      </c>
      <c r="C10527">
        <v>-46</v>
      </c>
    </row>
    <row r="10528" spans="1:3" x14ac:dyDescent="0.25">
      <c r="A10528">
        <v>37</v>
      </c>
      <c r="B10528" t="str">
        <f>"9:05:30.330209"</f>
        <v>9:05:30.330209</v>
      </c>
      <c r="C10528">
        <v>-44</v>
      </c>
    </row>
    <row r="10529" spans="1:3" x14ac:dyDescent="0.25">
      <c r="A10529">
        <v>37</v>
      </c>
      <c r="B10529" t="str">
        <f>"9:05:30.330727"</f>
        <v>9:05:30.330727</v>
      </c>
      <c r="C10529">
        <v>-39</v>
      </c>
    </row>
    <row r="10530" spans="1:3" x14ac:dyDescent="0.25">
      <c r="A10530">
        <v>37</v>
      </c>
      <c r="B10530" t="str">
        <f>"9:05:30.331053"</f>
        <v>9:05:30.331053</v>
      </c>
      <c r="C10530">
        <v>-44</v>
      </c>
    </row>
    <row r="10531" spans="1:3" x14ac:dyDescent="0.25">
      <c r="A10531">
        <v>38</v>
      </c>
      <c r="B10531" t="str">
        <f>"9:05:30.331829"</f>
        <v>9:05:30.331829</v>
      </c>
      <c r="C10531">
        <v>-41</v>
      </c>
    </row>
    <row r="10532" spans="1:3" x14ac:dyDescent="0.25">
      <c r="A10532">
        <v>39</v>
      </c>
      <c r="B10532" t="str">
        <f>"9:05:30.332855"</f>
        <v>9:05:30.332855</v>
      </c>
      <c r="C10532">
        <v>-45</v>
      </c>
    </row>
    <row r="10533" spans="1:3" x14ac:dyDescent="0.25">
      <c r="A10533">
        <v>37</v>
      </c>
      <c r="B10533" t="str">
        <f>"9:05:30.689378"</f>
        <v>9:05:30.689378</v>
      </c>
      <c r="C10533">
        <v>-44</v>
      </c>
    </row>
    <row r="10534" spans="1:3" x14ac:dyDescent="0.25">
      <c r="A10534">
        <v>38</v>
      </c>
      <c r="B10534" t="str">
        <f>"9:05:30.690405"</f>
        <v>9:05:30.690405</v>
      </c>
      <c r="C10534">
        <v>-41</v>
      </c>
    </row>
    <row r="10535" spans="1:3" x14ac:dyDescent="0.25">
      <c r="A10535">
        <v>39</v>
      </c>
      <c r="B10535" t="str">
        <f>"9:05:30.691431"</f>
        <v>9:05:30.691431</v>
      </c>
      <c r="C10535">
        <v>-45</v>
      </c>
    </row>
    <row r="10536" spans="1:3" x14ac:dyDescent="0.25">
      <c r="A10536">
        <v>37</v>
      </c>
      <c r="B10536" t="str">
        <f>"9:05:31.049349"</f>
        <v>9:05:31.049349</v>
      </c>
      <c r="C10536">
        <v>-44</v>
      </c>
    </row>
    <row r="10537" spans="1:3" x14ac:dyDescent="0.25">
      <c r="A10537">
        <v>37</v>
      </c>
      <c r="B10537" t="str">
        <f>"9:05:31.049868"</f>
        <v>9:05:31.049868</v>
      </c>
      <c r="C10537">
        <v>-40</v>
      </c>
    </row>
    <row r="10538" spans="1:3" x14ac:dyDescent="0.25">
      <c r="A10538">
        <v>37</v>
      </c>
      <c r="B10538" t="str">
        <f>"9:05:31.050194"</f>
        <v>9:05:31.050194</v>
      </c>
      <c r="C10538">
        <v>-44</v>
      </c>
    </row>
    <row r="10539" spans="1:3" x14ac:dyDescent="0.25">
      <c r="A10539">
        <v>38</v>
      </c>
      <c r="B10539" t="str">
        <f>"9:05:31.050971"</f>
        <v>9:05:31.050971</v>
      </c>
      <c r="C10539">
        <v>-41</v>
      </c>
    </row>
    <row r="10540" spans="1:3" x14ac:dyDescent="0.25">
      <c r="A10540">
        <v>38</v>
      </c>
      <c r="B10540" t="str">
        <f>"9:05:31.051490"</f>
        <v>9:05:31.051490</v>
      </c>
      <c r="C10540">
        <v>-80</v>
      </c>
    </row>
    <row r="10541" spans="1:3" x14ac:dyDescent="0.25">
      <c r="A10541">
        <v>39</v>
      </c>
      <c r="B10541" t="str">
        <f>"9:05:31.051997"</f>
        <v>9:05:31.051997</v>
      </c>
      <c r="C10541">
        <v>-45</v>
      </c>
    </row>
    <row r="10542" spans="1:3" x14ac:dyDescent="0.25">
      <c r="A10542">
        <v>37</v>
      </c>
      <c r="B10542" t="str">
        <f>"9:05:31.400562"</f>
        <v>9:05:31.400562</v>
      </c>
      <c r="C10542">
        <v>-44</v>
      </c>
    </row>
    <row r="10543" spans="1:3" x14ac:dyDescent="0.25">
      <c r="A10543">
        <v>37</v>
      </c>
      <c r="B10543" t="str">
        <f>"9:05:31.401081"</f>
        <v>9:05:31.401081</v>
      </c>
      <c r="C10543">
        <v>-40</v>
      </c>
    </row>
    <row r="10544" spans="1:3" x14ac:dyDescent="0.25">
      <c r="A10544">
        <v>37</v>
      </c>
      <c r="B10544" t="str">
        <f>"9:05:31.401407"</f>
        <v>9:05:31.401407</v>
      </c>
      <c r="C10544">
        <v>-44</v>
      </c>
    </row>
    <row r="10545" spans="1:3" x14ac:dyDescent="0.25">
      <c r="A10545">
        <v>38</v>
      </c>
      <c r="B10545" t="str">
        <f>"9:05:31.402183"</f>
        <v>9:05:31.402183</v>
      </c>
      <c r="C10545">
        <v>-41</v>
      </c>
    </row>
    <row r="10546" spans="1:3" x14ac:dyDescent="0.25">
      <c r="A10546">
        <v>39</v>
      </c>
      <c r="B10546" t="str">
        <f>"9:05:31.403209"</f>
        <v>9:05:31.403209</v>
      </c>
      <c r="C10546">
        <v>-45</v>
      </c>
    </row>
    <row r="10547" spans="1:3" x14ac:dyDescent="0.25">
      <c r="A10547">
        <v>37</v>
      </c>
      <c r="B10547" t="str">
        <f>"9:05:31.759289"</f>
        <v>9:05:31.759289</v>
      </c>
      <c r="C10547">
        <v>-44</v>
      </c>
    </row>
    <row r="10548" spans="1:3" x14ac:dyDescent="0.25">
      <c r="A10548">
        <v>37</v>
      </c>
      <c r="B10548" t="str">
        <f>"9:05:31.759808"</f>
        <v>9:05:31.759808</v>
      </c>
      <c r="C10548">
        <v>-40</v>
      </c>
    </row>
    <row r="10549" spans="1:3" x14ac:dyDescent="0.25">
      <c r="A10549">
        <v>37</v>
      </c>
      <c r="B10549" t="str">
        <f>"9:05:31.760134"</f>
        <v>9:05:31.760134</v>
      </c>
      <c r="C10549">
        <v>-44</v>
      </c>
    </row>
    <row r="10550" spans="1:3" x14ac:dyDescent="0.25">
      <c r="A10550">
        <v>38</v>
      </c>
      <c r="B10550" t="str">
        <f>"9:05:31.760910"</f>
        <v>9:05:31.760910</v>
      </c>
      <c r="C10550">
        <v>-41</v>
      </c>
    </row>
    <row r="10551" spans="1:3" x14ac:dyDescent="0.25">
      <c r="A10551">
        <v>39</v>
      </c>
      <c r="B10551" t="str">
        <f>"9:05:31.761936"</f>
        <v>9:05:31.761936</v>
      </c>
      <c r="C10551">
        <v>-46</v>
      </c>
    </row>
    <row r="10552" spans="1:3" x14ac:dyDescent="0.25">
      <c r="A10552">
        <v>37</v>
      </c>
      <c r="B10552" t="str">
        <f>"9:05:32.112361"</f>
        <v>9:05:32.112361</v>
      </c>
      <c r="C10552">
        <v>-44</v>
      </c>
    </row>
    <row r="10553" spans="1:3" x14ac:dyDescent="0.25">
      <c r="A10553">
        <v>37</v>
      </c>
      <c r="B10553" t="str">
        <f>"9:05:32.112880"</f>
        <v>9:05:32.112880</v>
      </c>
      <c r="C10553">
        <v>-40</v>
      </c>
    </row>
    <row r="10554" spans="1:3" x14ac:dyDescent="0.25">
      <c r="A10554">
        <v>37</v>
      </c>
      <c r="B10554" t="str">
        <f>"9:05:32.113205"</f>
        <v>9:05:32.113205</v>
      </c>
      <c r="C10554">
        <v>-44</v>
      </c>
    </row>
    <row r="10555" spans="1:3" x14ac:dyDescent="0.25">
      <c r="A10555">
        <v>38</v>
      </c>
      <c r="B10555" t="str">
        <f>"9:05:32.113982"</f>
        <v>9:05:32.113982</v>
      </c>
      <c r="C10555">
        <v>-41</v>
      </c>
    </row>
    <row r="10556" spans="1:3" x14ac:dyDescent="0.25">
      <c r="A10556">
        <v>39</v>
      </c>
      <c r="B10556" t="str">
        <f>"9:05:32.115008"</f>
        <v>9:05:32.115008</v>
      </c>
      <c r="C10556">
        <v>-46</v>
      </c>
    </row>
    <row r="10557" spans="1:3" x14ac:dyDescent="0.25">
      <c r="A10557">
        <v>39</v>
      </c>
      <c r="B10557" t="str">
        <f>"9:05:32.115526"</f>
        <v>9:05:32.115526</v>
      </c>
      <c r="C10557">
        <v>-85</v>
      </c>
    </row>
    <row r="10558" spans="1:3" x14ac:dyDescent="0.25">
      <c r="A10558">
        <v>39</v>
      </c>
      <c r="B10558" t="str">
        <f>"9:05:32.115852"</f>
        <v>9:05:32.115852</v>
      </c>
      <c r="C10558">
        <v>-45</v>
      </c>
    </row>
    <row r="10559" spans="1:3" x14ac:dyDescent="0.25">
      <c r="A10559">
        <v>37</v>
      </c>
      <c r="B10559" t="str">
        <f>"9:05:32.471576"</f>
        <v>9:05:32.471576</v>
      </c>
      <c r="C10559">
        <v>-44</v>
      </c>
    </row>
    <row r="10560" spans="1:3" x14ac:dyDescent="0.25">
      <c r="A10560">
        <v>37</v>
      </c>
      <c r="B10560" t="str">
        <f>"9:05:32.472095"</f>
        <v>9:05:32.472095</v>
      </c>
      <c r="C10560">
        <v>-40</v>
      </c>
    </row>
    <row r="10561" spans="1:3" x14ac:dyDescent="0.25">
      <c r="A10561">
        <v>37</v>
      </c>
      <c r="B10561" t="str">
        <f>"9:05:32.472421"</f>
        <v>9:05:32.472421</v>
      </c>
      <c r="C10561">
        <v>-44</v>
      </c>
    </row>
    <row r="10562" spans="1:3" x14ac:dyDescent="0.25">
      <c r="A10562">
        <v>38</v>
      </c>
      <c r="B10562" t="str">
        <f>"9:05:32.473197"</f>
        <v>9:05:32.473197</v>
      </c>
      <c r="C10562">
        <v>-41</v>
      </c>
    </row>
    <row r="10563" spans="1:3" x14ac:dyDescent="0.25">
      <c r="A10563">
        <v>39</v>
      </c>
      <c r="B10563" t="str">
        <f>"9:05:32.474223"</f>
        <v>9:05:32.474223</v>
      </c>
      <c r="C10563">
        <v>-46</v>
      </c>
    </row>
    <row r="10564" spans="1:3" x14ac:dyDescent="0.25">
      <c r="A10564">
        <v>37</v>
      </c>
      <c r="B10564" t="str">
        <f>"9:05:32.828718"</f>
        <v>9:05:32.828718</v>
      </c>
      <c r="C10564">
        <v>-44</v>
      </c>
    </row>
    <row r="10565" spans="1:3" x14ac:dyDescent="0.25">
      <c r="A10565">
        <v>37</v>
      </c>
      <c r="B10565" t="str">
        <f>"9:05:32.829237"</f>
        <v>9:05:32.829237</v>
      </c>
      <c r="C10565">
        <v>-40</v>
      </c>
    </row>
    <row r="10566" spans="1:3" x14ac:dyDescent="0.25">
      <c r="A10566">
        <v>37</v>
      </c>
      <c r="B10566" t="str">
        <f>"9:05:32.829562"</f>
        <v>9:05:32.829562</v>
      </c>
      <c r="C10566">
        <v>-44</v>
      </c>
    </row>
    <row r="10567" spans="1:3" x14ac:dyDescent="0.25">
      <c r="A10567">
        <v>38</v>
      </c>
      <c r="B10567" t="str">
        <f>"9:05:32.830338"</f>
        <v>9:05:32.830338</v>
      </c>
      <c r="C10567">
        <v>-41</v>
      </c>
    </row>
    <row r="10568" spans="1:3" x14ac:dyDescent="0.25">
      <c r="A10568">
        <v>39</v>
      </c>
      <c r="B10568" t="str">
        <f>"9:05:32.831364"</f>
        <v>9:05:32.831364</v>
      </c>
      <c r="C10568">
        <v>-46</v>
      </c>
    </row>
    <row r="10569" spans="1:3" x14ac:dyDescent="0.25">
      <c r="A10569">
        <v>37</v>
      </c>
      <c r="B10569" t="str">
        <f>"9:05:33.180744"</f>
        <v>9:05:33.180744</v>
      </c>
      <c r="C10569">
        <v>-44</v>
      </c>
    </row>
    <row r="10570" spans="1:3" x14ac:dyDescent="0.25">
      <c r="A10570">
        <v>37</v>
      </c>
      <c r="B10570" t="str">
        <f>"9:05:33.181263"</f>
        <v>9:05:33.181263</v>
      </c>
      <c r="C10570">
        <v>-40</v>
      </c>
    </row>
    <row r="10571" spans="1:3" x14ac:dyDescent="0.25">
      <c r="A10571">
        <v>37</v>
      </c>
      <c r="B10571" t="str">
        <f>"9:05:33.181588"</f>
        <v>9:05:33.181588</v>
      </c>
      <c r="C10571">
        <v>-44</v>
      </c>
    </row>
    <row r="10572" spans="1:3" x14ac:dyDescent="0.25">
      <c r="A10572">
        <v>38</v>
      </c>
      <c r="B10572" t="str">
        <f>"9:05:33.182365"</f>
        <v>9:05:33.182365</v>
      </c>
      <c r="C10572">
        <v>-41</v>
      </c>
    </row>
    <row r="10573" spans="1:3" x14ac:dyDescent="0.25">
      <c r="A10573">
        <v>39</v>
      </c>
      <c r="B10573" t="str">
        <f>"9:05:33.183391"</f>
        <v>9:05:33.183391</v>
      </c>
      <c r="C10573">
        <v>-45</v>
      </c>
    </row>
    <row r="10574" spans="1:3" x14ac:dyDescent="0.25">
      <c r="A10574">
        <v>37</v>
      </c>
      <c r="B10574" t="str">
        <f>"9:05:33.537938"</f>
        <v>9:05:33.537938</v>
      </c>
      <c r="C10574">
        <v>-44</v>
      </c>
    </row>
    <row r="10575" spans="1:3" x14ac:dyDescent="0.25">
      <c r="A10575">
        <v>37</v>
      </c>
      <c r="B10575" t="str">
        <f>"9:05:33.538457"</f>
        <v>9:05:33.538457</v>
      </c>
      <c r="C10575">
        <v>-40</v>
      </c>
    </row>
    <row r="10576" spans="1:3" x14ac:dyDescent="0.25">
      <c r="A10576">
        <v>37</v>
      </c>
      <c r="B10576" t="str">
        <f>"9:05:33.538783"</f>
        <v>9:05:33.538783</v>
      </c>
      <c r="C10576">
        <v>-44</v>
      </c>
    </row>
    <row r="10577" spans="1:3" x14ac:dyDescent="0.25">
      <c r="A10577">
        <v>38</v>
      </c>
      <c r="B10577" t="str">
        <f>"9:05:33.539559"</f>
        <v>9:05:33.539559</v>
      </c>
      <c r="C10577">
        <v>-41</v>
      </c>
    </row>
    <row r="10578" spans="1:3" x14ac:dyDescent="0.25">
      <c r="A10578">
        <v>39</v>
      </c>
      <c r="B10578" t="str">
        <f>"9:05:33.540585"</f>
        <v>9:05:33.540585</v>
      </c>
      <c r="C10578">
        <v>-45</v>
      </c>
    </row>
    <row r="10579" spans="1:3" x14ac:dyDescent="0.25">
      <c r="A10579">
        <v>37</v>
      </c>
      <c r="B10579" t="str">
        <f>"9:05:33.894125"</f>
        <v>9:05:33.894125</v>
      </c>
      <c r="C10579">
        <v>-44</v>
      </c>
    </row>
    <row r="10580" spans="1:3" x14ac:dyDescent="0.25">
      <c r="A10580">
        <v>37</v>
      </c>
      <c r="B10580" t="str">
        <f>"9:05:33.894644"</f>
        <v>9:05:33.894644</v>
      </c>
      <c r="C10580">
        <v>-40</v>
      </c>
    </row>
    <row r="10581" spans="1:3" x14ac:dyDescent="0.25">
      <c r="A10581">
        <v>37</v>
      </c>
      <c r="B10581" t="str">
        <f>"9:05:33.894970"</f>
        <v>9:05:33.894970</v>
      </c>
      <c r="C10581">
        <v>-44</v>
      </c>
    </row>
    <row r="10582" spans="1:3" x14ac:dyDescent="0.25">
      <c r="A10582">
        <v>38</v>
      </c>
      <c r="B10582" t="str">
        <f>"9:05:33.895746"</f>
        <v>9:05:33.895746</v>
      </c>
      <c r="C10582">
        <v>-41</v>
      </c>
    </row>
    <row r="10583" spans="1:3" x14ac:dyDescent="0.25">
      <c r="A10583">
        <v>39</v>
      </c>
      <c r="B10583" t="str">
        <f>"9:05:33.896772"</f>
        <v>9:05:33.896772</v>
      </c>
      <c r="C10583">
        <v>-45</v>
      </c>
    </row>
    <row r="10584" spans="1:3" x14ac:dyDescent="0.25">
      <c r="A10584">
        <v>37</v>
      </c>
      <c r="B10584" t="str">
        <f>"9:05:34.245090"</f>
        <v>9:05:34.245090</v>
      </c>
      <c r="C10584">
        <v>-44</v>
      </c>
    </row>
    <row r="10585" spans="1:3" x14ac:dyDescent="0.25">
      <c r="A10585">
        <v>37</v>
      </c>
      <c r="B10585" t="str">
        <f>"9:05:34.245609"</f>
        <v>9:05:34.245609</v>
      </c>
      <c r="C10585">
        <v>-40</v>
      </c>
    </row>
    <row r="10586" spans="1:3" x14ac:dyDescent="0.25">
      <c r="A10586">
        <v>37</v>
      </c>
      <c r="B10586" t="str">
        <f>"9:05:34.245935"</f>
        <v>9:05:34.245935</v>
      </c>
      <c r="C10586">
        <v>-44</v>
      </c>
    </row>
    <row r="10587" spans="1:3" x14ac:dyDescent="0.25">
      <c r="A10587">
        <v>38</v>
      </c>
      <c r="B10587" t="str">
        <f>"9:05:34.246711"</f>
        <v>9:05:34.246711</v>
      </c>
      <c r="C10587">
        <v>-41</v>
      </c>
    </row>
    <row r="10588" spans="1:3" x14ac:dyDescent="0.25">
      <c r="A10588">
        <v>39</v>
      </c>
      <c r="B10588" t="str">
        <f>"9:05:34.247737"</f>
        <v>9:05:34.247737</v>
      </c>
      <c r="C10588">
        <v>-46</v>
      </c>
    </row>
    <row r="10589" spans="1:3" x14ac:dyDescent="0.25">
      <c r="A10589">
        <v>37</v>
      </c>
      <c r="B10589" t="str">
        <f>"9:05:34.605061"</f>
        <v>9:05:34.605061</v>
      </c>
      <c r="C10589">
        <v>-44</v>
      </c>
    </row>
    <row r="10590" spans="1:3" x14ac:dyDescent="0.25">
      <c r="A10590">
        <v>38</v>
      </c>
      <c r="B10590" t="str">
        <f>"9:05:34.606088"</f>
        <v>9:05:34.606088</v>
      </c>
      <c r="C10590">
        <v>-41</v>
      </c>
    </row>
    <row r="10591" spans="1:3" x14ac:dyDescent="0.25">
      <c r="A10591">
        <v>38</v>
      </c>
      <c r="B10591" t="str">
        <f>"9:05:34.606607"</f>
        <v>9:05:34.606607</v>
      </c>
      <c r="C10591">
        <v>-32</v>
      </c>
    </row>
    <row r="10592" spans="1:3" x14ac:dyDescent="0.25">
      <c r="A10592">
        <v>38</v>
      </c>
      <c r="B10592" t="str">
        <f>"9:05:34.606933"</f>
        <v>9:05:34.606933</v>
      </c>
      <c r="C10592">
        <v>-41</v>
      </c>
    </row>
    <row r="10593" spans="1:3" x14ac:dyDescent="0.25">
      <c r="A10593">
        <v>39</v>
      </c>
      <c r="B10593" t="str">
        <f>"9:05:34.607709"</f>
        <v>9:05:34.607709</v>
      </c>
      <c r="C10593">
        <v>-46</v>
      </c>
    </row>
    <row r="10594" spans="1:3" x14ac:dyDescent="0.25">
      <c r="A10594">
        <v>37</v>
      </c>
      <c r="B10594" t="str">
        <f>"9:05:34.963543"</f>
        <v>9:05:34.963543</v>
      </c>
      <c r="C10594">
        <v>-44</v>
      </c>
    </row>
    <row r="10595" spans="1:3" x14ac:dyDescent="0.25">
      <c r="A10595">
        <v>38</v>
      </c>
      <c r="B10595" t="str">
        <f>"9:05:34.964571"</f>
        <v>9:05:34.964571</v>
      </c>
      <c r="C10595">
        <v>-41</v>
      </c>
    </row>
    <row r="10596" spans="1:3" x14ac:dyDescent="0.25">
      <c r="A10596">
        <v>38</v>
      </c>
      <c r="B10596" t="str">
        <f>"9:05:34.965089"</f>
        <v>9:05:34.965089</v>
      </c>
      <c r="C10596">
        <v>-32</v>
      </c>
    </row>
    <row r="10597" spans="1:3" x14ac:dyDescent="0.25">
      <c r="A10597">
        <v>38</v>
      </c>
      <c r="B10597" t="str">
        <f>"9:05:34.965415"</f>
        <v>9:05:34.965415</v>
      </c>
      <c r="C10597">
        <v>-41</v>
      </c>
    </row>
    <row r="10598" spans="1:3" x14ac:dyDescent="0.25">
      <c r="A10598">
        <v>39</v>
      </c>
      <c r="B10598" t="str">
        <f>"9:05:34.966191"</f>
        <v>9:05:34.966191</v>
      </c>
      <c r="C10598">
        <v>-46</v>
      </c>
    </row>
    <row r="10599" spans="1:3" x14ac:dyDescent="0.25">
      <c r="A10599">
        <v>37</v>
      </c>
      <c r="B10599" t="str">
        <f>"9:05:35.315112"</f>
        <v>9:05:35.315112</v>
      </c>
      <c r="C10599">
        <v>-44</v>
      </c>
    </row>
    <row r="10600" spans="1:3" x14ac:dyDescent="0.25">
      <c r="A10600">
        <v>37</v>
      </c>
      <c r="B10600" t="str">
        <f>"9:05:35.315632"</f>
        <v>9:05:35.315632</v>
      </c>
      <c r="C10600">
        <v>-76</v>
      </c>
    </row>
    <row r="10601" spans="1:3" x14ac:dyDescent="0.25">
      <c r="A10601">
        <v>37</v>
      </c>
      <c r="B10601" t="str">
        <f>"9:05:35.315957"</f>
        <v>9:05:35.315957</v>
      </c>
      <c r="C10601">
        <v>-44</v>
      </c>
    </row>
    <row r="10602" spans="1:3" x14ac:dyDescent="0.25">
      <c r="A10602">
        <v>38</v>
      </c>
      <c r="B10602" t="str">
        <f>"9:05:35.316734"</f>
        <v>9:05:35.316734</v>
      </c>
      <c r="C10602">
        <v>-41</v>
      </c>
    </row>
    <row r="10603" spans="1:3" x14ac:dyDescent="0.25">
      <c r="A10603">
        <v>38</v>
      </c>
      <c r="B10603" t="str">
        <f>"9:05:35.317252"</f>
        <v>9:05:35.317252</v>
      </c>
      <c r="C10603">
        <v>-32</v>
      </c>
    </row>
    <row r="10604" spans="1:3" x14ac:dyDescent="0.25">
      <c r="A10604">
        <v>38</v>
      </c>
      <c r="B10604" t="str">
        <f>"9:05:35.317579"</f>
        <v>9:05:35.317579</v>
      </c>
      <c r="C10604">
        <v>-41</v>
      </c>
    </row>
    <row r="10605" spans="1:3" x14ac:dyDescent="0.25">
      <c r="A10605">
        <v>39</v>
      </c>
      <c r="B10605" t="str">
        <f>"9:05:35.318355"</f>
        <v>9:05:35.318355</v>
      </c>
      <c r="C10605">
        <v>-46</v>
      </c>
    </row>
    <row r="10606" spans="1:3" x14ac:dyDescent="0.25">
      <c r="A10606">
        <v>37</v>
      </c>
      <c r="B10606" t="str">
        <f>"9:05:35.672268"</f>
        <v>9:05:35.672268</v>
      </c>
      <c r="C10606">
        <v>-44</v>
      </c>
    </row>
    <row r="10607" spans="1:3" x14ac:dyDescent="0.25">
      <c r="A10607">
        <v>38</v>
      </c>
      <c r="B10607" t="str">
        <f>"9:05:35.673295"</f>
        <v>9:05:35.673295</v>
      </c>
      <c r="C10607">
        <v>-41</v>
      </c>
    </row>
    <row r="10608" spans="1:3" x14ac:dyDescent="0.25">
      <c r="A10608">
        <v>38</v>
      </c>
      <c r="B10608" t="str">
        <f>"9:05:35.673814"</f>
        <v>9:05:35.673814</v>
      </c>
      <c r="C10608">
        <v>-32</v>
      </c>
    </row>
    <row r="10609" spans="1:3" x14ac:dyDescent="0.25">
      <c r="A10609">
        <v>38</v>
      </c>
      <c r="B10609" t="str">
        <f>"9:05:35.674139"</f>
        <v>9:05:35.674139</v>
      </c>
      <c r="C10609">
        <v>-41</v>
      </c>
    </row>
    <row r="10610" spans="1:3" x14ac:dyDescent="0.25">
      <c r="A10610">
        <v>39</v>
      </c>
      <c r="B10610" t="str">
        <f>"9:05:35.674915"</f>
        <v>9:05:35.674915</v>
      </c>
      <c r="C10610">
        <v>-46</v>
      </c>
    </row>
    <row r="10611" spans="1:3" x14ac:dyDescent="0.25">
      <c r="A10611">
        <v>37</v>
      </c>
      <c r="B10611" t="str">
        <f>"9:05:36.031950"</f>
        <v>9:05:36.031950</v>
      </c>
      <c r="C10611">
        <v>-44</v>
      </c>
    </row>
    <row r="10612" spans="1:3" x14ac:dyDescent="0.25">
      <c r="A10612">
        <v>38</v>
      </c>
      <c r="B10612" t="str">
        <f>"9:05:36.032977"</f>
        <v>9:05:36.032977</v>
      </c>
      <c r="C10612">
        <v>-41</v>
      </c>
    </row>
    <row r="10613" spans="1:3" x14ac:dyDescent="0.25">
      <c r="A10613">
        <v>38</v>
      </c>
      <c r="B10613" t="str">
        <f>"9:05:36.033496"</f>
        <v>9:05:36.033496</v>
      </c>
      <c r="C10613">
        <v>-32</v>
      </c>
    </row>
    <row r="10614" spans="1:3" x14ac:dyDescent="0.25">
      <c r="A10614">
        <v>38</v>
      </c>
      <c r="B10614" t="str">
        <f>"9:05:36.033821"</f>
        <v>9:05:36.033821</v>
      </c>
      <c r="C10614">
        <v>-41</v>
      </c>
    </row>
    <row r="10615" spans="1:3" x14ac:dyDescent="0.25">
      <c r="A10615">
        <v>39</v>
      </c>
      <c r="B10615" t="str">
        <f>"9:05:36.034597"</f>
        <v>9:05:36.034597</v>
      </c>
      <c r="C10615">
        <v>-46</v>
      </c>
    </row>
    <row r="10616" spans="1:3" x14ac:dyDescent="0.25">
      <c r="A10616">
        <v>37</v>
      </c>
      <c r="B10616" t="str">
        <f>"9:05:36.387316"</f>
        <v>9:05:36.387316</v>
      </c>
      <c r="C10616">
        <v>-44</v>
      </c>
    </row>
    <row r="10617" spans="1:3" x14ac:dyDescent="0.25">
      <c r="A10617">
        <v>38</v>
      </c>
      <c r="B10617" t="str">
        <f>"9:05:36.388343"</f>
        <v>9:05:36.388343</v>
      </c>
      <c r="C10617">
        <v>-41</v>
      </c>
    </row>
    <row r="10618" spans="1:3" x14ac:dyDescent="0.25">
      <c r="A10618">
        <v>38</v>
      </c>
      <c r="B10618" t="str">
        <f>"9:05:36.388862"</f>
        <v>9:05:36.388862</v>
      </c>
      <c r="C10618">
        <v>-32</v>
      </c>
    </row>
    <row r="10619" spans="1:3" x14ac:dyDescent="0.25">
      <c r="A10619">
        <v>38</v>
      </c>
      <c r="B10619" t="str">
        <f>"9:05:36.389188"</f>
        <v>9:05:36.389188</v>
      </c>
      <c r="C10619">
        <v>-41</v>
      </c>
    </row>
    <row r="10620" spans="1:3" x14ac:dyDescent="0.25">
      <c r="A10620">
        <v>39</v>
      </c>
      <c r="B10620" t="str">
        <f>"9:05:36.389964"</f>
        <v>9:05:36.389964</v>
      </c>
      <c r="C10620">
        <v>-46</v>
      </c>
    </row>
    <row r="10621" spans="1:3" x14ac:dyDescent="0.25">
      <c r="A10621">
        <v>37</v>
      </c>
      <c r="B10621" t="str">
        <f>"9:05:36.744969"</f>
        <v>9:05:36.744969</v>
      </c>
      <c r="C10621">
        <v>-44</v>
      </c>
    </row>
    <row r="10622" spans="1:3" x14ac:dyDescent="0.25">
      <c r="A10622">
        <v>38</v>
      </c>
      <c r="B10622" t="str">
        <f>"9:05:36.745996"</f>
        <v>9:05:36.745996</v>
      </c>
      <c r="C10622">
        <v>-41</v>
      </c>
    </row>
    <row r="10623" spans="1:3" x14ac:dyDescent="0.25">
      <c r="A10623">
        <v>38</v>
      </c>
      <c r="B10623" t="str">
        <f>"9:05:36.746515"</f>
        <v>9:05:36.746515</v>
      </c>
      <c r="C10623">
        <v>-32</v>
      </c>
    </row>
    <row r="10624" spans="1:3" x14ac:dyDescent="0.25">
      <c r="A10624">
        <v>38</v>
      </c>
      <c r="B10624" t="str">
        <f>"9:05:36.746841"</f>
        <v>9:05:36.746841</v>
      </c>
      <c r="C10624">
        <v>-41</v>
      </c>
    </row>
    <row r="10625" spans="1:3" x14ac:dyDescent="0.25">
      <c r="A10625">
        <v>39</v>
      </c>
      <c r="B10625" t="str">
        <f>"9:05:36.747617"</f>
        <v>9:05:36.747617</v>
      </c>
      <c r="C10625">
        <v>-46</v>
      </c>
    </row>
    <row r="10626" spans="1:3" x14ac:dyDescent="0.25">
      <c r="A10626">
        <v>37</v>
      </c>
      <c r="B10626" t="str">
        <f>"9:05:37.096256"</f>
        <v>9:05:37.096256</v>
      </c>
      <c r="C10626">
        <v>-44</v>
      </c>
    </row>
    <row r="10627" spans="1:3" x14ac:dyDescent="0.25">
      <c r="A10627">
        <v>38</v>
      </c>
      <c r="B10627" t="str">
        <f>"9:05:37.097283"</f>
        <v>9:05:37.097283</v>
      </c>
      <c r="C10627">
        <v>-41</v>
      </c>
    </row>
    <row r="10628" spans="1:3" x14ac:dyDescent="0.25">
      <c r="A10628">
        <v>38</v>
      </c>
      <c r="B10628" t="str">
        <f>"9:05:37.097801"</f>
        <v>9:05:37.097801</v>
      </c>
      <c r="C10628">
        <v>-32</v>
      </c>
    </row>
    <row r="10629" spans="1:3" x14ac:dyDescent="0.25">
      <c r="A10629">
        <v>38</v>
      </c>
      <c r="B10629" t="str">
        <f>"9:05:37.098127"</f>
        <v>9:05:37.098127</v>
      </c>
      <c r="C10629">
        <v>-41</v>
      </c>
    </row>
    <row r="10630" spans="1:3" x14ac:dyDescent="0.25">
      <c r="A10630">
        <v>39</v>
      </c>
      <c r="B10630" t="str">
        <f>"9:05:37.098903"</f>
        <v>9:05:37.098903</v>
      </c>
      <c r="C10630">
        <v>-46</v>
      </c>
    </row>
    <row r="10631" spans="1:3" x14ac:dyDescent="0.25">
      <c r="A10631">
        <v>37</v>
      </c>
      <c r="B10631" t="str">
        <f>"9:05:37.455733"</f>
        <v>9:05:37.455733</v>
      </c>
      <c r="C10631">
        <v>-44</v>
      </c>
    </row>
    <row r="10632" spans="1:3" x14ac:dyDescent="0.25">
      <c r="A10632">
        <v>38</v>
      </c>
      <c r="B10632" t="str">
        <f>"9:05:37.456760"</f>
        <v>9:05:37.456760</v>
      </c>
      <c r="C10632">
        <v>-41</v>
      </c>
    </row>
    <row r="10633" spans="1:3" x14ac:dyDescent="0.25">
      <c r="A10633">
        <v>38</v>
      </c>
      <c r="B10633" t="str">
        <f>"9:05:37.457278"</f>
        <v>9:05:37.457278</v>
      </c>
      <c r="C10633">
        <v>-32</v>
      </c>
    </row>
    <row r="10634" spans="1:3" x14ac:dyDescent="0.25">
      <c r="A10634">
        <v>38</v>
      </c>
      <c r="B10634" t="str">
        <f>"9:05:37.457604"</f>
        <v>9:05:37.457604</v>
      </c>
      <c r="C10634">
        <v>-41</v>
      </c>
    </row>
    <row r="10635" spans="1:3" x14ac:dyDescent="0.25">
      <c r="A10635">
        <v>39</v>
      </c>
      <c r="B10635" t="str">
        <f>"9:05:37.458380"</f>
        <v>9:05:37.458380</v>
      </c>
      <c r="C10635">
        <v>-45</v>
      </c>
    </row>
    <row r="10636" spans="1:3" x14ac:dyDescent="0.25">
      <c r="A10636">
        <v>37</v>
      </c>
      <c r="B10636" t="str">
        <f>"9:05:37.807716"</f>
        <v>9:05:37.807716</v>
      </c>
      <c r="C10636">
        <v>-44</v>
      </c>
    </row>
    <row r="10637" spans="1:3" x14ac:dyDescent="0.25">
      <c r="A10637">
        <v>38</v>
      </c>
      <c r="B10637" t="str">
        <f>"9:05:37.808744"</f>
        <v>9:05:37.808744</v>
      </c>
      <c r="C10637">
        <v>-41</v>
      </c>
    </row>
    <row r="10638" spans="1:3" x14ac:dyDescent="0.25">
      <c r="A10638">
        <v>38</v>
      </c>
      <c r="B10638" t="str">
        <f>"9:05:37.809262"</f>
        <v>9:05:37.809262</v>
      </c>
      <c r="C10638">
        <v>-32</v>
      </c>
    </row>
    <row r="10639" spans="1:3" x14ac:dyDescent="0.25">
      <c r="A10639">
        <v>38</v>
      </c>
      <c r="B10639" t="str">
        <f>"9:05:37.809588"</f>
        <v>9:05:37.809588</v>
      </c>
      <c r="C10639">
        <v>-41</v>
      </c>
    </row>
    <row r="10640" spans="1:3" x14ac:dyDescent="0.25">
      <c r="A10640">
        <v>39</v>
      </c>
      <c r="B10640" t="str">
        <f>"9:05:37.810364"</f>
        <v>9:05:37.810364</v>
      </c>
      <c r="C10640">
        <v>-46</v>
      </c>
    </row>
    <row r="10641" spans="1:3" x14ac:dyDescent="0.25">
      <c r="A10641">
        <v>37</v>
      </c>
      <c r="B10641" t="str">
        <f>"9:05:38.160809"</f>
        <v>9:05:38.160809</v>
      </c>
      <c r="C10641">
        <v>-44</v>
      </c>
    </row>
    <row r="10642" spans="1:3" x14ac:dyDescent="0.25">
      <c r="A10642">
        <v>38</v>
      </c>
      <c r="B10642" t="str">
        <f>"9:05:38.161837"</f>
        <v>9:05:38.161837</v>
      </c>
      <c r="C10642">
        <v>-41</v>
      </c>
    </row>
    <row r="10643" spans="1:3" x14ac:dyDescent="0.25">
      <c r="A10643">
        <v>38</v>
      </c>
      <c r="B10643" t="str">
        <f>"9:05:38.162355"</f>
        <v>9:05:38.162355</v>
      </c>
      <c r="C10643">
        <v>-32</v>
      </c>
    </row>
    <row r="10644" spans="1:3" x14ac:dyDescent="0.25">
      <c r="A10644">
        <v>38</v>
      </c>
      <c r="B10644" t="str">
        <f>"9:05:38.162681"</f>
        <v>9:05:38.162681</v>
      </c>
      <c r="C10644">
        <v>-41</v>
      </c>
    </row>
    <row r="10645" spans="1:3" x14ac:dyDescent="0.25">
      <c r="A10645">
        <v>39</v>
      </c>
      <c r="B10645" t="str">
        <f>"9:05:38.163457"</f>
        <v>9:05:38.163457</v>
      </c>
      <c r="C10645">
        <v>-46</v>
      </c>
    </row>
    <row r="10646" spans="1:3" x14ac:dyDescent="0.25">
      <c r="A10646">
        <v>37</v>
      </c>
      <c r="B10646" t="str">
        <f>"9:05:38.518985"</f>
        <v>9:05:38.518985</v>
      </c>
      <c r="C10646">
        <v>-44</v>
      </c>
    </row>
    <row r="10647" spans="1:3" x14ac:dyDescent="0.25">
      <c r="A10647">
        <v>38</v>
      </c>
      <c r="B10647" t="str">
        <f>"9:05:38.520012"</f>
        <v>9:05:38.520012</v>
      </c>
      <c r="C10647">
        <v>-41</v>
      </c>
    </row>
    <row r="10648" spans="1:3" x14ac:dyDescent="0.25">
      <c r="A10648">
        <v>38</v>
      </c>
      <c r="B10648" t="str">
        <f>"9:05:38.520530"</f>
        <v>9:05:38.520530</v>
      </c>
      <c r="C10648">
        <v>-32</v>
      </c>
    </row>
    <row r="10649" spans="1:3" x14ac:dyDescent="0.25">
      <c r="A10649">
        <v>38</v>
      </c>
      <c r="B10649" t="str">
        <f>"9:05:38.520856"</f>
        <v>9:05:38.520856</v>
      </c>
      <c r="C10649">
        <v>-41</v>
      </c>
    </row>
    <row r="10650" spans="1:3" x14ac:dyDescent="0.25">
      <c r="A10650">
        <v>39</v>
      </c>
      <c r="B10650" t="str">
        <f>"9:05:38.521632"</f>
        <v>9:05:38.521632</v>
      </c>
      <c r="C10650">
        <v>-46</v>
      </c>
    </row>
    <row r="10651" spans="1:3" x14ac:dyDescent="0.25">
      <c r="A10651">
        <v>37</v>
      </c>
      <c r="B10651" t="str">
        <f>"9:05:38.876437"</f>
        <v>9:05:38.876437</v>
      </c>
      <c r="C10651">
        <v>-44</v>
      </c>
    </row>
    <row r="10652" spans="1:3" x14ac:dyDescent="0.25">
      <c r="A10652">
        <v>38</v>
      </c>
      <c r="B10652" t="str">
        <f>"9:05:38.877464"</f>
        <v>9:05:38.877464</v>
      </c>
      <c r="C10652">
        <v>-41</v>
      </c>
    </row>
    <row r="10653" spans="1:3" x14ac:dyDescent="0.25">
      <c r="A10653">
        <v>38</v>
      </c>
      <c r="B10653" t="str">
        <f>"9:05:38.877982"</f>
        <v>9:05:38.877982</v>
      </c>
      <c r="C10653">
        <v>-32</v>
      </c>
    </row>
    <row r="10654" spans="1:3" x14ac:dyDescent="0.25">
      <c r="A10654">
        <v>38</v>
      </c>
      <c r="B10654" t="str">
        <f>"9:05:38.878308"</f>
        <v>9:05:38.878308</v>
      </c>
      <c r="C10654">
        <v>-41</v>
      </c>
    </row>
    <row r="10655" spans="1:3" x14ac:dyDescent="0.25">
      <c r="A10655">
        <v>39</v>
      </c>
      <c r="B10655" t="str">
        <f>"9:05:38.879084"</f>
        <v>9:05:38.879084</v>
      </c>
      <c r="C10655">
        <v>-46</v>
      </c>
    </row>
    <row r="10656" spans="1:3" x14ac:dyDescent="0.25">
      <c r="A10656">
        <v>37</v>
      </c>
      <c r="B10656" t="str">
        <f>"9:05:39.228515"</f>
        <v>9:05:39.228515</v>
      </c>
      <c r="C10656">
        <v>-44</v>
      </c>
    </row>
    <row r="10657" spans="1:3" x14ac:dyDescent="0.25">
      <c r="A10657">
        <v>38</v>
      </c>
      <c r="B10657" t="str">
        <f>"9:05:39.229543"</f>
        <v>9:05:39.229543</v>
      </c>
      <c r="C10657">
        <v>-41</v>
      </c>
    </row>
    <row r="10658" spans="1:3" x14ac:dyDescent="0.25">
      <c r="A10658">
        <v>38</v>
      </c>
      <c r="B10658" t="str">
        <f>"9:05:39.230062"</f>
        <v>9:05:39.230062</v>
      </c>
      <c r="C10658">
        <v>-32</v>
      </c>
    </row>
    <row r="10659" spans="1:3" x14ac:dyDescent="0.25">
      <c r="A10659">
        <v>38</v>
      </c>
      <c r="B10659" t="str">
        <f>"9:05:39.230388"</f>
        <v>9:05:39.230388</v>
      </c>
      <c r="C10659">
        <v>-41</v>
      </c>
    </row>
    <row r="10660" spans="1:3" x14ac:dyDescent="0.25">
      <c r="A10660">
        <v>39</v>
      </c>
      <c r="B10660" t="str">
        <f>"9:05:39.231164"</f>
        <v>9:05:39.231164</v>
      </c>
      <c r="C10660">
        <v>-46</v>
      </c>
    </row>
    <row r="10661" spans="1:3" x14ac:dyDescent="0.25">
      <c r="A10661">
        <v>37</v>
      </c>
      <c r="B10661" t="str">
        <f>"9:05:39.580284"</f>
        <v>9:05:39.580284</v>
      </c>
      <c r="C10661">
        <v>-44</v>
      </c>
    </row>
    <row r="10662" spans="1:3" x14ac:dyDescent="0.25">
      <c r="A10662">
        <v>38</v>
      </c>
      <c r="B10662" t="str">
        <f>"9:05:39.581311"</f>
        <v>9:05:39.581311</v>
      </c>
      <c r="C10662">
        <v>-41</v>
      </c>
    </row>
    <row r="10663" spans="1:3" x14ac:dyDescent="0.25">
      <c r="A10663">
        <v>39</v>
      </c>
      <c r="B10663" t="str">
        <f>"9:05:39.582337"</f>
        <v>9:05:39.582337</v>
      </c>
      <c r="C10663">
        <v>-46</v>
      </c>
    </row>
    <row r="10664" spans="1:3" x14ac:dyDescent="0.25">
      <c r="A10664">
        <v>39</v>
      </c>
      <c r="B10664" t="str">
        <f>"9:05:39.582856"</f>
        <v>9:05:39.582856</v>
      </c>
      <c r="C10664">
        <v>-31</v>
      </c>
    </row>
    <row r="10665" spans="1:3" x14ac:dyDescent="0.25">
      <c r="A10665">
        <v>39</v>
      </c>
      <c r="B10665" t="str">
        <f>"9:05:39.583181"</f>
        <v>9:05:39.583181</v>
      </c>
      <c r="C10665">
        <v>-45</v>
      </c>
    </row>
    <row r="10666" spans="1:3" x14ac:dyDescent="0.25">
      <c r="A10666">
        <v>37</v>
      </c>
      <c r="B10666" t="str">
        <f>"9:05:39.938689"</f>
        <v>9:05:39.938689</v>
      </c>
      <c r="C10666">
        <v>-44</v>
      </c>
    </row>
    <row r="10667" spans="1:3" x14ac:dyDescent="0.25">
      <c r="A10667">
        <v>38</v>
      </c>
      <c r="B10667" t="str">
        <f>"9:05:39.939717"</f>
        <v>9:05:39.939717</v>
      </c>
      <c r="C10667">
        <v>-41</v>
      </c>
    </row>
    <row r="10668" spans="1:3" x14ac:dyDescent="0.25">
      <c r="A10668">
        <v>39</v>
      </c>
      <c r="B10668" t="str">
        <f>"9:05:39.940743"</f>
        <v>9:05:39.940743</v>
      </c>
      <c r="C10668">
        <v>-46</v>
      </c>
    </row>
    <row r="10669" spans="1:3" x14ac:dyDescent="0.25">
      <c r="A10669">
        <v>37</v>
      </c>
      <c r="B10669" t="str">
        <f>"9:05:40.291506"</f>
        <v>9:05:40.291506</v>
      </c>
      <c r="C10669">
        <v>-44</v>
      </c>
    </row>
    <row r="10670" spans="1:3" x14ac:dyDescent="0.25">
      <c r="A10670">
        <v>38</v>
      </c>
      <c r="B10670" t="str">
        <f>"9:05:40.292534"</f>
        <v>9:05:40.292534</v>
      </c>
      <c r="C10670">
        <v>-41</v>
      </c>
    </row>
    <row r="10671" spans="1:3" x14ac:dyDescent="0.25">
      <c r="A10671">
        <v>39</v>
      </c>
      <c r="B10671" t="str">
        <f>"9:05:40.293560"</f>
        <v>9:05:40.293560</v>
      </c>
      <c r="C10671">
        <v>-46</v>
      </c>
    </row>
    <row r="10672" spans="1:3" x14ac:dyDescent="0.25">
      <c r="A10672">
        <v>39</v>
      </c>
      <c r="B10672" t="str">
        <f>"9:05:40.294079"</f>
        <v>9:05:40.294079</v>
      </c>
      <c r="C10672">
        <v>-31</v>
      </c>
    </row>
    <row r="10673" spans="1:3" x14ac:dyDescent="0.25">
      <c r="A10673">
        <v>39</v>
      </c>
      <c r="B10673" t="str">
        <f>"9:05:40.294405"</f>
        <v>9:05:40.294405</v>
      </c>
      <c r="C10673">
        <v>-45</v>
      </c>
    </row>
    <row r="10674" spans="1:3" x14ac:dyDescent="0.25">
      <c r="A10674">
        <v>37</v>
      </c>
      <c r="B10674" t="str">
        <f>"9:05:40.647937"</f>
        <v>9:05:40.647937</v>
      </c>
      <c r="C10674">
        <v>-44</v>
      </c>
    </row>
    <row r="10675" spans="1:3" x14ac:dyDescent="0.25">
      <c r="A10675">
        <v>38</v>
      </c>
      <c r="B10675" t="str">
        <f>"9:05:40.648965"</f>
        <v>9:05:40.648965</v>
      </c>
      <c r="C10675">
        <v>-41</v>
      </c>
    </row>
    <row r="10676" spans="1:3" x14ac:dyDescent="0.25">
      <c r="A10676">
        <v>39</v>
      </c>
      <c r="B10676" t="str">
        <f>"9:05:40.649991"</f>
        <v>9:05:40.649991</v>
      </c>
      <c r="C10676">
        <v>-46</v>
      </c>
    </row>
    <row r="10677" spans="1:3" x14ac:dyDescent="0.25">
      <c r="A10677">
        <v>39</v>
      </c>
      <c r="B10677" t="str">
        <f>"9:05:40.650510"</f>
        <v>9:05:40.650510</v>
      </c>
      <c r="C10677">
        <v>-31</v>
      </c>
    </row>
    <row r="10678" spans="1:3" x14ac:dyDescent="0.25">
      <c r="A10678">
        <v>39</v>
      </c>
      <c r="B10678" t="str">
        <f>"9:05:40.650836"</f>
        <v>9:05:40.650836</v>
      </c>
      <c r="C10678">
        <v>-45</v>
      </c>
    </row>
    <row r="10679" spans="1:3" x14ac:dyDescent="0.25">
      <c r="A10679">
        <v>37</v>
      </c>
      <c r="B10679" t="str">
        <f>"9:05:41.004285"</f>
        <v>9:05:41.004285</v>
      </c>
      <c r="C10679">
        <v>-44</v>
      </c>
    </row>
    <row r="10680" spans="1:3" x14ac:dyDescent="0.25">
      <c r="A10680">
        <v>38</v>
      </c>
      <c r="B10680" t="str">
        <f>"9:05:41.005313"</f>
        <v>9:05:41.005313</v>
      </c>
      <c r="C10680">
        <v>-41</v>
      </c>
    </row>
    <row r="10681" spans="1:3" x14ac:dyDescent="0.25">
      <c r="A10681">
        <v>39</v>
      </c>
      <c r="B10681" t="str">
        <f>"9:05:41.006339"</f>
        <v>9:05:41.006339</v>
      </c>
      <c r="C10681">
        <v>-46</v>
      </c>
    </row>
    <row r="10682" spans="1:3" x14ac:dyDescent="0.25">
      <c r="A10682">
        <v>39</v>
      </c>
      <c r="B10682" t="str">
        <f>"9:05:41.006857"</f>
        <v>9:05:41.006857</v>
      </c>
      <c r="C10682">
        <v>-31</v>
      </c>
    </row>
    <row r="10683" spans="1:3" x14ac:dyDescent="0.25">
      <c r="A10683">
        <v>39</v>
      </c>
      <c r="B10683" t="str">
        <f>"9:05:41.007183"</f>
        <v>9:05:41.007183</v>
      </c>
      <c r="C10683">
        <v>-45</v>
      </c>
    </row>
    <row r="10684" spans="1:3" x14ac:dyDescent="0.25">
      <c r="A10684">
        <v>37</v>
      </c>
      <c r="B10684" t="str">
        <f>"9:05:41.357874"</f>
        <v>9:05:41.357874</v>
      </c>
      <c r="C10684">
        <v>-44</v>
      </c>
    </row>
    <row r="10685" spans="1:3" x14ac:dyDescent="0.25">
      <c r="A10685">
        <v>38</v>
      </c>
      <c r="B10685" t="str">
        <f>"9:05:41.358901"</f>
        <v>9:05:41.358901</v>
      </c>
      <c r="C10685">
        <v>-41</v>
      </c>
    </row>
    <row r="10686" spans="1:3" x14ac:dyDescent="0.25">
      <c r="A10686">
        <v>39</v>
      </c>
      <c r="B10686" t="str">
        <f>"9:05:41.359927"</f>
        <v>9:05:41.359927</v>
      </c>
      <c r="C10686">
        <v>-46</v>
      </c>
    </row>
    <row r="10687" spans="1:3" x14ac:dyDescent="0.25">
      <c r="A10687">
        <v>39</v>
      </c>
      <c r="B10687" t="str">
        <f>"9:05:41.360446"</f>
        <v>9:05:41.360446</v>
      </c>
      <c r="C10687">
        <v>-31</v>
      </c>
    </row>
    <row r="10688" spans="1:3" x14ac:dyDescent="0.25">
      <c r="A10688">
        <v>39</v>
      </c>
      <c r="B10688" t="str">
        <f>"9:05:41.360772"</f>
        <v>9:05:41.360772</v>
      </c>
      <c r="C10688">
        <v>-45</v>
      </c>
    </row>
    <row r="10689" spans="1:3" x14ac:dyDescent="0.25">
      <c r="A10689">
        <v>37</v>
      </c>
      <c r="B10689" t="str">
        <f>"9:05:41.713024"</f>
        <v>9:05:41.713024</v>
      </c>
      <c r="C10689">
        <v>-44</v>
      </c>
    </row>
    <row r="10690" spans="1:3" x14ac:dyDescent="0.25">
      <c r="A10690">
        <v>38</v>
      </c>
      <c r="B10690" t="str">
        <f>"9:05:41.714051"</f>
        <v>9:05:41.714051</v>
      </c>
      <c r="C10690">
        <v>-41</v>
      </c>
    </row>
    <row r="10691" spans="1:3" x14ac:dyDescent="0.25">
      <c r="A10691">
        <v>39</v>
      </c>
      <c r="B10691" t="str">
        <f>"9:05:41.715077"</f>
        <v>9:05:41.715077</v>
      </c>
      <c r="C10691">
        <v>-46</v>
      </c>
    </row>
    <row r="10692" spans="1:3" x14ac:dyDescent="0.25">
      <c r="A10692">
        <v>39</v>
      </c>
      <c r="B10692" t="str">
        <f>"9:05:41.715596"</f>
        <v>9:05:41.715596</v>
      </c>
      <c r="C10692">
        <v>-31</v>
      </c>
    </row>
    <row r="10693" spans="1:3" x14ac:dyDescent="0.25">
      <c r="A10693">
        <v>39</v>
      </c>
      <c r="B10693" t="str">
        <f>"9:05:41.715921"</f>
        <v>9:05:41.715921</v>
      </c>
      <c r="C10693">
        <v>-45</v>
      </c>
    </row>
    <row r="10694" spans="1:3" x14ac:dyDescent="0.25">
      <c r="A10694">
        <v>37</v>
      </c>
      <c r="B10694" t="str">
        <f>"9:05:42.067599"</f>
        <v>9:05:42.067599</v>
      </c>
      <c r="C10694">
        <v>-44</v>
      </c>
    </row>
    <row r="10695" spans="1:3" x14ac:dyDescent="0.25">
      <c r="A10695">
        <v>38</v>
      </c>
      <c r="B10695" t="str">
        <f>"9:05:42.068626"</f>
        <v>9:05:42.068626</v>
      </c>
      <c r="C10695">
        <v>-41</v>
      </c>
    </row>
    <row r="10696" spans="1:3" x14ac:dyDescent="0.25">
      <c r="A10696">
        <v>39</v>
      </c>
      <c r="B10696" t="str">
        <f>"9:05:42.069652"</f>
        <v>9:05:42.069652</v>
      </c>
      <c r="C10696">
        <v>-46</v>
      </c>
    </row>
    <row r="10697" spans="1:3" x14ac:dyDescent="0.25">
      <c r="A10697">
        <v>39</v>
      </c>
      <c r="B10697" t="str">
        <f>"9:05:42.070171"</f>
        <v>9:05:42.070171</v>
      </c>
      <c r="C10697">
        <v>-31</v>
      </c>
    </row>
    <row r="10698" spans="1:3" x14ac:dyDescent="0.25">
      <c r="A10698">
        <v>39</v>
      </c>
      <c r="B10698" t="str">
        <f>"9:05:42.070496"</f>
        <v>9:05:42.070496</v>
      </c>
      <c r="C10698">
        <v>-45</v>
      </c>
    </row>
    <row r="10699" spans="1:3" x14ac:dyDescent="0.25">
      <c r="A10699">
        <v>37</v>
      </c>
      <c r="B10699" t="str">
        <f>"9:05:42.422158"</f>
        <v>9:05:42.422158</v>
      </c>
      <c r="C10699">
        <v>-44</v>
      </c>
    </row>
    <row r="10700" spans="1:3" x14ac:dyDescent="0.25">
      <c r="A10700">
        <v>38</v>
      </c>
      <c r="B10700" t="str">
        <f>"9:05:42.423185"</f>
        <v>9:05:42.423185</v>
      </c>
      <c r="C10700">
        <v>-41</v>
      </c>
    </row>
    <row r="10701" spans="1:3" x14ac:dyDescent="0.25">
      <c r="A10701">
        <v>39</v>
      </c>
      <c r="B10701" t="str">
        <f>"9:05:42.424211"</f>
        <v>9:05:42.424211</v>
      </c>
      <c r="C10701">
        <v>-46</v>
      </c>
    </row>
    <row r="10702" spans="1:3" x14ac:dyDescent="0.25">
      <c r="A10702">
        <v>39</v>
      </c>
      <c r="B10702" t="str">
        <f>"9:05:42.424730"</f>
        <v>9:05:42.424730</v>
      </c>
      <c r="C10702">
        <v>-31</v>
      </c>
    </row>
    <row r="10703" spans="1:3" x14ac:dyDescent="0.25">
      <c r="A10703">
        <v>39</v>
      </c>
      <c r="B10703" t="str">
        <f>"9:05:42.425055"</f>
        <v>9:05:42.425055</v>
      </c>
      <c r="C10703">
        <v>-46</v>
      </c>
    </row>
    <row r="10704" spans="1:3" x14ac:dyDescent="0.25">
      <c r="A10704">
        <v>37</v>
      </c>
      <c r="B10704" t="str">
        <f>"9:05:42.777787"</f>
        <v>9:05:42.777787</v>
      </c>
      <c r="C10704">
        <v>-44</v>
      </c>
    </row>
    <row r="10705" spans="1:3" x14ac:dyDescent="0.25">
      <c r="A10705">
        <v>38</v>
      </c>
      <c r="B10705" t="str">
        <f>"9:05:42.778814"</f>
        <v>9:05:42.778814</v>
      </c>
      <c r="C10705">
        <v>-41</v>
      </c>
    </row>
    <row r="10706" spans="1:3" x14ac:dyDescent="0.25">
      <c r="A10706">
        <v>39</v>
      </c>
      <c r="B10706" t="str">
        <f>"9:05:42.779840"</f>
        <v>9:05:42.779840</v>
      </c>
      <c r="C10706">
        <v>-46</v>
      </c>
    </row>
    <row r="10707" spans="1:3" x14ac:dyDescent="0.25">
      <c r="A10707">
        <v>39</v>
      </c>
      <c r="B10707" t="str">
        <f>"9:05:42.780359"</f>
        <v>9:05:42.780359</v>
      </c>
      <c r="C10707">
        <v>-31</v>
      </c>
    </row>
    <row r="10708" spans="1:3" x14ac:dyDescent="0.25">
      <c r="A10708">
        <v>39</v>
      </c>
      <c r="B10708" t="str">
        <f>"9:05:42.780684"</f>
        <v>9:05:42.780684</v>
      </c>
      <c r="C10708">
        <v>-45</v>
      </c>
    </row>
    <row r="10709" spans="1:3" x14ac:dyDescent="0.25">
      <c r="A10709">
        <v>37</v>
      </c>
      <c r="B10709" t="str">
        <f>"9:05:43.132889"</f>
        <v>9:05:43.132889</v>
      </c>
      <c r="C10709">
        <v>-44</v>
      </c>
    </row>
    <row r="10710" spans="1:3" x14ac:dyDescent="0.25">
      <c r="A10710">
        <v>38</v>
      </c>
      <c r="B10710" t="str">
        <f>"9:05:43.133916"</f>
        <v>9:05:43.133916</v>
      </c>
      <c r="C10710">
        <v>-41</v>
      </c>
    </row>
    <row r="10711" spans="1:3" x14ac:dyDescent="0.25">
      <c r="A10711">
        <v>39</v>
      </c>
      <c r="B10711" t="str">
        <f>"9:05:43.134942"</f>
        <v>9:05:43.134942</v>
      </c>
      <c r="C10711">
        <v>-46</v>
      </c>
    </row>
    <row r="10712" spans="1:3" x14ac:dyDescent="0.25">
      <c r="A10712">
        <v>39</v>
      </c>
      <c r="B10712" t="str">
        <f>"9:05:43.135461"</f>
        <v>9:05:43.135461</v>
      </c>
      <c r="C10712">
        <v>-31</v>
      </c>
    </row>
    <row r="10713" spans="1:3" x14ac:dyDescent="0.25">
      <c r="A10713">
        <v>39</v>
      </c>
      <c r="B10713" t="str">
        <f>"9:05:43.135787"</f>
        <v>9:05:43.135787</v>
      </c>
      <c r="C10713">
        <v>-46</v>
      </c>
    </row>
    <row r="10714" spans="1:3" x14ac:dyDescent="0.25">
      <c r="A10714">
        <v>37</v>
      </c>
      <c r="B10714" t="str">
        <f>"9:05:43.483408"</f>
        <v>9:05:43.483408</v>
      </c>
      <c r="C10714">
        <v>-44</v>
      </c>
    </row>
    <row r="10715" spans="1:3" x14ac:dyDescent="0.25">
      <c r="A10715">
        <v>38</v>
      </c>
      <c r="B10715" t="str">
        <f>"9:05:43.484436"</f>
        <v>9:05:43.484436</v>
      </c>
      <c r="C10715">
        <v>-41</v>
      </c>
    </row>
    <row r="10716" spans="1:3" x14ac:dyDescent="0.25">
      <c r="A10716">
        <v>39</v>
      </c>
      <c r="B10716" t="str">
        <f>"9:05:43.485462"</f>
        <v>9:05:43.485462</v>
      </c>
      <c r="C10716">
        <v>-46</v>
      </c>
    </row>
    <row r="10717" spans="1:3" x14ac:dyDescent="0.25">
      <c r="A10717">
        <v>37</v>
      </c>
      <c r="B10717" t="str">
        <f>"9:05:43.837451"</f>
        <v>9:05:43.837451</v>
      </c>
      <c r="C10717">
        <v>-44</v>
      </c>
    </row>
    <row r="10718" spans="1:3" x14ac:dyDescent="0.25">
      <c r="A10718">
        <v>38</v>
      </c>
      <c r="B10718" t="str">
        <f>"9:05:43.838478"</f>
        <v>9:05:43.838478</v>
      </c>
      <c r="C10718">
        <v>-41</v>
      </c>
    </row>
    <row r="10719" spans="1:3" x14ac:dyDescent="0.25">
      <c r="A10719">
        <v>39</v>
      </c>
      <c r="B10719" t="str">
        <f>"9:05:43.839504"</f>
        <v>9:05:43.839504</v>
      </c>
      <c r="C10719">
        <v>-46</v>
      </c>
    </row>
    <row r="10720" spans="1:3" x14ac:dyDescent="0.25">
      <c r="A10720">
        <v>39</v>
      </c>
      <c r="B10720" t="str">
        <f>"9:05:43.840023"</f>
        <v>9:05:43.840023</v>
      </c>
      <c r="C10720">
        <v>-31</v>
      </c>
    </row>
    <row r="10721" spans="1:3" x14ac:dyDescent="0.25">
      <c r="A10721">
        <v>39</v>
      </c>
      <c r="B10721" t="str">
        <f>"9:05:43.840349"</f>
        <v>9:05:43.840349</v>
      </c>
      <c r="C10721">
        <v>-45</v>
      </c>
    </row>
    <row r="10722" spans="1:3" x14ac:dyDescent="0.25">
      <c r="A10722">
        <v>37</v>
      </c>
      <c r="B10722" t="str">
        <f>"9:05:44.187670"</f>
        <v>9:05:44.187670</v>
      </c>
      <c r="C10722">
        <v>-44</v>
      </c>
    </row>
    <row r="10723" spans="1:3" x14ac:dyDescent="0.25">
      <c r="A10723">
        <v>38</v>
      </c>
      <c r="B10723" t="str">
        <f>"9:05:44.188697"</f>
        <v>9:05:44.188697</v>
      </c>
      <c r="C10723">
        <v>-41</v>
      </c>
    </row>
    <row r="10724" spans="1:3" x14ac:dyDescent="0.25">
      <c r="A10724">
        <v>39</v>
      </c>
      <c r="B10724" t="str">
        <f>"9:05:44.189723"</f>
        <v>9:05:44.189723</v>
      </c>
      <c r="C10724">
        <v>-46</v>
      </c>
    </row>
    <row r="10725" spans="1:3" x14ac:dyDescent="0.25">
      <c r="A10725">
        <v>39</v>
      </c>
      <c r="B10725" t="str">
        <f>"9:05:44.190242"</f>
        <v>9:05:44.190242</v>
      </c>
      <c r="C10725">
        <v>-31</v>
      </c>
    </row>
    <row r="10726" spans="1:3" x14ac:dyDescent="0.25">
      <c r="A10726">
        <v>39</v>
      </c>
      <c r="B10726" t="str">
        <f>"9:05:44.190567"</f>
        <v>9:05:44.190567</v>
      </c>
      <c r="C10726">
        <v>-45</v>
      </c>
    </row>
    <row r="10727" spans="1:3" x14ac:dyDescent="0.25">
      <c r="A10727">
        <v>37</v>
      </c>
      <c r="B10727" t="str">
        <f>"9:05:44.543557"</f>
        <v>9:05:44.543557</v>
      </c>
      <c r="C10727">
        <v>-44</v>
      </c>
    </row>
    <row r="10728" spans="1:3" x14ac:dyDescent="0.25">
      <c r="A10728">
        <v>37</v>
      </c>
      <c r="B10728" t="str">
        <f>"9:05:44.544076"</f>
        <v>9:05:44.544076</v>
      </c>
      <c r="C10728">
        <v>-40</v>
      </c>
    </row>
    <row r="10729" spans="1:3" x14ac:dyDescent="0.25">
      <c r="A10729">
        <v>37</v>
      </c>
      <c r="B10729" t="str">
        <f>"9:05:44.544402"</f>
        <v>9:05:44.544402</v>
      </c>
      <c r="C10729">
        <v>-44</v>
      </c>
    </row>
    <row r="10730" spans="1:3" x14ac:dyDescent="0.25">
      <c r="A10730">
        <v>38</v>
      </c>
      <c r="B10730" t="str">
        <f>"9:05:44.545178"</f>
        <v>9:05:44.545178</v>
      </c>
      <c r="C10730">
        <v>-41</v>
      </c>
    </row>
    <row r="10731" spans="1:3" x14ac:dyDescent="0.25">
      <c r="A10731">
        <v>39</v>
      </c>
      <c r="B10731" t="str">
        <f>"9:05:44.546204"</f>
        <v>9:05:44.546204</v>
      </c>
      <c r="C10731">
        <v>-46</v>
      </c>
    </row>
    <row r="10732" spans="1:3" x14ac:dyDescent="0.25">
      <c r="A10732">
        <v>37</v>
      </c>
      <c r="B10732" t="str">
        <f>"9:05:44.903487"</f>
        <v>9:05:44.903487</v>
      </c>
      <c r="C10732">
        <v>-44</v>
      </c>
    </row>
    <row r="10733" spans="1:3" x14ac:dyDescent="0.25">
      <c r="A10733">
        <v>37</v>
      </c>
      <c r="B10733" t="str">
        <f>"9:05:44.904005"</f>
        <v>9:05:44.904005</v>
      </c>
      <c r="C10733">
        <v>-39</v>
      </c>
    </row>
    <row r="10734" spans="1:3" x14ac:dyDescent="0.25">
      <c r="A10734">
        <v>37</v>
      </c>
      <c r="B10734" t="str">
        <f>"9:05:44.904331"</f>
        <v>9:05:44.904331</v>
      </c>
      <c r="C10734">
        <v>-44</v>
      </c>
    </row>
    <row r="10735" spans="1:3" x14ac:dyDescent="0.25">
      <c r="A10735">
        <v>38</v>
      </c>
      <c r="B10735" t="str">
        <f>"9:05:44.905107"</f>
        <v>9:05:44.905107</v>
      </c>
      <c r="C10735">
        <v>-41</v>
      </c>
    </row>
    <row r="10736" spans="1:3" x14ac:dyDescent="0.25">
      <c r="A10736">
        <v>39</v>
      </c>
      <c r="B10736" t="str">
        <f>"9:05:44.906133"</f>
        <v>9:05:44.906133</v>
      </c>
      <c r="C10736">
        <v>-46</v>
      </c>
    </row>
    <row r="10737" spans="1:3" x14ac:dyDescent="0.25">
      <c r="A10737">
        <v>37</v>
      </c>
      <c r="B10737" t="str">
        <f>"9:05:45.258365"</f>
        <v>9:05:45.258365</v>
      </c>
      <c r="C10737">
        <v>-44</v>
      </c>
    </row>
    <row r="10738" spans="1:3" x14ac:dyDescent="0.25">
      <c r="A10738">
        <v>37</v>
      </c>
      <c r="B10738" t="str">
        <f>"9:05:45.258883"</f>
        <v>9:05:45.258883</v>
      </c>
      <c r="C10738">
        <v>-40</v>
      </c>
    </row>
    <row r="10739" spans="1:3" x14ac:dyDescent="0.25">
      <c r="A10739">
        <v>37</v>
      </c>
      <c r="B10739" t="str">
        <f>"9:05:45.259209"</f>
        <v>9:05:45.259209</v>
      </c>
      <c r="C10739">
        <v>-44</v>
      </c>
    </row>
    <row r="10740" spans="1:3" x14ac:dyDescent="0.25">
      <c r="A10740">
        <v>38</v>
      </c>
      <c r="B10740" t="str">
        <f>"9:05:45.259985"</f>
        <v>9:05:45.259985</v>
      </c>
      <c r="C10740">
        <v>-41</v>
      </c>
    </row>
    <row r="10741" spans="1:3" x14ac:dyDescent="0.25">
      <c r="A10741">
        <v>38</v>
      </c>
      <c r="B10741" t="str">
        <f>"9:05:45.260505"</f>
        <v>9:05:45.260505</v>
      </c>
      <c r="C10741">
        <v>-80</v>
      </c>
    </row>
    <row r="10742" spans="1:3" x14ac:dyDescent="0.25">
      <c r="A10742">
        <v>38</v>
      </c>
      <c r="B10742" t="str">
        <f>"9:05:45.260831"</f>
        <v>9:05:45.260831</v>
      </c>
      <c r="C10742">
        <v>-41</v>
      </c>
    </row>
    <row r="10743" spans="1:3" x14ac:dyDescent="0.25">
      <c r="A10743">
        <v>39</v>
      </c>
      <c r="B10743" t="str">
        <f>"9:05:45.261607"</f>
        <v>9:05:45.261607</v>
      </c>
      <c r="C10743">
        <v>-46</v>
      </c>
    </row>
    <row r="10744" spans="1:3" x14ac:dyDescent="0.25">
      <c r="A10744">
        <v>38</v>
      </c>
      <c r="B10744" t="str">
        <f>"9:05:45.619344"</f>
        <v>9:05:45.619344</v>
      </c>
      <c r="C10744">
        <v>-41</v>
      </c>
    </row>
    <row r="10745" spans="1:3" x14ac:dyDescent="0.25">
      <c r="A10745">
        <v>39</v>
      </c>
      <c r="B10745" t="str">
        <f>"9:05:45.620370"</f>
        <v>9:05:45.620370</v>
      </c>
      <c r="C10745">
        <v>-46</v>
      </c>
    </row>
    <row r="10746" spans="1:3" x14ac:dyDescent="0.25">
      <c r="A10746">
        <v>37</v>
      </c>
      <c r="B10746" t="str">
        <f>"9:05:45.975221"</f>
        <v>9:05:45.975221</v>
      </c>
      <c r="C10746">
        <v>-44</v>
      </c>
    </row>
    <row r="10747" spans="1:3" x14ac:dyDescent="0.25">
      <c r="A10747">
        <v>37</v>
      </c>
      <c r="B10747" t="str">
        <f>"9:05:45.975740"</f>
        <v>9:05:45.975740</v>
      </c>
      <c r="C10747">
        <v>-39</v>
      </c>
    </row>
    <row r="10748" spans="1:3" x14ac:dyDescent="0.25">
      <c r="A10748">
        <v>37</v>
      </c>
      <c r="B10748" t="str">
        <f>"9:05:45.976066"</f>
        <v>9:05:45.976066</v>
      </c>
      <c r="C10748">
        <v>-44</v>
      </c>
    </row>
    <row r="10749" spans="1:3" x14ac:dyDescent="0.25">
      <c r="A10749">
        <v>38</v>
      </c>
      <c r="B10749" t="str">
        <f>"9:05:45.976842"</f>
        <v>9:05:45.976842</v>
      </c>
      <c r="C10749">
        <v>-41</v>
      </c>
    </row>
    <row r="10750" spans="1:3" x14ac:dyDescent="0.25">
      <c r="A10750">
        <v>39</v>
      </c>
      <c r="B10750" t="str">
        <f>"9:05:45.977868"</f>
        <v>9:05:45.977868</v>
      </c>
      <c r="C10750">
        <v>-45</v>
      </c>
    </row>
    <row r="10751" spans="1:3" x14ac:dyDescent="0.25">
      <c r="A10751">
        <v>37</v>
      </c>
      <c r="B10751" t="str">
        <f>"9:05:46.331579"</f>
        <v>9:05:46.331579</v>
      </c>
      <c r="C10751">
        <v>-44</v>
      </c>
    </row>
    <row r="10752" spans="1:3" x14ac:dyDescent="0.25">
      <c r="A10752">
        <v>38</v>
      </c>
      <c r="B10752" t="str">
        <f>"9:05:46.332606"</f>
        <v>9:05:46.332606</v>
      </c>
      <c r="C10752">
        <v>-41</v>
      </c>
    </row>
    <row r="10753" spans="1:3" x14ac:dyDescent="0.25">
      <c r="A10753">
        <v>39</v>
      </c>
      <c r="B10753" t="str">
        <f>"9:05:46.333632"</f>
        <v>9:05:46.333632</v>
      </c>
      <c r="C10753">
        <v>-46</v>
      </c>
    </row>
    <row r="10754" spans="1:3" x14ac:dyDescent="0.25">
      <c r="A10754">
        <v>37</v>
      </c>
      <c r="B10754" t="str">
        <f>"9:05:46.690550"</f>
        <v>9:05:46.690550</v>
      </c>
      <c r="C10754">
        <v>-44</v>
      </c>
    </row>
    <row r="10755" spans="1:3" x14ac:dyDescent="0.25">
      <c r="A10755">
        <v>37</v>
      </c>
      <c r="B10755" t="str">
        <f>"9:05:46.691068"</f>
        <v>9:05:46.691068</v>
      </c>
      <c r="C10755">
        <v>-38</v>
      </c>
    </row>
    <row r="10756" spans="1:3" x14ac:dyDescent="0.25">
      <c r="A10756">
        <v>37</v>
      </c>
      <c r="B10756" t="str">
        <f>"9:05:46.691394"</f>
        <v>9:05:46.691394</v>
      </c>
      <c r="C10756">
        <v>-44</v>
      </c>
    </row>
    <row r="10757" spans="1:3" x14ac:dyDescent="0.25">
      <c r="A10757">
        <v>38</v>
      </c>
      <c r="B10757" t="str">
        <f>"9:05:46.692170"</f>
        <v>9:05:46.692170</v>
      </c>
      <c r="C10757">
        <v>-41</v>
      </c>
    </row>
    <row r="10758" spans="1:3" x14ac:dyDescent="0.25">
      <c r="A10758">
        <v>39</v>
      </c>
      <c r="B10758" t="str">
        <f>"9:05:46.693196"</f>
        <v>9:05:46.693196</v>
      </c>
      <c r="C10758">
        <v>-45</v>
      </c>
    </row>
    <row r="10759" spans="1:3" x14ac:dyDescent="0.25">
      <c r="A10759">
        <v>37</v>
      </c>
      <c r="B10759" t="str">
        <f>"9:05:47.047691"</f>
        <v>9:05:47.047691</v>
      </c>
      <c r="C10759">
        <v>-44</v>
      </c>
    </row>
    <row r="10760" spans="1:3" x14ac:dyDescent="0.25">
      <c r="A10760">
        <v>37</v>
      </c>
      <c r="B10760" t="str">
        <f>"9:05:47.048210"</f>
        <v>9:05:47.048210</v>
      </c>
      <c r="C10760">
        <v>-38</v>
      </c>
    </row>
    <row r="10761" spans="1:3" x14ac:dyDescent="0.25">
      <c r="A10761">
        <v>37</v>
      </c>
      <c r="B10761" t="str">
        <f>"9:05:47.048535"</f>
        <v>9:05:47.048535</v>
      </c>
      <c r="C10761">
        <v>-44</v>
      </c>
    </row>
    <row r="10762" spans="1:3" x14ac:dyDescent="0.25">
      <c r="A10762">
        <v>38</v>
      </c>
      <c r="B10762" t="str">
        <f>"9:05:47.049312"</f>
        <v>9:05:47.049312</v>
      </c>
      <c r="C10762">
        <v>-41</v>
      </c>
    </row>
    <row r="10763" spans="1:3" x14ac:dyDescent="0.25">
      <c r="A10763">
        <v>39</v>
      </c>
      <c r="B10763" t="str">
        <f>"9:05:47.050338"</f>
        <v>9:05:47.050338</v>
      </c>
      <c r="C10763">
        <v>-45</v>
      </c>
    </row>
    <row r="10764" spans="1:3" x14ac:dyDescent="0.25">
      <c r="A10764">
        <v>37</v>
      </c>
      <c r="B10764" t="str">
        <f>"9:05:47.405836"</f>
        <v>9:05:47.405836</v>
      </c>
      <c r="C10764">
        <v>-44</v>
      </c>
    </row>
    <row r="10765" spans="1:3" x14ac:dyDescent="0.25">
      <c r="A10765">
        <v>37</v>
      </c>
      <c r="B10765" t="str">
        <f>"9:05:47.406354"</f>
        <v>9:05:47.406354</v>
      </c>
      <c r="C10765">
        <v>-40</v>
      </c>
    </row>
    <row r="10766" spans="1:3" x14ac:dyDescent="0.25">
      <c r="A10766">
        <v>37</v>
      </c>
      <c r="B10766" t="str">
        <f>"9:05:47.406680"</f>
        <v>9:05:47.406680</v>
      </c>
      <c r="C10766">
        <v>-44</v>
      </c>
    </row>
    <row r="10767" spans="1:3" x14ac:dyDescent="0.25">
      <c r="A10767">
        <v>38</v>
      </c>
      <c r="B10767" t="str">
        <f>"9:05:47.407456"</f>
        <v>9:05:47.407456</v>
      </c>
      <c r="C10767">
        <v>-41</v>
      </c>
    </row>
    <row r="10768" spans="1:3" x14ac:dyDescent="0.25">
      <c r="A10768">
        <v>39</v>
      </c>
      <c r="B10768" t="str">
        <f>"9:05:47.408482"</f>
        <v>9:05:47.408482</v>
      </c>
      <c r="C10768">
        <v>-45</v>
      </c>
    </row>
    <row r="10769" spans="1:3" x14ac:dyDescent="0.25">
      <c r="A10769">
        <v>37</v>
      </c>
      <c r="B10769" t="str">
        <f>"9:05:47.764833"</f>
        <v>9:05:47.764833</v>
      </c>
      <c r="C10769">
        <v>-44</v>
      </c>
    </row>
    <row r="10770" spans="1:3" x14ac:dyDescent="0.25">
      <c r="A10770">
        <v>37</v>
      </c>
      <c r="B10770" t="str">
        <f>"9:05:47.765352"</f>
        <v>9:05:47.765352</v>
      </c>
      <c r="C10770">
        <v>-40</v>
      </c>
    </row>
    <row r="10771" spans="1:3" x14ac:dyDescent="0.25">
      <c r="A10771">
        <v>37</v>
      </c>
      <c r="B10771" t="str">
        <f>"9:05:47.765678"</f>
        <v>9:05:47.765678</v>
      </c>
      <c r="C10771">
        <v>-44</v>
      </c>
    </row>
    <row r="10772" spans="1:3" x14ac:dyDescent="0.25">
      <c r="A10772">
        <v>38</v>
      </c>
      <c r="B10772" t="str">
        <f>"9:05:47.766455"</f>
        <v>9:05:47.766455</v>
      </c>
      <c r="C10772">
        <v>-41</v>
      </c>
    </row>
    <row r="10773" spans="1:3" x14ac:dyDescent="0.25">
      <c r="A10773">
        <v>39</v>
      </c>
      <c r="B10773" t="str">
        <f>"9:05:47.767481"</f>
        <v>9:05:47.767481</v>
      </c>
      <c r="C10773">
        <v>-45</v>
      </c>
    </row>
    <row r="10774" spans="1:3" x14ac:dyDescent="0.25">
      <c r="A10774">
        <v>37</v>
      </c>
      <c r="B10774" t="str">
        <f>"9:05:48.123491"</f>
        <v>9:05:48.123491</v>
      </c>
      <c r="C10774">
        <v>-44</v>
      </c>
    </row>
    <row r="10775" spans="1:3" x14ac:dyDescent="0.25">
      <c r="A10775">
        <v>37</v>
      </c>
      <c r="B10775" t="str">
        <f>"9:05:48.124009"</f>
        <v>9:05:48.124009</v>
      </c>
      <c r="C10775">
        <v>-40</v>
      </c>
    </row>
    <row r="10776" spans="1:3" x14ac:dyDescent="0.25">
      <c r="A10776">
        <v>37</v>
      </c>
      <c r="B10776" t="str">
        <f>"9:05:48.124335"</f>
        <v>9:05:48.124335</v>
      </c>
      <c r="C10776">
        <v>-44</v>
      </c>
    </row>
    <row r="10777" spans="1:3" x14ac:dyDescent="0.25">
      <c r="A10777">
        <v>38</v>
      </c>
      <c r="B10777" t="str">
        <f>"9:05:48.125111"</f>
        <v>9:05:48.125111</v>
      </c>
      <c r="C10777">
        <v>-41</v>
      </c>
    </row>
    <row r="10778" spans="1:3" x14ac:dyDescent="0.25">
      <c r="A10778">
        <v>39</v>
      </c>
      <c r="B10778" t="str">
        <f>"9:05:48.126137"</f>
        <v>9:05:48.126137</v>
      </c>
      <c r="C10778">
        <v>-45</v>
      </c>
    </row>
    <row r="10779" spans="1:3" x14ac:dyDescent="0.25">
      <c r="A10779">
        <v>37</v>
      </c>
      <c r="B10779" t="str">
        <f>"9:05:48.475221"</f>
        <v>9:05:48.475221</v>
      </c>
      <c r="C10779">
        <v>-44</v>
      </c>
    </row>
    <row r="10780" spans="1:3" x14ac:dyDescent="0.25">
      <c r="A10780">
        <v>37</v>
      </c>
      <c r="B10780" t="str">
        <f>"9:05:48.475739"</f>
        <v>9:05:48.475739</v>
      </c>
      <c r="C10780">
        <v>-41</v>
      </c>
    </row>
    <row r="10781" spans="1:3" x14ac:dyDescent="0.25">
      <c r="A10781">
        <v>37</v>
      </c>
      <c r="B10781" t="str">
        <f>"9:05:48.476065"</f>
        <v>9:05:48.476065</v>
      </c>
      <c r="C10781">
        <v>-44</v>
      </c>
    </row>
    <row r="10782" spans="1:3" x14ac:dyDescent="0.25">
      <c r="A10782">
        <v>38</v>
      </c>
      <c r="B10782" t="str">
        <f>"9:05:48.476841"</f>
        <v>9:05:48.476841</v>
      </c>
      <c r="C10782">
        <v>-41</v>
      </c>
    </row>
    <row r="10783" spans="1:3" x14ac:dyDescent="0.25">
      <c r="A10783">
        <v>39</v>
      </c>
      <c r="B10783" t="str">
        <f>"9:05:48.477867"</f>
        <v>9:05:48.477867</v>
      </c>
      <c r="C10783">
        <v>-45</v>
      </c>
    </row>
    <row r="10784" spans="1:3" x14ac:dyDescent="0.25">
      <c r="A10784">
        <v>37</v>
      </c>
      <c r="B10784" t="str">
        <f>"9:05:48.828772"</f>
        <v>9:05:48.828772</v>
      </c>
      <c r="C10784">
        <v>-44</v>
      </c>
    </row>
    <row r="10785" spans="1:3" x14ac:dyDescent="0.25">
      <c r="A10785">
        <v>37</v>
      </c>
      <c r="B10785" t="str">
        <f>"9:05:48.829291"</f>
        <v>9:05:48.829291</v>
      </c>
      <c r="C10785">
        <v>-41</v>
      </c>
    </row>
    <row r="10786" spans="1:3" x14ac:dyDescent="0.25">
      <c r="A10786">
        <v>37</v>
      </c>
      <c r="B10786" t="str">
        <f>"9:05:48.829618"</f>
        <v>9:05:48.829618</v>
      </c>
      <c r="C10786">
        <v>-44</v>
      </c>
    </row>
    <row r="10787" spans="1:3" x14ac:dyDescent="0.25">
      <c r="A10787">
        <v>38</v>
      </c>
      <c r="B10787" t="str">
        <f>"9:05:48.830394"</f>
        <v>9:05:48.830394</v>
      </c>
      <c r="C10787">
        <v>-41</v>
      </c>
    </row>
    <row r="10788" spans="1:3" x14ac:dyDescent="0.25">
      <c r="A10788">
        <v>39</v>
      </c>
      <c r="B10788" t="str">
        <f>"9:05:48.831420"</f>
        <v>9:05:48.831420</v>
      </c>
      <c r="C10788">
        <v>-45</v>
      </c>
    </row>
    <row r="10789" spans="1:3" x14ac:dyDescent="0.25">
      <c r="A10789">
        <v>37</v>
      </c>
      <c r="B10789" t="str">
        <f>"9:05:49.179777"</f>
        <v>9:05:49.179777</v>
      </c>
      <c r="C10789">
        <v>-44</v>
      </c>
    </row>
    <row r="10790" spans="1:3" x14ac:dyDescent="0.25">
      <c r="A10790">
        <v>37</v>
      </c>
      <c r="B10790" t="str">
        <f>"9:05:49.180295"</f>
        <v>9:05:49.180295</v>
      </c>
      <c r="C10790">
        <v>-42</v>
      </c>
    </row>
    <row r="10791" spans="1:3" x14ac:dyDescent="0.25">
      <c r="A10791">
        <v>37</v>
      </c>
      <c r="B10791" t="str">
        <f>"9:05:49.180621"</f>
        <v>9:05:49.180621</v>
      </c>
      <c r="C10791">
        <v>-44</v>
      </c>
    </row>
    <row r="10792" spans="1:3" x14ac:dyDescent="0.25">
      <c r="A10792">
        <v>38</v>
      </c>
      <c r="B10792" t="str">
        <f>"9:05:49.181397"</f>
        <v>9:05:49.181397</v>
      </c>
      <c r="C10792">
        <v>-41</v>
      </c>
    </row>
    <row r="10793" spans="1:3" x14ac:dyDescent="0.25">
      <c r="A10793">
        <v>39</v>
      </c>
      <c r="B10793" t="str">
        <f>"9:05:49.182423"</f>
        <v>9:05:49.182423</v>
      </c>
      <c r="C10793">
        <v>-45</v>
      </c>
    </row>
    <row r="10794" spans="1:3" x14ac:dyDescent="0.25">
      <c r="A10794">
        <v>37</v>
      </c>
      <c r="B10794" t="str">
        <f>"9:05:49.536147"</f>
        <v>9:05:49.536147</v>
      </c>
      <c r="C10794">
        <v>-44</v>
      </c>
    </row>
    <row r="10795" spans="1:3" x14ac:dyDescent="0.25">
      <c r="A10795">
        <v>38</v>
      </c>
      <c r="B10795" t="str">
        <f>"9:05:49.537174"</f>
        <v>9:05:49.537174</v>
      </c>
      <c r="C10795">
        <v>-41</v>
      </c>
    </row>
    <row r="10796" spans="1:3" x14ac:dyDescent="0.25">
      <c r="A10796">
        <v>38</v>
      </c>
      <c r="B10796" t="str">
        <f>"9:05:49.537692"</f>
        <v>9:05:49.537692</v>
      </c>
      <c r="C10796">
        <v>-32</v>
      </c>
    </row>
    <row r="10797" spans="1:3" x14ac:dyDescent="0.25">
      <c r="A10797">
        <v>38</v>
      </c>
      <c r="B10797" t="str">
        <f>"9:05:49.538018"</f>
        <v>9:05:49.538018</v>
      </c>
      <c r="C10797">
        <v>-41</v>
      </c>
    </row>
    <row r="10798" spans="1:3" x14ac:dyDescent="0.25">
      <c r="A10798">
        <v>39</v>
      </c>
      <c r="B10798" t="str">
        <f>"9:05:49.538794"</f>
        <v>9:05:49.538794</v>
      </c>
      <c r="C10798">
        <v>-45</v>
      </c>
    </row>
    <row r="10799" spans="1:3" x14ac:dyDescent="0.25">
      <c r="A10799">
        <v>37</v>
      </c>
      <c r="B10799" t="str">
        <f>"9:05:49.889702"</f>
        <v>9:05:49.889702</v>
      </c>
      <c r="C10799">
        <v>-44</v>
      </c>
    </row>
    <row r="10800" spans="1:3" x14ac:dyDescent="0.25">
      <c r="A10800">
        <v>38</v>
      </c>
      <c r="B10800" t="str">
        <f>"9:05:49.890730"</f>
        <v>9:05:49.890730</v>
      </c>
      <c r="C10800">
        <v>-41</v>
      </c>
    </row>
    <row r="10801" spans="1:3" x14ac:dyDescent="0.25">
      <c r="A10801">
        <v>39</v>
      </c>
      <c r="B10801" t="str">
        <f>"9:05:49.891756"</f>
        <v>9:05:49.891756</v>
      </c>
      <c r="C10801">
        <v>-45</v>
      </c>
    </row>
    <row r="10802" spans="1:3" x14ac:dyDescent="0.25">
      <c r="A10802">
        <v>37</v>
      </c>
      <c r="B10802" t="str">
        <f>"9:05:50.242741"</f>
        <v>9:05:50.242741</v>
      </c>
      <c r="C10802">
        <v>-44</v>
      </c>
    </row>
    <row r="10803" spans="1:3" x14ac:dyDescent="0.25">
      <c r="A10803">
        <v>38</v>
      </c>
      <c r="B10803" t="str">
        <f>"9:05:50.243768"</f>
        <v>9:05:50.243768</v>
      </c>
      <c r="C10803">
        <v>-41</v>
      </c>
    </row>
    <row r="10804" spans="1:3" x14ac:dyDescent="0.25">
      <c r="A10804">
        <v>38</v>
      </c>
      <c r="B10804" t="str">
        <f>"9:05:50.244286"</f>
        <v>9:05:50.244286</v>
      </c>
      <c r="C10804">
        <v>-32</v>
      </c>
    </row>
    <row r="10805" spans="1:3" x14ac:dyDescent="0.25">
      <c r="A10805">
        <v>38</v>
      </c>
      <c r="B10805" t="str">
        <f>"9:05:50.244612"</f>
        <v>9:05:50.244612</v>
      </c>
      <c r="C10805">
        <v>-41</v>
      </c>
    </row>
    <row r="10806" spans="1:3" x14ac:dyDescent="0.25">
      <c r="A10806">
        <v>39</v>
      </c>
      <c r="B10806" t="str">
        <f>"9:05:50.245388"</f>
        <v>9:05:50.245388</v>
      </c>
      <c r="C10806">
        <v>-45</v>
      </c>
    </row>
    <row r="10807" spans="1:3" x14ac:dyDescent="0.25">
      <c r="A10807">
        <v>37</v>
      </c>
      <c r="B10807" t="str">
        <f>"9:05:50.596297"</f>
        <v>9:05:50.596297</v>
      </c>
      <c r="C10807">
        <v>-44</v>
      </c>
    </row>
    <row r="10808" spans="1:3" x14ac:dyDescent="0.25">
      <c r="A10808">
        <v>38</v>
      </c>
      <c r="B10808" t="str">
        <f>"9:05:50.597324"</f>
        <v>9:05:50.597324</v>
      </c>
      <c r="C10808">
        <v>-41</v>
      </c>
    </row>
    <row r="10809" spans="1:3" x14ac:dyDescent="0.25">
      <c r="A10809">
        <v>38</v>
      </c>
      <c r="B10809" t="str">
        <f>"9:05:50.597842"</f>
        <v>9:05:50.597842</v>
      </c>
      <c r="C10809">
        <v>-32</v>
      </c>
    </row>
    <row r="10810" spans="1:3" x14ac:dyDescent="0.25">
      <c r="A10810">
        <v>38</v>
      </c>
      <c r="B10810" t="str">
        <f>"9:05:50.598168"</f>
        <v>9:05:50.598168</v>
      </c>
      <c r="C10810">
        <v>-41</v>
      </c>
    </row>
    <row r="10811" spans="1:3" x14ac:dyDescent="0.25">
      <c r="A10811">
        <v>39</v>
      </c>
      <c r="B10811" t="str">
        <f>"9:05:50.598944"</f>
        <v>9:05:50.598944</v>
      </c>
      <c r="C10811">
        <v>-45</v>
      </c>
    </row>
    <row r="10812" spans="1:3" x14ac:dyDescent="0.25">
      <c r="A10812">
        <v>37</v>
      </c>
      <c r="B10812" t="str">
        <f>"9:05:50.947070"</f>
        <v>9:05:50.947070</v>
      </c>
      <c r="C10812">
        <v>-44</v>
      </c>
    </row>
    <row r="10813" spans="1:3" x14ac:dyDescent="0.25">
      <c r="A10813">
        <v>38</v>
      </c>
      <c r="B10813" t="str">
        <f>"9:05:50.948098"</f>
        <v>9:05:50.948098</v>
      </c>
      <c r="C10813">
        <v>-41</v>
      </c>
    </row>
    <row r="10814" spans="1:3" x14ac:dyDescent="0.25">
      <c r="A10814">
        <v>38</v>
      </c>
      <c r="B10814" t="str">
        <f>"9:05:50.948617"</f>
        <v>9:05:50.948617</v>
      </c>
      <c r="C10814">
        <v>-32</v>
      </c>
    </row>
    <row r="10815" spans="1:3" x14ac:dyDescent="0.25">
      <c r="A10815">
        <v>38</v>
      </c>
      <c r="B10815" t="str">
        <f>"9:05:50.948943"</f>
        <v>9:05:50.948943</v>
      </c>
      <c r="C10815">
        <v>-41</v>
      </c>
    </row>
    <row r="10816" spans="1:3" x14ac:dyDescent="0.25">
      <c r="A10816">
        <v>39</v>
      </c>
      <c r="B10816" t="str">
        <f>"9:05:50.949719"</f>
        <v>9:05:50.949719</v>
      </c>
      <c r="C10816">
        <v>-45</v>
      </c>
    </row>
    <row r="10817" spans="1:3" x14ac:dyDescent="0.25">
      <c r="A10817">
        <v>39</v>
      </c>
      <c r="B10817" t="str">
        <f>"9:05:50.950238"</f>
        <v>9:05:50.950238</v>
      </c>
      <c r="C10817">
        <v>-85</v>
      </c>
    </row>
    <row r="10818" spans="1:3" x14ac:dyDescent="0.25">
      <c r="A10818">
        <v>39</v>
      </c>
      <c r="B10818" t="str">
        <f>"9:05:50.950564"</f>
        <v>9:05:50.950564</v>
      </c>
      <c r="C10818">
        <v>-45</v>
      </c>
    </row>
    <row r="10819" spans="1:3" x14ac:dyDescent="0.25">
      <c r="A10819">
        <v>37</v>
      </c>
      <c r="B10819" t="str">
        <f>"9:05:51.301418"</f>
        <v>9:05:51.301418</v>
      </c>
      <c r="C10819">
        <v>-44</v>
      </c>
    </row>
    <row r="10820" spans="1:3" x14ac:dyDescent="0.25">
      <c r="A10820">
        <v>38</v>
      </c>
      <c r="B10820" t="str">
        <f>"9:05:51.302446"</f>
        <v>9:05:51.302446</v>
      </c>
      <c r="C10820">
        <v>-41</v>
      </c>
    </row>
    <row r="10821" spans="1:3" x14ac:dyDescent="0.25">
      <c r="A10821">
        <v>38</v>
      </c>
      <c r="B10821" t="str">
        <f>"9:05:51.302965"</f>
        <v>9:05:51.302965</v>
      </c>
      <c r="C10821">
        <v>-31</v>
      </c>
    </row>
    <row r="10822" spans="1:3" x14ac:dyDescent="0.25">
      <c r="A10822">
        <v>38</v>
      </c>
      <c r="B10822" t="str">
        <f>"9:05:51.303291"</f>
        <v>9:05:51.303291</v>
      </c>
      <c r="C10822">
        <v>-41</v>
      </c>
    </row>
    <row r="10823" spans="1:3" x14ac:dyDescent="0.25">
      <c r="A10823">
        <v>39</v>
      </c>
      <c r="B10823" t="str">
        <f>"9:05:51.304067"</f>
        <v>9:05:51.304067</v>
      </c>
      <c r="C10823">
        <v>-45</v>
      </c>
    </row>
    <row r="10824" spans="1:3" x14ac:dyDescent="0.25">
      <c r="A10824">
        <v>37</v>
      </c>
      <c r="B10824" t="str">
        <f>"9:05:51.653456"</f>
        <v>9:05:51.653456</v>
      </c>
      <c r="C10824">
        <v>-44</v>
      </c>
    </row>
    <row r="10825" spans="1:3" x14ac:dyDescent="0.25">
      <c r="A10825">
        <v>38</v>
      </c>
      <c r="B10825" t="str">
        <f>"9:05:51.654483"</f>
        <v>9:05:51.654483</v>
      </c>
      <c r="C10825">
        <v>-41</v>
      </c>
    </row>
    <row r="10826" spans="1:3" x14ac:dyDescent="0.25">
      <c r="A10826">
        <v>38</v>
      </c>
      <c r="B10826" t="str">
        <f>"9:05:51.655002"</f>
        <v>9:05:51.655002</v>
      </c>
      <c r="C10826">
        <v>-31</v>
      </c>
    </row>
    <row r="10827" spans="1:3" x14ac:dyDescent="0.25">
      <c r="A10827">
        <v>38</v>
      </c>
      <c r="B10827" t="str">
        <f>"9:05:51.655327"</f>
        <v>9:05:51.655327</v>
      </c>
      <c r="C10827">
        <v>-41</v>
      </c>
    </row>
    <row r="10828" spans="1:3" x14ac:dyDescent="0.25">
      <c r="A10828">
        <v>39</v>
      </c>
      <c r="B10828" t="str">
        <f>"9:05:51.656103"</f>
        <v>9:05:51.656103</v>
      </c>
      <c r="C10828">
        <v>-45</v>
      </c>
    </row>
    <row r="10829" spans="1:3" x14ac:dyDescent="0.25">
      <c r="A10829">
        <v>37</v>
      </c>
      <c r="B10829" t="str">
        <f>"9:05:52.007538"</f>
        <v>9:05:52.007538</v>
      </c>
      <c r="C10829">
        <v>-44</v>
      </c>
    </row>
    <row r="10830" spans="1:3" x14ac:dyDescent="0.25">
      <c r="A10830">
        <v>38</v>
      </c>
      <c r="B10830" t="str">
        <f>"9:05:52.008565"</f>
        <v>9:05:52.008565</v>
      </c>
      <c r="C10830">
        <v>-41</v>
      </c>
    </row>
    <row r="10831" spans="1:3" x14ac:dyDescent="0.25">
      <c r="A10831">
        <v>38</v>
      </c>
      <c r="B10831" t="str">
        <f>"9:05:52.009084"</f>
        <v>9:05:52.009084</v>
      </c>
      <c r="C10831">
        <v>-31</v>
      </c>
    </row>
    <row r="10832" spans="1:3" x14ac:dyDescent="0.25">
      <c r="A10832">
        <v>38</v>
      </c>
      <c r="B10832" t="str">
        <f>"9:05:52.009409"</f>
        <v>9:05:52.009409</v>
      </c>
      <c r="C10832">
        <v>-41</v>
      </c>
    </row>
    <row r="10833" spans="1:3" x14ac:dyDescent="0.25">
      <c r="A10833">
        <v>39</v>
      </c>
      <c r="B10833" t="str">
        <f>"9:05:52.010185"</f>
        <v>9:05:52.010185</v>
      </c>
      <c r="C10833">
        <v>-45</v>
      </c>
    </row>
    <row r="10834" spans="1:3" x14ac:dyDescent="0.25">
      <c r="A10834">
        <v>37</v>
      </c>
      <c r="B10834" t="str">
        <f>"9:05:52.358290"</f>
        <v>9:05:52.358290</v>
      </c>
      <c r="C10834">
        <v>-44</v>
      </c>
    </row>
    <row r="10835" spans="1:3" x14ac:dyDescent="0.25">
      <c r="A10835">
        <v>38</v>
      </c>
      <c r="B10835" t="str">
        <f>"9:05:52.359318"</f>
        <v>9:05:52.359318</v>
      </c>
      <c r="C10835">
        <v>-41</v>
      </c>
    </row>
    <row r="10836" spans="1:3" x14ac:dyDescent="0.25">
      <c r="A10836">
        <v>38</v>
      </c>
      <c r="B10836" t="str">
        <f>"9:05:52.359836"</f>
        <v>9:05:52.359836</v>
      </c>
      <c r="C10836">
        <v>-32</v>
      </c>
    </row>
    <row r="10837" spans="1:3" x14ac:dyDescent="0.25">
      <c r="A10837">
        <v>38</v>
      </c>
      <c r="B10837" t="str">
        <f>"9:05:52.360162"</f>
        <v>9:05:52.360162</v>
      </c>
      <c r="C10837">
        <v>-41</v>
      </c>
    </row>
    <row r="10838" spans="1:3" x14ac:dyDescent="0.25">
      <c r="A10838">
        <v>39</v>
      </c>
      <c r="B10838" t="str">
        <f>"9:05:52.360938"</f>
        <v>9:05:52.360938</v>
      </c>
      <c r="C10838">
        <v>-46</v>
      </c>
    </row>
    <row r="10839" spans="1:3" x14ac:dyDescent="0.25">
      <c r="A10839">
        <v>37</v>
      </c>
      <c r="B10839" t="str">
        <f>"9:05:52.710595"</f>
        <v>9:05:52.710595</v>
      </c>
      <c r="C10839">
        <v>-44</v>
      </c>
    </row>
    <row r="10840" spans="1:3" x14ac:dyDescent="0.25">
      <c r="A10840">
        <v>38</v>
      </c>
      <c r="B10840" t="str">
        <f>"9:05:52.711623"</f>
        <v>9:05:52.711623</v>
      </c>
      <c r="C10840">
        <v>-41</v>
      </c>
    </row>
    <row r="10841" spans="1:3" x14ac:dyDescent="0.25">
      <c r="A10841">
        <v>38</v>
      </c>
      <c r="B10841" t="str">
        <f>"9:05:52.712142"</f>
        <v>9:05:52.712142</v>
      </c>
      <c r="C10841">
        <v>-32</v>
      </c>
    </row>
    <row r="10842" spans="1:3" x14ac:dyDescent="0.25">
      <c r="A10842">
        <v>38</v>
      </c>
      <c r="B10842" t="str">
        <f>"9:05:52.712468"</f>
        <v>9:05:52.712468</v>
      </c>
      <c r="C10842">
        <v>-41</v>
      </c>
    </row>
    <row r="10843" spans="1:3" x14ac:dyDescent="0.25">
      <c r="A10843">
        <v>39</v>
      </c>
      <c r="B10843" t="str">
        <f>"9:05:52.713244"</f>
        <v>9:05:52.713244</v>
      </c>
      <c r="C10843">
        <v>-45</v>
      </c>
    </row>
    <row r="10844" spans="1:3" x14ac:dyDescent="0.25">
      <c r="A10844">
        <v>37</v>
      </c>
      <c r="B10844" t="str">
        <f>"9:05:53.063689"</f>
        <v>9:05:53.063689</v>
      </c>
      <c r="C10844">
        <v>-44</v>
      </c>
    </row>
    <row r="10845" spans="1:3" x14ac:dyDescent="0.25">
      <c r="A10845">
        <v>38</v>
      </c>
      <c r="B10845" t="str">
        <f>"9:05:53.064717"</f>
        <v>9:05:53.064717</v>
      </c>
      <c r="C10845">
        <v>-41</v>
      </c>
    </row>
    <row r="10846" spans="1:3" x14ac:dyDescent="0.25">
      <c r="A10846">
        <v>38</v>
      </c>
      <c r="B10846" t="str">
        <f>"9:05:53.065235"</f>
        <v>9:05:53.065235</v>
      </c>
      <c r="C10846">
        <v>-32</v>
      </c>
    </row>
    <row r="10847" spans="1:3" x14ac:dyDescent="0.25">
      <c r="A10847">
        <v>38</v>
      </c>
      <c r="B10847" t="str">
        <f>"9:05:53.065561"</f>
        <v>9:05:53.065561</v>
      </c>
      <c r="C10847">
        <v>-41</v>
      </c>
    </row>
    <row r="10848" spans="1:3" x14ac:dyDescent="0.25">
      <c r="A10848">
        <v>39</v>
      </c>
      <c r="B10848" t="str">
        <f>"9:05:53.066337"</f>
        <v>9:05:53.066337</v>
      </c>
      <c r="C10848">
        <v>-46</v>
      </c>
    </row>
    <row r="10849" spans="1:3" x14ac:dyDescent="0.25">
      <c r="A10849">
        <v>37</v>
      </c>
      <c r="B10849" t="str">
        <f>"9:05:53.419358"</f>
        <v>9:05:53.419358</v>
      </c>
      <c r="C10849">
        <v>-44</v>
      </c>
    </row>
    <row r="10850" spans="1:3" x14ac:dyDescent="0.25">
      <c r="A10850">
        <v>38</v>
      </c>
      <c r="B10850" t="str">
        <f>"9:05:53.420386"</f>
        <v>9:05:53.420386</v>
      </c>
      <c r="C10850">
        <v>-41</v>
      </c>
    </row>
    <row r="10851" spans="1:3" x14ac:dyDescent="0.25">
      <c r="A10851">
        <v>39</v>
      </c>
      <c r="B10851" t="str">
        <f>"9:05:53.421412"</f>
        <v>9:05:53.421412</v>
      </c>
      <c r="C10851">
        <v>-46</v>
      </c>
    </row>
    <row r="10852" spans="1:3" x14ac:dyDescent="0.25">
      <c r="A10852">
        <v>37</v>
      </c>
      <c r="B10852" t="str">
        <f>"9:05:53.775492"</f>
        <v>9:05:53.775492</v>
      </c>
      <c r="C10852">
        <v>-44</v>
      </c>
    </row>
    <row r="10853" spans="1:3" x14ac:dyDescent="0.25">
      <c r="A10853">
        <v>38</v>
      </c>
      <c r="B10853" t="str">
        <f>"9:05:53.776519"</f>
        <v>9:05:53.776519</v>
      </c>
      <c r="C10853">
        <v>-41</v>
      </c>
    </row>
    <row r="10854" spans="1:3" x14ac:dyDescent="0.25">
      <c r="A10854">
        <v>38</v>
      </c>
      <c r="B10854" t="str">
        <f>"9:05:53.777038"</f>
        <v>9:05:53.777038</v>
      </c>
      <c r="C10854">
        <v>-32</v>
      </c>
    </row>
    <row r="10855" spans="1:3" x14ac:dyDescent="0.25">
      <c r="A10855">
        <v>38</v>
      </c>
      <c r="B10855" t="str">
        <f>"9:05:53.777363"</f>
        <v>9:05:53.777363</v>
      </c>
      <c r="C10855">
        <v>-41</v>
      </c>
    </row>
    <row r="10856" spans="1:3" x14ac:dyDescent="0.25">
      <c r="A10856">
        <v>39</v>
      </c>
      <c r="B10856" t="str">
        <f>"9:05:53.778139"</f>
        <v>9:05:53.778139</v>
      </c>
      <c r="C10856">
        <v>-46</v>
      </c>
    </row>
    <row r="10857" spans="1:3" x14ac:dyDescent="0.25">
      <c r="A10857">
        <v>37</v>
      </c>
      <c r="B10857" t="str">
        <f>"9:05:54.129876"</f>
        <v>9:05:54.129876</v>
      </c>
      <c r="C10857">
        <v>-44</v>
      </c>
    </row>
    <row r="10858" spans="1:3" x14ac:dyDescent="0.25">
      <c r="A10858">
        <v>38</v>
      </c>
      <c r="B10858" t="str">
        <f>"9:05:54.130903"</f>
        <v>9:05:54.130903</v>
      </c>
      <c r="C10858">
        <v>-41</v>
      </c>
    </row>
    <row r="10859" spans="1:3" x14ac:dyDescent="0.25">
      <c r="A10859">
        <v>38</v>
      </c>
      <c r="B10859" t="str">
        <f>"9:05:54.131422"</f>
        <v>9:05:54.131422</v>
      </c>
      <c r="C10859">
        <v>-32</v>
      </c>
    </row>
    <row r="10860" spans="1:3" x14ac:dyDescent="0.25">
      <c r="A10860">
        <v>38</v>
      </c>
      <c r="B10860" t="str">
        <f>"9:05:54.131747"</f>
        <v>9:05:54.131747</v>
      </c>
      <c r="C10860">
        <v>-41</v>
      </c>
    </row>
    <row r="10861" spans="1:3" x14ac:dyDescent="0.25">
      <c r="A10861">
        <v>39</v>
      </c>
      <c r="B10861" t="str">
        <f>"9:05:54.132523"</f>
        <v>9:05:54.132523</v>
      </c>
      <c r="C10861">
        <v>-46</v>
      </c>
    </row>
    <row r="10862" spans="1:3" x14ac:dyDescent="0.25">
      <c r="A10862">
        <v>37</v>
      </c>
      <c r="B10862" t="str">
        <f>"9:05:54.486567"</f>
        <v>9:05:54.486567</v>
      </c>
      <c r="C10862">
        <v>-44</v>
      </c>
    </row>
    <row r="10863" spans="1:3" x14ac:dyDescent="0.25">
      <c r="A10863">
        <v>38</v>
      </c>
      <c r="B10863" t="str">
        <f>"9:05:54.487594"</f>
        <v>9:05:54.487594</v>
      </c>
      <c r="C10863">
        <v>-41</v>
      </c>
    </row>
    <row r="10864" spans="1:3" x14ac:dyDescent="0.25">
      <c r="A10864">
        <v>39</v>
      </c>
      <c r="B10864" t="str">
        <f>"9:05:54.488620"</f>
        <v>9:05:54.488620</v>
      </c>
      <c r="C10864">
        <v>-46</v>
      </c>
    </row>
    <row r="10865" spans="1:3" x14ac:dyDescent="0.25">
      <c r="A10865">
        <v>39</v>
      </c>
      <c r="B10865" t="str">
        <f>"9:05:54.489139"</f>
        <v>9:05:54.489139</v>
      </c>
      <c r="C10865">
        <v>-31</v>
      </c>
    </row>
    <row r="10866" spans="1:3" x14ac:dyDescent="0.25">
      <c r="A10866">
        <v>39</v>
      </c>
      <c r="B10866" t="str">
        <f>"9:05:54.489464"</f>
        <v>9:05:54.489464</v>
      </c>
      <c r="C10866">
        <v>-45</v>
      </c>
    </row>
    <row r="10867" spans="1:3" x14ac:dyDescent="0.25">
      <c r="A10867">
        <v>37</v>
      </c>
      <c r="B10867" t="str">
        <f>"9:05:54.843509"</f>
        <v>9:05:54.843509</v>
      </c>
      <c r="C10867">
        <v>-44</v>
      </c>
    </row>
    <row r="10868" spans="1:3" x14ac:dyDescent="0.25">
      <c r="A10868">
        <v>38</v>
      </c>
      <c r="B10868" t="str">
        <f>"9:05:54.844537"</f>
        <v>9:05:54.844537</v>
      </c>
      <c r="C10868">
        <v>-41</v>
      </c>
    </row>
    <row r="10869" spans="1:3" x14ac:dyDescent="0.25">
      <c r="A10869">
        <v>39</v>
      </c>
      <c r="B10869" t="str">
        <f>"9:05:54.845563"</f>
        <v>9:05:54.845563</v>
      </c>
      <c r="C10869">
        <v>-46</v>
      </c>
    </row>
    <row r="10870" spans="1:3" x14ac:dyDescent="0.25">
      <c r="A10870">
        <v>37</v>
      </c>
      <c r="B10870" t="str">
        <f>"9:05:55.196280"</f>
        <v>9:05:55.196280</v>
      </c>
      <c r="C10870">
        <v>-45</v>
      </c>
    </row>
    <row r="10871" spans="1:3" x14ac:dyDescent="0.25">
      <c r="A10871">
        <v>38</v>
      </c>
      <c r="B10871" t="str">
        <f>"9:05:55.197307"</f>
        <v>9:05:55.197307</v>
      </c>
      <c r="C10871">
        <v>-41</v>
      </c>
    </row>
    <row r="10872" spans="1:3" x14ac:dyDescent="0.25">
      <c r="A10872">
        <v>39</v>
      </c>
      <c r="B10872" t="str">
        <f>"9:05:55.198333"</f>
        <v>9:05:55.198333</v>
      </c>
      <c r="C10872">
        <v>-46</v>
      </c>
    </row>
    <row r="10873" spans="1:3" x14ac:dyDescent="0.25">
      <c r="A10873">
        <v>39</v>
      </c>
      <c r="B10873" t="str">
        <f>"9:05:55.198851"</f>
        <v>9:05:55.198851</v>
      </c>
      <c r="C10873">
        <v>-31</v>
      </c>
    </row>
    <row r="10874" spans="1:3" x14ac:dyDescent="0.25">
      <c r="A10874">
        <v>39</v>
      </c>
      <c r="B10874" t="str">
        <f>"9:05:55.199178"</f>
        <v>9:05:55.199178</v>
      </c>
      <c r="C10874">
        <v>-45</v>
      </c>
    </row>
    <row r="10875" spans="1:3" x14ac:dyDescent="0.25">
      <c r="A10875">
        <v>37</v>
      </c>
      <c r="B10875" t="str">
        <f>"9:05:55.553419"</f>
        <v>9:05:55.553419</v>
      </c>
      <c r="C10875">
        <v>-45</v>
      </c>
    </row>
    <row r="10876" spans="1:3" x14ac:dyDescent="0.25">
      <c r="A10876">
        <v>38</v>
      </c>
      <c r="B10876" t="str">
        <f>"9:05:55.554446"</f>
        <v>9:05:55.554446</v>
      </c>
      <c r="C10876">
        <v>-41</v>
      </c>
    </row>
    <row r="10877" spans="1:3" x14ac:dyDescent="0.25">
      <c r="A10877">
        <v>39</v>
      </c>
      <c r="B10877" t="str">
        <f>"9:05:55.555472"</f>
        <v>9:05:55.555472</v>
      </c>
      <c r="C10877">
        <v>-46</v>
      </c>
    </row>
    <row r="10878" spans="1:3" x14ac:dyDescent="0.25">
      <c r="A10878">
        <v>39</v>
      </c>
      <c r="B10878" t="str">
        <f>"9:05:55.555991"</f>
        <v>9:05:55.555991</v>
      </c>
      <c r="C10878">
        <v>-31</v>
      </c>
    </row>
    <row r="10879" spans="1:3" x14ac:dyDescent="0.25">
      <c r="A10879">
        <v>39</v>
      </c>
      <c r="B10879" t="str">
        <f>"9:05:55.556317"</f>
        <v>9:05:55.556317</v>
      </c>
      <c r="C10879">
        <v>-45</v>
      </c>
    </row>
    <row r="10880" spans="1:3" x14ac:dyDescent="0.25">
      <c r="A10880">
        <v>37</v>
      </c>
      <c r="B10880" t="str">
        <f>"9:05:55.908487"</f>
        <v>9:05:55.908487</v>
      </c>
      <c r="C10880">
        <v>-45</v>
      </c>
    </row>
    <row r="10881" spans="1:3" x14ac:dyDescent="0.25">
      <c r="A10881">
        <v>38</v>
      </c>
      <c r="B10881" t="str">
        <f>"9:05:55.909515"</f>
        <v>9:05:55.909515</v>
      </c>
      <c r="C10881">
        <v>-42</v>
      </c>
    </row>
    <row r="10882" spans="1:3" x14ac:dyDescent="0.25">
      <c r="A10882">
        <v>39</v>
      </c>
      <c r="B10882" t="str">
        <f>"9:05:55.910541"</f>
        <v>9:05:55.910541</v>
      </c>
      <c r="C10882">
        <v>-46</v>
      </c>
    </row>
    <row r="10883" spans="1:3" x14ac:dyDescent="0.25">
      <c r="A10883">
        <v>39</v>
      </c>
      <c r="B10883" t="str">
        <f>"9:05:55.911059"</f>
        <v>9:05:55.911059</v>
      </c>
      <c r="C10883">
        <v>-31</v>
      </c>
    </row>
    <row r="10884" spans="1:3" x14ac:dyDescent="0.25">
      <c r="A10884">
        <v>39</v>
      </c>
      <c r="B10884" t="str">
        <f>"9:05:55.911385"</f>
        <v>9:05:55.911385</v>
      </c>
      <c r="C10884">
        <v>-45</v>
      </c>
    </row>
    <row r="10885" spans="1:3" x14ac:dyDescent="0.25">
      <c r="A10885">
        <v>37</v>
      </c>
      <c r="B10885" t="str">
        <f>"9:05:56.261257"</f>
        <v>9:05:56.261257</v>
      </c>
      <c r="C10885">
        <v>-45</v>
      </c>
    </row>
    <row r="10886" spans="1:3" x14ac:dyDescent="0.25">
      <c r="A10886">
        <v>38</v>
      </c>
      <c r="B10886" t="str">
        <f>"9:05:56.262284"</f>
        <v>9:05:56.262284</v>
      </c>
      <c r="C10886">
        <v>-41</v>
      </c>
    </row>
    <row r="10887" spans="1:3" x14ac:dyDescent="0.25">
      <c r="A10887">
        <v>39</v>
      </c>
      <c r="B10887" t="str">
        <f>"9:05:56.263310"</f>
        <v>9:05:56.263310</v>
      </c>
      <c r="C10887">
        <v>-46</v>
      </c>
    </row>
    <row r="10888" spans="1:3" x14ac:dyDescent="0.25">
      <c r="A10888">
        <v>39</v>
      </c>
      <c r="B10888" t="str">
        <f>"9:05:56.263828"</f>
        <v>9:05:56.263828</v>
      </c>
      <c r="C10888">
        <v>-31</v>
      </c>
    </row>
    <row r="10889" spans="1:3" x14ac:dyDescent="0.25">
      <c r="A10889">
        <v>39</v>
      </c>
      <c r="B10889" t="str">
        <f>"9:05:56.264154"</f>
        <v>9:05:56.264154</v>
      </c>
      <c r="C10889">
        <v>-46</v>
      </c>
    </row>
    <row r="10890" spans="1:3" x14ac:dyDescent="0.25">
      <c r="A10890">
        <v>37</v>
      </c>
      <c r="B10890" t="str">
        <f>"9:05:56.616375"</f>
        <v>9:05:56.616375</v>
      </c>
      <c r="C10890">
        <v>-45</v>
      </c>
    </row>
    <row r="10891" spans="1:3" x14ac:dyDescent="0.25">
      <c r="A10891">
        <v>38</v>
      </c>
      <c r="B10891" t="str">
        <f>"9:05:56.617402"</f>
        <v>9:05:56.617402</v>
      </c>
      <c r="C10891">
        <v>-41</v>
      </c>
    </row>
    <row r="10892" spans="1:3" x14ac:dyDescent="0.25">
      <c r="A10892">
        <v>39</v>
      </c>
      <c r="B10892" t="str">
        <f>"9:05:56.618428"</f>
        <v>9:05:56.618428</v>
      </c>
      <c r="C10892">
        <v>-46</v>
      </c>
    </row>
    <row r="10893" spans="1:3" x14ac:dyDescent="0.25">
      <c r="A10893">
        <v>39</v>
      </c>
      <c r="B10893" t="str">
        <f>"9:05:56.618946"</f>
        <v>9:05:56.618946</v>
      </c>
      <c r="C10893">
        <v>-31</v>
      </c>
    </row>
    <row r="10894" spans="1:3" x14ac:dyDescent="0.25">
      <c r="A10894">
        <v>39</v>
      </c>
      <c r="B10894" t="str">
        <f>"9:05:56.619272"</f>
        <v>9:05:56.619272</v>
      </c>
      <c r="C10894">
        <v>-46</v>
      </c>
    </row>
    <row r="10895" spans="1:3" x14ac:dyDescent="0.25">
      <c r="A10895">
        <v>37</v>
      </c>
      <c r="B10895" t="str">
        <f>"9:05:56.973799"</f>
        <v>9:05:56.973799</v>
      </c>
      <c r="C10895">
        <v>-45</v>
      </c>
    </row>
    <row r="10896" spans="1:3" x14ac:dyDescent="0.25">
      <c r="A10896">
        <v>38</v>
      </c>
      <c r="B10896" t="str">
        <f>"9:05:56.974827"</f>
        <v>9:05:56.974827</v>
      </c>
      <c r="C10896">
        <v>-41</v>
      </c>
    </row>
    <row r="10897" spans="1:3" x14ac:dyDescent="0.25">
      <c r="A10897">
        <v>39</v>
      </c>
      <c r="B10897" t="str">
        <f>"9:05:56.975853"</f>
        <v>9:05:56.975853</v>
      </c>
      <c r="C10897">
        <v>-46</v>
      </c>
    </row>
    <row r="10898" spans="1:3" x14ac:dyDescent="0.25">
      <c r="A10898">
        <v>39</v>
      </c>
      <c r="B10898" t="str">
        <f>"9:05:56.976371"</f>
        <v>9:05:56.976371</v>
      </c>
      <c r="C10898">
        <v>-31</v>
      </c>
    </row>
    <row r="10899" spans="1:3" x14ac:dyDescent="0.25">
      <c r="A10899">
        <v>39</v>
      </c>
      <c r="B10899" t="str">
        <f>"9:05:56.976697"</f>
        <v>9:05:56.976697</v>
      </c>
      <c r="C10899">
        <v>-45</v>
      </c>
    </row>
    <row r="10900" spans="1:3" x14ac:dyDescent="0.25">
      <c r="A10900">
        <v>37</v>
      </c>
      <c r="B10900" t="str">
        <f>"9:05:57.331973"</f>
        <v>9:05:57.331973</v>
      </c>
      <c r="C10900">
        <v>-45</v>
      </c>
    </row>
    <row r="10901" spans="1:3" x14ac:dyDescent="0.25">
      <c r="A10901">
        <v>38</v>
      </c>
      <c r="B10901" t="str">
        <f>"9:05:57.333000"</f>
        <v>9:05:57.333000</v>
      </c>
      <c r="C10901">
        <v>-41</v>
      </c>
    </row>
    <row r="10902" spans="1:3" x14ac:dyDescent="0.25">
      <c r="A10902">
        <v>39</v>
      </c>
      <c r="B10902" t="str">
        <f>"9:05:57.334026"</f>
        <v>9:05:57.334026</v>
      </c>
      <c r="C10902">
        <v>-46</v>
      </c>
    </row>
    <row r="10903" spans="1:3" x14ac:dyDescent="0.25">
      <c r="A10903">
        <v>39</v>
      </c>
      <c r="B10903" t="str">
        <f>"9:05:57.334545"</f>
        <v>9:05:57.334545</v>
      </c>
      <c r="C10903">
        <v>-31</v>
      </c>
    </row>
    <row r="10904" spans="1:3" x14ac:dyDescent="0.25">
      <c r="A10904">
        <v>39</v>
      </c>
      <c r="B10904" t="str">
        <f>"9:05:57.334871"</f>
        <v>9:05:57.334871</v>
      </c>
      <c r="C10904">
        <v>-45</v>
      </c>
    </row>
    <row r="10905" spans="1:3" x14ac:dyDescent="0.25">
      <c r="A10905">
        <v>37</v>
      </c>
      <c r="B10905" t="str">
        <f>"9:05:57.687088"</f>
        <v>9:05:57.687088</v>
      </c>
      <c r="C10905">
        <v>-45</v>
      </c>
    </row>
    <row r="10906" spans="1:3" x14ac:dyDescent="0.25">
      <c r="A10906">
        <v>38</v>
      </c>
      <c r="B10906" t="str">
        <f>"9:05:57.688115"</f>
        <v>9:05:57.688115</v>
      </c>
      <c r="C10906">
        <v>-41</v>
      </c>
    </row>
    <row r="10907" spans="1:3" x14ac:dyDescent="0.25">
      <c r="A10907">
        <v>39</v>
      </c>
      <c r="B10907" t="str">
        <f>"9:05:57.689141"</f>
        <v>9:05:57.689141</v>
      </c>
      <c r="C10907">
        <v>-46</v>
      </c>
    </row>
    <row r="10908" spans="1:3" x14ac:dyDescent="0.25">
      <c r="A10908">
        <v>39</v>
      </c>
      <c r="B10908" t="str">
        <f>"9:05:57.689659"</f>
        <v>9:05:57.689659</v>
      </c>
      <c r="C10908">
        <v>-31</v>
      </c>
    </row>
    <row r="10909" spans="1:3" x14ac:dyDescent="0.25">
      <c r="A10909">
        <v>39</v>
      </c>
      <c r="B10909" t="str">
        <f>"9:05:57.689985"</f>
        <v>9:05:57.689985</v>
      </c>
      <c r="C10909">
        <v>-45</v>
      </c>
    </row>
    <row r="10910" spans="1:3" x14ac:dyDescent="0.25">
      <c r="A10910">
        <v>37</v>
      </c>
      <c r="B10910" t="str">
        <f>"9:05:58.043247"</f>
        <v>9:05:58.043247</v>
      </c>
      <c r="C10910">
        <v>-45</v>
      </c>
    </row>
    <row r="10911" spans="1:3" x14ac:dyDescent="0.25">
      <c r="A10911">
        <v>38</v>
      </c>
      <c r="B10911" t="str">
        <f>"9:05:58.044275"</f>
        <v>9:05:58.044275</v>
      </c>
      <c r="C10911">
        <v>-41</v>
      </c>
    </row>
    <row r="10912" spans="1:3" x14ac:dyDescent="0.25">
      <c r="A10912">
        <v>39</v>
      </c>
      <c r="B10912" t="str">
        <f>"9:05:58.045301"</f>
        <v>9:05:58.045301</v>
      </c>
      <c r="C10912">
        <v>-45</v>
      </c>
    </row>
    <row r="10913" spans="1:3" x14ac:dyDescent="0.25">
      <c r="A10913">
        <v>39</v>
      </c>
      <c r="B10913" t="str">
        <f>"9:05:58.045820"</f>
        <v>9:05:58.045820</v>
      </c>
      <c r="C10913">
        <v>-31</v>
      </c>
    </row>
    <row r="10914" spans="1:3" x14ac:dyDescent="0.25">
      <c r="A10914">
        <v>39</v>
      </c>
      <c r="B10914" t="str">
        <f>"9:05:58.046146"</f>
        <v>9:05:58.046146</v>
      </c>
      <c r="C10914">
        <v>-45</v>
      </c>
    </row>
    <row r="10915" spans="1:3" x14ac:dyDescent="0.25">
      <c r="A10915">
        <v>37</v>
      </c>
      <c r="B10915" t="str">
        <f>"9:05:58.396332"</f>
        <v>9:05:58.396332</v>
      </c>
      <c r="C10915">
        <v>-45</v>
      </c>
    </row>
    <row r="10916" spans="1:3" x14ac:dyDescent="0.25">
      <c r="A10916">
        <v>38</v>
      </c>
      <c r="B10916" t="str">
        <f>"9:05:58.397359"</f>
        <v>9:05:58.397359</v>
      </c>
      <c r="C10916">
        <v>-41</v>
      </c>
    </row>
    <row r="10917" spans="1:3" x14ac:dyDescent="0.25">
      <c r="A10917">
        <v>39</v>
      </c>
      <c r="B10917" t="str">
        <f>"9:05:58.398385"</f>
        <v>9:05:58.398385</v>
      </c>
      <c r="C10917">
        <v>-45</v>
      </c>
    </row>
    <row r="10918" spans="1:3" x14ac:dyDescent="0.25">
      <c r="A10918">
        <v>39</v>
      </c>
      <c r="B10918" t="str">
        <f>"9:05:58.398903"</f>
        <v>9:05:58.398903</v>
      </c>
      <c r="C10918">
        <v>-31</v>
      </c>
    </row>
    <row r="10919" spans="1:3" x14ac:dyDescent="0.25">
      <c r="A10919">
        <v>39</v>
      </c>
      <c r="B10919" t="str">
        <f>"9:05:58.399229"</f>
        <v>9:05:58.399229</v>
      </c>
      <c r="C10919">
        <v>-45</v>
      </c>
    </row>
    <row r="10920" spans="1:3" x14ac:dyDescent="0.25">
      <c r="A10920">
        <v>37</v>
      </c>
      <c r="B10920" t="str">
        <f>"9:05:58.752945"</f>
        <v>9:05:58.752945</v>
      </c>
      <c r="C10920">
        <v>-45</v>
      </c>
    </row>
    <row r="10921" spans="1:3" x14ac:dyDescent="0.25">
      <c r="A10921">
        <v>38</v>
      </c>
      <c r="B10921" t="str">
        <f>"9:05:58.753972"</f>
        <v>9:05:58.753972</v>
      </c>
      <c r="C10921">
        <v>-41</v>
      </c>
    </row>
    <row r="10922" spans="1:3" x14ac:dyDescent="0.25">
      <c r="A10922">
        <v>39</v>
      </c>
      <c r="B10922" t="str">
        <f>"9:05:58.754998"</f>
        <v>9:05:58.754998</v>
      </c>
      <c r="C10922">
        <v>-45</v>
      </c>
    </row>
    <row r="10923" spans="1:3" x14ac:dyDescent="0.25">
      <c r="A10923">
        <v>39</v>
      </c>
      <c r="B10923" t="str">
        <f>"9:05:58.755517"</f>
        <v>9:05:58.755517</v>
      </c>
      <c r="C10923">
        <v>-31</v>
      </c>
    </row>
    <row r="10924" spans="1:3" x14ac:dyDescent="0.25">
      <c r="A10924">
        <v>39</v>
      </c>
      <c r="B10924" t="str">
        <f>"9:05:58.755843"</f>
        <v>9:05:58.755843</v>
      </c>
      <c r="C10924">
        <v>-45</v>
      </c>
    </row>
    <row r="10925" spans="1:3" x14ac:dyDescent="0.25">
      <c r="A10925">
        <v>37</v>
      </c>
      <c r="B10925" t="str">
        <f>"9:05:59.110597"</f>
        <v>9:05:59.110597</v>
      </c>
      <c r="C10925">
        <v>-44</v>
      </c>
    </row>
    <row r="10926" spans="1:3" x14ac:dyDescent="0.25">
      <c r="A10926">
        <v>38</v>
      </c>
      <c r="B10926" t="str">
        <f>"9:05:59.111624"</f>
        <v>9:05:59.111624</v>
      </c>
      <c r="C10926">
        <v>-41</v>
      </c>
    </row>
    <row r="10927" spans="1:3" x14ac:dyDescent="0.25">
      <c r="A10927">
        <v>38</v>
      </c>
      <c r="B10927" t="str">
        <f>"9:05:59.112144"</f>
        <v>9:05:59.112144</v>
      </c>
      <c r="C10927">
        <v>-77</v>
      </c>
    </row>
    <row r="10928" spans="1:3" x14ac:dyDescent="0.25">
      <c r="A10928">
        <v>38</v>
      </c>
      <c r="B10928" t="str">
        <f>"9:05:59.112469"</f>
        <v>9:05:59.112469</v>
      </c>
      <c r="C10928">
        <v>-41</v>
      </c>
    </row>
    <row r="10929" spans="1:3" x14ac:dyDescent="0.25">
      <c r="A10929">
        <v>39</v>
      </c>
      <c r="B10929" t="str">
        <f>"9:05:59.113245"</f>
        <v>9:05:59.113245</v>
      </c>
      <c r="C10929">
        <v>-45</v>
      </c>
    </row>
    <row r="10930" spans="1:3" x14ac:dyDescent="0.25">
      <c r="A10930">
        <v>37</v>
      </c>
      <c r="B10930" t="str">
        <f>"9:05:59.467463"</f>
        <v>9:05:59.467463</v>
      </c>
      <c r="C10930">
        <v>-44</v>
      </c>
    </row>
    <row r="10931" spans="1:3" x14ac:dyDescent="0.25">
      <c r="A10931">
        <v>37</v>
      </c>
      <c r="B10931" t="str">
        <f>"9:05:59.467981"</f>
        <v>9:05:59.467981</v>
      </c>
      <c r="C10931">
        <v>-39</v>
      </c>
    </row>
    <row r="10932" spans="1:3" x14ac:dyDescent="0.25">
      <c r="A10932">
        <v>37</v>
      </c>
      <c r="B10932" t="str">
        <f>"9:05:59.468307"</f>
        <v>9:05:59.468307</v>
      </c>
      <c r="C10932">
        <v>-44</v>
      </c>
    </row>
    <row r="10933" spans="1:3" x14ac:dyDescent="0.25">
      <c r="A10933">
        <v>38</v>
      </c>
      <c r="B10933" t="str">
        <f>"9:05:59.469083"</f>
        <v>9:05:59.469083</v>
      </c>
      <c r="C10933">
        <v>-41</v>
      </c>
    </row>
    <row r="10934" spans="1:3" x14ac:dyDescent="0.25">
      <c r="A10934">
        <v>39</v>
      </c>
      <c r="B10934" t="str">
        <f>"9:05:59.470109"</f>
        <v>9:05:59.470109</v>
      </c>
      <c r="C10934">
        <v>-46</v>
      </c>
    </row>
    <row r="10935" spans="1:3" x14ac:dyDescent="0.25">
      <c r="A10935">
        <v>37</v>
      </c>
      <c r="B10935" t="str">
        <f>"9:05:59.826152"</f>
        <v>9:05:59.826152</v>
      </c>
      <c r="C10935">
        <v>-44</v>
      </c>
    </row>
    <row r="10936" spans="1:3" x14ac:dyDescent="0.25">
      <c r="A10936">
        <v>38</v>
      </c>
      <c r="B10936" t="str">
        <f>"9:05:59.827179"</f>
        <v>9:05:59.827179</v>
      </c>
      <c r="C10936">
        <v>-41</v>
      </c>
    </row>
    <row r="10937" spans="1:3" x14ac:dyDescent="0.25">
      <c r="A10937">
        <v>39</v>
      </c>
      <c r="B10937" t="str">
        <f>"9:05:59.828205"</f>
        <v>9:05:59.828205</v>
      </c>
      <c r="C10937">
        <v>-45</v>
      </c>
    </row>
    <row r="10938" spans="1:3" x14ac:dyDescent="0.25">
      <c r="A10938">
        <v>37</v>
      </c>
      <c r="B10938" t="str">
        <f>"9:06:00.185322"</f>
        <v>9:06:00.185322</v>
      </c>
      <c r="C10938">
        <v>-44</v>
      </c>
    </row>
    <row r="10939" spans="1:3" x14ac:dyDescent="0.25">
      <c r="A10939">
        <v>37</v>
      </c>
      <c r="B10939" t="str">
        <f>"9:06:00.185841"</f>
        <v>9:06:00.185841</v>
      </c>
      <c r="C10939">
        <v>-40</v>
      </c>
    </row>
    <row r="10940" spans="1:3" x14ac:dyDescent="0.25">
      <c r="A10940">
        <v>37</v>
      </c>
      <c r="B10940" t="str">
        <f>"9:06:00.186166"</f>
        <v>9:06:00.186166</v>
      </c>
      <c r="C10940">
        <v>-44</v>
      </c>
    </row>
    <row r="10941" spans="1:3" x14ac:dyDescent="0.25">
      <c r="A10941">
        <v>38</v>
      </c>
      <c r="B10941" t="str">
        <f>"9:06:00.186942"</f>
        <v>9:06:00.186942</v>
      </c>
      <c r="C10941">
        <v>-41</v>
      </c>
    </row>
    <row r="10942" spans="1:3" x14ac:dyDescent="0.25">
      <c r="A10942">
        <v>39</v>
      </c>
      <c r="B10942" t="str">
        <f>"9:06:00.187968"</f>
        <v>9:06:00.187968</v>
      </c>
      <c r="C10942">
        <v>-46</v>
      </c>
    </row>
    <row r="10943" spans="1:3" x14ac:dyDescent="0.25">
      <c r="A10943">
        <v>39</v>
      </c>
      <c r="B10943" t="str">
        <f>"9:06:00.188487"</f>
        <v>9:06:00.188487</v>
      </c>
      <c r="C10943">
        <v>-79</v>
      </c>
    </row>
    <row r="10944" spans="1:3" x14ac:dyDescent="0.25">
      <c r="A10944">
        <v>37</v>
      </c>
      <c r="B10944" t="str">
        <f>"9:06:00.541239"</f>
        <v>9:06:00.541239</v>
      </c>
      <c r="C10944">
        <v>-44</v>
      </c>
    </row>
    <row r="10945" spans="1:3" x14ac:dyDescent="0.25">
      <c r="A10945">
        <v>38</v>
      </c>
      <c r="B10945" t="str">
        <f>"9:06:00.542266"</f>
        <v>9:06:00.542266</v>
      </c>
      <c r="C10945">
        <v>-41</v>
      </c>
    </row>
    <row r="10946" spans="1:3" x14ac:dyDescent="0.25">
      <c r="A10946">
        <v>39</v>
      </c>
      <c r="B10946" t="str">
        <f>"9:06:00.543292"</f>
        <v>9:06:00.543292</v>
      </c>
      <c r="C10946">
        <v>-46</v>
      </c>
    </row>
    <row r="10947" spans="1:3" x14ac:dyDescent="0.25">
      <c r="A10947">
        <v>38</v>
      </c>
      <c r="B10947" t="str">
        <f>"9:06:00.897326"</f>
        <v>9:06:00.897326</v>
      </c>
      <c r="C10947">
        <v>-41</v>
      </c>
    </row>
    <row r="10948" spans="1:3" x14ac:dyDescent="0.25">
      <c r="A10948">
        <v>39</v>
      </c>
      <c r="B10948" t="str">
        <f>"9:06:00.898352"</f>
        <v>9:06:00.898352</v>
      </c>
      <c r="C10948">
        <v>-46</v>
      </c>
    </row>
    <row r="10949" spans="1:3" x14ac:dyDescent="0.25">
      <c r="A10949">
        <v>37</v>
      </c>
      <c r="B10949" t="str">
        <f>"9:06:01.253951"</f>
        <v>9:06:01.253951</v>
      </c>
      <c r="C10949">
        <v>-44</v>
      </c>
    </row>
    <row r="10950" spans="1:3" x14ac:dyDescent="0.25">
      <c r="A10950">
        <v>37</v>
      </c>
      <c r="B10950" t="str">
        <f>"9:06:01.254470"</f>
        <v>9:06:01.254470</v>
      </c>
      <c r="C10950">
        <v>-39</v>
      </c>
    </row>
    <row r="10951" spans="1:3" x14ac:dyDescent="0.25">
      <c r="A10951">
        <v>37</v>
      </c>
      <c r="B10951" t="str">
        <f>"9:06:01.254795"</f>
        <v>9:06:01.254795</v>
      </c>
      <c r="C10951">
        <v>-44</v>
      </c>
    </row>
    <row r="10952" spans="1:3" x14ac:dyDescent="0.25">
      <c r="A10952">
        <v>38</v>
      </c>
      <c r="B10952" t="str">
        <f>"9:06:01.255572"</f>
        <v>9:06:01.255572</v>
      </c>
      <c r="C10952">
        <v>-41</v>
      </c>
    </row>
    <row r="10953" spans="1:3" x14ac:dyDescent="0.25">
      <c r="A10953">
        <v>39</v>
      </c>
      <c r="B10953" t="str">
        <f>"9:06:01.256598"</f>
        <v>9:06:01.256598</v>
      </c>
      <c r="C10953">
        <v>-46</v>
      </c>
    </row>
    <row r="10954" spans="1:3" x14ac:dyDescent="0.25">
      <c r="A10954">
        <v>37</v>
      </c>
      <c r="B10954" t="str">
        <f>"9:06:01.608322"</f>
        <v>9:06:01.608322</v>
      </c>
      <c r="C10954">
        <v>-44</v>
      </c>
    </row>
    <row r="10955" spans="1:3" x14ac:dyDescent="0.25">
      <c r="A10955">
        <v>37</v>
      </c>
      <c r="B10955" t="str">
        <f>"9:06:01.608841"</f>
        <v>9:06:01.608841</v>
      </c>
      <c r="C10955">
        <v>-39</v>
      </c>
    </row>
    <row r="10956" spans="1:3" x14ac:dyDescent="0.25">
      <c r="A10956">
        <v>37</v>
      </c>
      <c r="B10956" t="str">
        <f>"9:06:01.609167"</f>
        <v>9:06:01.609167</v>
      </c>
      <c r="C10956">
        <v>-44</v>
      </c>
    </row>
    <row r="10957" spans="1:3" x14ac:dyDescent="0.25">
      <c r="A10957">
        <v>38</v>
      </c>
      <c r="B10957" t="str">
        <f>"9:06:01.609943"</f>
        <v>9:06:01.609943</v>
      </c>
      <c r="C10957">
        <v>-41</v>
      </c>
    </row>
    <row r="10958" spans="1:3" x14ac:dyDescent="0.25">
      <c r="A10958">
        <v>39</v>
      </c>
      <c r="B10958" t="str">
        <f>"9:06:01.610969"</f>
        <v>9:06:01.610969</v>
      </c>
      <c r="C10958">
        <v>-46</v>
      </c>
    </row>
    <row r="10959" spans="1:3" x14ac:dyDescent="0.25">
      <c r="A10959">
        <v>37</v>
      </c>
      <c r="B10959" t="str">
        <f>"9:06:01.964941"</f>
        <v>9:06:01.964941</v>
      </c>
      <c r="C10959">
        <v>-44</v>
      </c>
    </row>
    <row r="10960" spans="1:3" x14ac:dyDescent="0.25">
      <c r="A10960">
        <v>37</v>
      </c>
      <c r="B10960" t="str">
        <f>"9:06:01.965460"</f>
        <v>9:06:01.965460</v>
      </c>
      <c r="C10960">
        <v>-39</v>
      </c>
    </row>
    <row r="10961" spans="1:3" x14ac:dyDescent="0.25">
      <c r="A10961">
        <v>37</v>
      </c>
      <c r="B10961" t="str">
        <f>"9:06:01.965787"</f>
        <v>9:06:01.965787</v>
      </c>
      <c r="C10961">
        <v>-44</v>
      </c>
    </row>
    <row r="10962" spans="1:3" x14ac:dyDescent="0.25">
      <c r="A10962">
        <v>38</v>
      </c>
      <c r="B10962" t="str">
        <f>"9:06:01.966563"</f>
        <v>9:06:01.966563</v>
      </c>
      <c r="C10962">
        <v>-41</v>
      </c>
    </row>
    <row r="10963" spans="1:3" x14ac:dyDescent="0.25">
      <c r="A10963">
        <v>39</v>
      </c>
      <c r="B10963" t="str">
        <f>"9:06:01.967589"</f>
        <v>9:06:01.967589</v>
      </c>
      <c r="C10963">
        <v>-45</v>
      </c>
    </row>
    <row r="10964" spans="1:3" x14ac:dyDescent="0.25">
      <c r="A10964">
        <v>37</v>
      </c>
      <c r="B10964" t="str">
        <f>"9:06:02.319054"</f>
        <v>9:06:02.319054</v>
      </c>
      <c r="C10964">
        <v>-44</v>
      </c>
    </row>
    <row r="10965" spans="1:3" x14ac:dyDescent="0.25">
      <c r="A10965">
        <v>37</v>
      </c>
      <c r="B10965" t="str">
        <f>"9:06:02.319573"</f>
        <v>9:06:02.319573</v>
      </c>
      <c r="C10965">
        <v>-39</v>
      </c>
    </row>
    <row r="10966" spans="1:3" x14ac:dyDescent="0.25">
      <c r="A10966">
        <v>37</v>
      </c>
      <c r="B10966" t="str">
        <f>"9:06:02.319899"</f>
        <v>9:06:02.319899</v>
      </c>
      <c r="C10966">
        <v>-44</v>
      </c>
    </row>
    <row r="10967" spans="1:3" x14ac:dyDescent="0.25">
      <c r="A10967">
        <v>38</v>
      </c>
      <c r="B10967" t="str">
        <f>"9:06:02.320675"</f>
        <v>9:06:02.320675</v>
      </c>
      <c r="C10967">
        <v>-41</v>
      </c>
    </row>
    <row r="10968" spans="1:3" x14ac:dyDescent="0.25">
      <c r="A10968">
        <v>39</v>
      </c>
      <c r="B10968" t="str">
        <f>"9:06:02.321701"</f>
        <v>9:06:02.321701</v>
      </c>
      <c r="C10968">
        <v>-46</v>
      </c>
    </row>
    <row r="10969" spans="1:3" x14ac:dyDescent="0.25">
      <c r="A10969">
        <v>39</v>
      </c>
      <c r="B10969" t="str">
        <f>"9:06:02.322220"</f>
        <v>9:06:02.322220</v>
      </c>
      <c r="C10969">
        <v>-86</v>
      </c>
    </row>
    <row r="10970" spans="1:3" x14ac:dyDescent="0.25">
      <c r="A10970">
        <v>39</v>
      </c>
      <c r="B10970" t="str">
        <f>"9:06:02.322546"</f>
        <v>9:06:02.322546</v>
      </c>
      <c r="C10970">
        <v>-46</v>
      </c>
    </row>
    <row r="10971" spans="1:3" x14ac:dyDescent="0.25">
      <c r="A10971">
        <v>37</v>
      </c>
      <c r="B10971" t="str">
        <f>"9:06:02.677743"</f>
        <v>9:06:02.677743</v>
      </c>
      <c r="C10971">
        <v>-44</v>
      </c>
    </row>
    <row r="10972" spans="1:3" x14ac:dyDescent="0.25">
      <c r="A10972">
        <v>37</v>
      </c>
      <c r="B10972" t="str">
        <f>"9:06:02.678261"</f>
        <v>9:06:02.678261</v>
      </c>
      <c r="C10972">
        <v>-39</v>
      </c>
    </row>
    <row r="10973" spans="1:3" x14ac:dyDescent="0.25">
      <c r="A10973">
        <v>37</v>
      </c>
      <c r="B10973" t="str">
        <f>"9:06:02.678587"</f>
        <v>9:06:02.678587</v>
      </c>
      <c r="C10973">
        <v>-44</v>
      </c>
    </row>
    <row r="10974" spans="1:3" x14ac:dyDescent="0.25">
      <c r="A10974">
        <v>38</v>
      </c>
      <c r="B10974" t="str">
        <f>"9:06:02.679363"</f>
        <v>9:06:02.679363</v>
      </c>
      <c r="C10974">
        <v>-41</v>
      </c>
    </row>
    <row r="10975" spans="1:3" x14ac:dyDescent="0.25">
      <c r="A10975">
        <v>39</v>
      </c>
      <c r="B10975" t="str">
        <f>"9:06:02.680389"</f>
        <v>9:06:02.680389</v>
      </c>
      <c r="C10975">
        <v>-46</v>
      </c>
    </row>
    <row r="10976" spans="1:3" x14ac:dyDescent="0.25">
      <c r="A10976">
        <v>37</v>
      </c>
      <c r="B10976" t="str">
        <f>"9:06:03.029298"</f>
        <v>9:06:03.029298</v>
      </c>
      <c r="C10976">
        <v>-44</v>
      </c>
    </row>
    <row r="10977" spans="1:3" x14ac:dyDescent="0.25">
      <c r="A10977">
        <v>37</v>
      </c>
      <c r="B10977" t="str">
        <f>"9:06:03.029816"</f>
        <v>9:06:03.029816</v>
      </c>
      <c r="C10977">
        <v>-39</v>
      </c>
    </row>
    <row r="10978" spans="1:3" x14ac:dyDescent="0.25">
      <c r="A10978">
        <v>37</v>
      </c>
      <c r="B10978" t="str">
        <f>"9:06:03.030142"</f>
        <v>9:06:03.030142</v>
      </c>
      <c r="C10978">
        <v>-44</v>
      </c>
    </row>
    <row r="10979" spans="1:3" x14ac:dyDescent="0.25">
      <c r="A10979">
        <v>38</v>
      </c>
      <c r="B10979" t="str">
        <f>"9:06:03.030918"</f>
        <v>9:06:03.030918</v>
      </c>
      <c r="C10979">
        <v>-41</v>
      </c>
    </row>
    <row r="10980" spans="1:3" x14ac:dyDescent="0.25">
      <c r="A10980">
        <v>39</v>
      </c>
      <c r="B10980" t="str">
        <f>"9:06:03.031944"</f>
        <v>9:06:03.031944</v>
      </c>
      <c r="C10980">
        <v>-46</v>
      </c>
    </row>
    <row r="10981" spans="1:3" x14ac:dyDescent="0.25">
      <c r="A10981">
        <v>37</v>
      </c>
      <c r="B10981" t="str">
        <f>"9:06:03.379480"</f>
        <v>9:06:03.379480</v>
      </c>
      <c r="C10981">
        <v>-44</v>
      </c>
    </row>
    <row r="10982" spans="1:3" x14ac:dyDescent="0.25">
      <c r="A10982">
        <v>37</v>
      </c>
      <c r="B10982" t="str">
        <f>"9:06:03.379999"</f>
        <v>9:06:03.379999</v>
      </c>
      <c r="C10982">
        <v>-39</v>
      </c>
    </row>
    <row r="10983" spans="1:3" x14ac:dyDescent="0.25">
      <c r="A10983">
        <v>37</v>
      </c>
      <c r="B10983" t="str">
        <f>"9:06:03.380324"</f>
        <v>9:06:03.380324</v>
      </c>
      <c r="C10983">
        <v>-44</v>
      </c>
    </row>
    <row r="10984" spans="1:3" x14ac:dyDescent="0.25">
      <c r="A10984">
        <v>38</v>
      </c>
      <c r="B10984" t="str">
        <f>"9:06:03.381101"</f>
        <v>9:06:03.381101</v>
      </c>
      <c r="C10984">
        <v>-41</v>
      </c>
    </row>
    <row r="10985" spans="1:3" x14ac:dyDescent="0.25">
      <c r="A10985">
        <v>39</v>
      </c>
      <c r="B10985" t="str">
        <f>"9:06:03.382127"</f>
        <v>9:06:03.382127</v>
      </c>
      <c r="C10985">
        <v>-46</v>
      </c>
    </row>
    <row r="10986" spans="1:3" x14ac:dyDescent="0.25">
      <c r="A10986">
        <v>37</v>
      </c>
      <c r="B10986" t="str">
        <f>"9:06:03.734344"</f>
        <v>9:06:03.734344</v>
      </c>
      <c r="C10986">
        <v>-44</v>
      </c>
    </row>
    <row r="10987" spans="1:3" x14ac:dyDescent="0.25">
      <c r="A10987">
        <v>37</v>
      </c>
      <c r="B10987" t="str">
        <f>"9:06:03.734863"</f>
        <v>9:06:03.734863</v>
      </c>
      <c r="C10987">
        <v>-39</v>
      </c>
    </row>
    <row r="10988" spans="1:3" x14ac:dyDescent="0.25">
      <c r="A10988">
        <v>37</v>
      </c>
      <c r="B10988" t="str">
        <f>"9:06:03.735189"</f>
        <v>9:06:03.735189</v>
      </c>
      <c r="C10988">
        <v>-44</v>
      </c>
    </row>
    <row r="10989" spans="1:3" x14ac:dyDescent="0.25">
      <c r="A10989">
        <v>38</v>
      </c>
      <c r="B10989" t="str">
        <f>"9:06:03.735965"</f>
        <v>9:06:03.735965</v>
      </c>
      <c r="C10989">
        <v>-41</v>
      </c>
    </row>
    <row r="10990" spans="1:3" x14ac:dyDescent="0.25">
      <c r="A10990">
        <v>39</v>
      </c>
      <c r="B10990" t="str">
        <f>"9:06:03.736992"</f>
        <v>9:06:03.736992</v>
      </c>
      <c r="C10990">
        <v>-46</v>
      </c>
    </row>
    <row r="10991" spans="1:3" x14ac:dyDescent="0.25">
      <c r="A10991">
        <v>37</v>
      </c>
      <c r="B10991" t="str">
        <f>"9:06:04.092993"</f>
        <v>9:06:04.092993</v>
      </c>
      <c r="C10991">
        <v>-44</v>
      </c>
    </row>
    <row r="10992" spans="1:3" x14ac:dyDescent="0.25">
      <c r="A10992">
        <v>37</v>
      </c>
      <c r="B10992" t="str">
        <f>"9:06:04.093511"</f>
        <v>9:06:04.093511</v>
      </c>
      <c r="C10992">
        <v>-39</v>
      </c>
    </row>
    <row r="10993" spans="1:3" x14ac:dyDescent="0.25">
      <c r="A10993">
        <v>37</v>
      </c>
      <c r="B10993" t="str">
        <f>"9:06:04.093837"</f>
        <v>9:06:04.093837</v>
      </c>
      <c r="C10993">
        <v>-44</v>
      </c>
    </row>
    <row r="10994" spans="1:3" x14ac:dyDescent="0.25">
      <c r="A10994">
        <v>38</v>
      </c>
      <c r="B10994" t="str">
        <f>"9:06:04.094613"</f>
        <v>9:06:04.094613</v>
      </c>
      <c r="C10994">
        <v>-41</v>
      </c>
    </row>
    <row r="10995" spans="1:3" x14ac:dyDescent="0.25">
      <c r="A10995">
        <v>39</v>
      </c>
      <c r="B10995" t="str">
        <f>"9:06:04.095639"</f>
        <v>9:06:04.095639</v>
      </c>
      <c r="C10995">
        <v>-46</v>
      </c>
    </row>
    <row r="10996" spans="1:3" x14ac:dyDescent="0.25">
      <c r="A10996">
        <v>37</v>
      </c>
      <c r="B10996" t="str">
        <f>"9:06:04.447018"</f>
        <v>9:06:04.447018</v>
      </c>
      <c r="C10996">
        <v>-44</v>
      </c>
    </row>
    <row r="10997" spans="1:3" x14ac:dyDescent="0.25">
      <c r="A10997">
        <v>38</v>
      </c>
      <c r="B10997" t="str">
        <f>"9:06:04.448046"</f>
        <v>9:06:04.448046</v>
      </c>
      <c r="C10997">
        <v>-41</v>
      </c>
    </row>
    <row r="10998" spans="1:3" x14ac:dyDescent="0.25">
      <c r="A10998">
        <v>38</v>
      </c>
      <c r="B10998" t="str">
        <f>"9:06:04.448565"</f>
        <v>9:06:04.448565</v>
      </c>
      <c r="C10998">
        <v>-32</v>
      </c>
    </row>
    <row r="10999" spans="1:3" x14ac:dyDescent="0.25">
      <c r="A10999">
        <v>38</v>
      </c>
      <c r="B10999" t="str">
        <f>"9:06:04.448891"</f>
        <v>9:06:04.448891</v>
      </c>
      <c r="C10999">
        <v>-41</v>
      </c>
    </row>
    <row r="11000" spans="1:3" x14ac:dyDescent="0.25">
      <c r="A11000">
        <v>39</v>
      </c>
      <c r="B11000" t="str">
        <f>"9:06:04.449667"</f>
        <v>9:06:04.449667</v>
      </c>
      <c r="C11000">
        <v>-46</v>
      </c>
    </row>
    <row r="11001" spans="1:3" x14ac:dyDescent="0.25">
      <c r="A11001">
        <v>37</v>
      </c>
      <c r="B11001" t="str">
        <f>"9:06:04.800278"</f>
        <v>9:06:04.800278</v>
      </c>
      <c r="C11001">
        <v>-44</v>
      </c>
    </row>
    <row r="11002" spans="1:3" x14ac:dyDescent="0.25">
      <c r="A11002">
        <v>38</v>
      </c>
      <c r="B11002" t="str">
        <f>"9:06:04.801306"</f>
        <v>9:06:04.801306</v>
      </c>
      <c r="C11002">
        <v>-41</v>
      </c>
    </row>
    <row r="11003" spans="1:3" x14ac:dyDescent="0.25">
      <c r="A11003">
        <v>38</v>
      </c>
      <c r="B11003" t="str">
        <f>"9:06:04.801824"</f>
        <v>9:06:04.801824</v>
      </c>
      <c r="C11003">
        <v>-32</v>
      </c>
    </row>
    <row r="11004" spans="1:3" x14ac:dyDescent="0.25">
      <c r="A11004">
        <v>38</v>
      </c>
      <c r="B11004" t="str">
        <f>"9:06:04.802150"</f>
        <v>9:06:04.802150</v>
      </c>
      <c r="C11004">
        <v>-41</v>
      </c>
    </row>
    <row r="11005" spans="1:3" x14ac:dyDescent="0.25">
      <c r="A11005">
        <v>39</v>
      </c>
      <c r="B11005" t="str">
        <f>"9:06:04.802926"</f>
        <v>9:06:04.802926</v>
      </c>
      <c r="C11005">
        <v>-46</v>
      </c>
    </row>
    <row r="11006" spans="1:3" x14ac:dyDescent="0.25">
      <c r="A11006">
        <v>37</v>
      </c>
      <c r="B11006" t="str">
        <f>"9:06:05.150765"</f>
        <v>9:06:05.150765</v>
      </c>
      <c r="C11006">
        <v>-44</v>
      </c>
    </row>
    <row r="11007" spans="1:3" x14ac:dyDescent="0.25">
      <c r="A11007">
        <v>38</v>
      </c>
      <c r="B11007" t="str">
        <f>"9:06:05.151793"</f>
        <v>9:06:05.151793</v>
      </c>
      <c r="C11007">
        <v>-41</v>
      </c>
    </row>
    <row r="11008" spans="1:3" x14ac:dyDescent="0.25">
      <c r="A11008">
        <v>39</v>
      </c>
      <c r="B11008" t="str">
        <f>"9:06:05.152819"</f>
        <v>9:06:05.152819</v>
      </c>
      <c r="C11008">
        <v>-46</v>
      </c>
    </row>
    <row r="11009" spans="1:3" x14ac:dyDescent="0.25">
      <c r="A11009">
        <v>37</v>
      </c>
      <c r="B11009" t="str">
        <f>"9:06:05.501810"</f>
        <v>9:06:05.501810</v>
      </c>
      <c r="C11009">
        <v>-44</v>
      </c>
    </row>
    <row r="11010" spans="1:3" x14ac:dyDescent="0.25">
      <c r="A11010">
        <v>37</v>
      </c>
      <c r="B11010" t="str">
        <f>"9:06:05.502330"</f>
        <v>9:06:05.502330</v>
      </c>
      <c r="C11010">
        <v>-77</v>
      </c>
    </row>
    <row r="11011" spans="1:3" x14ac:dyDescent="0.25">
      <c r="A11011">
        <v>37</v>
      </c>
      <c r="B11011" t="str">
        <f>"9:06:05.502656"</f>
        <v>9:06:05.502656</v>
      </c>
      <c r="C11011">
        <v>-44</v>
      </c>
    </row>
    <row r="11012" spans="1:3" x14ac:dyDescent="0.25">
      <c r="A11012">
        <v>38</v>
      </c>
      <c r="B11012" t="str">
        <f>"9:06:05.503432"</f>
        <v>9:06:05.503432</v>
      </c>
      <c r="C11012">
        <v>-41</v>
      </c>
    </row>
    <row r="11013" spans="1:3" x14ac:dyDescent="0.25">
      <c r="A11013">
        <v>38</v>
      </c>
      <c r="B11013" t="str">
        <f>"9:06:05.503951"</f>
        <v>9:06:05.503951</v>
      </c>
      <c r="C11013">
        <v>-32</v>
      </c>
    </row>
    <row r="11014" spans="1:3" x14ac:dyDescent="0.25">
      <c r="A11014">
        <v>38</v>
      </c>
      <c r="B11014" t="str">
        <f>"9:06:05.504276"</f>
        <v>9:06:05.504276</v>
      </c>
      <c r="C11014">
        <v>-41</v>
      </c>
    </row>
    <row r="11015" spans="1:3" x14ac:dyDescent="0.25">
      <c r="A11015">
        <v>39</v>
      </c>
      <c r="B11015" t="str">
        <f>"9:06:05.505052"</f>
        <v>9:06:05.505052</v>
      </c>
      <c r="C11015">
        <v>-46</v>
      </c>
    </row>
    <row r="11016" spans="1:3" x14ac:dyDescent="0.25">
      <c r="A11016">
        <v>37</v>
      </c>
      <c r="B11016" t="str">
        <f>"9:06:05.861513"</f>
        <v>9:06:05.861513</v>
      </c>
      <c r="C11016">
        <v>-44</v>
      </c>
    </row>
    <row r="11017" spans="1:3" x14ac:dyDescent="0.25">
      <c r="A11017">
        <v>38</v>
      </c>
      <c r="B11017" t="str">
        <f>"9:06:05.862540"</f>
        <v>9:06:05.862540</v>
      </c>
      <c r="C11017">
        <v>-41</v>
      </c>
    </row>
    <row r="11018" spans="1:3" x14ac:dyDescent="0.25">
      <c r="A11018">
        <v>38</v>
      </c>
      <c r="B11018" t="str">
        <f>"9:06:05.863059"</f>
        <v>9:06:05.863059</v>
      </c>
      <c r="C11018">
        <v>-32</v>
      </c>
    </row>
    <row r="11019" spans="1:3" x14ac:dyDescent="0.25">
      <c r="A11019">
        <v>38</v>
      </c>
      <c r="B11019" t="str">
        <f>"9:06:05.863384"</f>
        <v>9:06:05.863384</v>
      </c>
      <c r="C11019">
        <v>-41</v>
      </c>
    </row>
    <row r="11020" spans="1:3" x14ac:dyDescent="0.25">
      <c r="A11020">
        <v>39</v>
      </c>
      <c r="B11020" t="str">
        <f>"9:06:05.864160"</f>
        <v>9:06:05.864160</v>
      </c>
      <c r="C11020">
        <v>-46</v>
      </c>
    </row>
    <row r="11021" spans="1:3" x14ac:dyDescent="0.25">
      <c r="A11021">
        <v>37</v>
      </c>
      <c r="B11021" t="str">
        <f>"9:06:06.214016"</f>
        <v>9:06:06.214016</v>
      </c>
      <c r="C11021">
        <v>-44</v>
      </c>
    </row>
    <row r="11022" spans="1:3" x14ac:dyDescent="0.25">
      <c r="A11022">
        <v>38</v>
      </c>
      <c r="B11022" t="str">
        <f>"9:06:06.215044"</f>
        <v>9:06:06.215044</v>
      </c>
      <c r="C11022">
        <v>-41</v>
      </c>
    </row>
    <row r="11023" spans="1:3" x14ac:dyDescent="0.25">
      <c r="A11023">
        <v>38</v>
      </c>
      <c r="B11023" t="str">
        <f>"9:06:06.215562"</f>
        <v>9:06:06.215562</v>
      </c>
      <c r="C11023">
        <v>-31</v>
      </c>
    </row>
    <row r="11024" spans="1:3" x14ac:dyDescent="0.25">
      <c r="A11024">
        <v>38</v>
      </c>
      <c r="B11024" t="str">
        <f>"9:06:06.215888"</f>
        <v>9:06:06.215888</v>
      </c>
      <c r="C11024">
        <v>-41</v>
      </c>
    </row>
    <row r="11025" spans="1:3" x14ac:dyDescent="0.25">
      <c r="A11025">
        <v>39</v>
      </c>
      <c r="B11025" t="str">
        <f>"9:06:06.216664"</f>
        <v>9:06:06.216664</v>
      </c>
      <c r="C11025">
        <v>-45</v>
      </c>
    </row>
    <row r="11026" spans="1:3" x14ac:dyDescent="0.25">
      <c r="A11026">
        <v>37</v>
      </c>
      <c r="B11026" t="str">
        <f>"9:06:06.567293"</f>
        <v>9:06:06.567293</v>
      </c>
      <c r="C11026">
        <v>-44</v>
      </c>
    </row>
    <row r="11027" spans="1:3" x14ac:dyDescent="0.25">
      <c r="A11027">
        <v>38</v>
      </c>
      <c r="B11027" t="str">
        <f>"9:06:06.568320"</f>
        <v>9:06:06.568320</v>
      </c>
      <c r="C11027">
        <v>-41</v>
      </c>
    </row>
    <row r="11028" spans="1:3" x14ac:dyDescent="0.25">
      <c r="A11028">
        <v>38</v>
      </c>
      <c r="B11028" t="str">
        <f>"9:06:06.568839"</f>
        <v>9:06:06.568839</v>
      </c>
      <c r="C11028">
        <v>-32</v>
      </c>
    </row>
    <row r="11029" spans="1:3" x14ac:dyDescent="0.25">
      <c r="A11029">
        <v>38</v>
      </c>
      <c r="B11029" t="str">
        <f>"9:06:06.569165"</f>
        <v>9:06:06.569165</v>
      </c>
      <c r="C11029">
        <v>-41</v>
      </c>
    </row>
    <row r="11030" spans="1:3" x14ac:dyDescent="0.25">
      <c r="A11030">
        <v>39</v>
      </c>
      <c r="B11030" t="str">
        <f>"9:06:06.569940"</f>
        <v>9:06:06.569940</v>
      </c>
      <c r="C11030">
        <v>-46</v>
      </c>
    </row>
    <row r="11031" spans="1:3" x14ac:dyDescent="0.25">
      <c r="A11031">
        <v>37</v>
      </c>
      <c r="B11031" t="str">
        <f>"9:06:06.920546"</f>
        <v>9:06:06.920546</v>
      </c>
      <c r="C11031">
        <v>-44</v>
      </c>
    </row>
    <row r="11032" spans="1:3" x14ac:dyDescent="0.25">
      <c r="A11032">
        <v>38</v>
      </c>
      <c r="B11032" t="str">
        <f>"9:06:06.921574"</f>
        <v>9:06:06.921574</v>
      </c>
      <c r="C11032">
        <v>-41</v>
      </c>
    </row>
    <row r="11033" spans="1:3" x14ac:dyDescent="0.25">
      <c r="A11033">
        <v>38</v>
      </c>
      <c r="B11033" t="str">
        <f>"9:06:06.922092"</f>
        <v>9:06:06.922092</v>
      </c>
      <c r="C11033">
        <v>-32</v>
      </c>
    </row>
    <row r="11034" spans="1:3" x14ac:dyDescent="0.25">
      <c r="A11034">
        <v>38</v>
      </c>
      <c r="B11034" t="str">
        <f>"9:06:06.922418"</f>
        <v>9:06:06.922418</v>
      </c>
      <c r="C11034">
        <v>-41</v>
      </c>
    </row>
    <row r="11035" spans="1:3" x14ac:dyDescent="0.25">
      <c r="A11035">
        <v>39</v>
      </c>
      <c r="B11035" t="str">
        <f>"9:06:06.923194"</f>
        <v>9:06:06.923194</v>
      </c>
      <c r="C11035">
        <v>-45</v>
      </c>
    </row>
    <row r="11036" spans="1:3" x14ac:dyDescent="0.25">
      <c r="A11036">
        <v>37</v>
      </c>
      <c r="B11036" t="str">
        <f>"9:06:07.277139"</f>
        <v>9:06:07.277139</v>
      </c>
      <c r="C11036">
        <v>-44</v>
      </c>
    </row>
    <row r="11037" spans="1:3" x14ac:dyDescent="0.25">
      <c r="A11037">
        <v>38</v>
      </c>
      <c r="B11037" t="str">
        <f>"9:06:07.278167"</f>
        <v>9:06:07.278167</v>
      </c>
      <c r="C11037">
        <v>-41</v>
      </c>
    </row>
    <row r="11038" spans="1:3" x14ac:dyDescent="0.25">
      <c r="A11038">
        <v>38</v>
      </c>
      <c r="B11038" t="str">
        <f>"9:06:07.278685"</f>
        <v>9:06:07.278685</v>
      </c>
      <c r="C11038">
        <v>-32</v>
      </c>
    </row>
    <row r="11039" spans="1:3" x14ac:dyDescent="0.25">
      <c r="A11039">
        <v>38</v>
      </c>
      <c r="B11039" t="str">
        <f>"9:06:07.279011"</f>
        <v>9:06:07.279011</v>
      </c>
      <c r="C11039">
        <v>-41</v>
      </c>
    </row>
    <row r="11040" spans="1:3" x14ac:dyDescent="0.25">
      <c r="A11040">
        <v>39</v>
      </c>
      <c r="B11040" t="str">
        <f>"9:06:07.279787"</f>
        <v>9:06:07.279787</v>
      </c>
      <c r="C11040">
        <v>-46</v>
      </c>
    </row>
    <row r="11041" spans="1:3" x14ac:dyDescent="0.25">
      <c r="A11041">
        <v>37</v>
      </c>
      <c r="B11041" t="str">
        <f>"9:06:07.636312"</f>
        <v>9:06:07.636312</v>
      </c>
      <c r="C11041">
        <v>-44</v>
      </c>
    </row>
    <row r="11042" spans="1:3" x14ac:dyDescent="0.25">
      <c r="A11042">
        <v>38</v>
      </c>
      <c r="B11042" t="str">
        <f>"9:06:07.637339"</f>
        <v>9:06:07.637339</v>
      </c>
      <c r="C11042">
        <v>-41</v>
      </c>
    </row>
    <row r="11043" spans="1:3" x14ac:dyDescent="0.25">
      <c r="A11043">
        <v>38</v>
      </c>
      <c r="B11043" t="str">
        <f>"9:06:07.637858"</f>
        <v>9:06:07.637858</v>
      </c>
      <c r="C11043">
        <v>-32</v>
      </c>
    </row>
    <row r="11044" spans="1:3" x14ac:dyDescent="0.25">
      <c r="A11044">
        <v>38</v>
      </c>
      <c r="B11044" t="str">
        <f>"9:06:07.638183"</f>
        <v>9:06:07.638183</v>
      </c>
      <c r="C11044">
        <v>-41</v>
      </c>
    </row>
    <row r="11045" spans="1:3" x14ac:dyDescent="0.25">
      <c r="A11045">
        <v>39</v>
      </c>
      <c r="B11045" t="str">
        <f>"9:06:07.638959"</f>
        <v>9:06:07.638959</v>
      </c>
      <c r="C11045">
        <v>-45</v>
      </c>
    </row>
    <row r="11046" spans="1:3" x14ac:dyDescent="0.25">
      <c r="A11046">
        <v>37</v>
      </c>
      <c r="B11046" t="str">
        <f>"9:06:07.995976"</f>
        <v>9:06:07.995976</v>
      </c>
      <c r="C11046">
        <v>-44</v>
      </c>
    </row>
    <row r="11047" spans="1:3" x14ac:dyDescent="0.25">
      <c r="A11047">
        <v>38</v>
      </c>
      <c r="B11047" t="str">
        <f>"9:06:07.997004"</f>
        <v>9:06:07.997004</v>
      </c>
      <c r="C11047">
        <v>-41</v>
      </c>
    </row>
    <row r="11048" spans="1:3" x14ac:dyDescent="0.25">
      <c r="A11048">
        <v>38</v>
      </c>
      <c r="B11048" t="str">
        <f>"9:06:07.997522"</f>
        <v>9:06:07.997522</v>
      </c>
      <c r="C11048">
        <v>-32</v>
      </c>
    </row>
    <row r="11049" spans="1:3" x14ac:dyDescent="0.25">
      <c r="A11049">
        <v>38</v>
      </c>
      <c r="B11049" t="str">
        <f>"9:06:07.997848"</f>
        <v>9:06:07.997848</v>
      </c>
      <c r="C11049">
        <v>-41</v>
      </c>
    </row>
    <row r="11050" spans="1:3" x14ac:dyDescent="0.25">
      <c r="A11050">
        <v>39</v>
      </c>
      <c r="B11050" t="str">
        <f>"9:06:07.998624"</f>
        <v>9:06:07.998624</v>
      </c>
      <c r="C11050">
        <v>-45</v>
      </c>
    </row>
    <row r="11051" spans="1:3" x14ac:dyDescent="0.25">
      <c r="A11051">
        <v>37</v>
      </c>
      <c r="B11051" t="str">
        <f>"9:06:08.350073"</f>
        <v>9:06:08.350073</v>
      </c>
      <c r="C11051">
        <v>-44</v>
      </c>
    </row>
    <row r="11052" spans="1:3" x14ac:dyDescent="0.25">
      <c r="A11052">
        <v>38</v>
      </c>
      <c r="B11052" t="str">
        <f>"9:06:08.351100"</f>
        <v>9:06:08.351100</v>
      </c>
      <c r="C11052">
        <v>-41</v>
      </c>
    </row>
    <row r="11053" spans="1:3" x14ac:dyDescent="0.25">
      <c r="A11053">
        <v>38</v>
      </c>
      <c r="B11053" t="str">
        <f>"9:06:08.351618"</f>
        <v>9:06:08.351618</v>
      </c>
      <c r="C11053">
        <v>-32</v>
      </c>
    </row>
    <row r="11054" spans="1:3" x14ac:dyDescent="0.25">
      <c r="A11054">
        <v>38</v>
      </c>
      <c r="B11054" t="str">
        <f>"9:06:08.351944"</f>
        <v>9:06:08.351944</v>
      </c>
      <c r="C11054">
        <v>-41</v>
      </c>
    </row>
    <row r="11055" spans="1:3" x14ac:dyDescent="0.25">
      <c r="A11055">
        <v>39</v>
      </c>
      <c r="B11055" t="str">
        <f>"9:06:08.352720"</f>
        <v>9:06:08.352720</v>
      </c>
      <c r="C11055">
        <v>-45</v>
      </c>
    </row>
    <row r="11056" spans="1:3" x14ac:dyDescent="0.25">
      <c r="A11056">
        <v>37</v>
      </c>
      <c r="B11056" t="str">
        <f>"9:06:08.705917"</f>
        <v>9:06:08.705917</v>
      </c>
      <c r="C11056">
        <v>-44</v>
      </c>
    </row>
    <row r="11057" spans="1:3" x14ac:dyDescent="0.25">
      <c r="A11057">
        <v>38</v>
      </c>
      <c r="B11057" t="str">
        <f>"9:06:08.706945"</f>
        <v>9:06:08.706945</v>
      </c>
      <c r="C11057">
        <v>-41</v>
      </c>
    </row>
    <row r="11058" spans="1:3" x14ac:dyDescent="0.25">
      <c r="A11058">
        <v>38</v>
      </c>
      <c r="B11058" t="str">
        <f>"9:06:08.707464"</f>
        <v>9:06:08.707464</v>
      </c>
      <c r="C11058">
        <v>-32</v>
      </c>
    </row>
    <row r="11059" spans="1:3" x14ac:dyDescent="0.25">
      <c r="A11059">
        <v>38</v>
      </c>
      <c r="B11059" t="str">
        <f>"9:06:08.707790"</f>
        <v>9:06:08.707790</v>
      </c>
      <c r="C11059">
        <v>-41</v>
      </c>
    </row>
    <row r="11060" spans="1:3" x14ac:dyDescent="0.25">
      <c r="A11060">
        <v>39</v>
      </c>
      <c r="B11060" t="str">
        <f>"9:06:08.708566"</f>
        <v>9:06:08.708566</v>
      </c>
      <c r="C11060">
        <v>-45</v>
      </c>
    </row>
    <row r="11061" spans="1:3" x14ac:dyDescent="0.25">
      <c r="A11061">
        <v>37</v>
      </c>
      <c r="B11061" t="str">
        <f>"9:06:09.059423"</f>
        <v>9:06:09.059423</v>
      </c>
      <c r="C11061">
        <v>-44</v>
      </c>
    </row>
    <row r="11062" spans="1:3" x14ac:dyDescent="0.25">
      <c r="A11062">
        <v>38</v>
      </c>
      <c r="B11062" t="str">
        <f>"9:06:09.060451"</f>
        <v>9:06:09.060451</v>
      </c>
      <c r="C11062">
        <v>-41</v>
      </c>
    </row>
    <row r="11063" spans="1:3" x14ac:dyDescent="0.25">
      <c r="A11063">
        <v>38</v>
      </c>
      <c r="B11063" t="str">
        <f>"9:06:09.060969"</f>
        <v>9:06:09.060969</v>
      </c>
      <c r="C11063">
        <v>-32</v>
      </c>
    </row>
    <row r="11064" spans="1:3" x14ac:dyDescent="0.25">
      <c r="A11064">
        <v>38</v>
      </c>
      <c r="B11064" t="str">
        <f>"9:06:09.061295"</f>
        <v>9:06:09.061295</v>
      </c>
      <c r="C11064">
        <v>-41</v>
      </c>
    </row>
    <row r="11065" spans="1:3" x14ac:dyDescent="0.25">
      <c r="A11065">
        <v>39</v>
      </c>
      <c r="B11065" t="str">
        <f>"9:06:09.062071"</f>
        <v>9:06:09.062071</v>
      </c>
      <c r="C11065">
        <v>-45</v>
      </c>
    </row>
    <row r="11066" spans="1:3" x14ac:dyDescent="0.25">
      <c r="A11066">
        <v>37</v>
      </c>
      <c r="B11066" t="str">
        <f>"9:06:09.415297"</f>
        <v>9:06:09.415297</v>
      </c>
      <c r="C11066">
        <v>-44</v>
      </c>
    </row>
    <row r="11067" spans="1:3" x14ac:dyDescent="0.25">
      <c r="A11067">
        <v>38</v>
      </c>
      <c r="B11067" t="str">
        <f>"9:06:09.416324"</f>
        <v>9:06:09.416324</v>
      </c>
      <c r="C11067">
        <v>-41</v>
      </c>
    </row>
    <row r="11068" spans="1:3" x14ac:dyDescent="0.25">
      <c r="A11068">
        <v>38</v>
      </c>
      <c r="B11068" t="str">
        <f>"9:06:09.416842"</f>
        <v>9:06:09.416842</v>
      </c>
      <c r="C11068">
        <v>-32</v>
      </c>
    </row>
    <row r="11069" spans="1:3" x14ac:dyDescent="0.25">
      <c r="A11069">
        <v>38</v>
      </c>
      <c r="B11069" t="str">
        <f>"9:06:09.417168"</f>
        <v>9:06:09.417168</v>
      </c>
      <c r="C11069">
        <v>-41</v>
      </c>
    </row>
    <row r="11070" spans="1:3" x14ac:dyDescent="0.25">
      <c r="A11070">
        <v>39</v>
      </c>
      <c r="B11070" t="str">
        <f>"9:06:09.417944"</f>
        <v>9:06:09.417944</v>
      </c>
      <c r="C11070">
        <v>-46</v>
      </c>
    </row>
    <row r="11071" spans="1:3" x14ac:dyDescent="0.25">
      <c r="A11071">
        <v>37</v>
      </c>
      <c r="B11071" t="str">
        <f>"9:06:09.772148"</f>
        <v>9:06:09.772148</v>
      </c>
      <c r="C11071">
        <v>-44</v>
      </c>
    </row>
    <row r="11072" spans="1:3" x14ac:dyDescent="0.25">
      <c r="A11072">
        <v>38</v>
      </c>
      <c r="B11072" t="str">
        <f>"9:06:09.773175"</f>
        <v>9:06:09.773175</v>
      </c>
      <c r="C11072">
        <v>-41</v>
      </c>
    </row>
    <row r="11073" spans="1:3" x14ac:dyDescent="0.25">
      <c r="A11073">
        <v>39</v>
      </c>
      <c r="B11073" t="str">
        <f>"9:06:09.774201"</f>
        <v>9:06:09.774201</v>
      </c>
      <c r="C11073">
        <v>-46</v>
      </c>
    </row>
    <row r="11074" spans="1:3" x14ac:dyDescent="0.25">
      <c r="A11074">
        <v>39</v>
      </c>
      <c r="B11074" t="str">
        <f>"9:06:09.774720"</f>
        <v>9:06:09.774720</v>
      </c>
      <c r="C11074">
        <v>-31</v>
      </c>
    </row>
    <row r="11075" spans="1:3" x14ac:dyDescent="0.25">
      <c r="A11075">
        <v>39</v>
      </c>
      <c r="B11075" t="str">
        <f>"9:06:09.775046"</f>
        <v>9:06:09.775046</v>
      </c>
      <c r="C11075">
        <v>-45</v>
      </c>
    </row>
    <row r="11076" spans="1:3" x14ac:dyDescent="0.25">
      <c r="A11076">
        <v>37</v>
      </c>
      <c r="B11076" t="str">
        <f>"9:06:10.123631"</f>
        <v>9:06:10.123631</v>
      </c>
      <c r="C11076">
        <v>-44</v>
      </c>
    </row>
    <row r="11077" spans="1:3" x14ac:dyDescent="0.25">
      <c r="A11077">
        <v>38</v>
      </c>
      <c r="B11077" t="str">
        <f>"9:06:10.124659"</f>
        <v>9:06:10.124659</v>
      </c>
      <c r="C11077">
        <v>-41</v>
      </c>
    </row>
    <row r="11078" spans="1:3" x14ac:dyDescent="0.25">
      <c r="A11078">
        <v>39</v>
      </c>
      <c r="B11078" t="str">
        <f>"9:06:10.125685"</f>
        <v>9:06:10.125685</v>
      </c>
      <c r="C11078">
        <v>-46</v>
      </c>
    </row>
    <row r="11079" spans="1:3" x14ac:dyDescent="0.25">
      <c r="A11079">
        <v>39</v>
      </c>
      <c r="B11079" t="str">
        <f>"9:06:10.126203"</f>
        <v>9:06:10.126203</v>
      </c>
      <c r="C11079">
        <v>-31</v>
      </c>
    </row>
    <row r="11080" spans="1:3" x14ac:dyDescent="0.25">
      <c r="A11080">
        <v>39</v>
      </c>
      <c r="B11080" t="str">
        <f>"9:06:10.126529"</f>
        <v>9:06:10.126529</v>
      </c>
      <c r="C11080">
        <v>-45</v>
      </c>
    </row>
    <row r="11081" spans="1:3" x14ac:dyDescent="0.25">
      <c r="A11081">
        <v>37</v>
      </c>
      <c r="B11081" t="str">
        <f>"9:06:10.473843"</f>
        <v>9:06:10.473843</v>
      </c>
      <c r="C11081">
        <v>-44</v>
      </c>
    </row>
    <row r="11082" spans="1:3" x14ac:dyDescent="0.25">
      <c r="A11082">
        <v>38</v>
      </c>
      <c r="B11082" t="str">
        <f>"9:06:10.474870"</f>
        <v>9:06:10.474870</v>
      </c>
      <c r="C11082">
        <v>-41</v>
      </c>
    </row>
    <row r="11083" spans="1:3" x14ac:dyDescent="0.25">
      <c r="A11083">
        <v>39</v>
      </c>
      <c r="B11083" t="str">
        <f>"9:06:10.475896"</f>
        <v>9:06:10.475896</v>
      </c>
      <c r="C11083">
        <v>-46</v>
      </c>
    </row>
    <row r="11084" spans="1:3" x14ac:dyDescent="0.25">
      <c r="A11084">
        <v>37</v>
      </c>
      <c r="B11084" t="str">
        <f>"9:06:10.832074"</f>
        <v>9:06:10.832074</v>
      </c>
      <c r="C11084">
        <v>-44</v>
      </c>
    </row>
    <row r="11085" spans="1:3" x14ac:dyDescent="0.25">
      <c r="A11085">
        <v>38</v>
      </c>
      <c r="B11085" t="str">
        <f>"9:06:10.833102"</f>
        <v>9:06:10.833102</v>
      </c>
      <c r="C11085">
        <v>-41</v>
      </c>
    </row>
    <row r="11086" spans="1:3" x14ac:dyDescent="0.25">
      <c r="A11086">
        <v>39</v>
      </c>
      <c r="B11086" t="str">
        <f>"9:06:10.834128"</f>
        <v>9:06:10.834128</v>
      </c>
      <c r="C11086">
        <v>-46</v>
      </c>
    </row>
    <row r="11087" spans="1:3" x14ac:dyDescent="0.25">
      <c r="A11087">
        <v>37</v>
      </c>
      <c r="B11087" t="str">
        <f>"9:06:11.187188"</f>
        <v>9:06:11.187188</v>
      </c>
      <c r="C11087">
        <v>-44</v>
      </c>
    </row>
    <row r="11088" spans="1:3" x14ac:dyDescent="0.25">
      <c r="A11088">
        <v>38</v>
      </c>
      <c r="B11088" t="str">
        <f>"9:06:11.188216"</f>
        <v>9:06:11.188216</v>
      </c>
      <c r="C11088">
        <v>-41</v>
      </c>
    </row>
    <row r="11089" spans="1:3" x14ac:dyDescent="0.25">
      <c r="A11089">
        <v>39</v>
      </c>
      <c r="B11089" t="str">
        <f>"9:06:11.189242"</f>
        <v>9:06:11.189242</v>
      </c>
      <c r="C11089">
        <v>-46</v>
      </c>
    </row>
    <row r="11090" spans="1:3" x14ac:dyDescent="0.25">
      <c r="A11090">
        <v>39</v>
      </c>
      <c r="B11090" t="str">
        <f>"9:06:11.189760"</f>
        <v>9:06:11.189760</v>
      </c>
      <c r="C11090">
        <v>-31</v>
      </c>
    </row>
    <row r="11091" spans="1:3" x14ac:dyDescent="0.25">
      <c r="A11091">
        <v>39</v>
      </c>
      <c r="B11091" t="str">
        <f>"9:06:11.190086"</f>
        <v>9:06:11.190086</v>
      </c>
      <c r="C11091">
        <v>-45</v>
      </c>
    </row>
    <row r="11092" spans="1:3" x14ac:dyDescent="0.25">
      <c r="A11092">
        <v>37</v>
      </c>
      <c r="B11092" t="str">
        <f>"9:06:11.539737"</f>
        <v>9:06:11.539737</v>
      </c>
      <c r="C11092">
        <v>-44</v>
      </c>
    </row>
    <row r="11093" spans="1:3" x14ac:dyDescent="0.25">
      <c r="A11093">
        <v>38</v>
      </c>
      <c r="B11093" t="str">
        <f>"9:06:11.540764"</f>
        <v>9:06:11.540764</v>
      </c>
      <c r="C11093">
        <v>-41</v>
      </c>
    </row>
    <row r="11094" spans="1:3" x14ac:dyDescent="0.25">
      <c r="A11094">
        <v>39</v>
      </c>
      <c r="B11094" t="str">
        <f>"9:06:11.541790"</f>
        <v>9:06:11.541790</v>
      </c>
      <c r="C11094">
        <v>-45</v>
      </c>
    </row>
    <row r="11095" spans="1:3" x14ac:dyDescent="0.25">
      <c r="A11095">
        <v>39</v>
      </c>
      <c r="B11095" t="str">
        <f>"9:06:11.542309"</f>
        <v>9:06:11.542309</v>
      </c>
      <c r="C11095">
        <v>-31</v>
      </c>
    </row>
    <row r="11096" spans="1:3" x14ac:dyDescent="0.25">
      <c r="A11096">
        <v>39</v>
      </c>
      <c r="B11096" t="str">
        <f>"9:06:11.542634"</f>
        <v>9:06:11.542634</v>
      </c>
      <c r="C11096">
        <v>-45</v>
      </c>
    </row>
    <row r="11097" spans="1:3" x14ac:dyDescent="0.25">
      <c r="A11097">
        <v>37</v>
      </c>
      <c r="B11097" t="str">
        <f>"9:06:11.891220"</f>
        <v>9:06:11.891220</v>
      </c>
      <c r="C11097">
        <v>-44</v>
      </c>
    </row>
    <row r="11098" spans="1:3" x14ac:dyDescent="0.25">
      <c r="A11098">
        <v>38</v>
      </c>
      <c r="B11098" t="str">
        <f>"9:06:11.892247"</f>
        <v>9:06:11.892247</v>
      </c>
      <c r="C11098">
        <v>-41</v>
      </c>
    </row>
    <row r="11099" spans="1:3" x14ac:dyDescent="0.25">
      <c r="A11099">
        <v>39</v>
      </c>
      <c r="B11099" t="str">
        <f>"9:06:11.893273"</f>
        <v>9:06:11.893273</v>
      </c>
      <c r="C11099">
        <v>-45</v>
      </c>
    </row>
    <row r="11100" spans="1:3" x14ac:dyDescent="0.25">
      <c r="A11100">
        <v>39</v>
      </c>
      <c r="B11100" t="str">
        <f>"9:06:11.893792"</f>
        <v>9:06:11.893792</v>
      </c>
      <c r="C11100">
        <v>-31</v>
      </c>
    </row>
    <row r="11101" spans="1:3" x14ac:dyDescent="0.25">
      <c r="A11101">
        <v>39</v>
      </c>
      <c r="B11101" t="str">
        <f>"9:06:11.894117"</f>
        <v>9:06:11.894117</v>
      </c>
      <c r="C11101">
        <v>-45</v>
      </c>
    </row>
    <row r="11102" spans="1:3" x14ac:dyDescent="0.25">
      <c r="A11102">
        <v>37</v>
      </c>
      <c r="B11102" t="str">
        <f>"9:06:12.243037"</f>
        <v>9:06:12.243037</v>
      </c>
      <c r="C11102">
        <v>-44</v>
      </c>
    </row>
    <row r="11103" spans="1:3" x14ac:dyDescent="0.25">
      <c r="A11103">
        <v>38</v>
      </c>
      <c r="B11103" t="str">
        <f>"9:06:12.244064"</f>
        <v>9:06:12.244064</v>
      </c>
      <c r="C11103">
        <v>-41</v>
      </c>
    </row>
    <row r="11104" spans="1:3" x14ac:dyDescent="0.25">
      <c r="A11104">
        <v>39</v>
      </c>
      <c r="B11104" t="str">
        <f>"9:06:12.245090"</f>
        <v>9:06:12.245090</v>
      </c>
      <c r="C11104">
        <v>-46</v>
      </c>
    </row>
    <row r="11105" spans="1:3" x14ac:dyDescent="0.25">
      <c r="A11105">
        <v>39</v>
      </c>
      <c r="B11105" t="str">
        <f>"9:06:12.245608"</f>
        <v>9:06:12.245608</v>
      </c>
      <c r="C11105">
        <v>-31</v>
      </c>
    </row>
    <row r="11106" spans="1:3" x14ac:dyDescent="0.25">
      <c r="A11106">
        <v>39</v>
      </c>
      <c r="B11106" t="str">
        <f>"9:06:12.245934"</f>
        <v>9:06:12.245934</v>
      </c>
      <c r="C11106">
        <v>-45</v>
      </c>
    </row>
    <row r="11107" spans="1:3" x14ac:dyDescent="0.25">
      <c r="A11107">
        <v>37</v>
      </c>
      <c r="B11107" t="str">
        <f>"9:06:12.601236"</f>
        <v>9:06:12.601236</v>
      </c>
      <c r="C11107">
        <v>-44</v>
      </c>
    </row>
    <row r="11108" spans="1:3" x14ac:dyDescent="0.25">
      <c r="A11108">
        <v>38</v>
      </c>
      <c r="B11108" t="str">
        <f>"9:06:12.602263"</f>
        <v>9:06:12.602263</v>
      </c>
      <c r="C11108">
        <v>-41</v>
      </c>
    </row>
    <row r="11109" spans="1:3" x14ac:dyDescent="0.25">
      <c r="A11109">
        <v>39</v>
      </c>
      <c r="B11109" t="str">
        <f>"9:06:12.603289"</f>
        <v>9:06:12.603289</v>
      </c>
      <c r="C11109">
        <v>-46</v>
      </c>
    </row>
    <row r="11110" spans="1:3" x14ac:dyDescent="0.25">
      <c r="A11110">
        <v>39</v>
      </c>
      <c r="B11110" t="str">
        <f>"9:06:12.603808"</f>
        <v>9:06:12.603808</v>
      </c>
      <c r="C11110">
        <v>-31</v>
      </c>
    </row>
    <row r="11111" spans="1:3" x14ac:dyDescent="0.25">
      <c r="A11111">
        <v>39</v>
      </c>
      <c r="B11111" t="str">
        <f>"9:06:12.604134"</f>
        <v>9:06:12.604134</v>
      </c>
      <c r="C11111">
        <v>-45</v>
      </c>
    </row>
    <row r="11112" spans="1:3" x14ac:dyDescent="0.25">
      <c r="A11112">
        <v>37</v>
      </c>
      <c r="B11112" t="str">
        <f>"9:06:12.959675"</f>
        <v>9:06:12.959675</v>
      </c>
      <c r="C11112">
        <v>-44</v>
      </c>
    </row>
    <row r="11113" spans="1:3" x14ac:dyDescent="0.25">
      <c r="A11113">
        <v>38</v>
      </c>
      <c r="B11113" t="str">
        <f>"9:06:12.960702"</f>
        <v>9:06:12.960702</v>
      </c>
      <c r="C11113">
        <v>-41</v>
      </c>
    </row>
    <row r="11114" spans="1:3" x14ac:dyDescent="0.25">
      <c r="A11114">
        <v>39</v>
      </c>
      <c r="B11114" t="str">
        <f>"9:06:12.961728"</f>
        <v>9:06:12.961728</v>
      </c>
      <c r="C11114">
        <v>-45</v>
      </c>
    </row>
    <row r="11115" spans="1:3" x14ac:dyDescent="0.25">
      <c r="A11115">
        <v>39</v>
      </c>
      <c r="B11115" t="str">
        <f>"9:06:12.962247"</f>
        <v>9:06:12.962247</v>
      </c>
      <c r="C11115">
        <v>-31</v>
      </c>
    </row>
    <row r="11116" spans="1:3" x14ac:dyDescent="0.25">
      <c r="A11116">
        <v>39</v>
      </c>
      <c r="B11116" t="str">
        <f>"9:06:12.962573"</f>
        <v>9:06:12.962573</v>
      </c>
      <c r="C11116">
        <v>-45</v>
      </c>
    </row>
    <row r="11117" spans="1:3" x14ac:dyDescent="0.25">
      <c r="A11117">
        <v>37</v>
      </c>
      <c r="B11117" t="str">
        <f>"9:06:13.314031"</f>
        <v>9:06:13.314031</v>
      </c>
      <c r="C11117">
        <v>-44</v>
      </c>
    </row>
    <row r="11118" spans="1:3" x14ac:dyDescent="0.25">
      <c r="A11118">
        <v>38</v>
      </c>
      <c r="B11118" t="str">
        <f>"9:06:13.315058"</f>
        <v>9:06:13.315058</v>
      </c>
      <c r="C11118">
        <v>-41</v>
      </c>
    </row>
    <row r="11119" spans="1:3" x14ac:dyDescent="0.25">
      <c r="A11119">
        <v>39</v>
      </c>
      <c r="B11119" t="str">
        <f>"9:06:13.316219"</f>
        <v>9:06:13.316219</v>
      </c>
      <c r="C11119">
        <v>-46</v>
      </c>
    </row>
    <row r="11120" spans="1:3" x14ac:dyDescent="0.25">
      <c r="A11120">
        <v>39</v>
      </c>
      <c r="B11120" t="str">
        <f>"9:06:13.316738"</f>
        <v>9:06:13.316738</v>
      </c>
      <c r="C11120">
        <v>-31</v>
      </c>
    </row>
    <row r="11121" spans="1:3" x14ac:dyDescent="0.25">
      <c r="A11121">
        <v>39</v>
      </c>
      <c r="B11121" t="str">
        <f>"9:06:13.317064"</f>
        <v>9:06:13.317064</v>
      </c>
      <c r="C11121">
        <v>-45</v>
      </c>
    </row>
    <row r="11122" spans="1:3" x14ac:dyDescent="0.25">
      <c r="A11122">
        <v>37</v>
      </c>
      <c r="B11122" t="str">
        <f>"9:06:13.669916"</f>
        <v>9:06:13.669916</v>
      </c>
      <c r="C11122">
        <v>-44</v>
      </c>
    </row>
    <row r="11123" spans="1:3" x14ac:dyDescent="0.25">
      <c r="A11123">
        <v>38</v>
      </c>
      <c r="B11123" t="str">
        <f>"9:06:13.670943"</f>
        <v>9:06:13.670943</v>
      </c>
      <c r="C11123">
        <v>-41</v>
      </c>
    </row>
    <row r="11124" spans="1:3" x14ac:dyDescent="0.25">
      <c r="A11124">
        <v>39</v>
      </c>
      <c r="B11124" t="str">
        <f>"9:06:13.671969"</f>
        <v>9:06:13.671969</v>
      </c>
      <c r="C11124">
        <v>-45</v>
      </c>
    </row>
    <row r="11125" spans="1:3" x14ac:dyDescent="0.25">
      <c r="A11125">
        <v>39</v>
      </c>
      <c r="B11125" t="str">
        <f>"9:06:13.672487"</f>
        <v>9:06:13.672487</v>
      </c>
      <c r="C11125">
        <v>-30</v>
      </c>
    </row>
    <row r="11126" spans="1:3" x14ac:dyDescent="0.25">
      <c r="A11126">
        <v>39</v>
      </c>
      <c r="B11126" t="str">
        <f>"9:06:13.672813"</f>
        <v>9:06:13.672813</v>
      </c>
      <c r="C11126">
        <v>-45</v>
      </c>
    </row>
    <row r="11127" spans="1:3" x14ac:dyDescent="0.25">
      <c r="A11127">
        <v>37</v>
      </c>
      <c r="B11127" t="str">
        <f>"9:06:14.021949"</f>
        <v>9:06:14.021949</v>
      </c>
      <c r="C11127">
        <v>-44</v>
      </c>
    </row>
    <row r="11128" spans="1:3" x14ac:dyDescent="0.25">
      <c r="A11128">
        <v>38</v>
      </c>
      <c r="B11128" t="str">
        <f>"9:06:14.022977"</f>
        <v>9:06:14.022977</v>
      </c>
      <c r="C11128">
        <v>-41</v>
      </c>
    </row>
    <row r="11129" spans="1:3" x14ac:dyDescent="0.25">
      <c r="A11129">
        <v>39</v>
      </c>
      <c r="B11129" t="str">
        <f>"9:06:14.024003"</f>
        <v>9:06:14.024003</v>
      </c>
      <c r="C11129">
        <v>-45</v>
      </c>
    </row>
    <row r="11130" spans="1:3" x14ac:dyDescent="0.25">
      <c r="A11130">
        <v>39</v>
      </c>
      <c r="B11130" t="str">
        <f>"9:06:14.024521"</f>
        <v>9:06:14.024521</v>
      </c>
      <c r="C11130">
        <v>-31</v>
      </c>
    </row>
    <row r="11131" spans="1:3" x14ac:dyDescent="0.25">
      <c r="A11131">
        <v>39</v>
      </c>
      <c r="B11131" t="str">
        <f>"9:06:14.024848"</f>
        <v>9:06:14.024848</v>
      </c>
      <c r="C11131">
        <v>-45</v>
      </c>
    </row>
    <row r="11132" spans="1:3" x14ac:dyDescent="0.25">
      <c r="A11132">
        <v>37</v>
      </c>
      <c r="B11132" t="str">
        <f>"9:06:14.374257"</f>
        <v>9:06:14.374257</v>
      </c>
      <c r="C11132">
        <v>-44</v>
      </c>
    </row>
    <row r="11133" spans="1:3" x14ac:dyDescent="0.25">
      <c r="A11133">
        <v>38</v>
      </c>
      <c r="B11133" t="str">
        <f>"9:06:14.375285"</f>
        <v>9:06:14.375285</v>
      </c>
      <c r="C11133">
        <v>-41</v>
      </c>
    </row>
    <row r="11134" spans="1:3" x14ac:dyDescent="0.25">
      <c r="A11134">
        <v>39</v>
      </c>
      <c r="B11134" t="str">
        <f>"9:06:14.376311"</f>
        <v>9:06:14.376311</v>
      </c>
      <c r="C11134">
        <v>-45</v>
      </c>
    </row>
    <row r="11135" spans="1:3" x14ac:dyDescent="0.25">
      <c r="A11135">
        <v>39</v>
      </c>
      <c r="B11135" t="str">
        <f>"9:06:14.376830"</f>
        <v>9:06:14.376830</v>
      </c>
      <c r="C11135">
        <v>-31</v>
      </c>
    </row>
    <row r="11136" spans="1:3" x14ac:dyDescent="0.25">
      <c r="A11136">
        <v>39</v>
      </c>
      <c r="B11136" t="str">
        <f>"9:06:14.377156"</f>
        <v>9:06:14.377156</v>
      </c>
      <c r="C11136">
        <v>-45</v>
      </c>
    </row>
    <row r="11137" spans="1:3" x14ac:dyDescent="0.25">
      <c r="A11137">
        <v>37</v>
      </c>
      <c r="B11137" t="str">
        <f>"9:06:14.726073"</f>
        <v>9:06:14.726073</v>
      </c>
      <c r="C11137">
        <v>-44</v>
      </c>
    </row>
    <row r="11138" spans="1:3" x14ac:dyDescent="0.25">
      <c r="A11138">
        <v>37</v>
      </c>
      <c r="B11138" t="str">
        <f>"9:06:14.726592"</f>
        <v>9:06:14.726592</v>
      </c>
      <c r="C11138">
        <v>-37</v>
      </c>
    </row>
    <row r="11139" spans="1:3" x14ac:dyDescent="0.25">
      <c r="A11139">
        <v>37</v>
      </c>
      <c r="B11139" t="str">
        <f>"9:06:14.726918"</f>
        <v>9:06:14.726918</v>
      </c>
      <c r="C11139">
        <v>-44</v>
      </c>
    </row>
    <row r="11140" spans="1:3" x14ac:dyDescent="0.25">
      <c r="A11140">
        <v>38</v>
      </c>
      <c r="B11140" t="str">
        <f>"9:06:14.727694"</f>
        <v>9:06:14.727694</v>
      </c>
      <c r="C11140">
        <v>-41</v>
      </c>
    </row>
    <row r="11141" spans="1:3" x14ac:dyDescent="0.25">
      <c r="A11141">
        <v>39</v>
      </c>
      <c r="B11141" t="str">
        <f>"9:06:14.728720"</f>
        <v>9:06:14.728720</v>
      </c>
      <c r="C11141">
        <v>-45</v>
      </c>
    </row>
    <row r="11142" spans="1:3" x14ac:dyDescent="0.25">
      <c r="A11142">
        <v>37</v>
      </c>
      <c r="B11142" t="str">
        <f>"9:06:15.077102"</f>
        <v>9:06:15.077102</v>
      </c>
      <c r="C11142">
        <v>-44</v>
      </c>
    </row>
    <row r="11143" spans="1:3" x14ac:dyDescent="0.25">
      <c r="A11143">
        <v>37</v>
      </c>
      <c r="B11143" t="str">
        <f>"9:06:15.077621"</f>
        <v>9:06:15.077621</v>
      </c>
      <c r="C11143">
        <v>-37</v>
      </c>
    </row>
    <row r="11144" spans="1:3" x14ac:dyDescent="0.25">
      <c r="A11144">
        <v>37</v>
      </c>
      <c r="B11144" t="str">
        <f>"9:06:15.077947"</f>
        <v>9:06:15.077947</v>
      </c>
      <c r="C11144">
        <v>-45</v>
      </c>
    </row>
    <row r="11145" spans="1:3" x14ac:dyDescent="0.25">
      <c r="A11145">
        <v>38</v>
      </c>
      <c r="B11145" t="str">
        <f>"9:06:15.078723"</f>
        <v>9:06:15.078723</v>
      </c>
      <c r="C11145">
        <v>-41</v>
      </c>
    </row>
    <row r="11146" spans="1:3" x14ac:dyDescent="0.25">
      <c r="A11146">
        <v>39</v>
      </c>
      <c r="B11146" t="str">
        <f>"9:06:15.079749"</f>
        <v>9:06:15.079749</v>
      </c>
      <c r="C11146">
        <v>-45</v>
      </c>
    </row>
    <row r="11147" spans="1:3" x14ac:dyDescent="0.25">
      <c r="A11147">
        <v>37</v>
      </c>
      <c r="B11147" t="str">
        <f>"9:06:15.432010"</f>
        <v>9:06:15.432010</v>
      </c>
      <c r="C11147">
        <v>-44</v>
      </c>
    </row>
    <row r="11148" spans="1:3" x14ac:dyDescent="0.25">
      <c r="A11148">
        <v>37</v>
      </c>
      <c r="B11148" t="str">
        <f>"9:06:15.432528"</f>
        <v>9:06:15.432528</v>
      </c>
      <c r="C11148">
        <v>-40</v>
      </c>
    </row>
    <row r="11149" spans="1:3" x14ac:dyDescent="0.25">
      <c r="A11149">
        <v>37</v>
      </c>
      <c r="B11149" t="str">
        <f>"9:06:15.432854"</f>
        <v>9:06:15.432854</v>
      </c>
      <c r="C11149">
        <v>-44</v>
      </c>
    </row>
    <row r="11150" spans="1:3" x14ac:dyDescent="0.25">
      <c r="A11150">
        <v>38</v>
      </c>
      <c r="B11150" t="str">
        <f>"9:06:15.433630"</f>
        <v>9:06:15.433630</v>
      </c>
      <c r="C11150">
        <v>-41</v>
      </c>
    </row>
    <row r="11151" spans="1:3" x14ac:dyDescent="0.25">
      <c r="A11151">
        <v>39</v>
      </c>
      <c r="B11151" t="str">
        <f>"9:06:15.434656"</f>
        <v>9:06:15.434656</v>
      </c>
      <c r="C11151">
        <v>-45</v>
      </c>
    </row>
    <row r="11152" spans="1:3" x14ac:dyDescent="0.25">
      <c r="A11152">
        <v>37</v>
      </c>
      <c r="B11152" t="str">
        <f>"9:06:15.783243"</f>
        <v>9:06:15.783243</v>
      </c>
      <c r="C11152">
        <v>-44</v>
      </c>
    </row>
    <row r="11153" spans="1:3" x14ac:dyDescent="0.25">
      <c r="A11153">
        <v>37</v>
      </c>
      <c r="B11153" t="str">
        <f>"9:06:15.783762"</f>
        <v>9:06:15.783762</v>
      </c>
      <c r="C11153">
        <v>-40</v>
      </c>
    </row>
    <row r="11154" spans="1:3" x14ac:dyDescent="0.25">
      <c r="A11154">
        <v>37</v>
      </c>
      <c r="B11154" t="str">
        <f>"9:06:15.784088"</f>
        <v>9:06:15.784088</v>
      </c>
      <c r="C11154">
        <v>-44</v>
      </c>
    </row>
    <row r="11155" spans="1:3" x14ac:dyDescent="0.25">
      <c r="A11155">
        <v>38</v>
      </c>
      <c r="B11155" t="str">
        <f>"9:06:15.784865"</f>
        <v>9:06:15.784865</v>
      </c>
      <c r="C11155">
        <v>-41</v>
      </c>
    </row>
    <row r="11156" spans="1:3" x14ac:dyDescent="0.25">
      <c r="A11156">
        <v>39</v>
      </c>
      <c r="B11156" t="str">
        <f>"9:06:15.785891"</f>
        <v>9:06:15.785891</v>
      </c>
      <c r="C11156">
        <v>-45</v>
      </c>
    </row>
    <row r="11157" spans="1:3" x14ac:dyDescent="0.25">
      <c r="A11157">
        <v>37</v>
      </c>
      <c r="B11157" t="str">
        <f>"9:06:16.141187"</f>
        <v>9:06:16.141187</v>
      </c>
      <c r="C11157">
        <v>-44</v>
      </c>
    </row>
    <row r="11158" spans="1:3" x14ac:dyDescent="0.25">
      <c r="A11158">
        <v>37</v>
      </c>
      <c r="B11158" t="str">
        <f>"9:06:16.141705"</f>
        <v>9:06:16.141705</v>
      </c>
      <c r="C11158">
        <v>-40</v>
      </c>
    </row>
    <row r="11159" spans="1:3" x14ac:dyDescent="0.25">
      <c r="A11159">
        <v>37</v>
      </c>
      <c r="B11159" t="str">
        <f>"9:06:16.142031"</f>
        <v>9:06:16.142031</v>
      </c>
      <c r="C11159">
        <v>-44</v>
      </c>
    </row>
    <row r="11160" spans="1:3" x14ac:dyDescent="0.25">
      <c r="A11160">
        <v>38</v>
      </c>
      <c r="B11160" t="str">
        <f>"9:06:16.142807"</f>
        <v>9:06:16.142807</v>
      </c>
      <c r="C11160">
        <v>-41</v>
      </c>
    </row>
    <row r="11161" spans="1:3" x14ac:dyDescent="0.25">
      <c r="A11161">
        <v>39</v>
      </c>
      <c r="B11161" t="str">
        <f>"9:06:16.143833"</f>
        <v>9:06:16.143833</v>
      </c>
      <c r="C11161">
        <v>-45</v>
      </c>
    </row>
    <row r="11162" spans="1:3" x14ac:dyDescent="0.25">
      <c r="A11162">
        <v>37</v>
      </c>
      <c r="B11162" t="str">
        <f>"9:06:16.501126"</f>
        <v>9:06:16.501126</v>
      </c>
      <c r="C11162">
        <v>-44</v>
      </c>
    </row>
    <row r="11163" spans="1:3" x14ac:dyDescent="0.25">
      <c r="A11163">
        <v>37</v>
      </c>
      <c r="B11163" t="str">
        <f>"9:06:16.501644"</f>
        <v>9:06:16.501644</v>
      </c>
      <c r="C11163">
        <v>-40</v>
      </c>
    </row>
    <row r="11164" spans="1:3" x14ac:dyDescent="0.25">
      <c r="A11164">
        <v>37</v>
      </c>
      <c r="B11164" t="str">
        <f>"9:06:16.501970"</f>
        <v>9:06:16.501970</v>
      </c>
      <c r="C11164">
        <v>-44</v>
      </c>
    </row>
    <row r="11165" spans="1:3" x14ac:dyDescent="0.25">
      <c r="A11165">
        <v>38</v>
      </c>
      <c r="B11165" t="str">
        <f>"9:06:16.502747"</f>
        <v>9:06:16.502747</v>
      </c>
      <c r="C11165">
        <v>-41</v>
      </c>
    </row>
    <row r="11166" spans="1:3" x14ac:dyDescent="0.25">
      <c r="A11166">
        <v>39</v>
      </c>
      <c r="B11166" t="str">
        <f>"9:06:16.503773"</f>
        <v>9:06:16.503773</v>
      </c>
      <c r="C11166">
        <v>-45</v>
      </c>
    </row>
    <row r="11167" spans="1:3" x14ac:dyDescent="0.25">
      <c r="A11167">
        <v>37</v>
      </c>
      <c r="B11167" t="str">
        <f>"9:06:16.855488"</f>
        <v>9:06:16.855488</v>
      </c>
      <c r="C11167">
        <v>-44</v>
      </c>
    </row>
    <row r="11168" spans="1:3" x14ac:dyDescent="0.25">
      <c r="A11168">
        <v>37</v>
      </c>
      <c r="B11168" t="str">
        <f>"9:06:16.856006"</f>
        <v>9:06:16.856006</v>
      </c>
      <c r="C11168">
        <v>-40</v>
      </c>
    </row>
    <row r="11169" spans="1:3" x14ac:dyDescent="0.25">
      <c r="A11169">
        <v>37</v>
      </c>
      <c r="B11169" t="str">
        <f>"9:06:16.856332"</f>
        <v>9:06:16.856332</v>
      </c>
      <c r="C11169">
        <v>-44</v>
      </c>
    </row>
    <row r="11170" spans="1:3" x14ac:dyDescent="0.25">
      <c r="A11170">
        <v>38</v>
      </c>
      <c r="B11170" t="str">
        <f>"9:06:16.857108"</f>
        <v>9:06:16.857108</v>
      </c>
      <c r="C11170">
        <v>-41</v>
      </c>
    </row>
    <row r="11171" spans="1:3" x14ac:dyDescent="0.25">
      <c r="A11171">
        <v>39</v>
      </c>
      <c r="B11171" t="str">
        <f>"9:06:16.858134"</f>
        <v>9:06:16.858134</v>
      </c>
      <c r="C11171">
        <v>-45</v>
      </c>
    </row>
    <row r="11172" spans="1:3" x14ac:dyDescent="0.25">
      <c r="A11172">
        <v>37</v>
      </c>
      <c r="B11172" t="str">
        <f>"9:06:17.214165"</f>
        <v>9:06:17.214165</v>
      </c>
      <c r="C11172">
        <v>-44</v>
      </c>
    </row>
    <row r="11173" spans="1:3" x14ac:dyDescent="0.25">
      <c r="A11173">
        <v>37</v>
      </c>
      <c r="B11173" t="str">
        <f>"9:06:17.214684"</f>
        <v>9:06:17.214684</v>
      </c>
      <c r="C11173">
        <v>-40</v>
      </c>
    </row>
    <row r="11174" spans="1:3" x14ac:dyDescent="0.25">
      <c r="A11174">
        <v>37</v>
      </c>
      <c r="B11174" t="str">
        <f>"9:06:17.215010"</f>
        <v>9:06:17.215010</v>
      </c>
      <c r="C11174">
        <v>-44</v>
      </c>
    </row>
    <row r="11175" spans="1:3" x14ac:dyDescent="0.25">
      <c r="A11175">
        <v>38</v>
      </c>
      <c r="B11175" t="str">
        <f>"9:06:17.215786"</f>
        <v>9:06:17.215786</v>
      </c>
      <c r="C11175">
        <v>-41</v>
      </c>
    </row>
    <row r="11176" spans="1:3" x14ac:dyDescent="0.25">
      <c r="A11176">
        <v>39</v>
      </c>
      <c r="B11176" t="str">
        <f>"9:06:17.216812"</f>
        <v>9:06:17.216812</v>
      </c>
      <c r="C11176">
        <v>-45</v>
      </c>
    </row>
    <row r="11177" spans="1:3" x14ac:dyDescent="0.25">
      <c r="A11177">
        <v>37</v>
      </c>
      <c r="B11177" t="str">
        <f>"9:06:17.566200"</f>
        <v>9:06:17.566200</v>
      </c>
      <c r="C11177">
        <v>-44</v>
      </c>
    </row>
    <row r="11178" spans="1:3" x14ac:dyDescent="0.25">
      <c r="A11178">
        <v>37</v>
      </c>
      <c r="B11178" t="str">
        <f>"9:06:17.566719"</f>
        <v>9:06:17.566719</v>
      </c>
      <c r="C11178">
        <v>-40</v>
      </c>
    </row>
    <row r="11179" spans="1:3" x14ac:dyDescent="0.25">
      <c r="A11179">
        <v>37</v>
      </c>
      <c r="B11179" t="str">
        <f>"9:06:17.567044"</f>
        <v>9:06:17.567044</v>
      </c>
      <c r="C11179">
        <v>-44</v>
      </c>
    </row>
    <row r="11180" spans="1:3" x14ac:dyDescent="0.25">
      <c r="A11180">
        <v>38</v>
      </c>
      <c r="B11180" t="str">
        <f>"9:06:17.567821"</f>
        <v>9:06:17.567821</v>
      </c>
      <c r="C11180">
        <v>-41</v>
      </c>
    </row>
    <row r="11181" spans="1:3" x14ac:dyDescent="0.25">
      <c r="A11181">
        <v>39</v>
      </c>
      <c r="B11181" t="str">
        <f>"9:06:17.568847"</f>
        <v>9:06:17.568847</v>
      </c>
      <c r="C11181">
        <v>-46</v>
      </c>
    </row>
    <row r="11182" spans="1:3" x14ac:dyDescent="0.25">
      <c r="A11182">
        <v>37</v>
      </c>
      <c r="B11182" t="str">
        <f>"9:06:17.920491"</f>
        <v>9:06:17.920491</v>
      </c>
      <c r="C11182">
        <v>-44</v>
      </c>
    </row>
    <row r="11183" spans="1:3" x14ac:dyDescent="0.25">
      <c r="A11183">
        <v>37</v>
      </c>
      <c r="B11183" t="str">
        <f>"9:06:17.921010"</f>
        <v>9:06:17.921010</v>
      </c>
      <c r="C11183">
        <v>-40</v>
      </c>
    </row>
    <row r="11184" spans="1:3" x14ac:dyDescent="0.25">
      <c r="A11184">
        <v>37</v>
      </c>
      <c r="B11184" t="str">
        <f>"9:06:17.921335"</f>
        <v>9:06:17.921335</v>
      </c>
      <c r="C11184">
        <v>-44</v>
      </c>
    </row>
    <row r="11185" spans="1:3" x14ac:dyDescent="0.25">
      <c r="A11185">
        <v>38</v>
      </c>
      <c r="B11185" t="str">
        <f>"9:06:17.922111"</f>
        <v>9:06:17.922111</v>
      </c>
      <c r="C11185">
        <v>-41</v>
      </c>
    </row>
    <row r="11186" spans="1:3" x14ac:dyDescent="0.25">
      <c r="A11186">
        <v>38</v>
      </c>
      <c r="B11186" t="str">
        <f>"9:06:17.922957"</f>
        <v>9:06:17.922957</v>
      </c>
      <c r="C11186">
        <v>-41</v>
      </c>
    </row>
    <row r="11187" spans="1:3" x14ac:dyDescent="0.25">
      <c r="A11187">
        <v>39</v>
      </c>
      <c r="B11187" t="str">
        <f>"9:06:17.923733"</f>
        <v>9:06:17.923733</v>
      </c>
      <c r="C11187">
        <v>-45</v>
      </c>
    </row>
    <row r="11188" spans="1:3" x14ac:dyDescent="0.25">
      <c r="A11188">
        <v>37</v>
      </c>
      <c r="B11188" t="str">
        <f>"9:06:18.277121"</f>
        <v>9:06:18.277121</v>
      </c>
      <c r="C11188">
        <v>-44</v>
      </c>
    </row>
    <row r="11189" spans="1:3" x14ac:dyDescent="0.25">
      <c r="A11189">
        <v>38</v>
      </c>
      <c r="B11189" t="str">
        <f>"9:06:18.278148"</f>
        <v>9:06:18.278148</v>
      </c>
      <c r="C11189">
        <v>-41</v>
      </c>
    </row>
    <row r="11190" spans="1:3" x14ac:dyDescent="0.25">
      <c r="A11190">
        <v>39</v>
      </c>
      <c r="B11190" t="str">
        <f>"9:06:18.279174"</f>
        <v>9:06:18.279174</v>
      </c>
      <c r="C11190">
        <v>-45</v>
      </c>
    </row>
    <row r="11191" spans="1:3" x14ac:dyDescent="0.25">
      <c r="A11191">
        <v>37</v>
      </c>
      <c r="B11191" t="str">
        <f>"9:06:18.632744"</f>
        <v>9:06:18.632744</v>
      </c>
      <c r="C11191">
        <v>-44</v>
      </c>
    </row>
    <row r="11192" spans="1:3" x14ac:dyDescent="0.25">
      <c r="A11192">
        <v>37</v>
      </c>
      <c r="B11192" t="str">
        <f>"9:06:18.633263"</f>
        <v>9:06:18.633263</v>
      </c>
      <c r="C11192">
        <v>-40</v>
      </c>
    </row>
    <row r="11193" spans="1:3" x14ac:dyDescent="0.25">
      <c r="A11193">
        <v>37</v>
      </c>
      <c r="B11193" t="str">
        <f>"9:06:18.633588"</f>
        <v>9:06:18.633588</v>
      </c>
      <c r="C11193">
        <v>-44</v>
      </c>
    </row>
    <row r="11194" spans="1:3" x14ac:dyDescent="0.25">
      <c r="A11194">
        <v>38</v>
      </c>
      <c r="B11194" t="str">
        <f>"9:06:18.634365"</f>
        <v>9:06:18.634365</v>
      </c>
      <c r="C11194">
        <v>-41</v>
      </c>
    </row>
    <row r="11195" spans="1:3" x14ac:dyDescent="0.25">
      <c r="A11195">
        <v>39</v>
      </c>
      <c r="B11195" t="str">
        <f>"9:06:18.635391"</f>
        <v>9:06:18.635391</v>
      </c>
      <c r="C11195">
        <v>-45</v>
      </c>
    </row>
    <row r="11196" spans="1:3" x14ac:dyDescent="0.25">
      <c r="A11196">
        <v>37</v>
      </c>
      <c r="B11196" t="str">
        <f>"9:06:18.991922"</f>
        <v>9:06:18.991922</v>
      </c>
      <c r="C11196">
        <v>-44</v>
      </c>
    </row>
    <row r="11197" spans="1:3" x14ac:dyDescent="0.25">
      <c r="A11197">
        <v>37</v>
      </c>
      <c r="B11197" t="str">
        <f>"9:06:18.992441"</f>
        <v>9:06:18.992441</v>
      </c>
      <c r="C11197">
        <v>-40</v>
      </c>
    </row>
    <row r="11198" spans="1:3" x14ac:dyDescent="0.25">
      <c r="A11198">
        <v>37</v>
      </c>
      <c r="B11198" t="str">
        <f>"9:06:18.992767"</f>
        <v>9:06:18.992767</v>
      </c>
      <c r="C11198">
        <v>-44</v>
      </c>
    </row>
    <row r="11199" spans="1:3" x14ac:dyDescent="0.25">
      <c r="A11199">
        <v>38</v>
      </c>
      <c r="B11199" t="str">
        <f>"9:06:18.993544"</f>
        <v>9:06:18.993544</v>
      </c>
      <c r="C11199">
        <v>-41</v>
      </c>
    </row>
    <row r="11200" spans="1:3" x14ac:dyDescent="0.25">
      <c r="A11200">
        <v>39</v>
      </c>
      <c r="B11200" t="str">
        <f>"9:06:18.994570"</f>
        <v>9:06:18.994570</v>
      </c>
      <c r="C11200">
        <v>-45</v>
      </c>
    </row>
    <row r="11201" spans="1:3" x14ac:dyDescent="0.25">
      <c r="A11201">
        <v>37</v>
      </c>
      <c r="B11201" t="str">
        <f>"9:06:19.347230"</f>
        <v>9:06:19.347230</v>
      </c>
      <c r="C11201">
        <v>-44</v>
      </c>
    </row>
    <row r="11202" spans="1:3" x14ac:dyDescent="0.25">
      <c r="A11202">
        <v>37</v>
      </c>
      <c r="B11202" t="str">
        <f>"9:06:19.347748"</f>
        <v>9:06:19.347748</v>
      </c>
      <c r="C11202">
        <v>-42</v>
      </c>
    </row>
    <row r="11203" spans="1:3" x14ac:dyDescent="0.25">
      <c r="A11203">
        <v>37</v>
      </c>
      <c r="B11203" t="str">
        <f>"9:06:19.348074"</f>
        <v>9:06:19.348074</v>
      </c>
      <c r="C11203">
        <v>-44</v>
      </c>
    </row>
    <row r="11204" spans="1:3" x14ac:dyDescent="0.25">
      <c r="A11204">
        <v>38</v>
      </c>
      <c r="B11204" t="str">
        <f>"9:06:19.348850"</f>
        <v>9:06:19.348850</v>
      </c>
      <c r="C11204">
        <v>-41</v>
      </c>
    </row>
    <row r="11205" spans="1:3" x14ac:dyDescent="0.25">
      <c r="A11205">
        <v>39</v>
      </c>
      <c r="B11205" t="str">
        <f>"9:06:19.349876"</f>
        <v>9:06:19.349876</v>
      </c>
      <c r="C11205">
        <v>-45</v>
      </c>
    </row>
    <row r="11206" spans="1:3" x14ac:dyDescent="0.25">
      <c r="A11206">
        <v>37</v>
      </c>
      <c r="B11206" t="str">
        <f>"9:06:19.697418"</f>
        <v>9:06:19.697418</v>
      </c>
      <c r="C11206">
        <v>-44</v>
      </c>
    </row>
    <row r="11207" spans="1:3" x14ac:dyDescent="0.25">
      <c r="A11207">
        <v>38</v>
      </c>
      <c r="B11207" t="str">
        <f>"9:06:19.698445"</f>
        <v>9:06:19.698445</v>
      </c>
      <c r="C11207">
        <v>-41</v>
      </c>
    </row>
    <row r="11208" spans="1:3" x14ac:dyDescent="0.25">
      <c r="A11208">
        <v>38</v>
      </c>
      <c r="B11208" t="str">
        <f>"9:06:19.698964"</f>
        <v>9:06:19.698964</v>
      </c>
      <c r="C11208">
        <v>-32</v>
      </c>
    </row>
    <row r="11209" spans="1:3" x14ac:dyDescent="0.25">
      <c r="A11209">
        <v>38</v>
      </c>
      <c r="B11209" t="str">
        <f>"9:06:19.699291"</f>
        <v>9:06:19.699291</v>
      </c>
      <c r="C11209">
        <v>-41</v>
      </c>
    </row>
    <row r="11210" spans="1:3" x14ac:dyDescent="0.25">
      <c r="A11210">
        <v>39</v>
      </c>
      <c r="B11210" t="str">
        <f>"9:06:19.700066"</f>
        <v>9:06:19.700066</v>
      </c>
      <c r="C11210">
        <v>-46</v>
      </c>
    </row>
    <row r="11211" spans="1:3" x14ac:dyDescent="0.25">
      <c r="A11211">
        <v>37</v>
      </c>
      <c r="B11211" t="str">
        <f>"9:06:20.053561"</f>
        <v>9:06:20.053561</v>
      </c>
      <c r="C11211">
        <v>-44</v>
      </c>
    </row>
    <row r="11212" spans="1:3" x14ac:dyDescent="0.25">
      <c r="A11212">
        <v>38</v>
      </c>
      <c r="B11212" t="str">
        <f>"9:06:20.054589"</f>
        <v>9:06:20.054589</v>
      </c>
      <c r="C11212">
        <v>-41</v>
      </c>
    </row>
    <row r="11213" spans="1:3" x14ac:dyDescent="0.25">
      <c r="A11213">
        <v>38</v>
      </c>
      <c r="B11213" t="str">
        <f>"9:06:20.055107"</f>
        <v>9:06:20.055107</v>
      </c>
      <c r="C11213">
        <v>-32</v>
      </c>
    </row>
    <row r="11214" spans="1:3" x14ac:dyDescent="0.25">
      <c r="A11214">
        <v>38</v>
      </c>
      <c r="B11214" t="str">
        <f>"9:06:20.055434"</f>
        <v>9:06:20.055434</v>
      </c>
      <c r="C11214">
        <v>-41</v>
      </c>
    </row>
    <row r="11215" spans="1:3" x14ac:dyDescent="0.25">
      <c r="A11215">
        <v>39</v>
      </c>
      <c r="B11215" t="str">
        <f>"9:06:20.056210"</f>
        <v>9:06:20.056210</v>
      </c>
      <c r="C11215">
        <v>-46</v>
      </c>
    </row>
    <row r="11216" spans="1:3" x14ac:dyDescent="0.25">
      <c r="A11216">
        <v>37</v>
      </c>
      <c r="B11216" t="str">
        <f>"9:06:20.405328"</f>
        <v>9:06:20.405328</v>
      </c>
      <c r="C11216">
        <v>-44</v>
      </c>
    </row>
    <row r="11217" spans="1:3" x14ac:dyDescent="0.25">
      <c r="A11217">
        <v>38</v>
      </c>
      <c r="B11217" t="str">
        <f>"9:06:20.406356"</f>
        <v>9:06:20.406356</v>
      </c>
      <c r="C11217">
        <v>-41</v>
      </c>
    </row>
    <row r="11218" spans="1:3" x14ac:dyDescent="0.25">
      <c r="A11218">
        <v>38</v>
      </c>
      <c r="B11218" t="str">
        <f>"9:06:20.406874"</f>
        <v>9:06:20.406874</v>
      </c>
      <c r="C11218">
        <v>-32</v>
      </c>
    </row>
    <row r="11219" spans="1:3" x14ac:dyDescent="0.25">
      <c r="A11219">
        <v>38</v>
      </c>
      <c r="B11219" t="str">
        <f>"9:06:20.407200"</f>
        <v>9:06:20.407200</v>
      </c>
      <c r="C11219">
        <v>-41</v>
      </c>
    </row>
    <row r="11220" spans="1:3" x14ac:dyDescent="0.25">
      <c r="A11220">
        <v>39</v>
      </c>
      <c r="B11220" t="str">
        <f>"9:06:20.407976"</f>
        <v>9:06:20.407976</v>
      </c>
      <c r="C11220">
        <v>-46</v>
      </c>
    </row>
    <row r="11221" spans="1:3" x14ac:dyDescent="0.25">
      <c r="A11221">
        <v>37</v>
      </c>
      <c r="B11221" t="str">
        <f>"9:06:20.760643"</f>
        <v>9:06:20.760643</v>
      </c>
      <c r="C11221">
        <v>-44</v>
      </c>
    </row>
    <row r="11222" spans="1:3" x14ac:dyDescent="0.25">
      <c r="A11222">
        <v>38</v>
      </c>
      <c r="B11222" t="str">
        <f>"9:06:20.761670"</f>
        <v>9:06:20.761670</v>
      </c>
      <c r="C11222">
        <v>-41</v>
      </c>
    </row>
    <row r="11223" spans="1:3" x14ac:dyDescent="0.25">
      <c r="A11223">
        <v>38</v>
      </c>
      <c r="B11223" t="str">
        <f>"9:06:20.762189"</f>
        <v>9:06:20.762189</v>
      </c>
      <c r="C11223">
        <v>-32</v>
      </c>
    </row>
    <row r="11224" spans="1:3" x14ac:dyDescent="0.25">
      <c r="A11224">
        <v>38</v>
      </c>
      <c r="B11224" t="str">
        <f>"9:06:20.762515"</f>
        <v>9:06:20.762515</v>
      </c>
      <c r="C11224">
        <v>-41</v>
      </c>
    </row>
    <row r="11225" spans="1:3" x14ac:dyDescent="0.25">
      <c r="A11225">
        <v>39</v>
      </c>
      <c r="B11225" t="str">
        <f>"9:06:20.763291"</f>
        <v>9:06:20.763291</v>
      </c>
      <c r="C11225">
        <v>-46</v>
      </c>
    </row>
    <row r="11226" spans="1:3" x14ac:dyDescent="0.25">
      <c r="A11226">
        <v>37</v>
      </c>
      <c r="B11226" t="str">
        <f>"9:06:21.117255"</f>
        <v>9:06:21.117255</v>
      </c>
      <c r="C11226">
        <v>-44</v>
      </c>
    </row>
    <row r="11227" spans="1:3" x14ac:dyDescent="0.25">
      <c r="A11227">
        <v>38</v>
      </c>
      <c r="B11227" t="str">
        <f>"9:06:21.118282"</f>
        <v>9:06:21.118282</v>
      </c>
      <c r="C11227">
        <v>-41</v>
      </c>
    </row>
    <row r="11228" spans="1:3" x14ac:dyDescent="0.25">
      <c r="A11228">
        <v>39</v>
      </c>
      <c r="B11228" t="str">
        <f>"9:06:21.119308"</f>
        <v>9:06:21.119308</v>
      </c>
      <c r="C11228">
        <v>-46</v>
      </c>
    </row>
    <row r="11229" spans="1:3" x14ac:dyDescent="0.25">
      <c r="A11229">
        <v>39</v>
      </c>
      <c r="B11229" t="str">
        <f>"9:06:21.120154"</f>
        <v>9:06:21.120154</v>
      </c>
      <c r="C11229">
        <v>-45</v>
      </c>
    </row>
    <row r="11230" spans="1:3" x14ac:dyDescent="0.25">
      <c r="A11230">
        <v>37</v>
      </c>
      <c r="B11230" t="str">
        <f>"9:06:21.471291"</f>
        <v>9:06:21.471291</v>
      </c>
      <c r="C11230">
        <v>-44</v>
      </c>
    </row>
    <row r="11231" spans="1:3" x14ac:dyDescent="0.25">
      <c r="A11231">
        <v>38</v>
      </c>
      <c r="B11231" t="str">
        <f>"9:06:21.472318"</f>
        <v>9:06:21.472318</v>
      </c>
      <c r="C11231">
        <v>-41</v>
      </c>
    </row>
    <row r="11232" spans="1:3" x14ac:dyDescent="0.25">
      <c r="A11232">
        <v>38</v>
      </c>
      <c r="B11232" t="str">
        <f>"9:06:21.472837"</f>
        <v>9:06:21.472837</v>
      </c>
      <c r="C11232">
        <v>-32</v>
      </c>
    </row>
    <row r="11233" spans="1:3" x14ac:dyDescent="0.25">
      <c r="A11233">
        <v>38</v>
      </c>
      <c r="B11233" t="str">
        <f>"9:06:21.473163"</f>
        <v>9:06:21.473163</v>
      </c>
      <c r="C11233">
        <v>-41</v>
      </c>
    </row>
    <row r="11234" spans="1:3" x14ac:dyDescent="0.25">
      <c r="A11234">
        <v>39</v>
      </c>
      <c r="B11234" t="str">
        <f>"9:06:21.473939"</f>
        <v>9:06:21.473939</v>
      </c>
      <c r="C11234">
        <v>-46</v>
      </c>
    </row>
    <row r="11235" spans="1:3" x14ac:dyDescent="0.25">
      <c r="A11235">
        <v>37</v>
      </c>
      <c r="B11235" t="str">
        <f>"9:06:21.823789"</f>
        <v>9:06:21.823789</v>
      </c>
      <c r="C11235">
        <v>-44</v>
      </c>
    </row>
    <row r="11236" spans="1:3" x14ac:dyDescent="0.25">
      <c r="A11236">
        <v>38</v>
      </c>
      <c r="B11236" t="str">
        <f>"9:06:21.824958"</f>
        <v>9:06:21.824958</v>
      </c>
      <c r="C11236">
        <v>-41</v>
      </c>
    </row>
    <row r="11237" spans="1:3" x14ac:dyDescent="0.25">
      <c r="A11237">
        <v>38</v>
      </c>
      <c r="B11237" t="str">
        <f>"9:06:21.825476"</f>
        <v>9:06:21.825476</v>
      </c>
      <c r="C11237">
        <v>-32</v>
      </c>
    </row>
    <row r="11238" spans="1:3" x14ac:dyDescent="0.25">
      <c r="A11238">
        <v>38</v>
      </c>
      <c r="B11238" t="str">
        <f>"9:06:21.825802"</f>
        <v>9:06:21.825802</v>
      </c>
      <c r="C11238">
        <v>-41</v>
      </c>
    </row>
    <row r="11239" spans="1:3" x14ac:dyDescent="0.25">
      <c r="A11239">
        <v>39</v>
      </c>
      <c r="B11239" t="str">
        <f>"9:06:21.826578"</f>
        <v>9:06:21.826578</v>
      </c>
      <c r="C11239">
        <v>-46</v>
      </c>
    </row>
    <row r="11240" spans="1:3" x14ac:dyDescent="0.25">
      <c r="A11240">
        <v>37</v>
      </c>
      <c r="B11240" t="str">
        <f>"9:06:22.174752"</f>
        <v>9:06:22.174752</v>
      </c>
      <c r="C11240">
        <v>-44</v>
      </c>
    </row>
    <row r="11241" spans="1:3" x14ac:dyDescent="0.25">
      <c r="A11241">
        <v>37</v>
      </c>
      <c r="B11241" t="str">
        <f>"9:06:22.175271"</f>
        <v>9:06:22.175271</v>
      </c>
      <c r="C11241">
        <v>-76</v>
      </c>
    </row>
    <row r="11242" spans="1:3" x14ac:dyDescent="0.25">
      <c r="A11242">
        <v>37</v>
      </c>
      <c r="B11242" t="str">
        <f>"9:06:22.175596"</f>
        <v>9:06:22.175596</v>
      </c>
      <c r="C11242">
        <v>-44</v>
      </c>
    </row>
    <row r="11243" spans="1:3" x14ac:dyDescent="0.25">
      <c r="A11243">
        <v>38</v>
      </c>
      <c r="B11243" t="str">
        <f>"9:06:22.176373"</f>
        <v>9:06:22.176373</v>
      </c>
      <c r="C11243">
        <v>-41</v>
      </c>
    </row>
    <row r="11244" spans="1:3" x14ac:dyDescent="0.25">
      <c r="A11244">
        <v>38</v>
      </c>
      <c r="B11244" t="str">
        <f>"9:06:22.176891"</f>
        <v>9:06:22.176891</v>
      </c>
      <c r="C11244">
        <v>-32</v>
      </c>
    </row>
    <row r="11245" spans="1:3" x14ac:dyDescent="0.25">
      <c r="A11245">
        <v>38</v>
      </c>
      <c r="B11245" t="str">
        <f>"9:06:22.177218"</f>
        <v>9:06:22.177218</v>
      </c>
      <c r="C11245">
        <v>-41</v>
      </c>
    </row>
    <row r="11246" spans="1:3" x14ac:dyDescent="0.25">
      <c r="A11246">
        <v>39</v>
      </c>
      <c r="B11246" t="str">
        <f>"9:06:22.177994"</f>
        <v>9:06:22.177994</v>
      </c>
      <c r="C11246">
        <v>-45</v>
      </c>
    </row>
    <row r="11247" spans="1:3" x14ac:dyDescent="0.25">
      <c r="A11247">
        <v>37</v>
      </c>
      <c r="B11247" t="str">
        <f>"9:06:22.525765"</f>
        <v>9:06:22.525765</v>
      </c>
      <c r="C11247">
        <v>-44</v>
      </c>
    </row>
    <row r="11248" spans="1:3" x14ac:dyDescent="0.25">
      <c r="A11248">
        <v>38</v>
      </c>
      <c r="B11248" t="str">
        <f>"9:06:22.526792"</f>
        <v>9:06:22.526792</v>
      </c>
      <c r="C11248">
        <v>-41</v>
      </c>
    </row>
    <row r="11249" spans="1:3" x14ac:dyDescent="0.25">
      <c r="A11249">
        <v>39</v>
      </c>
      <c r="B11249" t="str">
        <f>"9:06:22.527818"</f>
        <v>9:06:22.527818</v>
      </c>
      <c r="C11249">
        <v>-45</v>
      </c>
    </row>
    <row r="11250" spans="1:3" x14ac:dyDescent="0.25">
      <c r="A11250">
        <v>37</v>
      </c>
      <c r="B11250" t="str">
        <f>"9:06:22.883219"</f>
        <v>9:06:22.883219</v>
      </c>
      <c r="C11250">
        <v>-44</v>
      </c>
    </row>
    <row r="11251" spans="1:3" x14ac:dyDescent="0.25">
      <c r="A11251">
        <v>38</v>
      </c>
      <c r="B11251" t="str">
        <f>"9:06:22.884246"</f>
        <v>9:06:22.884246</v>
      </c>
      <c r="C11251">
        <v>-41</v>
      </c>
    </row>
    <row r="11252" spans="1:3" x14ac:dyDescent="0.25">
      <c r="A11252">
        <v>38</v>
      </c>
      <c r="B11252" t="str">
        <f>"9:06:22.884765"</f>
        <v>9:06:22.884765</v>
      </c>
      <c r="C11252">
        <v>-32</v>
      </c>
    </row>
    <row r="11253" spans="1:3" x14ac:dyDescent="0.25">
      <c r="A11253">
        <v>38</v>
      </c>
      <c r="B11253" t="str">
        <f>"9:06:22.885091"</f>
        <v>9:06:22.885091</v>
      </c>
      <c r="C11253">
        <v>-41</v>
      </c>
    </row>
    <row r="11254" spans="1:3" x14ac:dyDescent="0.25">
      <c r="A11254">
        <v>39</v>
      </c>
      <c r="B11254" t="str">
        <f>"9:06:22.885867"</f>
        <v>9:06:22.885867</v>
      </c>
      <c r="C11254">
        <v>-46</v>
      </c>
    </row>
    <row r="11255" spans="1:3" x14ac:dyDescent="0.25">
      <c r="A11255">
        <v>37</v>
      </c>
      <c r="B11255" t="str">
        <f>"9:06:23.238371"</f>
        <v>9:06:23.238371</v>
      </c>
      <c r="C11255">
        <v>-44</v>
      </c>
    </row>
    <row r="11256" spans="1:3" x14ac:dyDescent="0.25">
      <c r="A11256">
        <v>38</v>
      </c>
      <c r="B11256" t="str">
        <f>"9:06:23.239398"</f>
        <v>9:06:23.239398</v>
      </c>
      <c r="C11256">
        <v>-41</v>
      </c>
    </row>
    <row r="11257" spans="1:3" x14ac:dyDescent="0.25">
      <c r="A11257">
        <v>38</v>
      </c>
      <c r="B11257" t="str">
        <f>"9:06:23.239917"</f>
        <v>9:06:23.239917</v>
      </c>
      <c r="C11257">
        <v>-32</v>
      </c>
    </row>
    <row r="11258" spans="1:3" x14ac:dyDescent="0.25">
      <c r="A11258">
        <v>38</v>
      </c>
      <c r="B11258" t="str">
        <f>"9:06:23.240243"</f>
        <v>9:06:23.240243</v>
      </c>
      <c r="C11258">
        <v>-41</v>
      </c>
    </row>
    <row r="11259" spans="1:3" x14ac:dyDescent="0.25">
      <c r="A11259">
        <v>39</v>
      </c>
      <c r="B11259" t="str">
        <f>"9:06:23.241019"</f>
        <v>9:06:23.241019</v>
      </c>
      <c r="C11259">
        <v>-46</v>
      </c>
    </row>
    <row r="11260" spans="1:3" x14ac:dyDescent="0.25">
      <c r="A11260">
        <v>37</v>
      </c>
      <c r="B11260" t="str">
        <f>"9:06:23.592691"</f>
        <v>9:06:23.592691</v>
      </c>
      <c r="C11260">
        <v>-44</v>
      </c>
    </row>
    <row r="11261" spans="1:3" x14ac:dyDescent="0.25">
      <c r="A11261">
        <v>38</v>
      </c>
      <c r="B11261" t="str">
        <f>"9:06:23.593718"</f>
        <v>9:06:23.593718</v>
      </c>
      <c r="C11261">
        <v>-41</v>
      </c>
    </row>
    <row r="11262" spans="1:3" x14ac:dyDescent="0.25">
      <c r="A11262">
        <v>38</v>
      </c>
      <c r="B11262" t="str">
        <f>"9:06:23.594237"</f>
        <v>9:06:23.594237</v>
      </c>
      <c r="C11262">
        <v>-32</v>
      </c>
    </row>
    <row r="11263" spans="1:3" x14ac:dyDescent="0.25">
      <c r="A11263">
        <v>38</v>
      </c>
      <c r="B11263" t="str">
        <f>"9:06:23.594563"</f>
        <v>9:06:23.594563</v>
      </c>
      <c r="C11263">
        <v>-41</v>
      </c>
    </row>
    <row r="11264" spans="1:3" x14ac:dyDescent="0.25">
      <c r="A11264">
        <v>39</v>
      </c>
      <c r="B11264" t="str">
        <f>"9:06:23.595339"</f>
        <v>9:06:23.595339</v>
      </c>
      <c r="C11264">
        <v>-46</v>
      </c>
    </row>
    <row r="11265" spans="1:3" x14ac:dyDescent="0.25">
      <c r="A11265">
        <v>37</v>
      </c>
      <c r="B11265" t="str">
        <f>"9:06:23.944190"</f>
        <v>9:06:23.944190</v>
      </c>
      <c r="C11265">
        <v>-44</v>
      </c>
    </row>
    <row r="11266" spans="1:3" x14ac:dyDescent="0.25">
      <c r="A11266">
        <v>38</v>
      </c>
      <c r="B11266" t="str">
        <f>"9:06:23.945217"</f>
        <v>9:06:23.945217</v>
      </c>
      <c r="C11266">
        <v>-41</v>
      </c>
    </row>
    <row r="11267" spans="1:3" x14ac:dyDescent="0.25">
      <c r="A11267">
        <v>38</v>
      </c>
      <c r="B11267" t="str">
        <f>"9:06:23.945735"</f>
        <v>9:06:23.945735</v>
      </c>
      <c r="C11267">
        <v>-32</v>
      </c>
    </row>
    <row r="11268" spans="1:3" x14ac:dyDescent="0.25">
      <c r="A11268">
        <v>38</v>
      </c>
      <c r="B11268" t="str">
        <f>"9:06:23.946061"</f>
        <v>9:06:23.946061</v>
      </c>
      <c r="C11268">
        <v>-41</v>
      </c>
    </row>
    <row r="11269" spans="1:3" x14ac:dyDescent="0.25">
      <c r="A11269">
        <v>39</v>
      </c>
      <c r="B11269" t="str">
        <f>"9:06:23.946837"</f>
        <v>9:06:23.946837</v>
      </c>
      <c r="C11269">
        <v>-46</v>
      </c>
    </row>
    <row r="11270" spans="1:3" x14ac:dyDescent="0.25">
      <c r="A11270">
        <v>37</v>
      </c>
      <c r="B11270" t="str">
        <f>"9:06:24.300090"</f>
        <v>9:06:24.300090</v>
      </c>
      <c r="C11270">
        <v>-44</v>
      </c>
    </row>
    <row r="11271" spans="1:3" x14ac:dyDescent="0.25">
      <c r="A11271">
        <v>38</v>
      </c>
      <c r="B11271" t="str">
        <f>"9:06:24.301117"</f>
        <v>9:06:24.301117</v>
      </c>
      <c r="C11271">
        <v>-41</v>
      </c>
    </row>
    <row r="11272" spans="1:3" x14ac:dyDescent="0.25">
      <c r="A11272">
        <v>38</v>
      </c>
      <c r="B11272" t="str">
        <f>"9:06:24.301636"</f>
        <v>9:06:24.301636</v>
      </c>
      <c r="C11272">
        <v>-32</v>
      </c>
    </row>
    <row r="11273" spans="1:3" x14ac:dyDescent="0.25">
      <c r="A11273">
        <v>38</v>
      </c>
      <c r="B11273" t="str">
        <f>"9:06:24.301961"</f>
        <v>9:06:24.301961</v>
      </c>
      <c r="C11273">
        <v>-41</v>
      </c>
    </row>
    <row r="11274" spans="1:3" x14ac:dyDescent="0.25">
      <c r="A11274">
        <v>39</v>
      </c>
      <c r="B11274" t="str">
        <f>"9:06:24.302737"</f>
        <v>9:06:24.302737</v>
      </c>
      <c r="C11274">
        <v>-45</v>
      </c>
    </row>
    <row r="11275" spans="1:3" x14ac:dyDescent="0.25">
      <c r="A11275">
        <v>37</v>
      </c>
      <c r="B11275" t="str">
        <f>"9:06:24.656445"</f>
        <v>9:06:24.656445</v>
      </c>
      <c r="C11275">
        <v>-44</v>
      </c>
    </row>
    <row r="11276" spans="1:3" x14ac:dyDescent="0.25">
      <c r="A11276">
        <v>38</v>
      </c>
      <c r="B11276" t="str">
        <f>"9:06:24.657472"</f>
        <v>9:06:24.657472</v>
      </c>
      <c r="C11276">
        <v>-41</v>
      </c>
    </row>
    <row r="11277" spans="1:3" x14ac:dyDescent="0.25">
      <c r="A11277">
        <v>39</v>
      </c>
      <c r="B11277" t="str">
        <f>"9:06:24.658498"</f>
        <v>9:06:24.658498</v>
      </c>
      <c r="C11277">
        <v>-45</v>
      </c>
    </row>
    <row r="11278" spans="1:3" x14ac:dyDescent="0.25">
      <c r="A11278">
        <v>39</v>
      </c>
      <c r="B11278" t="str">
        <f>"9:06:24.659017"</f>
        <v>9:06:24.659017</v>
      </c>
      <c r="C11278">
        <v>-31</v>
      </c>
    </row>
    <row r="11279" spans="1:3" x14ac:dyDescent="0.25">
      <c r="A11279">
        <v>39</v>
      </c>
      <c r="B11279" t="str">
        <f>"9:06:24.659342"</f>
        <v>9:06:24.659342</v>
      </c>
      <c r="C11279">
        <v>-45</v>
      </c>
    </row>
    <row r="11280" spans="1:3" x14ac:dyDescent="0.25">
      <c r="A11280">
        <v>37</v>
      </c>
      <c r="B11280" t="str">
        <f>"9:06:25.009707"</f>
        <v>9:06:25.009707</v>
      </c>
      <c r="C11280">
        <v>-43</v>
      </c>
    </row>
    <row r="11281" spans="1:3" x14ac:dyDescent="0.25">
      <c r="A11281">
        <v>38</v>
      </c>
      <c r="B11281" t="str">
        <f>"9:06:25.010734"</f>
        <v>9:06:25.010734</v>
      </c>
      <c r="C11281">
        <v>-41</v>
      </c>
    </row>
    <row r="11282" spans="1:3" x14ac:dyDescent="0.25">
      <c r="A11282">
        <v>39</v>
      </c>
      <c r="B11282" t="str">
        <f>"9:06:25.011760"</f>
        <v>9:06:25.011760</v>
      </c>
      <c r="C11282">
        <v>-46</v>
      </c>
    </row>
    <row r="11283" spans="1:3" x14ac:dyDescent="0.25">
      <c r="A11283">
        <v>39</v>
      </c>
      <c r="B11283" t="str">
        <f>"9:06:25.012279"</f>
        <v>9:06:25.012279</v>
      </c>
      <c r="C11283">
        <v>-31</v>
      </c>
    </row>
    <row r="11284" spans="1:3" x14ac:dyDescent="0.25">
      <c r="A11284">
        <v>39</v>
      </c>
      <c r="B11284" t="str">
        <f>"9:06:25.012604"</f>
        <v>9:06:25.012604</v>
      </c>
      <c r="C11284">
        <v>-45</v>
      </c>
    </row>
    <row r="11285" spans="1:3" x14ac:dyDescent="0.25">
      <c r="A11285">
        <v>37</v>
      </c>
      <c r="B11285" t="str">
        <f>"9:06:25.367131"</f>
        <v>9:06:25.367131</v>
      </c>
      <c r="C11285">
        <v>-44</v>
      </c>
    </row>
    <row r="11286" spans="1:3" x14ac:dyDescent="0.25">
      <c r="A11286">
        <v>38</v>
      </c>
      <c r="B11286" t="str">
        <f>"9:06:25.368158"</f>
        <v>9:06:25.368158</v>
      </c>
      <c r="C11286">
        <v>-41</v>
      </c>
    </row>
    <row r="11287" spans="1:3" x14ac:dyDescent="0.25">
      <c r="A11287">
        <v>39</v>
      </c>
      <c r="B11287" t="str">
        <f>"9:06:25.369184"</f>
        <v>9:06:25.369184</v>
      </c>
      <c r="C11287">
        <v>-45</v>
      </c>
    </row>
    <row r="11288" spans="1:3" x14ac:dyDescent="0.25">
      <c r="A11288">
        <v>39</v>
      </c>
      <c r="B11288" t="str">
        <f>"9:06:25.369703"</f>
        <v>9:06:25.369703</v>
      </c>
      <c r="C11288">
        <v>-31</v>
      </c>
    </row>
    <row r="11289" spans="1:3" x14ac:dyDescent="0.25">
      <c r="A11289">
        <v>39</v>
      </c>
      <c r="B11289" t="str">
        <f>"9:06:25.370029"</f>
        <v>9:06:25.370029</v>
      </c>
      <c r="C11289">
        <v>-45</v>
      </c>
    </row>
    <row r="11290" spans="1:3" x14ac:dyDescent="0.25">
      <c r="A11290">
        <v>37</v>
      </c>
      <c r="B11290" t="str">
        <f>"9:06:25.726630"</f>
        <v>9:06:25.726630</v>
      </c>
      <c r="C11290">
        <v>-44</v>
      </c>
    </row>
    <row r="11291" spans="1:3" x14ac:dyDescent="0.25">
      <c r="A11291">
        <v>38</v>
      </c>
      <c r="B11291" t="str">
        <f>"9:06:25.727657"</f>
        <v>9:06:25.727657</v>
      </c>
      <c r="C11291">
        <v>-41</v>
      </c>
    </row>
    <row r="11292" spans="1:3" x14ac:dyDescent="0.25">
      <c r="A11292">
        <v>39</v>
      </c>
      <c r="B11292" t="str">
        <f>"9:06:25.728683"</f>
        <v>9:06:25.728683</v>
      </c>
      <c r="C11292">
        <v>-45</v>
      </c>
    </row>
    <row r="11293" spans="1:3" x14ac:dyDescent="0.25">
      <c r="A11293">
        <v>39</v>
      </c>
      <c r="B11293" t="str">
        <f>"9:06:25.729201"</f>
        <v>9:06:25.729201</v>
      </c>
      <c r="C11293">
        <v>-31</v>
      </c>
    </row>
    <row r="11294" spans="1:3" x14ac:dyDescent="0.25">
      <c r="A11294">
        <v>39</v>
      </c>
      <c r="B11294" t="str">
        <f>"9:06:25.729527"</f>
        <v>9:06:25.729527</v>
      </c>
      <c r="C11294">
        <v>-45</v>
      </c>
    </row>
    <row r="11295" spans="1:3" x14ac:dyDescent="0.25">
      <c r="A11295">
        <v>37</v>
      </c>
      <c r="B11295" t="str">
        <f>"9:06:26.083748"</f>
        <v>9:06:26.083748</v>
      </c>
      <c r="C11295">
        <v>-44</v>
      </c>
    </row>
    <row r="11296" spans="1:3" x14ac:dyDescent="0.25">
      <c r="A11296">
        <v>38</v>
      </c>
      <c r="B11296" t="str">
        <f>"9:06:26.084776"</f>
        <v>9:06:26.084776</v>
      </c>
      <c r="C11296">
        <v>-41</v>
      </c>
    </row>
    <row r="11297" spans="1:3" x14ac:dyDescent="0.25">
      <c r="A11297">
        <v>39</v>
      </c>
      <c r="B11297" t="str">
        <f>"9:06:26.085802"</f>
        <v>9:06:26.085802</v>
      </c>
      <c r="C11297">
        <v>-45</v>
      </c>
    </row>
    <row r="11298" spans="1:3" x14ac:dyDescent="0.25">
      <c r="A11298">
        <v>39</v>
      </c>
      <c r="B11298" t="str">
        <f>"9:06:26.086320"</f>
        <v>9:06:26.086320</v>
      </c>
      <c r="C11298">
        <v>-31</v>
      </c>
    </row>
    <row r="11299" spans="1:3" x14ac:dyDescent="0.25">
      <c r="A11299">
        <v>39</v>
      </c>
      <c r="B11299" t="str">
        <f>"9:06:26.086646"</f>
        <v>9:06:26.086646</v>
      </c>
      <c r="C11299">
        <v>-45</v>
      </c>
    </row>
    <row r="11300" spans="1:3" x14ac:dyDescent="0.25">
      <c r="A11300">
        <v>37</v>
      </c>
      <c r="B11300" t="str">
        <f>"9:06:26.439648"</f>
        <v>9:06:26.439648</v>
      </c>
      <c r="C11300">
        <v>-44</v>
      </c>
    </row>
    <row r="11301" spans="1:3" x14ac:dyDescent="0.25">
      <c r="A11301">
        <v>38</v>
      </c>
      <c r="B11301" t="str">
        <f>"9:06:26.440675"</f>
        <v>9:06:26.440675</v>
      </c>
      <c r="C11301">
        <v>-41</v>
      </c>
    </row>
    <row r="11302" spans="1:3" x14ac:dyDescent="0.25">
      <c r="A11302">
        <v>39</v>
      </c>
      <c r="B11302" t="str">
        <f>"9:06:26.441701"</f>
        <v>9:06:26.441701</v>
      </c>
      <c r="C11302">
        <v>-45</v>
      </c>
    </row>
    <row r="11303" spans="1:3" x14ac:dyDescent="0.25">
      <c r="A11303">
        <v>39</v>
      </c>
      <c r="B11303" t="str">
        <f>"9:06:26.442219"</f>
        <v>9:06:26.442219</v>
      </c>
      <c r="C11303">
        <v>-31</v>
      </c>
    </row>
    <row r="11304" spans="1:3" x14ac:dyDescent="0.25">
      <c r="A11304">
        <v>39</v>
      </c>
      <c r="B11304" t="str">
        <f>"9:06:26.442545"</f>
        <v>9:06:26.442545</v>
      </c>
      <c r="C11304">
        <v>-45</v>
      </c>
    </row>
    <row r="11305" spans="1:3" x14ac:dyDescent="0.25">
      <c r="A11305">
        <v>37</v>
      </c>
      <c r="B11305" t="str">
        <f>"9:06:26.792206"</f>
        <v>9:06:26.792206</v>
      </c>
      <c r="C11305">
        <v>-44</v>
      </c>
    </row>
    <row r="11306" spans="1:3" x14ac:dyDescent="0.25">
      <c r="A11306">
        <v>38</v>
      </c>
      <c r="B11306" t="str">
        <f>"9:06:26.793234"</f>
        <v>9:06:26.793234</v>
      </c>
      <c r="C11306">
        <v>-41</v>
      </c>
    </row>
    <row r="11307" spans="1:3" x14ac:dyDescent="0.25">
      <c r="A11307">
        <v>39</v>
      </c>
      <c r="B11307" t="str">
        <f>"9:06:26.794260"</f>
        <v>9:06:26.794260</v>
      </c>
      <c r="C11307">
        <v>-45</v>
      </c>
    </row>
    <row r="11308" spans="1:3" x14ac:dyDescent="0.25">
      <c r="A11308">
        <v>39</v>
      </c>
      <c r="B11308" t="str">
        <f>"9:06:26.794778"</f>
        <v>9:06:26.794778</v>
      </c>
      <c r="C11308">
        <v>-31</v>
      </c>
    </row>
    <row r="11309" spans="1:3" x14ac:dyDescent="0.25">
      <c r="A11309">
        <v>39</v>
      </c>
      <c r="B11309" t="str">
        <f>"9:06:26.795104"</f>
        <v>9:06:26.795104</v>
      </c>
      <c r="C11309">
        <v>-45</v>
      </c>
    </row>
    <row r="11310" spans="1:3" x14ac:dyDescent="0.25">
      <c r="A11310">
        <v>37</v>
      </c>
      <c r="B11310" t="str">
        <f>"9:06:27.148569"</f>
        <v>9:06:27.148569</v>
      </c>
      <c r="C11310">
        <v>-44</v>
      </c>
    </row>
    <row r="11311" spans="1:3" x14ac:dyDescent="0.25">
      <c r="A11311">
        <v>37</v>
      </c>
      <c r="B11311" t="str">
        <f>"9:06:27.149414"</f>
        <v>9:06:27.149414</v>
      </c>
      <c r="C11311">
        <v>-44</v>
      </c>
    </row>
    <row r="11312" spans="1:3" x14ac:dyDescent="0.25">
      <c r="A11312">
        <v>38</v>
      </c>
      <c r="B11312" t="str">
        <f>"9:06:27.150190"</f>
        <v>9:06:27.150190</v>
      </c>
      <c r="C11312">
        <v>-41</v>
      </c>
    </row>
    <row r="11313" spans="1:3" x14ac:dyDescent="0.25">
      <c r="A11313">
        <v>39</v>
      </c>
      <c r="B11313" t="str">
        <f>"9:06:27.151216"</f>
        <v>9:06:27.151216</v>
      </c>
      <c r="C11313">
        <v>-45</v>
      </c>
    </row>
    <row r="11314" spans="1:3" x14ac:dyDescent="0.25">
      <c r="A11314">
        <v>37</v>
      </c>
      <c r="B11314" t="str">
        <f>"9:06:27.500848"</f>
        <v>9:06:27.500848</v>
      </c>
      <c r="C11314">
        <v>-44</v>
      </c>
    </row>
    <row r="11315" spans="1:3" x14ac:dyDescent="0.25">
      <c r="A11315">
        <v>38</v>
      </c>
      <c r="B11315" t="str">
        <f>"9:06:27.501875"</f>
        <v>9:06:27.501875</v>
      </c>
      <c r="C11315">
        <v>-41</v>
      </c>
    </row>
    <row r="11316" spans="1:3" x14ac:dyDescent="0.25">
      <c r="A11316">
        <v>39</v>
      </c>
      <c r="B11316" t="str">
        <f>"9:06:27.502901"</f>
        <v>9:06:27.502901</v>
      </c>
      <c r="C11316">
        <v>-45</v>
      </c>
    </row>
    <row r="11317" spans="1:3" x14ac:dyDescent="0.25">
      <c r="A11317">
        <v>39</v>
      </c>
      <c r="B11317" t="str">
        <f>"9:06:27.503419"</f>
        <v>9:06:27.503419</v>
      </c>
      <c r="C11317">
        <v>-31</v>
      </c>
    </row>
    <row r="11318" spans="1:3" x14ac:dyDescent="0.25">
      <c r="A11318">
        <v>39</v>
      </c>
      <c r="B11318" t="str">
        <f>"9:06:27.503745"</f>
        <v>9:06:27.503745</v>
      </c>
      <c r="C11318">
        <v>-45</v>
      </c>
    </row>
    <row r="11319" spans="1:3" x14ac:dyDescent="0.25">
      <c r="A11319">
        <v>37</v>
      </c>
      <c r="B11319" t="str">
        <f>"9:06:27.856743"</f>
        <v>9:06:27.856743</v>
      </c>
      <c r="C11319">
        <v>-43</v>
      </c>
    </row>
    <row r="11320" spans="1:3" x14ac:dyDescent="0.25">
      <c r="A11320">
        <v>38</v>
      </c>
      <c r="B11320" t="str">
        <f>"9:06:27.857770"</f>
        <v>9:06:27.857770</v>
      </c>
      <c r="C11320">
        <v>-41</v>
      </c>
    </row>
    <row r="11321" spans="1:3" x14ac:dyDescent="0.25">
      <c r="A11321">
        <v>39</v>
      </c>
      <c r="B11321" t="str">
        <f>"9:06:27.858796"</f>
        <v>9:06:27.858796</v>
      </c>
      <c r="C11321">
        <v>-46</v>
      </c>
    </row>
    <row r="11322" spans="1:3" x14ac:dyDescent="0.25">
      <c r="A11322">
        <v>39</v>
      </c>
      <c r="B11322" t="str">
        <f>"9:06:27.859314"</f>
        <v>9:06:27.859314</v>
      </c>
      <c r="C11322">
        <v>-31</v>
      </c>
    </row>
    <row r="11323" spans="1:3" x14ac:dyDescent="0.25">
      <c r="A11323">
        <v>39</v>
      </c>
      <c r="B11323" t="str">
        <f>"9:06:27.859640"</f>
        <v>9:06:27.859640</v>
      </c>
      <c r="C11323">
        <v>-45</v>
      </c>
    </row>
    <row r="11324" spans="1:3" x14ac:dyDescent="0.25">
      <c r="A11324">
        <v>37</v>
      </c>
      <c r="B11324" t="str">
        <f>"9:06:28.215437"</f>
        <v>9:06:28.215437</v>
      </c>
      <c r="C11324">
        <v>-44</v>
      </c>
    </row>
    <row r="11325" spans="1:3" x14ac:dyDescent="0.25">
      <c r="A11325">
        <v>38</v>
      </c>
      <c r="B11325" t="str">
        <f>"9:06:28.216464"</f>
        <v>9:06:28.216464</v>
      </c>
      <c r="C11325">
        <v>-41</v>
      </c>
    </row>
    <row r="11326" spans="1:3" x14ac:dyDescent="0.25">
      <c r="A11326">
        <v>39</v>
      </c>
      <c r="B11326" t="str">
        <f>"9:06:28.217490"</f>
        <v>9:06:28.217490</v>
      </c>
      <c r="C11326">
        <v>-46</v>
      </c>
    </row>
    <row r="11327" spans="1:3" x14ac:dyDescent="0.25">
      <c r="A11327">
        <v>39</v>
      </c>
      <c r="B11327" t="str">
        <f>"9:06:28.218008"</f>
        <v>9:06:28.218008</v>
      </c>
      <c r="C11327">
        <v>-31</v>
      </c>
    </row>
    <row r="11328" spans="1:3" x14ac:dyDescent="0.25">
      <c r="A11328">
        <v>39</v>
      </c>
      <c r="B11328" t="str">
        <f>"9:06:28.218334"</f>
        <v>9:06:28.218334</v>
      </c>
      <c r="C11328">
        <v>-45</v>
      </c>
    </row>
    <row r="11329" spans="1:3" x14ac:dyDescent="0.25">
      <c r="A11329">
        <v>37</v>
      </c>
      <c r="B11329" t="str">
        <f>"9:06:28.571376"</f>
        <v>9:06:28.571376</v>
      </c>
      <c r="C11329">
        <v>-44</v>
      </c>
    </row>
    <row r="11330" spans="1:3" x14ac:dyDescent="0.25">
      <c r="A11330">
        <v>38</v>
      </c>
      <c r="B11330" t="str">
        <f>"9:06:28.572403"</f>
        <v>9:06:28.572403</v>
      </c>
      <c r="C11330">
        <v>-41</v>
      </c>
    </row>
    <row r="11331" spans="1:3" x14ac:dyDescent="0.25">
      <c r="A11331">
        <v>39</v>
      </c>
      <c r="B11331" t="str">
        <f>"9:06:28.573429"</f>
        <v>9:06:28.573429</v>
      </c>
      <c r="C11331">
        <v>-46</v>
      </c>
    </row>
    <row r="11332" spans="1:3" x14ac:dyDescent="0.25">
      <c r="A11332">
        <v>37</v>
      </c>
      <c r="B11332" t="str">
        <f>"9:06:28.925509"</f>
        <v>9:06:28.925509</v>
      </c>
      <c r="C11332">
        <v>-44</v>
      </c>
    </row>
    <row r="11333" spans="1:3" x14ac:dyDescent="0.25">
      <c r="A11333">
        <v>38</v>
      </c>
      <c r="B11333" t="str">
        <f>"9:06:28.926536"</f>
        <v>9:06:28.926536</v>
      </c>
      <c r="C11333">
        <v>-41</v>
      </c>
    </row>
    <row r="11334" spans="1:3" x14ac:dyDescent="0.25">
      <c r="A11334">
        <v>39</v>
      </c>
      <c r="B11334" t="str">
        <f>"9:06:28.927563"</f>
        <v>9:06:28.927563</v>
      </c>
      <c r="C11334">
        <v>-45</v>
      </c>
    </row>
    <row r="11335" spans="1:3" x14ac:dyDescent="0.25">
      <c r="A11335">
        <v>39</v>
      </c>
      <c r="B11335" t="str">
        <f>"9:06:28.928081"</f>
        <v>9:06:28.928081</v>
      </c>
      <c r="C11335">
        <v>-31</v>
      </c>
    </row>
    <row r="11336" spans="1:3" x14ac:dyDescent="0.25">
      <c r="A11336">
        <v>39</v>
      </c>
      <c r="B11336" t="str">
        <f>"9:06:28.928407"</f>
        <v>9:06:28.928407</v>
      </c>
      <c r="C11336">
        <v>-45</v>
      </c>
    </row>
    <row r="11337" spans="1:3" x14ac:dyDescent="0.25">
      <c r="A11337">
        <v>37</v>
      </c>
      <c r="B11337" t="str">
        <f>"9:06:29.276738"</f>
        <v>9:06:29.276738</v>
      </c>
      <c r="C11337">
        <v>-44</v>
      </c>
    </row>
    <row r="11338" spans="1:3" x14ac:dyDescent="0.25">
      <c r="A11338">
        <v>38</v>
      </c>
      <c r="B11338" t="str">
        <f>"9:06:29.277766"</f>
        <v>9:06:29.277766</v>
      </c>
      <c r="C11338">
        <v>-41</v>
      </c>
    </row>
    <row r="11339" spans="1:3" x14ac:dyDescent="0.25">
      <c r="A11339">
        <v>39</v>
      </c>
      <c r="B11339" t="str">
        <f>"9:06:29.278792"</f>
        <v>9:06:29.278792</v>
      </c>
      <c r="C11339">
        <v>-45</v>
      </c>
    </row>
    <row r="11340" spans="1:3" x14ac:dyDescent="0.25">
      <c r="A11340">
        <v>39</v>
      </c>
      <c r="B11340" t="str">
        <f>"9:06:29.279310"</f>
        <v>9:06:29.279310</v>
      </c>
      <c r="C11340">
        <v>-31</v>
      </c>
    </row>
    <row r="11341" spans="1:3" x14ac:dyDescent="0.25">
      <c r="A11341">
        <v>39</v>
      </c>
      <c r="B11341" t="str">
        <f>"9:06:29.279636"</f>
        <v>9:06:29.279636</v>
      </c>
      <c r="C11341">
        <v>-45</v>
      </c>
    </row>
    <row r="11342" spans="1:3" x14ac:dyDescent="0.25">
      <c r="A11342">
        <v>37</v>
      </c>
      <c r="B11342" t="str">
        <f>"9:06:29.628575"</f>
        <v>9:06:29.628575</v>
      </c>
      <c r="C11342">
        <v>-44</v>
      </c>
    </row>
    <row r="11343" spans="1:3" x14ac:dyDescent="0.25">
      <c r="A11343">
        <v>37</v>
      </c>
      <c r="B11343" t="str">
        <f>"9:06:29.629094"</f>
        <v>9:06:29.629094</v>
      </c>
      <c r="C11343">
        <v>-40</v>
      </c>
    </row>
    <row r="11344" spans="1:3" x14ac:dyDescent="0.25">
      <c r="A11344">
        <v>37</v>
      </c>
      <c r="B11344" t="str">
        <f>"9:06:29.629420"</f>
        <v>9:06:29.629420</v>
      </c>
      <c r="C11344">
        <v>-44</v>
      </c>
    </row>
    <row r="11345" spans="1:3" x14ac:dyDescent="0.25">
      <c r="A11345">
        <v>38</v>
      </c>
      <c r="B11345" t="str">
        <f>"9:06:29.630196"</f>
        <v>9:06:29.630196</v>
      </c>
      <c r="C11345">
        <v>-41</v>
      </c>
    </row>
    <row r="11346" spans="1:3" x14ac:dyDescent="0.25">
      <c r="A11346">
        <v>39</v>
      </c>
      <c r="B11346" t="str">
        <f>"9:06:29.631222"</f>
        <v>9:06:29.631222</v>
      </c>
      <c r="C11346">
        <v>-45</v>
      </c>
    </row>
    <row r="11347" spans="1:3" x14ac:dyDescent="0.25">
      <c r="A11347">
        <v>37</v>
      </c>
      <c r="B11347" t="str">
        <f>"9:06:29.986783"</f>
        <v>9:06:29.986783</v>
      </c>
      <c r="C11347">
        <v>-44</v>
      </c>
    </row>
    <row r="11348" spans="1:3" x14ac:dyDescent="0.25">
      <c r="A11348">
        <v>37</v>
      </c>
      <c r="B11348" t="str">
        <f>"9:06:29.987302"</f>
        <v>9:06:29.987302</v>
      </c>
      <c r="C11348">
        <v>-40</v>
      </c>
    </row>
    <row r="11349" spans="1:3" x14ac:dyDescent="0.25">
      <c r="A11349">
        <v>37</v>
      </c>
      <c r="B11349" t="str">
        <f>"9:06:29.987628"</f>
        <v>9:06:29.987628</v>
      </c>
      <c r="C11349">
        <v>-44</v>
      </c>
    </row>
    <row r="11350" spans="1:3" x14ac:dyDescent="0.25">
      <c r="A11350">
        <v>38</v>
      </c>
      <c r="B11350" t="str">
        <f>"9:06:29.988404"</f>
        <v>9:06:29.988404</v>
      </c>
      <c r="C11350">
        <v>-41</v>
      </c>
    </row>
    <row r="11351" spans="1:3" x14ac:dyDescent="0.25">
      <c r="A11351">
        <v>39</v>
      </c>
      <c r="B11351" t="str">
        <f>"9:06:29.989430"</f>
        <v>9:06:29.989430</v>
      </c>
      <c r="C11351">
        <v>-45</v>
      </c>
    </row>
    <row r="11352" spans="1:3" x14ac:dyDescent="0.25">
      <c r="A11352">
        <v>37</v>
      </c>
      <c r="B11352" t="str">
        <f>"9:06:30.346517"</f>
        <v>9:06:30.346517</v>
      </c>
      <c r="C11352">
        <v>-44</v>
      </c>
    </row>
    <row r="11353" spans="1:3" x14ac:dyDescent="0.25">
      <c r="A11353">
        <v>37</v>
      </c>
      <c r="B11353" t="str">
        <f>"9:06:30.347035"</f>
        <v>9:06:30.347035</v>
      </c>
      <c r="C11353">
        <v>-40</v>
      </c>
    </row>
    <row r="11354" spans="1:3" x14ac:dyDescent="0.25">
      <c r="A11354">
        <v>37</v>
      </c>
      <c r="B11354" t="str">
        <f>"9:06:30.347361"</f>
        <v>9:06:30.347361</v>
      </c>
      <c r="C11354">
        <v>-44</v>
      </c>
    </row>
    <row r="11355" spans="1:3" x14ac:dyDescent="0.25">
      <c r="A11355">
        <v>38</v>
      </c>
      <c r="B11355" t="str">
        <f>"9:06:30.348137"</f>
        <v>9:06:30.348137</v>
      </c>
      <c r="C11355">
        <v>-41</v>
      </c>
    </row>
    <row r="11356" spans="1:3" x14ac:dyDescent="0.25">
      <c r="A11356">
        <v>39</v>
      </c>
      <c r="B11356" t="str">
        <f>"9:06:30.349163"</f>
        <v>9:06:30.349163</v>
      </c>
      <c r="C11356">
        <v>-45</v>
      </c>
    </row>
    <row r="11357" spans="1:3" x14ac:dyDescent="0.25">
      <c r="A11357">
        <v>39</v>
      </c>
      <c r="B11357" t="str">
        <f>"9:06:30.349683"</f>
        <v>9:06:30.349683</v>
      </c>
      <c r="C11357">
        <v>-87</v>
      </c>
    </row>
    <row r="11358" spans="1:3" x14ac:dyDescent="0.25">
      <c r="A11358">
        <v>39</v>
      </c>
      <c r="B11358" t="str">
        <f>"9:06:30.350009"</f>
        <v>9:06:30.350009</v>
      </c>
      <c r="C11358">
        <v>-45</v>
      </c>
    </row>
    <row r="11359" spans="1:3" x14ac:dyDescent="0.25">
      <c r="A11359">
        <v>37</v>
      </c>
      <c r="B11359" t="str">
        <f>"9:06:30.705453"</f>
        <v>9:06:30.705453</v>
      </c>
      <c r="C11359">
        <v>-44</v>
      </c>
    </row>
    <row r="11360" spans="1:3" x14ac:dyDescent="0.25">
      <c r="A11360">
        <v>37</v>
      </c>
      <c r="B11360" t="str">
        <f>"9:06:30.705972"</f>
        <v>9:06:30.705972</v>
      </c>
      <c r="C11360">
        <v>-40</v>
      </c>
    </row>
    <row r="11361" spans="1:3" x14ac:dyDescent="0.25">
      <c r="A11361">
        <v>37</v>
      </c>
      <c r="B11361" t="str">
        <f>"9:06:30.706298"</f>
        <v>9:06:30.706298</v>
      </c>
      <c r="C11361">
        <v>-44</v>
      </c>
    </row>
    <row r="11362" spans="1:3" x14ac:dyDescent="0.25">
      <c r="A11362">
        <v>38</v>
      </c>
      <c r="B11362" t="str">
        <f>"9:06:30.707074"</f>
        <v>9:06:30.707074</v>
      </c>
      <c r="C11362">
        <v>-41</v>
      </c>
    </row>
    <row r="11363" spans="1:3" x14ac:dyDescent="0.25">
      <c r="A11363">
        <v>39</v>
      </c>
      <c r="B11363" t="str">
        <f>"9:06:30.708100"</f>
        <v>9:06:30.708100</v>
      </c>
      <c r="C11363">
        <v>-46</v>
      </c>
    </row>
    <row r="11364" spans="1:3" x14ac:dyDescent="0.25">
      <c r="A11364">
        <v>37</v>
      </c>
      <c r="B11364" t="str">
        <f>"9:06:31.055748"</f>
        <v>9:06:31.055748</v>
      </c>
      <c r="C11364">
        <v>-44</v>
      </c>
    </row>
    <row r="11365" spans="1:3" x14ac:dyDescent="0.25">
      <c r="A11365">
        <v>37</v>
      </c>
      <c r="B11365" t="str">
        <f>"9:06:31.056266"</f>
        <v>9:06:31.056266</v>
      </c>
      <c r="C11365">
        <v>-41</v>
      </c>
    </row>
    <row r="11366" spans="1:3" x14ac:dyDescent="0.25">
      <c r="A11366">
        <v>37</v>
      </c>
      <c r="B11366" t="str">
        <f>"9:06:31.056592"</f>
        <v>9:06:31.056592</v>
      </c>
      <c r="C11366">
        <v>-44</v>
      </c>
    </row>
    <row r="11367" spans="1:3" x14ac:dyDescent="0.25">
      <c r="A11367">
        <v>38</v>
      </c>
      <c r="B11367" t="str">
        <f>"9:06:31.057368"</f>
        <v>9:06:31.057368</v>
      </c>
      <c r="C11367">
        <v>-41</v>
      </c>
    </row>
    <row r="11368" spans="1:3" x14ac:dyDescent="0.25">
      <c r="A11368">
        <v>39</v>
      </c>
      <c r="B11368" t="str">
        <f>"9:06:31.058394"</f>
        <v>9:06:31.058394</v>
      </c>
      <c r="C11368">
        <v>-46</v>
      </c>
    </row>
    <row r="11369" spans="1:3" x14ac:dyDescent="0.25">
      <c r="A11369">
        <v>37</v>
      </c>
      <c r="B11369" t="str">
        <f>"9:06:31.408523"</f>
        <v>9:06:31.408523</v>
      </c>
      <c r="C11369">
        <v>-44</v>
      </c>
    </row>
    <row r="11370" spans="1:3" x14ac:dyDescent="0.25">
      <c r="A11370">
        <v>37</v>
      </c>
      <c r="B11370" t="str">
        <f>"9:06:31.409042"</f>
        <v>9:06:31.409042</v>
      </c>
      <c r="C11370">
        <v>-41</v>
      </c>
    </row>
    <row r="11371" spans="1:3" x14ac:dyDescent="0.25">
      <c r="A11371">
        <v>37</v>
      </c>
      <c r="B11371" t="str">
        <f>"9:06:31.409367"</f>
        <v>9:06:31.409367</v>
      </c>
      <c r="C11371">
        <v>-44</v>
      </c>
    </row>
    <row r="11372" spans="1:3" x14ac:dyDescent="0.25">
      <c r="A11372">
        <v>38</v>
      </c>
      <c r="B11372" t="str">
        <f>"9:06:31.410144"</f>
        <v>9:06:31.410144</v>
      </c>
      <c r="C11372">
        <v>-41</v>
      </c>
    </row>
    <row r="11373" spans="1:3" x14ac:dyDescent="0.25">
      <c r="A11373">
        <v>39</v>
      </c>
      <c r="B11373" t="str">
        <f>"9:06:31.411170"</f>
        <v>9:06:31.411170</v>
      </c>
      <c r="C11373">
        <v>-46</v>
      </c>
    </row>
    <row r="11374" spans="1:3" x14ac:dyDescent="0.25">
      <c r="A11374">
        <v>37</v>
      </c>
      <c r="B11374" t="str">
        <f>"9:06:31.766243"</f>
        <v>9:06:31.766243</v>
      </c>
      <c r="C11374">
        <v>-44</v>
      </c>
    </row>
    <row r="11375" spans="1:3" x14ac:dyDescent="0.25">
      <c r="A11375">
        <v>37</v>
      </c>
      <c r="B11375" t="str">
        <f>"9:06:31.766761"</f>
        <v>9:06:31.766761</v>
      </c>
      <c r="C11375">
        <v>-41</v>
      </c>
    </row>
    <row r="11376" spans="1:3" x14ac:dyDescent="0.25">
      <c r="A11376">
        <v>37</v>
      </c>
      <c r="B11376" t="str">
        <f>"9:06:31.767087"</f>
        <v>9:06:31.767087</v>
      </c>
      <c r="C11376">
        <v>-44</v>
      </c>
    </row>
    <row r="11377" spans="1:3" x14ac:dyDescent="0.25">
      <c r="A11377">
        <v>38</v>
      </c>
      <c r="B11377" t="str">
        <f>"9:06:31.767863"</f>
        <v>9:06:31.767863</v>
      </c>
      <c r="C11377">
        <v>-41</v>
      </c>
    </row>
    <row r="11378" spans="1:3" x14ac:dyDescent="0.25">
      <c r="A11378">
        <v>39</v>
      </c>
      <c r="B11378" t="str">
        <f>"9:06:31.768889"</f>
        <v>9:06:31.768889</v>
      </c>
      <c r="C11378">
        <v>-46</v>
      </c>
    </row>
    <row r="11379" spans="1:3" x14ac:dyDescent="0.25">
      <c r="A11379">
        <v>37</v>
      </c>
      <c r="B11379" t="str">
        <f>"9:06:32.125170"</f>
        <v>9:06:32.125170</v>
      </c>
      <c r="C11379">
        <v>-44</v>
      </c>
    </row>
    <row r="11380" spans="1:3" x14ac:dyDescent="0.25">
      <c r="A11380">
        <v>37</v>
      </c>
      <c r="B11380" t="str">
        <f>"9:06:32.125689"</f>
        <v>9:06:32.125689</v>
      </c>
      <c r="C11380">
        <v>-41</v>
      </c>
    </row>
    <row r="11381" spans="1:3" x14ac:dyDescent="0.25">
      <c r="A11381">
        <v>37</v>
      </c>
      <c r="B11381" t="str">
        <f>"9:06:32.126015"</f>
        <v>9:06:32.126015</v>
      </c>
      <c r="C11381">
        <v>-44</v>
      </c>
    </row>
    <row r="11382" spans="1:3" x14ac:dyDescent="0.25">
      <c r="A11382">
        <v>38</v>
      </c>
      <c r="B11382" t="str">
        <f>"9:06:32.126792"</f>
        <v>9:06:32.126792</v>
      </c>
      <c r="C11382">
        <v>-41</v>
      </c>
    </row>
    <row r="11383" spans="1:3" x14ac:dyDescent="0.25">
      <c r="A11383">
        <v>39</v>
      </c>
      <c r="B11383" t="str">
        <f>"9:06:32.127818"</f>
        <v>9:06:32.127818</v>
      </c>
      <c r="C11383">
        <v>-46</v>
      </c>
    </row>
    <row r="11384" spans="1:3" x14ac:dyDescent="0.25">
      <c r="A11384">
        <v>37</v>
      </c>
      <c r="B11384" t="str">
        <f>"9:06:32.476663"</f>
        <v>9:06:32.476663</v>
      </c>
      <c r="C11384">
        <v>-44</v>
      </c>
    </row>
    <row r="11385" spans="1:3" x14ac:dyDescent="0.25">
      <c r="A11385">
        <v>37</v>
      </c>
      <c r="B11385" t="str">
        <f>"9:06:32.477181"</f>
        <v>9:06:32.477181</v>
      </c>
      <c r="C11385">
        <v>-39</v>
      </c>
    </row>
    <row r="11386" spans="1:3" x14ac:dyDescent="0.25">
      <c r="A11386">
        <v>37</v>
      </c>
      <c r="B11386" t="str">
        <f>"9:06:32.477507"</f>
        <v>9:06:32.477507</v>
      </c>
      <c r="C11386">
        <v>-44</v>
      </c>
    </row>
    <row r="11387" spans="1:3" x14ac:dyDescent="0.25">
      <c r="A11387">
        <v>38</v>
      </c>
      <c r="B11387" t="str">
        <f>"9:06:32.478283"</f>
        <v>9:06:32.478283</v>
      </c>
      <c r="C11387">
        <v>-41</v>
      </c>
    </row>
    <row r="11388" spans="1:3" x14ac:dyDescent="0.25">
      <c r="A11388">
        <v>39</v>
      </c>
      <c r="B11388" t="str">
        <f>"9:06:32.479309"</f>
        <v>9:06:32.479309</v>
      </c>
      <c r="C11388">
        <v>-46</v>
      </c>
    </row>
    <row r="11389" spans="1:3" x14ac:dyDescent="0.25">
      <c r="A11389">
        <v>37</v>
      </c>
      <c r="B11389" t="str">
        <f>"9:06:32.830779"</f>
        <v>9:06:32.830779</v>
      </c>
      <c r="C11389">
        <v>-44</v>
      </c>
    </row>
    <row r="11390" spans="1:3" x14ac:dyDescent="0.25">
      <c r="A11390">
        <v>37</v>
      </c>
      <c r="B11390" t="str">
        <f>"9:06:32.831297"</f>
        <v>9:06:32.831297</v>
      </c>
      <c r="C11390">
        <v>-39</v>
      </c>
    </row>
    <row r="11391" spans="1:3" x14ac:dyDescent="0.25">
      <c r="A11391">
        <v>37</v>
      </c>
      <c r="B11391" t="str">
        <f>"9:06:32.831624"</f>
        <v>9:06:32.831624</v>
      </c>
      <c r="C11391">
        <v>-44</v>
      </c>
    </row>
    <row r="11392" spans="1:3" x14ac:dyDescent="0.25">
      <c r="A11392">
        <v>38</v>
      </c>
      <c r="B11392" t="str">
        <f>"9:06:32.832400"</f>
        <v>9:06:32.832400</v>
      </c>
      <c r="C11392">
        <v>-41</v>
      </c>
    </row>
    <row r="11393" spans="1:3" x14ac:dyDescent="0.25">
      <c r="A11393">
        <v>39</v>
      </c>
      <c r="B11393" t="str">
        <f>"9:06:32.833426"</f>
        <v>9:06:32.833426</v>
      </c>
      <c r="C11393">
        <v>-46</v>
      </c>
    </row>
    <row r="11394" spans="1:3" x14ac:dyDescent="0.25">
      <c r="A11394">
        <v>37</v>
      </c>
      <c r="B11394" t="str">
        <f>"9:06:33.183374"</f>
        <v>9:06:33.183374</v>
      </c>
      <c r="C11394">
        <v>-44</v>
      </c>
    </row>
    <row r="11395" spans="1:3" x14ac:dyDescent="0.25">
      <c r="A11395">
        <v>37</v>
      </c>
      <c r="B11395" t="str">
        <f>"9:06:33.183892"</f>
        <v>9:06:33.183892</v>
      </c>
      <c r="C11395">
        <v>-37</v>
      </c>
    </row>
    <row r="11396" spans="1:3" x14ac:dyDescent="0.25">
      <c r="A11396">
        <v>37</v>
      </c>
      <c r="B11396" t="str">
        <f>"9:06:33.184218"</f>
        <v>9:06:33.184218</v>
      </c>
      <c r="C11396">
        <v>-44</v>
      </c>
    </row>
    <row r="11397" spans="1:3" x14ac:dyDescent="0.25">
      <c r="A11397">
        <v>38</v>
      </c>
      <c r="B11397" t="str">
        <f>"9:06:33.184994"</f>
        <v>9:06:33.184994</v>
      </c>
      <c r="C11397">
        <v>-41</v>
      </c>
    </row>
    <row r="11398" spans="1:3" x14ac:dyDescent="0.25">
      <c r="A11398">
        <v>39</v>
      </c>
      <c r="B11398" t="str">
        <f>"9:06:33.186020"</f>
        <v>9:06:33.186020</v>
      </c>
      <c r="C11398">
        <v>-46</v>
      </c>
    </row>
    <row r="11399" spans="1:3" x14ac:dyDescent="0.25">
      <c r="A11399">
        <v>37</v>
      </c>
      <c r="B11399" t="str">
        <f>"9:06:33.541361"</f>
        <v>9:06:33.541361</v>
      </c>
      <c r="C11399">
        <v>-44</v>
      </c>
    </row>
    <row r="11400" spans="1:3" x14ac:dyDescent="0.25">
      <c r="A11400">
        <v>37</v>
      </c>
      <c r="B11400" t="str">
        <f>"9:06:33.541879"</f>
        <v>9:06:33.541879</v>
      </c>
      <c r="C11400">
        <v>-37</v>
      </c>
    </row>
    <row r="11401" spans="1:3" x14ac:dyDescent="0.25">
      <c r="A11401">
        <v>37</v>
      </c>
      <c r="B11401" t="str">
        <f>"9:06:33.542205"</f>
        <v>9:06:33.542205</v>
      </c>
      <c r="C11401">
        <v>-44</v>
      </c>
    </row>
    <row r="11402" spans="1:3" x14ac:dyDescent="0.25">
      <c r="A11402">
        <v>38</v>
      </c>
      <c r="B11402" t="str">
        <f>"9:06:33.542981"</f>
        <v>9:06:33.542981</v>
      </c>
      <c r="C11402">
        <v>-41</v>
      </c>
    </row>
    <row r="11403" spans="1:3" x14ac:dyDescent="0.25">
      <c r="A11403">
        <v>39</v>
      </c>
      <c r="B11403" t="str">
        <f>"9:06:33.544007"</f>
        <v>9:06:33.544007</v>
      </c>
      <c r="C11403">
        <v>-46</v>
      </c>
    </row>
    <row r="11404" spans="1:3" x14ac:dyDescent="0.25">
      <c r="A11404">
        <v>37</v>
      </c>
      <c r="B11404" t="str">
        <f>"9:06:33.899017"</f>
        <v>9:06:33.899017</v>
      </c>
      <c r="C11404">
        <v>-44</v>
      </c>
    </row>
    <row r="11405" spans="1:3" x14ac:dyDescent="0.25">
      <c r="A11405">
        <v>37</v>
      </c>
      <c r="B11405" t="str">
        <f>"9:06:33.899535"</f>
        <v>9:06:33.899535</v>
      </c>
      <c r="C11405">
        <v>-37</v>
      </c>
    </row>
    <row r="11406" spans="1:3" x14ac:dyDescent="0.25">
      <c r="A11406">
        <v>37</v>
      </c>
      <c r="B11406" t="str">
        <f>"9:06:33.899861"</f>
        <v>9:06:33.899861</v>
      </c>
      <c r="C11406">
        <v>-44</v>
      </c>
    </row>
    <row r="11407" spans="1:3" x14ac:dyDescent="0.25">
      <c r="A11407">
        <v>38</v>
      </c>
      <c r="B11407" t="str">
        <f>"9:06:33.900637"</f>
        <v>9:06:33.900637</v>
      </c>
      <c r="C11407">
        <v>-41</v>
      </c>
    </row>
    <row r="11408" spans="1:3" x14ac:dyDescent="0.25">
      <c r="A11408">
        <v>39</v>
      </c>
      <c r="B11408" t="str">
        <f>"9:06:33.901663"</f>
        <v>9:06:33.901663</v>
      </c>
      <c r="C11408">
        <v>-46</v>
      </c>
    </row>
    <row r="11409" spans="1:3" x14ac:dyDescent="0.25">
      <c r="A11409">
        <v>37</v>
      </c>
      <c r="B11409" t="str">
        <f>"9:06:34.256710"</f>
        <v>9:06:34.256710</v>
      </c>
      <c r="C11409">
        <v>-44</v>
      </c>
    </row>
    <row r="11410" spans="1:3" x14ac:dyDescent="0.25">
      <c r="A11410">
        <v>37</v>
      </c>
      <c r="B11410" t="str">
        <f>"9:06:34.257229"</f>
        <v>9:06:34.257229</v>
      </c>
      <c r="C11410">
        <v>-37</v>
      </c>
    </row>
    <row r="11411" spans="1:3" x14ac:dyDescent="0.25">
      <c r="A11411">
        <v>37</v>
      </c>
      <c r="B11411" t="str">
        <f>"9:06:34.257555"</f>
        <v>9:06:34.257555</v>
      </c>
      <c r="C11411">
        <v>-44</v>
      </c>
    </row>
    <row r="11412" spans="1:3" x14ac:dyDescent="0.25">
      <c r="A11412">
        <v>38</v>
      </c>
      <c r="B11412" t="str">
        <f>"9:06:34.258331"</f>
        <v>9:06:34.258331</v>
      </c>
      <c r="C11412">
        <v>-41</v>
      </c>
    </row>
    <row r="11413" spans="1:3" x14ac:dyDescent="0.25">
      <c r="A11413">
        <v>39</v>
      </c>
      <c r="B11413" t="str">
        <f>"9:06:34.259357"</f>
        <v>9:06:34.259357</v>
      </c>
      <c r="C11413">
        <v>-46</v>
      </c>
    </row>
    <row r="11414" spans="1:3" x14ac:dyDescent="0.25">
      <c r="A11414">
        <v>37</v>
      </c>
      <c r="B11414" t="str">
        <f>"9:06:34.609501"</f>
        <v>9:06:34.609501</v>
      </c>
      <c r="C11414">
        <v>-44</v>
      </c>
    </row>
    <row r="11415" spans="1:3" x14ac:dyDescent="0.25">
      <c r="A11415">
        <v>38</v>
      </c>
      <c r="B11415" t="str">
        <f>"9:06:34.610528"</f>
        <v>9:06:34.610528</v>
      </c>
      <c r="C11415">
        <v>-41</v>
      </c>
    </row>
    <row r="11416" spans="1:3" x14ac:dyDescent="0.25">
      <c r="A11416">
        <v>38</v>
      </c>
      <c r="B11416" t="str">
        <f>"9:06:34.611047"</f>
        <v>9:06:34.611047</v>
      </c>
      <c r="C11416">
        <v>-32</v>
      </c>
    </row>
    <row r="11417" spans="1:3" x14ac:dyDescent="0.25">
      <c r="A11417">
        <v>38</v>
      </c>
      <c r="B11417" t="str">
        <f>"9:06:34.611373"</f>
        <v>9:06:34.611373</v>
      </c>
      <c r="C11417">
        <v>-41</v>
      </c>
    </row>
    <row r="11418" spans="1:3" x14ac:dyDescent="0.25">
      <c r="A11418">
        <v>39</v>
      </c>
      <c r="B11418" t="str">
        <f>"9:06:34.612149"</f>
        <v>9:06:34.612149</v>
      </c>
      <c r="C11418">
        <v>-46</v>
      </c>
    </row>
    <row r="11419" spans="1:3" x14ac:dyDescent="0.25">
      <c r="A11419">
        <v>37</v>
      </c>
      <c r="B11419" t="str">
        <f>"9:06:34.965076"</f>
        <v>9:06:34.965076</v>
      </c>
      <c r="C11419">
        <v>-44</v>
      </c>
    </row>
    <row r="11420" spans="1:3" x14ac:dyDescent="0.25">
      <c r="A11420">
        <v>38</v>
      </c>
      <c r="B11420" t="str">
        <f>"9:06:34.966103"</f>
        <v>9:06:34.966103</v>
      </c>
      <c r="C11420">
        <v>-41</v>
      </c>
    </row>
    <row r="11421" spans="1:3" x14ac:dyDescent="0.25">
      <c r="A11421">
        <v>39</v>
      </c>
      <c r="B11421" t="str">
        <f>"9:06:34.967129"</f>
        <v>9:06:34.967129</v>
      </c>
      <c r="C11421">
        <v>-46</v>
      </c>
    </row>
    <row r="11422" spans="1:3" x14ac:dyDescent="0.25">
      <c r="A11422">
        <v>37</v>
      </c>
      <c r="B11422" t="str">
        <f>"9:06:35.318331"</f>
        <v>9:06:35.318331</v>
      </c>
      <c r="C11422">
        <v>-44</v>
      </c>
    </row>
    <row r="11423" spans="1:3" x14ac:dyDescent="0.25">
      <c r="A11423">
        <v>38</v>
      </c>
      <c r="B11423" t="str">
        <f>"9:06:35.319358"</f>
        <v>9:06:35.319358</v>
      </c>
      <c r="C11423">
        <v>-41</v>
      </c>
    </row>
    <row r="11424" spans="1:3" x14ac:dyDescent="0.25">
      <c r="A11424">
        <v>39</v>
      </c>
      <c r="B11424" t="str">
        <f>"9:06:35.320384"</f>
        <v>9:06:35.320384</v>
      </c>
      <c r="C11424">
        <v>-46</v>
      </c>
    </row>
    <row r="11425" spans="1:3" x14ac:dyDescent="0.25">
      <c r="A11425">
        <v>37</v>
      </c>
      <c r="B11425" t="str">
        <f>"9:06:35.669344"</f>
        <v>9:06:35.669344</v>
      </c>
      <c r="C11425">
        <v>-44</v>
      </c>
    </row>
    <row r="11426" spans="1:3" x14ac:dyDescent="0.25">
      <c r="A11426">
        <v>38</v>
      </c>
      <c r="B11426" t="str">
        <f>"9:06:35.670371"</f>
        <v>9:06:35.670371</v>
      </c>
      <c r="C11426">
        <v>-41</v>
      </c>
    </row>
    <row r="11427" spans="1:3" x14ac:dyDescent="0.25">
      <c r="A11427">
        <v>38</v>
      </c>
      <c r="B11427" t="str">
        <f>"9:06:35.670890"</f>
        <v>9:06:35.670890</v>
      </c>
      <c r="C11427">
        <v>-32</v>
      </c>
    </row>
    <row r="11428" spans="1:3" x14ac:dyDescent="0.25">
      <c r="A11428">
        <v>38</v>
      </c>
      <c r="B11428" t="str">
        <f>"9:06:35.671215"</f>
        <v>9:06:35.671215</v>
      </c>
      <c r="C11428">
        <v>-41</v>
      </c>
    </row>
    <row r="11429" spans="1:3" x14ac:dyDescent="0.25">
      <c r="A11429">
        <v>39</v>
      </c>
      <c r="B11429" t="str">
        <f>"9:06:35.671991"</f>
        <v>9:06:35.671991</v>
      </c>
      <c r="C11429">
        <v>-46</v>
      </c>
    </row>
    <row r="11430" spans="1:3" x14ac:dyDescent="0.25">
      <c r="A11430">
        <v>37</v>
      </c>
      <c r="B11430" t="str">
        <f>"9:06:36.023126"</f>
        <v>9:06:36.023126</v>
      </c>
      <c r="C11430">
        <v>-44</v>
      </c>
    </row>
    <row r="11431" spans="1:3" x14ac:dyDescent="0.25">
      <c r="A11431">
        <v>38</v>
      </c>
      <c r="B11431" t="str">
        <f>"9:06:36.024153"</f>
        <v>9:06:36.024153</v>
      </c>
      <c r="C11431">
        <v>-41</v>
      </c>
    </row>
    <row r="11432" spans="1:3" x14ac:dyDescent="0.25">
      <c r="A11432">
        <v>38</v>
      </c>
      <c r="B11432" t="str">
        <f>"9:06:36.024672"</f>
        <v>9:06:36.024672</v>
      </c>
      <c r="C11432">
        <v>-32</v>
      </c>
    </row>
    <row r="11433" spans="1:3" x14ac:dyDescent="0.25">
      <c r="A11433">
        <v>38</v>
      </c>
      <c r="B11433" t="str">
        <f>"9:06:36.024997"</f>
        <v>9:06:36.024997</v>
      </c>
      <c r="C11433">
        <v>-41</v>
      </c>
    </row>
    <row r="11434" spans="1:3" x14ac:dyDescent="0.25">
      <c r="A11434">
        <v>39</v>
      </c>
      <c r="B11434" t="str">
        <f>"9:06:36.025773"</f>
        <v>9:06:36.025773</v>
      </c>
      <c r="C11434">
        <v>-46</v>
      </c>
    </row>
    <row r="11435" spans="1:3" x14ac:dyDescent="0.25">
      <c r="A11435">
        <v>37</v>
      </c>
      <c r="B11435" t="str">
        <f>"9:06:36.378463"</f>
        <v>9:06:36.378463</v>
      </c>
      <c r="C11435">
        <v>-44</v>
      </c>
    </row>
    <row r="11436" spans="1:3" x14ac:dyDescent="0.25">
      <c r="A11436">
        <v>38</v>
      </c>
      <c r="B11436" t="str">
        <f>"9:06:36.379491"</f>
        <v>9:06:36.379491</v>
      </c>
      <c r="C11436">
        <v>-41</v>
      </c>
    </row>
    <row r="11437" spans="1:3" x14ac:dyDescent="0.25">
      <c r="A11437">
        <v>38</v>
      </c>
      <c r="B11437" t="str">
        <f>"9:06:36.380009"</f>
        <v>9:06:36.380009</v>
      </c>
      <c r="C11437">
        <v>-32</v>
      </c>
    </row>
    <row r="11438" spans="1:3" x14ac:dyDescent="0.25">
      <c r="A11438">
        <v>38</v>
      </c>
      <c r="B11438" t="str">
        <f>"9:06:36.380335"</f>
        <v>9:06:36.380335</v>
      </c>
      <c r="C11438">
        <v>-41</v>
      </c>
    </row>
    <row r="11439" spans="1:3" x14ac:dyDescent="0.25">
      <c r="A11439">
        <v>39</v>
      </c>
      <c r="B11439" t="str">
        <f>"9:06:36.381111"</f>
        <v>9:06:36.381111</v>
      </c>
      <c r="C11439">
        <v>-46</v>
      </c>
    </row>
    <row r="11440" spans="1:3" x14ac:dyDescent="0.25">
      <c r="A11440">
        <v>37</v>
      </c>
      <c r="B11440" t="str">
        <f>"9:06:36.731978"</f>
        <v>9:06:36.731978</v>
      </c>
      <c r="C11440">
        <v>-44</v>
      </c>
    </row>
    <row r="11441" spans="1:3" x14ac:dyDescent="0.25">
      <c r="A11441">
        <v>38</v>
      </c>
      <c r="B11441" t="str">
        <f>"9:06:36.733005"</f>
        <v>9:06:36.733005</v>
      </c>
      <c r="C11441">
        <v>-41</v>
      </c>
    </row>
    <row r="11442" spans="1:3" x14ac:dyDescent="0.25">
      <c r="A11442">
        <v>39</v>
      </c>
      <c r="B11442" t="str">
        <f>"9:06:36.734031"</f>
        <v>9:06:36.734031</v>
      </c>
      <c r="C11442">
        <v>-46</v>
      </c>
    </row>
    <row r="11443" spans="1:3" x14ac:dyDescent="0.25">
      <c r="A11443">
        <v>37</v>
      </c>
      <c r="B11443" t="str">
        <f>"9:06:37.088385"</f>
        <v>9:06:37.088385</v>
      </c>
      <c r="C11443">
        <v>-44</v>
      </c>
    </row>
    <row r="11444" spans="1:3" x14ac:dyDescent="0.25">
      <c r="A11444">
        <v>38</v>
      </c>
      <c r="B11444" t="str">
        <f>"9:06:37.089412"</f>
        <v>9:06:37.089412</v>
      </c>
      <c r="C11444">
        <v>-41</v>
      </c>
    </row>
    <row r="11445" spans="1:3" x14ac:dyDescent="0.25">
      <c r="A11445">
        <v>39</v>
      </c>
      <c r="B11445" t="str">
        <f>"9:06:37.090438"</f>
        <v>9:06:37.090438</v>
      </c>
      <c r="C11445">
        <v>-46</v>
      </c>
    </row>
    <row r="11446" spans="1:3" x14ac:dyDescent="0.25">
      <c r="A11446">
        <v>37</v>
      </c>
      <c r="B11446" t="str">
        <f>"9:06:37.439105"</f>
        <v>9:06:37.439105</v>
      </c>
      <c r="C11446">
        <v>-44</v>
      </c>
    </row>
    <row r="11447" spans="1:3" x14ac:dyDescent="0.25">
      <c r="A11447">
        <v>38</v>
      </c>
      <c r="B11447" t="str">
        <f>"9:06:37.440132"</f>
        <v>9:06:37.440132</v>
      </c>
      <c r="C11447">
        <v>-41</v>
      </c>
    </row>
    <row r="11448" spans="1:3" x14ac:dyDescent="0.25">
      <c r="A11448">
        <v>39</v>
      </c>
      <c r="B11448" t="str">
        <f>"9:06:37.441158"</f>
        <v>9:06:37.441158</v>
      </c>
      <c r="C11448">
        <v>-46</v>
      </c>
    </row>
    <row r="11449" spans="1:3" x14ac:dyDescent="0.25">
      <c r="A11449">
        <v>37</v>
      </c>
      <c r="B11449" t="str">
        <f>"9:06:37.795503"</f>
        <v>9:06:37.795503</v>
      </c>
      <c r="C11449">
        <v>-44</v>
      </c>
    </row>
    <row r="11450" spans="1:3" x14ac:dyDescent="0.25">
      <c r="A11450">
        <v>38</v>
      </c>
      <c r="B11450" t="str">
        <f>"9:06:37.796530"</f>
        <v>9:06:37.796530</v>
      </c>
      <c r="C11450">
        <v>-41</v>
      </c>
    </row>
    <row r="11451" spans="1:3" x14ac:dyDescent="0.25">
      <c r="A11451">
        <v>38</v>
      </c>
      <c r="B11451" t="str">
        <f>"9:06:37.797049"</f>
        <v>9:06:37.797049</v>
      </c>
      <c r="C11451">
        <v>-32</v>
      </c>
    </row>
    <row r="11452" spans="1:3" x14ac:dyDescent="0.25">
      <c r="A11452">
        <v>38</v>
      </c>
      <c r="B11452" t="str">
        <f>"9:06:37.797375"</f>
        <v>9:06:37.797375</v>
      </c>
      <c r="C11452">
        <v>-41</v>
      </c>
    </row>
    <row r="11453" spans="1:3" x14ac:dyDescent="0.25">
      <c r="A11453">
        <v>39</v>
      </c>
      <c r="B11453" t="str">
        <f>"9:06:37.798151"</f>
        <v>9:06:37.798151</v>
      </c>
      <c r="C11453">
        <v>-46</v>
      </c>
    </row>
    <row r="11454" spans="1:3" x14ac:dyDescent="0.25">
      <c r="A11454">
        <v>37</v>
      </c>
      <c r="B11454" t="str">
        <f>"9:06:38.147566"</f>
        <v>9:06:38.147566</v>
      </c>
      <c r="C11454">
        <v>-44</v>
      </c>
    </row>
    <row r="11455" spans="1:3" x14ac:dyDescent="0.25">
      <c r="A11455">
        <v>38</v>
      </c>
      <c r="B11455" t="str">
        <f>"9:06:38.148594"</f>
        <v>9:06:38.148594</v>
      </c>
      <c r="C11455">
        <v>-41</v>
      </c>
    </row>
    <row r="11456" spans="1:3" x14ac:dyDescent="0.25">
      <c r="A11456">
        <v>38</v>
      </c>
      <c r="B11456" t="str">
        <f>"9:06:38.149112"</f>
        <v>9:06:38.149112</v>
      </c>
      <c r="C11456">
        <v>-32</v>
      </c>
    </row>
    <row r="11457" spans="1:3" x14ac:dyDescent="0.25">
      <c r="A11457">
        <v>38</v>
      </c>
      <c r="B11457" t="str">
        <f>"9:06:38.149438"</f>
        <v>9:06:38.149438</v>
      </c>
      <c r="C11457">
        <v>-41</v>
      </c>
    </row>
    <row r="11458" spans="1:3" x14ac:dyDescent="0.25">
      <c r="A11458">
        <v>39</v>
      </c>
      <c r="B11458" t="str">
        <f>"9:06:38.150214"</f>
        <v>9:06:38.150214</v>
      </c>
      <c r="C11458">
        <v>-46</v>
      </c>
    </row>
    <row r="11459" spans="1:3" x14ac:dyDescent="0.25">
      <c r="A11459">
        <v>37</v>
      </c>
      <c r="B11459" t="str">
        <f>"9:06:38.499838"</f>
        <v>9:06:38.499838</v>
      </c>
      <c r="C11459">
        <v>-44</v>
      </c>
    </row>
    <row r="11460" spans="1:3" x14ac:dyDescent="0.25">
      <c r="A11460">
        <v>38</v>
      </c>
      <c r="B11460" t="str">
        <f>"9:06:38.500865"</f>
        <v>9:06:38.500865</v>
      </c>
      <c r="C11460">
        <v>-41</v>
      </c>
    </row>
    <row r="11461" spans="1:3" x14ac:dyDescent="0.25">
      <c r="A11461">
        <v>38</v>
      </c>
      <c r="B11461" t="str">
        <f>"9:06:38.501384"</f>
        <v>9:06:38.501384</v>
      </c>
      <c r="C11461">
        <v>-32</v>
      </c>
    </row>
    <row r="11462" spans="1:3" x14ac:dyDescent="0.25">
      <c r="A11462">
        <v>38</v>
      </c>
      <c r="B11462" t="str">
        <f>"9:06:38.501709"</f>
        <v>9:06:38.501709</v>
      </c>
      <c r="C11462">
        <v>-41</v>
      </c>
    </row>
    <row r="11463" spans="1:3" x14ac:dyDescent="0.25">
      <c r="A11463">
        <v>39</v>
      </c>
      <c r="B11463" t="str">
        <f>"9:06:38.502485"</f>
        <v>9:06:38.502485</v>
      </c>
      <c r="C11463">
        <v>-46</v>
      </c>
    </row>
    <row r="11464" spans="1:3" x14ac:dyDescent="0.25">
      <c r="A11464">
        <v>37</v>
      </c>
      <c r="B11464" t="str">
        <f>"9:06:38.857722"</f>
        <v>9:06:38.857722</v>
      </c>
      <c r="C11464">
        <v>-44</v>
      </c>
    </row>
    <row r="11465" spans="1:3" x14ac:dyDescent="0.25">
      <c r="A11465">
        <v>38</v>
      </c>
      <c r="B11465" t="str">
        <f>"9:06:38.858750"</f>
        <v>9:06:38.858750</v>
      </c>
      <c r="C11465">
        <v>-41</v>
      </c>
    </row>
    <row r="11466" spans="1:3" x14ac:dyDescent="0.25">
      <c r="A11466">
        <v>38</v>
      </c>
      <c r="B11466" t="str">
        <f>"9:06:38.859268"</f>
        <v>9:06:38.859268</v>
      </c>
      <c r="C11466">
        <v>-32</v>
      </c>
    </row>
    <row r="11467" spans="1:3" x14ac:dyDescent="0.25">
      <c r="A11467">
        <v>38</v>
      </c>
      <c r="B11467" t="str">
        <f>"9:06:38.859594"</f>
        <v>9:06:38.859594</v>
      </c>
      <c r="C11467">
        <v>-42</v>
      </c>
    </row>
    <row r="11468" spans="1:3" x14ac:dyDescent="0.25">
      <c r="A11468">
        <v>39</v>
      </c>
      <c r="B11468" t="str">
        <f>"9:06:38.860370"</f>
        <v>9:06:38.860370</v>
      </c>
      <c r="C11468">
        <v>-46</v>
      </c>
    </row>
    <row r="11469" spans="1:3" x14ac:dyDescent="0.25">
      <c r="A11469">
        <v>37</v>
      </c>
      <c r="B11469" t="str">
        <f>"9:06:39.208486"</f>
        <v>9:06:39.208486</v>
      </c>
      <c r="C11469">
        <v>-44</v>
      </c>
    </row>
    <row r="11470" spans="1:3" x14ac:dyDescent="0.25">
      <c r="A11470">
        <v>38</v>
      </c>
      <c r="B11470" t="str">
        <f>"9:06:39.209514"</f>
        <v>9:06:39.209514</v>
      </c>
      <c r="C11470">
        <v>-42</v>
      </c>
    </row>
    <row r="11471" spans="1:3" x14ac:dyDescent="0.25">
      <c r="A11471">
        <v>38</v>
      </c>
      <c r="B11471" t="str">
        <f>"9:06:39.210032"</f>
        <v>9:06:39.210032</v>
      </c>
      <c r="C11471">
        <v>-32</v>
      </c>
    </row>
    <row r="11472" spans="1:3" x14ac:dyDescent="0.25">
      <c r="A11472">
        <v>38</v>
      </c>
      <c r="B11472" t="str">
        <f>"9:06:39.210358"</f>
        <v>9:06:39.210358</v>
      </c>
      <c r="C11472">
        <v>-41</v>
      </c>
    </row>
    <row r="11473" spans="1:3" x14ac:dyDescent="0.25">
      <c r="A11473">
        <v>39</v>
      </c>
      <c r="B11473" t="str">
        <f>"9:06:39.211134"</f>
        <v>9:06:39.211134</v>
      </c>
      <c r="C11473">
        <v>-46</v>
      </c>
    </row>
    <row r="11474" spans="1:3" x14ac:dyDescent="0.25">
      <c r="A11474">
        <v>37</v>
      </c>
      <c r="B11474" t="str">
        <f>"9:06:39.566927"</f>
        <v>9:06:39.566927</v>
      </c>
      <c r="C11474">
        <v>-44</v>
      </c>
    </row>
    <row r="11475" spans="1:3" x14ac:dyDescent="0.25">
      <c r="A11475">
        <v>38</v>
      </c>
      <c r="B11475" t="str">
        <f>"9:06:39.567954"</f>
        <v>9:06:39.567954</v>
      </c>
      <c r="C11475">
        <v>-41</v>
      </c>
    </row>
    <row r="11476" spans="1:3" x14ac:dyDescent="0.25">
      <c r="A11476">
        <v>39</v>
      </c>
      <c r="B11476" t="str">
        <f>"9:06:39.568980"</f>
        <v>9:06:39.568980</v>
      </c>
      <c r="C11476">
        <v>-46</v>
      </c>
    </row>
    <row r="11477" spans="1:3" x14ac:dyDescent="0.25">
      <c r="A11477">
        <v>39</v>
      </c>
      <c r="B11477" t="str">
        <f>"9:06:39.569499"</f>
        <v>9:06:39.569499</v>
      </c>
      <c r="C11477">
        <v>-31</v>
      </c>
    </row>
    <row r="11478" spans="1:3" x14ac:dyDescent="0.25">
      <c r="A11478">
        <v>39</v>
      </c>
      <c r="B11478" t="str">
        <f>"9:06:39.569824"</f>
        <v>9:06:39.569824</v>
      </c>
      <c r="C11478">
        <v>-45</v>
      </c>
    </row>
    <row r="11479" spans="1:3" x14ac:dyDescent="0.25">
      <c r="A11479">
        <v>37</v>
      </c>
      <c r="B11479" t="str">
        <f>"9:06:39.924279"</f>
        <v>9:06:39.924279</v>
      </c>
      <c r="C11479">
        <v>-44</v>
      </c>
    </row>
    <row r="11480" spans="1:3" x14ac:dyDescent="0.25">
      <c r="A11480">
        <v>38</v>
      </c>
      <c r="B11480" t="str">
        <f>"9:06:39.925307"</f>
        <v>9:06:39.925307</v>
      </c>
      <c r="C11480">
        <v>-42</v>
      </c>
    </row>
    <row r="11481" spans="1:3" x14ac:dyDescent="0.25">
      <c r="A11481">
        <v>39</v>
      </c>
      <c r="B11481" t="str">
        <f>"9:06:39.926333"</f>
        <v>9:06:39.926333</v>
      </c>
      <c r="C11481">
        <v>-46</v>
      </c>
    </row>
    <row r="11482" spans="1:3" x14ac:dyDescent="0.25">
      <c r="A11482">
        <v>37</v>
      </c>
      <c r="B11482" t="str">
        <f>"9:06:40.275276"</f>
        <v>9:06:40.275276</v>
      </c>
      <c r="C11482">
        <v>-44</v>
      </c>
    </row>
    <row r="11483" spans="1:3" x14ac:dyDescent="0.25">
      <c r="A11483">
        <v>38</v>
      </c>
      <c r="B11483" t="str">
        <f>"9:06:40.276303"</f>
        <v>9:06:40.276303</v>
      </c>
      <c r="C11483">
        <v>-41</v>
      </c>
    </row>
    <row r="11484" spans="1:3" x14ac:dyDescent="0.25">
      <c r="A11484">
        <v>39</v>
      </c>
      <c r="B11484" t="str">
        <f>"9:06:40.277329"</f>
        <v>9:06:40.277329</v>
      </c>
      <c r="C11484">
        <v>-46</v>
      </c>
    </row>
    <row r="11485" spans="1:3" x14ac:dyDescent="0.25">
      <c r="A11485">
        <v>39</v>
      </c>
      <c r="B11485" t="str">
        <f>"9:06:40.277847"</f>
        <v>9:06:40.277847</v>
      </c>
      <c r="C11485">
        <v>-31</v>
      </c>
    </row>
    <row r="11486" spans="1:3" x14ac:dyDescent="0.25">
      <c r="A11486">
        <v>39</v>
      </c>
      <c r="B11486" t="str">
        <f>"9:06:40.278173"</f>
        <v>9:06:40.278173</v>
      </c>
      <c r="C11486">
        <v>-45</v>
      </c>
    </row>
    <row r="11487" spans="1:3" x14ac:dyDescent="0.25">
      <c r="A11487">
        <v>37</v>
      </c>
      <c r="B11487" t="str">
        <f>"9:06:40.631683"</f>
        <v>9:06:40.631683</v>
      </c>
      <c r="C11487">
        <v>-44</v>
      </c>
    </row>
    <row r="11488" spans="1:3" x14ac:dyDescent="0.25">
      <c r="A11488">
        <v>38</v>
      </c>
      <c r="B11488" t="str">
        <f>"9:06:40.632711"</f>
        <v>9:06:40.632711</v>
      </c>
      <c r="C11488">
        <v>-42</v>
      </c>
    </row>
    <row r="11489" spans="1:3" x14ac:dyDescent="0.25">
      <c r="A11489">
        <v>39</v>
      </c>
      <c r="B11489" t="str">
        <f>"9:06:40.633737"</f>
        <v>9:06:40.633737</v>
      </c>
      <c r="C11489">
        <v>-46</v>
      </c>
    </row>
    <row r="11490" spans="1:3" x14ac:dyDescent="0.25">
      <c r="A11490">
        <v>39</v>
      </c>
      <c r="B11490" t="str">
        <f>"9:06:40.634255"</f>
        <v>9:06:40.634255</v>
      </c>
      <c r="C11490">
        <v>-31</v>
      </c>
    </row>
    <row r="11491" spans="1:3" x14ac:dyDescent="0.25">
      <c r="A11491">
        <v>39</v>
      </c>
      <c r="B11491" t="str">
        <f>"9:06:40.634581"</f>
        <v>9:06:40.634581</v>
      </c>
      <c r="C11491">
        <v>-45</v>
      </c>
    </row>
    <row r="11492" spans="1:3" x14ac:dyDescent="0.25">
      <c r="A11492">
        <v>37</v>
      </c>
      <c r="B11492" t="str">
        <f>"9:06:40.983405"</f>
        <v>9:06:40.983405</v>
      </c>
      <c r="C11492">
        <v>-44</v>
      </c>
    </row>
    <row r="11493" spans="1:3" x14ac:dyDescent="0.25">
      <c r="A11493">
        <v>38</v>
      </c>
      <c r="B11493" t="str">
        <f>"9:06:40.984432"</f>
        <v>9:06:40.984432</v>
      </c>
      <c r="C11493">
        <v>-41</v>
      </c>
    </row>
    <row r="11494" spans="1:3" x14ac:dyDescent="0.25">
      <c r="A11494">
        <v>39</v>
      </c>
      <c r="B11494" t="str">
        <f>"9:06:40.985458"</f>
        <v>9:06:40.985458</v>
      </c>
      <c r="C11494">
        <v>-46</v>
      </c>
    </row>
    <row r="11495" spans="1:3" x14ac:dyDescent="0.25">
      <c r="A11495">
        <v>39</v>
      </c>
      <c r="B11495" t="str">
        <f>"9:06:40.985977"</f>
        <v>9:06:40.985977</v>
      </c>
      <c r="C11495">
        <v>-30</v>
      </c>
    </row>
    <row r="11496" spans="1:3" x14ac:dyDescent="0.25">
      <c r="A11496">
        <v>39</v>
      </c>
      <c r="B11496" t="str">
        <f>"9:06:40.986302"</f>
        <v>9:06:40.986302</v>
      </c>
      <c r="C11496">
        <v>-45</v>
      </c>
    </row>
    <row r="11497" spans="1:3" x14ac:dyDescent="0.25">
      <c r="A11497">
        <v>37</v>
      </c>
      <c r="B11497" t="str">
        <f>"9:06:41.333911"</f>
        <v>9:06:41.333911</v>
      </c>
      <c r="C11497">
        <v>-44</v>
      </c>
    </row>
    <row r="11498" spans="1:3" x14ac:dyDescent="0.25">
      <c r="A11498">
        <v>38</v>
      </c>
      <c r="B11498" t="str">
        <f>"9:06:41.334939"</f>
        <v>9:06:41.334939</v>
      </c>
      <c r="C11498">
        <v>-41</v>
      </c>
    </row>
    <row r="11499" spans="1:3" x14ac:dyDescent="0.25">
      <c r="A11499">
        <v>39</v>
      </c>
      <c r="B11499" t="str">
        <f>"9:06:41.335965"</f>
        <v>9:06:41.335965</v>
      </c>
      <c r="C11499">
        <v>-46</v>
      </c>
    </row>
    <row r="11500" spans="1:3" x14ac:dyDescent="0.25">
      <c r="A11500">
        <v>39</v>
      </c>
      <c r="B11500" t="str">
        <f>"9:06:41.336483"</f>
        <v>9:06:41.336483</v>
      </c>
      <c r="C11500">
        <v>-31</v>
      </c>
    </row>
    <row r="11501" spans="1:3" x14ac:dyDescent="0.25">
      <c r="A11501">
        <v>39</v>
      </c>
      <c r="B11501" t="str">
        <f>"9:06:41.336809"</f>
        <v>9:06:41.336809</v>
      </c>
      <c r="C11501">
        <v>-45</v>
      </c>
    </row>
    <row r="11502" spans="1:3" x14ac:dyDescent="0.25">
      <c r="A11502">
        <v>37</v>
      </c>
      <c r="B11502" t="str">
        <f>"9:06:41.689486"</f>
        <v>9:06:41.689486</v>
      </c>
      <c r="C11502">
        <v>-44</v>
      </c>
    </row>
    <row r="11503" spans="1:3" x14ac:dyDescent="0.25">
      <c r="A11503">
        <v>38</v>
      </c>
      <c r="B11503" t="str">
        <f>"9:06:41.690514"</f>
        <v>9:06:41.690514</v>
      </c>
      <c r="C11503">
        <v>-41</v>
      </c>
    </row>
    <row r="11504" spans="1:3" x14ac:dyDescent="0.25">
      <c r="A11504">
        <v>39</v>
      </c>
      <c r="B11504" t="str">
        <f>"9:06:41.691540"</f>
        <v>9:06:41.691540</v>
      </c>
      <c r="C11504">
        <v>-46</v>
      </c>
    </row>
    <row r="11505" spans="1:3" x14ac:dyDescent="0.25">
      <c r="A11505">
        <v>37</v>
      </c>
      <c r="B11505" t="str">
        <f>"9:06:42.045867"</f>
        <v>9:06:42.045867</v>
      </c>
      <c r="C11505">
        <v>-44</v>
      </c>
    </row>
    <row r="11506" spans="1:3" x14ac:dyDescent="0.25">
      <c r="A11506">
        <v>38</v>
      </c>
      <c r="B11506" t="str">
        <f>"9:06:42.046894"</f>
        <v>9:06:42.046894</v>
      </c>
      <c r="C11506">
        <v>-41</v>
      </c>
    </row>
    <row r="11507" spans="1:3" x14ac:dyDescent="0.25">
      <c r="A11507">
        <v>39</v>
      </c>
      <c r="B11507" t="str">
        <f>"9:06:42.047920"</f>
        <v>9:06:42.047920</v>
      </c>
      <c r="C11507">
        <v>-46</v>
      </c>
    </row>
    <row r="11508" spans="1:3" x14ac:dyDescent="0.25">
      <c r="A11508">
        <v>39</v>
      </c>
      <c r="B11508" t="str">
        <f>"9:06:42.048439"</f>
        <v>9:06:42.048439</v>
      </c>
      <c r="C11508">
        <v>-30</v>
      </c>
    </row>
    <row r="11509" spans="1:3" x14ac:dyDescent="0.25">
      <c r="A11509">
        <v>39</v>
      </c>
      <c r="B11509" t="str">
        <f>"9:06:42.048765"</f>
        <v>9:06:42.048765</v>
      </c>
      <c r="C11509">
        <v>-45</v>
      </c>
    </row>
    <row r="11510" spans="1:3" x14ac:dyDescent="0.25">
      <c r="A11510">
        <v>37</v>
      </c>
      <c r="B11510" t="str">
        <f>"9:06:42.404777"</f>
        <v>9:06:42.404777</v>
      </c>
      <c r="C11510">
        <v>-44</v>
      </c>
    </row>
    <row r="11511" spans="1:3" x14ac:dyDescent="0.25">
      <c r="A11511">
        <v>38</v>
      </c>
      <c r="B11511" t="str">
        <f>"9:06:42.405804"</f>
        <v>9:06:42.405804</v>
      </c>
      <c r="C11511">
        <v>-41</v>
      </c>
    </row>
    <row r="11512" spans="1:3" x14ac:dyDescent="0.25">
      <c r="A11512">
        <v>39</v>
      </c>
      <c r="B11512" t="str">
        <f>"9:06:42.406830"</f>
        <v>9:06:42.406830</v>
      </c>
      <c r="C11512">
        <v>-46</v>
      </c>
    </row>
    <row r="11513" spans="1:3" x14ac:dyDescent="0.25">
      <c r="A11513">
        <v>39</v>
      </c>
      <c r="B11513" t="str">
        <f>"9:06:42.407348"</f>
        <v>9:06:42.407348</v>
      </c>
      <c r="C11513">
        <v>-30</v>
      </c>
    </row>
    <row r="11514" spans="1:3" x14ac:dyDescent="0.25">
      <c r="A11514">
        <v>39</v>
      </c>
      <c r="B11514" t="str">
        <f>"9:06:42.407674"</f>
        <v>9:06:42.407674</v>
      </c>
      <c r="C11514">
        <v>-45</v>
      </c>
    </row>
    <row r="11515" spans="1:3" x14ac:dyDescent="0.25">
      <c r="A11515">
        <v>37</v>
      </c>
      <c r="B11515" t="str">
        <f>"9:06:42.759893"</f>
        <v>9:06:42.759893</v>
      </c>
      <c r="C11515">
        <v>-44</v>
      </c>
    </row>
    <row r="11516" spans="1:3" x14ac:dyDescent="0.25">
      <c r="A11516">
        <v>38</v>
      </c>
      <c r="B11516" t="str">
        <f>"9:06:42.760920"</f>
        <v>9:06:42.760920</v>
      </c>
      <c r="C11516">
        <v>-41</v>
      </c>
    </row>
    <row r="11517" spans="1:3" x14ac:dyDescent="0.25">
      <c r="A11517">
        <v>39</v>
      </c>
      <c r="B11517" t="str">
        <f>"9:06:42.761946"</f>
        <v>9:06:42.761946</v>
      </c>
      <c r="C11517">
        <v>-45</v>
      </c>
    </row>
    <row r="11518" spans="1:3" x14ac:dyDescent="0.25">
      <c r="A11518">
        <v>39</v>
      </c>
      <c r="B11518" t="str">
        <f>"9:06:42.762465"</f>
        <v>9:06:42.762465</v>
      </c>
      <c r="C11518">
        <v>-31</v>
      </c>
    </row>
    <row r="11519" spans="1:3" x14ac:dyDescent="0.25">
      <c r="A11519">
        <v>39</v>
      </c>
      <c r="B11519" t="str">
        <f>"9:06:42.762791"</f>
        <v>9:06:42.762791</v>
      </c>
      <c r="C11519">
        <v>-45</v>
      </c>
    </row>
    <row r="11520" spans="1:3" x14ac:dyDescent="0.25">
      <c r="A11520">
        <v>37</v>
      </c>
      <c r="B11520" t="str">
        <f>"9:06:43.117791"</f>
        <v>9:06:43.117791</v>
      </c>
      <c r="C11520">
        <v>-44</v>
      </c>
    </row>
    <row r="11521" spans="1:3" x14ac:dyDescent="0.25">
      <c r="A11521">
        <v>38</v>
      </c>
      <c r="B11521" t="str">
        <f>"9:06:43.118818"</f>
        <v>9:06:43.118818</v>
      </c>
      <c r="C11521">
        <v>-41</v>
      </c>
    </row>
    <row r="11522" spans="1:3" x14ac:dyDescent="0.25">
      <c r="A11522">
        <v>39</v>
      </c>
      <c r="B11522" t="str">
        <f>"9:06:43.119844"</f>
        <v>9:06:43.119844</v>
      </c>
      <c r="C11522">
        <v>-46</v>
      </c>
    </row>
    <row r="11523" spans="1:3" x14ac:dyDescent="0.25">
      <c r="A11523">
        <v>39</v>
      </c>
      <c r="B11523" t="str">
        <f>"9:06:43.120362"</f>
        <v>9:06:43.120362</v>
      </c>
      <c r="C11523">
        <v>-31</v>
      </c>
    </row>
    <row r="11524" spans="1:3" x14ac:dyDescent="0.25">
      <c r="A11524">
        <v>39</v>
      </c>
      <c r="B11524" t="str">
        <f>"9:06:43.120689"</f>
        <v>9:06:43.120689</v>
      </c>
      <c r="C11524">
        <v>-45</v>
      </c>
    </row>
    <row r="11525" spans="1:3" x14ac:dyDescent="0.25">
      <c r="A11525">
        <v>37</v>
      </c>
      <c r="B11525" t="str">
        <f>"9:06:43.476165"</f>
        <v>9:06:43.476165</v>
      </c>
      <c r="C11525">
        <v>-44</v>
      </c>
    </row>
    <row r="11526" spans="1:3" x14ac:dyDescent="0.25">
      <c r="A11526">
        <v>38</v>
      </c>
      <c r="B11526" t="str">
        <f>"9:06:43.477192"</f>
        <v>9:06:43.477192</v>
      </c>
      <c r="C11526">
        <v>-41</v>
      </c>
    </row>
    <row r="11527" spans="1:3" x14ac:dyDescent="0.25">
      <c r="A11527">
        <v>39</v>
      </c>
      <c r="B11527" t="str">
        <f>"9:06:43.478218"</f>
        <v>9:06:43.478218</v>
      </c>
      <c r="C11527">
        <v>-46</v>
      </c>
    </row>
    <row r="11528" spans="1:3" x14ac:dyDescent="0.25">
      <c r="A11528">
        <v>39</v>
      </c>
      <c r="B11528" t="str">
        <f>"9:06:43.478737"</f>
        <v>9:06:43.478737</v>
      </c>
      <c r="C11528">
        <v>-31</v>
      </c>
    </row>
    <row r="11529" spans="1:3" x14ac:dyDescent="0.25">
      <c r="A11529">
        <v>39</v>
      </c>
      <c r="B11529" t="str">
        <f>"9:06:43.479062"</f>
        <v>9:06:43.479062</v>
      </c>
      <c r="C11529">
        <v>-45</v>
      </c>
    </row>
    <row r="11530" spans="1:3" x14ac:dyDescent="0.25">
      <c r="A11530">
        <v>37</v>
      </c>
      <c r="B11530" t="str">
        <f>"9:06:43.833277"</f>
        <v>9:06:43.833277</v>
      </c>
      <c r="C11530">
        <v>-44</v>
      </c>
    </row>
    <row r="11531" spans="1:3" x14ac:dyDescent="0.25">
      <c r="A11531">
        <v>38</v>
      </c>
      <c r="B11531" t="str">
        <f>"9:06:43.834304"</f>
        <v>9:06:43.834304</v>
      </c>
      <c r="C11531">
        <v>-41</v>
      </c>
    </row>
    <row r="11532" spans="1:3" x14ac:dyDescent="0.25">
      <c r="A11532">
        <v>39</v>
      </c>
      <c r="B11532" t="str">
        <f>"9:06:43.835331"</f>
        <v>9:06:43.835331</v>
      </c>
      <c r="C11532">
        <v>-46</v>
      </c>
    </row>
    <row r="11533" spans="1:3" x14ac:dyDescent="0.25">
      <c r="A11533">
        <v>39</v>
      </c>
      <c r="B11533" t="str">
        <f>"9:06:43.835849"</f>
        <v>9:06:43.835849</v>
      </c>
      <c r="C11533">
        <v>-31</v>
      </c>
    </row>
    <row r="11534" spans="1:3" x14ac:dyDescent="0.25">
      <c r="A11534">
        <v>39</v>
      </c>
      <c r="B11534" t="str">
        <f>"9:06:43.836175"</f>
        <v>9:06:43.836175</v>
      </c>
      <c r="C11534">
        <v>-45</v>
      </c>
    </row>
    <row r="11535" spans="1:3" x14ac:dyDescent="0.25">
      <c r="A11535">
        <v>37</v>
      </c>
      <c r="B11535" t="str">
        <f>"9:06:44.186022"</f>
        <v>9:06:44.186022</v>
      </c>
      <c r="C11535">
        <v>-44</v>
      </c>
    </row>
    <row r="11536" spans="1:3" x14ac:dyDescent="0.25">
      <c r="A11536">
        <v>38</v>
      </c>
      <c r="B11536" t="str">
        <f>"9:06:44.187049"</f>
        <v>9:06:44.187049</v>
      </c>
      <c r="C11536">
        <v>-41</v>
      </c>
    </row>
    <row r="11537" spans="1:3" x14ac:dyDescent="0.25">
      <c r="A11537">
        <v>39</v>
      </c>
      <c r="B11537" t="str">
        <f>"9:06:44.188075"</f>
        <v>9:06:44.188075</v>
      </c>
      <c r="C11537">
        <v>-45</v>
      </c>
    </row>
    <row r="11538" spans="1:3" x14ac:dyDescent="0.25">
      <c r="A11538">
        <v>39</v>
      </c>
      <c r="B11538" t="str">
        <f>"9:06:44.188593"</f>
        <v>9:06:44.188593</v>
      </c>
      <c r="C11538">
        <v>-31</v>
      </c>
    </row>
    <row r="11539" spans="1:3" x14ac:dyDescent="0.25">
      <c r="A11539">
        <v>39</v>
      </c>
      <c r="B11539" t="str">
        <f>"9:06:44.188919"</f>
        <v>9:06:44.188919</v>
      </c>
      <c r="C11539">
        <v>-45</v>
      </c>
    </row>
    <row r="11540" spans="1:3" x14ac:dyDescent="0.25">
      <c r="A11540">
        <v>37</v>
      </c>
      <c r="B11540" t="str">
        <f>"9:06:44.540024"</f>
        <v>9:06:44.540024</v>
      </c>
      <c r="C11540">
        <v>-44</v>
      </c>
    </row>
    <row r="11541" spans="1:3" x14ac:dyDescent="0.25">
      <c r="A11541">
        <v>38</v>
      </c>
      <c r="B11541" t="str">
        <f>"9:06:44.541051"</f>
        <v>9:06:44.541051</v>
      </c>
      <c r="C11541">
        <v>-41</v>
      </c>
    </row>
    <row r="11542" spans="1:3" x14ac:dyDescent="0.25">
      <c r="A11542">
        <v>39</v>
      </c>
      <c r="B11542" t="str">
        <f>"9:06:44.542077"</f>
        <v>9:06:44.542077</v>
      </c>
      <c r="C11542">
        <v>-45</v>
      </c>
    </row>
    <row r="11543" spans="1:3" x14ac:dyDescent="0.25">
      <c r="A11543">
        <v>37</v>
      </c>
      <c r="B11543" t="str">
        <f>"9:06:44.896854"</f>
        <v>9:06:44.896854</v>
      </c>
      <c r="C11543">
        <v>-44</v>
      </c>
    </row>
    <row r="11544" spans="1:3" x14ac:dyDescent="0.25">
      <c r="A11544">
        <v>38</v>
      </c>
      <c r="B11544" t="str">
        <f>"9:06:44.897881"</f>
        <v>9:06:44.897881</v>
      </c>
      <c r="C11544">
        <v>-41</v>
      </c>
    </row>
    <row r="11545" spans="1:3" x14ac:dyDescent="0.25">
      <c r="A11545">
        <v>39</v>
      </c>
      <c r="B11545" t="str">
        <f>"9:06:44.898908"</f>
        <v>9:06:44.898908</v>
      </c>
      <c r="C11545">
        <v>-46</v>
      </c>
    </row>
    <row r="11546" spans="1:3" x14ac:dyDescent="0.25">
      <c r="A11546">
        <v>37</v>
      </c>
      <c r="B11546" t="str">
        <f>"9:06:45.252473"</f>
        <v>9:06:45.252473</v>
      </c>
      <c r="C11546">
        <v>-44</v>
      </c>
    </row>
    <row r="11547" spans="1:3" x14ac:dyDescent="0.25">
      <c r="A11547">
        <v>37</v>
      </c>
      <c r="B11547" t="str">
        <f>"9:06:45.252992"</f>
        <v>9:06:45.252992</v>
      </c>
      <c r="C11547">
        <v>-37</v>
      </c>
    </row>
    <row r="11548" spans="1:3" x14ac:dyDescent="0.25">
      <c r="A11548">
        <v>37</v>
      </c>
      <c r="B11548" t="str">
        <f>"9:06:45.253318"</f>
        <v>9:06:45.253318</v>
      </c>
      <c r="C11548">
        <v>-44</v>
      </c>
    </row>
    <row r="11549" spans="1:3" x14ac:dyDescent="0.25">
      <c r="A11549">
        <v>38</v>
      </c>
      <c r="B11549" t="str">
        <f>"9:06:45.254094"</f>
        <v>9:06:45.254094</v>
      </c>
      <c r="C11549">
        <v>-41</v>
      </c>
    </row>
    <row r="11550" spans="1:3" x14ac:dyDescent="0.25">
      <c r="A11550">
        <v>39</v>
      </c>
      <c r="B11550" t="str">
        <f>"9:06:45.255120"</f>
        <v>9:06:45.255120</v>
      </c>
      <c r="C11550">
        <v>-45</v>
      </c>
    </row>
    <row r="11551" spans="1:3" x14ac:dyDescent="0.25">
      <c r="A11551">
        <v>37</v>
      </c>
      <c r="B11551" t="str">
        <f>"9:06:45.609615"</f>
        <v>9:06:45.609615</v>
      </c>
      <c r="C11551">
        <v>-44</v>
      </c>
    </row>
    <row r="11552" spans="1:3" x14ac:dyDescent="0.25">
      <c r="A11552">
        <v>37</v>
      </c>
      <c r="B11552" t="str">
        <f>"9:06:45.610134"</f>
        <v>9:06:45.610134</v>
      </c>
      <c r="C11552">
        <v>-37</v>
      </c>
    </row>
    <row r="11553" spans="1:3" x14ac:dyDescent="0.25">
      <c r="A11553">
        <v>37</v>
      </c>
      <c r="B11553" t="str">
        <f>"9:06:45.610460"</f>
        <v>9:06:45.610460</v>
      </c>
      <c r="C11553">
        <v>-44</v>
      </c>
    </row>
    <row r="11554" spans="1:3" x14ac:dyDescent="0.25">
      <c r="A11554">
        <v>38</v>
      </c>
      <c r="B11554" t="str">
        <f>"9:06:45.611236"</f>
        <v>9:06:45.611236</v>
      </c>
      <c r="C11554">
        <v>-41</v>
      </c>
    </row>
    <row r="11555" spans="1:3" x14ac:dyDescent="0.25">
      <c r="A11555">
        <v>39</v>
      </c>
      <c r="B11555" t="str">
        <f>"9:06:45.612262"</f>
        <v>9:06:45.612262</v>
      </c>
      <c r="C11555">
        <v>-46</v>
      </c>
    </row>
    <row r="11556" spans="1:3" x14ac:dyDescent="0.25">
      <c r="A11556">
        <v>37</v>
      </c>
      <c r="B11556" t="str">
        <f>"9:06:45.967514"</f>
        <v>9:06:45.967514</v>
      </c>
      <c r="C11556">
        <v>-44</v>
      </c>
    </row>
    <row r="11557" spans="1:3" x14ac:dyDescent="0.25">
      <c r="A11557">
        <v>37</v>
      </c>
      <c r="B11557" t="str">
        <f>"9:06:45.968033"</f>
        <v>9:06:45.968033</v>
      </c>
      <c r="C11557">
        <v>-37</v>
      </c>
    </row>
    <row r="11558" spans="1:3" x14ac:dyDescent="0.25">
      <c r="A11558">
        <v>37</v>
      </c>
      <c r="B11558" t="str">
        <f>"9:06:45.968358"</f>
        <v>9:06:45.968358</v>
      </c>
      <c r="C11558">
        <v>-44</v>
      </c>
    </row>
    <row r="11559" spans="1:3" x14ac:dyDescent="0.25">
      <c r="A11559">
        <v>38</v>
      </c>
      <c r="B11559" t="str">
        <f>"9:06:45.969135"</f>
        <v>9:06:45.969135</v>
      </c>
      <c r="C11559">
        <v>-41</v>
      </c>
    </row>
    <row r="11560" spans="1:3" x14ac:dyDescent="0.25">
      <c r="A11560">
        <v>38</v>
      </c>
      <c r="B11560" t="str">
        <f>"9:06:45.969981"</f>
        <v>9:06:45.969981</v>
      </c>
      <c r="C11560">
        <v>-41</v>
      </c>
    </row>
    <row r="11561" spans="1:3" x14ac:dyDescent="0.25">
      <c r="A11561">
        <v>39</v>
      </c>
      <c r="B11561" t="str">
        <f>"9:06:45.970757"</f>
        <v>9:06:45.970757</v>
      </c>
      <c r="C11561">
        <v>-46</v>
      </c>
    </row>
    <row r="11562" spans="1:3" x14ac:dyDescent="0.25">
      <c r="A11562">
        <v>37</v>
      </c>
      <c r="B11562" t="str">
        <f>"9:06:46.321811"</f>
        <v>9:06:46.321811</v>
      </c>
      <c r="C11562">
        <v>-44</v>
      </c>
    </row>
    <row r="11563" spans="1:3" x14ac:dyDescent="0.25">
      <c r="A11563">
        <v>37</v>
      </c>
      <c r="B11563" t="str">
        <f>"9:06:46.322330"</f>
        <v>9:06:46.322330</v>
      </c>
      <c r="C11563">
        <v>-38</v>
      </c>
    </row>
    <row r="11564" spans="1:3" x14ac:dyDescent="0.25">
      <c r="A11564">
        <v>37</v>
      </c>
      <c r="B11564" t="str">
        <f>"9:06:46.322656"</f>
        <v>9:06:46.322656</v>
      </c>
      <c r="C11564">
        <v>-44</v>
      </c>
    </row>
    <row r="11565" spans="1:3" x14ac:dyDescent="0.25">
      <c r="A11565">
        <v>38</v>
      </c>
      <c r="B11565" t="str">
        <f>"9:06:46.323433"</f>
        <v>9:06:46.323433</v>
      </c>
      <c r="C11565">
        <v>-41</v>
      </c>
    </row>
    <row r="11566" spans="1:3" x14ac:dyDescent="0.25">
      <c r="A11566">
        <v>39</v>
      </c>
      <c r="B11566" t="str">
        <f>"9:06:46.324459"</f>
        <v>9:06:46.324459</v>
      </c>
      <c r="C11566">
        <v>-45</v>
      </c>
    </row>
    <row r="11567" spans="1:3" x14ac:dyDescent="0.25">
      <c r="A11567">
        <v>37</v>
      </c>
      <c r="B11567" t="str">
        <f>"9:06:46.678689"</f>
        <v>9:06:46.678689</v>
      </c>
      <c r="C11567">
        <v>-44</v>
      </c>
    </row>
    <row r="11568" spans="1:3" x14ac:dyDescent="0.25">
      <c r="A11568">
        <v>37</v>
      </c>
      <c r="B11568" t="str">
        <f>"9:06:46.679208"</f>
        <v>9:06:46.679208</v>
      </c>
      <c r="C11568">
        <v>-38</v>
      </c>
    </row>
    <row r="11569" spans="1:3" x14ac:dyDescent="0.25">
      <c r="A11569">
        <v>37</v>
      </c>
      <c r="B11569" t="str">
        <f>"9:06:46.679533"</f>
        <v>9:06:46.679533</v>
      </c>
      <c r="C11569">
        <v>-44</v>
      </c>
    </row>
    <row r="11570" spans="1:3" x14ac:dyDescent="0.25">
      <c r="A11570">
        <v>38</v>
      </c>
      <c r="B11570" t="str">
        <f>"9:06:46.680309"</f>
        <v>9:06:46.680309</v>
      </c>
      <c r="C11570">
        <v>-41</v>
      </c>
    </row>
    <row r="11571" spans="1:3" x14ac:dyDescent="0.25">
      <c r="A11571">
        <v>39</v>
      </c>
      <c r="B11571" t="str">
        <f>"9:06:46.681336"</f>
        <v>9:06:46.681336</v>
      </c>
      <c r="C11571">
        <v>-45</v>
      </c>
    </row>
    <row r="11572" spans="1:3" x14ac:dyDescent="0.25">
      <c r="A11572">
        <v>37</v>
      </c>
      <c r="B11572" t="str">
        <f>"9:06:47.037356"</f>
        <v>9:06:47.037356</v>
      </c>
      <c r="C11572">
        <v>-44</v>
      </c>
    </row>
    <row r="11573" spans="1:3" x14ac:dyDescent="0.25">
      <c r="A11573">
        <v>37</v>
      </c>
      <c r="B11573" t="str">
        <f>"9:06:47.037875"</f>
        <v>9:06:47.037875</v>
      </c>
      <c r="C11573">
        <v>-38</v>
      </c>
    </row>
    <row r="11574" spans="1:3" x14ac:dyDescent="0.25">
      <c r="A11574">
        <v>37</v>
      </c>
      <c r="B11574" t="str">
        <f>"9:06:47.038201"</f>
        <v>9:06:47.038201</v>
      </c>
      <c r="C11574">
        <v>-44</v>
      </c>
    </row>
    <row r="11575" spans="1:3" x14ac:dyDescent="0.25">
      <c r="A11575">
        <v>38</v>
      </c>
      <c r="B11575" t="str">
        <f>"9:06:47.038978"</f>
        <v>9:06:47.038978</v>
      </c>
      <c r="C11575">
        <v>-41</v>
      </c>
    </row>
    <row r="11576" spans="1:3" x14ac:dyDescent="0.25">
      <c r="A11576">
        <v>39</v>
      </c>
      <c r="B11576" t="str">
        <f>"9:06:47.040004"</f>
        <v>9:06:47.040004</v>
      </c>
      <c r="C11576">
        <v>-45</v>
      </c>
    </row>
    <row r="11577" spans="1:3" x14ac:dyDescent="0.25">
      <c r="A11577">
        <v>39</v>
      </c>
      <c r="B11577" t="str">
        <f>"9:06:47.040849"</f>
        <v>9:06:47.040849</v>
      </c>
      <c r="C11577">
        <v>-45</v>
      </c>
    </row>
    <row r="11578" spans="1:3" x14ac:dyDescent="0.25">
      <c r="A11578">
        <v>37</v>
      </c>
      <c r="B11578" t="str">
        <f>"9:06:47.393516"</f>
        <v>9:06:47.393516</v>
      </c>
      <c r="C11578">
        <v>-44</v>
      </c>
    </row>
    <row r="11579" spans="1:3" x14ac:dyDescent="0.25">
      <c r="A11579">
        <v>38</v>
      </c>
      <c r="B11579" t="str">
        <f>"9:06:47.394544"</f>
        <v>9:06:47.394544</v>
      </c>
      <c r="C11579">
        <v>-41</v>
      </c>
    </row>
    <row r="11580" spans="1:3" x14ac:dyDescent="0.25">
      <c r="A11580">
        <v>39</v>
      </c>
      <c r="B11580" t="str">
        <f>"9:06:47.395570"</f>
        <v>9:06:47.395570</v>
      </c>
      <c r="C11580">
        <v>-45</v>
      </c>
    </row>
    <row r="11581" spans="1:3" x14ac:dyDescent="0.25">
      <c r="A11581">
        <v>37</v>
      </c>
      <c r="B11581" t="str">
        <f>"9:06:47.748297"</f>
        <v>9:06:47.748297</v>
      </c>
      <c r="C11581">
        <v>-44</v>
      </c>
    </row>
    <row r="11582" spans="1:3" x14ac:dyDescent="0.25">
      <c r="A11582">
        <v>38</v>
      </c>
      <c r="B11582" t="str">
        <f>"9:06:47.749324"</f>
        <v>9:06:47.749324</v>
      </c>
      <c r="C11582">
        <v>-41</v>
      </c>
    </row>
    <row r="11583" spans="1:3" x14ac:dyDescent="0.25">
      <c r="A11583">
        <v>39</v>
      </c>
      <c r="B11583" t="str">
        <f>"9:06:47.750350"</f>
        <v>9:06:47.750350</v>
      </c>
      <c r="C11583">
        <v>-46</v>
      </c>
    </row>
    <row r="11584" spans="1:3" x14ac:dyDescent="0.25">
      <c r="A11584">
        <v>37</v>
      </c>
      <c r="B11584" t="str">
        <f>"9:06:48.100296"</f>
        <v>9:06:48.100296</v>
      </c>
      <c r="C11584">
        <v>-44</v>
      </c>
    </row>
    <row r="11585" spans="1:3" x14ac:dyDescent="0.25">
      <c r="A11585">
        <v>37</v>
      </c>
      <c r="B11585" t="str">
        <f>"9:06:48.100815"</f>
        <v>9:06:48.100815</v>
      </c>
      <c r="C11585">
        <v>-40</v>
      </c>
    </row>
    <row r="11586" spans="1:3" x14ac:dyDescent="0.25">
      <c r="A11586">
        <v>37</v>
      </c>
      <c r="B11586" t="str">
        <f>"9:06:48.101141"</f>
        <v>9:06:48.101141</v>
      </c>
      <c r="C11586">
        <v>-44</v>
      </c>
    </row>
    <row r="11587" spans="1:3" x14ac:dyDescent="0.25">
      <c r="A11587">
        <v>38</v>
      </c>
      <c r="B11587" t="str">
        <f>"9:06:48.101917"</f>
        <v>9:06:48.101917</v>
      </c>
      <c r="C11587">
        <v>-41</v>
      </c>
    </row>
    <row r="11588" spans="1:3" x14ac:dyDescent="0.25">
      <c r="A11588">
        <v>39</v>
      </c>
      <c r="B11588" t="str">
        <f>"9:06:48.102943"</f>
        <v>9:06:48.102943</v>
      </c>
      <c r="C11588">
        <v>-46</v>
      </c>
    </row>
    <row r="11589" spans="1:3" x14ac:dyDescent="0.25">
      <c r="A11589">
        <v>37</v>
      </c>
      <c r="B11589" t="str">
        <f>"9:06:48.453109"</f>
        <v>9:06:48.453109</v>
      </c>
      <c r="C11589">
        <v>-44</v>
      </c>
    </row>
    <row r="11590" spans="1:3" x14ac:dyDescent="0.25">
      <c r="A11590">
        <v>37</v>
      </c>
      <c r="B11590" t="str">
        <f>"9:06:48.453628"</f>
        <v>9:06:48.453628</v>
      </c>
      <c r="C11590">
        <v>-40</v>
      </c>
    </row>
    <row r="11591" spans="1:3" x14ac:dyDescent="0.25">
      <c r="A11591">
        <v>37</v>
      </c>
      <c r="B11591" t="str">
        <f>"9:06:48.453954"</f>
        <v>9:06:48.453954</v>
      </c>
      <c r="C11591">
        <v>-44</v>
      </c>
    </row>
    <row r="11592" spans="1:3" x14ac:dyDescent="0.25">
      <c r="A11592">
        <v>38</v>
      </c>
      <c r="B11592" t="str">
        <f>"9:06:48.454731"</f>
        <v>9:06:48.454731</v>
      </c>
      <c r="C11592">
        <v>-41</v>
      </c>
    </row>
    <row r="11593" spans="1:3" x14ac:dyDescent="0.25">
      <c r="A11593">
        <v>39</v>
      </c>
      <c r="B11593" t="str">
        <f>"9:06:48.455757"</f>
        <v>9:06:48.455757</v>
      </c>
      <c r="C11593">
        <v>-45</v>
      </c>
    </row>
    <row r="11594" spans="1:3" x14ac:dyDescent="0.25">
      <c r="A11594">
        <v>37</v>
      </c>
      <c r="B11594" t="str">
        <f>"9:06:48.806449"</f>
        <v>9:06:48.806449</v>
      </c>
      <c r="C11594">
        <v>-44</v>
      </c>
    </row>
    <row r="11595" spans="1:3" x14ac:dyDescent="0.25">
      <c r="A11595">
        <v>38</v>
      </c>
      <c r="B11595" t="str">
        <f>"9:06:48.807477"</f>
        <v>9:06:48.807477</v>
      </c>
      <c r="C11595">
        <v>-41</v>
      </c>
    </row>
    <row r="11596" spans="1:3" x14ac:dyDescent="0.25">
      <c r="A11596">
        <v>39</v>
      </c>
      <c r="B11596" t="str">
        <f>"9:06:48.808503"</f>
        <v>9:06:48.808503</v>
      </c>
      <c r="C11596">
        <v>-46</v>
      </c>
    </row>
    <row r="11597" spans="1:3" x14ac:dyDescent="0.25">
      <c r="A11597">
        <v>37</v>
      </c>
      <c r="B11597" t="str">
        <f>"9:06:49.158926"</f>
        <v>9:06:49.158926</v>
      </c>
      <c r="C11597">
        <v>-44</v>
      </c>
    </row>
    <row r="11598" spans="1:3" x14ac:dyDescent="0.25">
      <c r="A11598">
        <v>37</v>
      </c>
      <c r="B11598" t="str">
        <f>"9:06:49.159445"</f>
        <v>9:06:49.159445</v>
      </c>
      <c r="C11598">
        <v>-41</v>
      </c>
    </row>
    <row r="11599" spans="1:3" x14ac:dyDescent="0.25">
      <c r="A11599">
        <v>37</v>
      </c>
      <c r="B11599" t="str">
        <f>"9:06:49.159771"</f>
        <v>9:06:49.159771</v>
      </c>
      <c r="C11599">
        <v>-44</v>
      </c>
    </row>
    <row r="11600" spans="1:3" x14ac:dyDescent="0.25">
      <c r="A11600">
        <v>38</v>
      </c>
      <c r="B11600" t="str">
        <f>"9:06:49.160547"</f>
        <v>9:06:49.160547</v>
      </c>
      <c r="C11600">
        <v>-41</v>
      </c>
    </row>
    <row r="11601" spans="1:3" x14ac:dyDescent="0.25">
      <c r="A11601">
        <v>39</v>
      </c>
      <c r="B11601" t="str">
        <f>"9:06:49.161573"</f>
        <v>9:06:49.161573</v>
      </c>
      <c r="C11601">
        <v>-45</v>
      </c>
    </row>
    <row r="11602" spans="1:3" x14ac:dyDescent="0.25">
      <c r="A11602">
        <v>39</v>
      </c>
      <c r="B11602" t="str">
        <f>"9:06:49.162093"</f>
        <v>9:06:49.162093</v>
      </c>
      <c r="C11602">
        <v>-82</v>
      </c>
    </row>
    <row r="11603" spans="1:3" x14ac:dyDescent="0.25">
      <c r="A11603">
        <v>39</v>
      </c>
      <c r="B11603" t="str">
        <f>"9:06:49.162419"</f>
        <v>9:06:49.162419</v>
      </c>
      <c r="C11603">
        <v>-45</v>
      </c>
    </row>
    <row r="11604" spans="1:3" x14ac:dyDescent="0.25">
      <c r="A11604">
        <v>37</v>
      </c>
      <c r="B11604" t="str">
        <f>"9:06:49.514770"</f>
        <v>9:06:49.514770</v>
      </c>
      <c r="C11604">
        <v>-44</v>
      </c>
    </row>
    <row r="11605" spans="1:3" x14ac:dyDescent="0.25">
      <c r="A11605">
        <v>38</v>
      </c>
      <c r="B11605" t="str">
        <f>"9:06:49.515797"</f>
        <v>9:06:49.515797</v>
      </c>
      <c r="C11605">
        <v>-41</v>
      </c>
    </row>
    <row r="11606" spans="1:3" x14ac:dyDescent="0.25">
      <c r="A11606">
        <v>38</v>
      </c>
      <c r="B11606" t="str">
        <f>"9:06:49.516315"</f>
        <v>9:06:49.516315</v>
      </c>
      <c r="C11606">
        <v>-33</v>
      </c>
    </row>
    <row r="11607" spans="1:3" x14ac:dyDescent="0.25">
      <c r="A11607">
        <v>38</v>
      </c>
      <c r="B11607" t="str">
        <f>"9:06:49.516641"</f>
        <v>9:06:49.516641</v>
      </c>
      <c r="C11607">
        <v>-41</v>
      </c>
    </row>
    <row r="11608" spans="1:3" x14ac:dyDescent="0.25">
      <c r="A11608">
        <v>39</v>
      </c>
      <c r="B11608" t="str">
        <f>"9:06:49.517417"</f>
        <v>9:06:49.517417</v>
      </c>
      <c r="C11608">
        <v>-46</v>
      </c>
    </row>
    <row r="11609" spans="1:3" x14ac:dyDescent="0.25">
      <c r="A11609">
        <v>37</v>
      </c>
      <c r="B11609" t="str">
        <f>"9:06:49.871386"</f>
        <v>9:06:49.871386</v>
      </c>
      <c r="C11609">
        <v>-44</v>
      </c>
    </row>
    <row r="11610" spans="1:3" x14ac:dyDescent="0.25">
      <c r="A11610">
        <v>38</v>
      </c>
      <c r="B11610" t="str">
        <f>"9:06:49.872414"</f>
        <v>9:06:49.872414</v>
      </c>
      <c r="C11610">
        <v>-41</v>
      </c>
    </row>
    <row r="11611" spans="1:3" x14ac:dyDescent="0.25">
      <c r="A11611">
        <v>38</v>
      </c>
      <c r="B11611" t="str">
        <f>"9:06:49.872932"</f>
        <v>9:06:49.872932</v>
      </c>
      <c r="C11611">
        <v>-33</v>
      </c>
    </row>
    <row r="11612" spans="1:3" x14ac:dyDescent="0.25">
      <c r="A11612">
        <v>38</v>
      </c>
      <c r="B11612" t="str">
        <f>"9:06:49.873258"</f>
        <v>9:06:49.873258</v>
      </c>
      <c r="C11612">
        <v>-41</v>
      </c>
    </row>
    <row r="11613" spans="1:3" x14ac:dyDescent="0.25">
      <c r="A11613">
        <v>39</v>
      </c>
      <c r="B11613" t="str">
        <f>"9:06:49.874034"</f>
        <v>9:06:49.874034</v>
      </c>
      <c r="C11613">
        <v>-46</v>
      </c>
    </row>
    <row r="11614" spans="1:3" x14ac:dyDescent="0.25">
      <c r="A11614">
        <v>37</v>
      </c>
      <c r="B11614" t="str">
        <f>"9:06:50.225475"</f>
        <v>9:06:50.225475</v>
      </c>
      <c r="C11614">
        <v>-44</v>
      </c>
    </row>
    <row r="11615" spans="1:3" x14ac:dyDescent="0.25">
      <c r="A11615">
        <v>37</v>
      </c>
      <c r="B11615" t="str">
        <f>"9:06:50.225993"</f>
        <v>9:06:50.225993</v>
      </c>
      <c r="C11615">
        <v>-78</v>
      </c>
    </row>
    <row r="11616" spans="1:3" x14ac:dyDescent="0.25">
      <c r="A11616">
        <v>37</v>
      </c>
      <c r="B11616" t="str">
        <f>"9:06:50.226319"</f>
        <v>9:06:50.226319</v>
      </c>
      <c r="C11616">
        <v>-44</v>
      </c>
    </row>
    <row r="11617" spans="1:3" x14ac:dyDescent="0.25">
      <c r="A11617">
        <v>38</v>
      </c>
      <c r="B11617" t="str">
        <f>"9:06:50.227095"</f>
        <v>9:06:50.227095</v>
      </c>
      <c r="C11617">
        <v>-41</v>
      </c>
    </row>
    <row r="11618" spans="1:3" x14ac:dyDescent="0.25">
      <c r="A11618">
        <v>38</v>
      </c>
      <c r="B11618" t="str">
        <f>"9:06:50.227614"</f>
        <v>9:06:50.227614</v>
      </c>
      <c r="C11618">
        <v>-32</v>
      </c>
    </row>
    <row r="11619" spans="1:3" x14ac:dyDescent="0.25">
      <c r="A11619">
        <v>38</v>
      </c>
      <c r="B11619" t="str">
        <f>"9:06:50.227939"</f>
        <v>9:06:50.227939</v>
      </c>
      <c r="C11619">
        <v>-41</v>
      </c>
    </row>
    <row r="11620" spans="1:3" x14ac:dyDescent="0.25">
      <c r="A11620">
        <v>39</v>
      </c>
      <c r="B11620" t="str">
        <f>"9:06:50.228715"</f>
        <v>9:06:50.228715</v>
      </c>
      <c r="C11620">
        <v>-45</v>
      </c>
    </row>
    <row r="11621" spans="1:3" x14ac:dyDescent="0.25">
      <c r="A11621">
        <v>37</v>
      </c>
      <c r="B11621" t="str">
        <f>"9:06:50.576964"</f>
        <v>9:06:50.576964</v>
      </c>
      <c r="C11621">
        <v>-44</v>
      </c>
    </row>
    <row r="11622" spans="1:3" x14ac:dyDescent="0.25">
      <c r="A11622">
        <v>38</v>
      </c>
      <c r="B11622" t="str">
        <f>"9:06:50.577991"</f>
        <v>9:06:50.577991</v>
      </c>
      <c r="C11622">
        <v>-41</v>
      </c>
    </row>
    <row r="11623" spans="1:3" x14ac:dyDescent="0.25">
      <c r="A11623">
        <v>38</v>
      </c>
      <c r="B11623" t="str">
        <f>"9:06:50.578510"</f>
        <v>9:06:50.578510</v>
      </c>
      <c r="C11623">
        <v>-32</v>
      </c>
    </row>
    <row r="11624" spans="1:3" x14ac:dyDescent="0.25">
      <c r="A11624">
        <v>38</v>
      </c>
      <c r="B11624" t="str">
        <f>"9:06:50.578835"</f>
        <v>9:06:50.578835</v>
      </c>
      <c r="C11624">
        <v>-41</v>
      </c>
    </row>
    <row r="11625" spans="1:3" x14ac:dyDescent="0.25">
      <c r="A11625">
        <v>39</v>
      </c>
      <c r="B11625" t="str">
        <f>"9:06:50.579611"</f>
        <v>9:06:50.579611</v>
      </c>
      <c r="C11625">
        <v>-46</v>
      </c>
    </row>
    <row r="11626" spans="1:3" x14ac:dyDescent="0.25">
      <c r="A11626">
        <v>37</v>
      </c>
      <c r="B11626" t="str">
        <f>"9:06:50.932094"</f>
        <v>9:06:50.932094</v>
      </c>
      <c r="C11626">
        <v>-44</v>
      </c>
    </row>
    <row r="11627" spans="1:3" x14ac:dyDescent="0.25">
      <c r="A11627">
        <v>38</v>
      </c>
      <c r="B11627" t="str">
        <f>"9:06:50.933122"</f>
        <v>9:06:50.933122</v>
      </c>
      <c r="C11627">
        <v>-41</v>
      </c>
    </row>
    <row r="11628" spans="1:3" x14ac:dyDescent="0.25">
      <c r="A11628">
        <v>38</v>
      </c>
      <c r="B11628" t="str">
        <f>"9:06:50.933640"</f>
        <v>9:06:50.933640</v>
      </c>
      <c r="C11628">
        <v>-32</v>
      </c>
    </row>
    <row r="11629" spans="1:3" x14ac:dyDescent="0.25">
      <c r="A11629">
        <v>38</v>
      </c>
      <c r="B11629" t="str">
        <f>"9:06:50.933966"</f>
        <v>9:06:50.933966</v>
      </c>
      <c r="C11629">
        <v>-41</v>
      </c>
    </row>
    <row r="11630" spans="1:3" x14ac:dyDescent="0.25">
      <c r="A11630">
        <v>39</v>
      </c>
      <c r="B11630" t="str">
        <f>"9:06:50.934742"</f>
        <v>9:06:50.934742</v>
      </c>
      <c r="C11630">
        <v>-46</v>
      </c>
    </row>
    <row r="11631" spans="1:3" x14ac:dyDescent="0.25">
      <c r="A11631">
        <v>37</v>
      </c>
      <c r="B11631" t="str">
        <f>"9:06:51.284164"</f>
        <v>9:06:51.284164</v>
      </c>
      <c r="C11631">
        <v>-44</v>
      </c>
    </row>
    <row r="11632" spans="1:3" x14ac:dyDescent="0.25">
      <c r="A11632">
        <v>38</v>
      </c>
      <c r="B11632" t="str">
        <f>"9:06:51.285191"</f>
        <v>9:06:51.285191</v>
      </c>
      <c r="C11632">
        <v>-41</v>
      </c>
    </row>
    <row r="11633" spans="1:3" x14ac:dyDescent="0.25">
      <c r="A11633">
        <v>38</v>
      </c>
      <c r="B11633" t="str">
        <f>"9:06:51.285710"</f>
        <v>9:06:51.285710</v>
      </c>
      <c r="C11633">
        <v>-32</v>
      </c>
    </row>
    <row r="11634" spans="1:3" x14ac:dyDescent="0.25">
      <c r="A11634">
        <v>38</v>
      </c>
      <c r="B11634" t="str">
        <f>"9:06:51.286036"</f>
        <v>9:06:51.286036</v>
      </c>
      <c r="C11634">
        <v>-41</v>
      </c>
    </row>
    <row r="11635" spans="1:3" x14ac:dyDescent="0.25">
      <c r="A11635">
        <v>39</v>
      </c>
      <c r="B11635" t="str">
        <f>"9:06:51.286812"</f>
        <v>9:06:51.286812</v>
      </c>
      <c r="C11635">
        <v>-45</v>
      </c>
    </row>
    <row r="11636" spans="1:3" x14ac:dyDescent="0.25">
      <c r="A11636">
        <v>37</v>
      </c>
      <c r="B11636" t="str">
        <f>"9:06:51.635940"</f>
        <v>9:06:51.635940</v>
      </c>
      <c r="C11636">
        <v>-44</v>
      </c>
    </row>
    <row r="11637" spans="1:3" x14ac:dyDescent="0.25">
      <c r="A11637">
        <v>38</v>
      </c>
      <c r="B11637" t="str">
        <f>"9:06:51.636967"</f>
        <v>9:06:51.636967</v>
      </c>
      <c r="C11637">
        <v>-41</v>
      </c>
    </row>
    <row r="11638" spans="1:3" x14ac:dyDescent="0.25">
      <c r="A11638">
        <v>39</v>
      </c>
      <c r="B11638" t="str">
        <f>"9:06:51.637993"</f>
        <v>9:06:51.637993</v>
      </c>
      <c r="C11638">
        <v>-46</v>
      </c>
    </row>
    <row r="11639" spans="1:3" x14ac:dyDescent="0.25">
      <c r="A11639">
        <v>37</v>
      </c>
      <c r="B11639" t="str">
        <f>"9:06:51.987466"</f>
        <v>9:06:51.987466</v>
      </c>
      <c r="C11639">
        <v>-44</v>
      </c>
    </row>
    <row r="11640" spans="1:3" x14ac:dyDescent="0.25">
      <c r="A11640">
        <v>38</v>
      </c>
      <c r="B11640" t="str">
        <f>"9:06:51.988493"</f>
        <v>9:06:51.988493</v>
      </c>
      <c r="C11640">
        <v>-41</v>
      </c>
    </row>
    <row r="11641" spans="1:3" x14ac:dyDescent="0.25">
      <c r="A11641">
        <v>38</v>
      </c>
      <c r="B11641" t="str">
        <f>"9:06:51.989011"</f>
        <v>9:06:51.989011</v>
      </c>
      <c r="C11641">
        <v>-32</v>
      </c>
    </row>
    <row r="11642" spans="1:3" x14ac:dyDescent="0.25">
      <c r="A11642">
        <v>38</v>
      </c>
      <c r="B11642" t="str">
        <f>"9:06:51.989337"</f>
        <v>9:06:51.989337</v>
      </c>
      <c r="C11642">
        <v>-41</v>
      </c>
    </row>
    <row r="11643" spans="1:3" x14ac:dyDescent="0.25">
      <c r="A11643">
        <v>39</v>
      </c>
      <c r="B11643" t="str">
        <f>"9:06:51.990113"</f>
        <v>9:06:51.990113</v>
      </c>
      <c r="C11643">
        <v>-46</v>
      </c>
    </row>
    <row r="11644" spans="1:3" x14ac:dyDescent="0.25">
      <c r="A11644">
        <v>37</v>
      </c>
      <c r="B11644" t="str">
        <f>"9:06:52.340999"</f>
        <v>9:06:52.340999</v>
      </c>
      <c r="C11644">
        <v>-44</v>
      </c>
    </row>
    <row r="11645" spans="1:3" x14ac:dyDescent="0.25">
      <c r="A11645">
        <v>38</v>
      </c>
      <c r="B11645" t="str">
        <f>"9:06:52.342026"</f>
        <v>9:06:52.342026</v>
      </c>
      <c r="C11645">
        <v>-41</v>
      </c>
    </row>
    <row r="11646" spans="1:3" x14ac:dyDescent="0.25">
      <c r="A11646">
        <v>38</v>
      </c>
      <c r="B11646" t="str">
        <f>"9:06:52.342545"</f>
        <v>9:06:52.342545</v>
      </c>
      <c r="C11646">
        <v>-32</v>
      </c>
    </row>
    <row r="11647" spans="1:3" x14ac:dyDescent="0.25">
      <c r="A11647">
        <v>38</v>
      </c>
      <c r="B11647" t="str">
        <f>"9:06:52.342871"</f>
        <v>9:06:52.342871</v>
      </c>
      <c r="C11647">
        <v>-41</v>
      </c>
    </row>
    <row r="11648" spans="1:3" x14ac:dyDescent="0.25">
      <c r="A11648">
        <v>39</v>
      </c>
      <c r="B11648" t="str">
        <f>"9:06:52.343647"</f>
        <v>9:06:52.343647</v>
      </c>
      <c r="C11648">
        <v>-46</v>
      </c>
    </row>
    <row r="11649" spans="1:3" x14ac:dyDescent="0.25">
      <c r="A11649">
        <v>37</v>
      </c>
      <c r="B11649" t="str">
        <f>"9:06:52.695316"</f>
        <v>9:06:52.695316</v>
      </c>
      <c r="C11649">
        <v>-44</v>
      </c>
    </row>
    <row r="11650" spans="1:3" x14ac:dyDescent="0.25">
      <c r="A11650">
        <v>38</v>
      </c>
      <c r="B11650" t="str">
        <f>"9:06:52.696343"</f>
        <v>9:06:52.696343</v>
      </c>
      <c r="C11650">
        <v>-41</v>
      </c>
    </row>
    <row r="11651" spans="1:3" x14ac:dyDescent="0.25">
      <c r="A11651">
        <v>39</v>
      </c>
      <c r="B11651" t="str">
        <f>"9:06:52.697369"</f>
        <v>9:06:52.697369</v>
      </c>
      <c r="C11651">
        <v>-46</v>
      </c>
    </row>
    <row r="11652" spans="1:3" x14ac:dyDescent="0.25">
      <c r="A11652">
        <v>37</v>
      </c>
      <c r="B11652" t="str">
        <f>"9:06:53.049695"</f>
        <v>9:06:53.049695</v>
      </c>
      <c r="C11652">
        <v>-44</v>
      </c>
    </row>
    <row r="11653" spans="1:3" x14ac:dyDescent="0.25">
      <c r="A11653">
        <v>38</v>
      </c>
      <c r="B11653" t="str">
        <f>"9:06:53.050722"</f>
        <v>9:06:53.050722</v>
      </c>
      <c r="C11653">
        <v>-41</v>
      </c>
    </row>
    <row r="11654" spans="1:3" x14ac:dyDescent="0.25">
      <c r="A11654">
        <v>38</v>
      </c>
      <c r="B11654" t="str">
        <f>"9:06:53.051241"</f>
        <v>9:06:53.051241</v>
      </c>
      <c r="C11654">
        <v>-32</v>
      </c>
    </row>
    <row r="11655" spans="1:3" x14ac:dyDescent="0.25">
      <c r="A11655">
        <v>38</v>
      </c>
      <c r="B11655" t="str">
        <f>"9:06:53.051566"</f>
        <v>9:06:53.051566</v>
      </c>
      <c r="C11655">
        <v>-41</v>
      </c>
    </row>
    <row r="11656" spans="1:3" x14ac:dyDescent="0.25">
      <c r="A11656">
        <v>39</v>
      </c>
      <c r="B11656" t="str">
        <f>"9:06:53.052342"</f>
        <v>9:06:53.052342</v>
      </c>
      <c r="C11656">
        <v>-46</v>
      </c>
    </row>
    <row r="11657" spans="1:3" x14ac:dyDescent="0.25">
      <c r="A11657">
        <v>37</v>
      </c>
      <c r="B11657" t="str">
        <f>"9:06:53.403542"</f>
        <v>9:06:53.403542</v>
      </c>
      <c r="C11657">
        <v>-44</v>
      </c>
    </row>
    <row r="11658" spans="1:3" x14ac:dyDescent="0.25">
      <c r="A11658">
        <v>38</v>
      </c>
      <c r="B11658" t="str">
        <f>"9:06:53.404570"</f>
        <v>9:06:53.404570</v>
      </c>
      <c r="C11658">
        <v>-41</v>
      </c>
    </row>
    <row r="11659" spans="1:3" x14ac:dyDescent="0.25">
      <c r="A11659">
        <v>38</v>
      </c>
      <c r="B11659" t="str">
        <f>"9:06:53.405088"</f>
        <v>9:06:53.405088</v>
      </c>
      <c r="C11659">
        <v>-32</v>
      </c>
    </row>
    <row r="11660" spans="1:3" x14ac:dyDescent="0.25">
      <c r="A11660">
        <v>38</v>
      </c>
      <c r="B11660" t="str">
        <f>"9:06:53.405414"</f>
        <v>9:06:53.405414</v>
      </c>
      <c r="C11660">
        <v>-41</v>
      </c>
    </row>
    <row r="11661" spans="1:3" x14ac:dyDescent="0.25">
      <c r="A11661">
        <v>39</v>
      </c>
      <c r="B11661" t="str">
        <f>"9:06:53.406190"</f>
        <v>9:06:53.406190</v>
      </c>
      <c r="C11661">
        <v>-46</v>
      </c>
    </row>
    <row r="11662" spans="1:3" x14ac:dyDescent="0.25">
      <c r="A11662">
        <v>37</v>
      </c>
      <c r="B11662" t="str">
        <f>"9:06:53.754043"</f>
        <v>9:06:53.754043</v>
      </c>
      <c r="C11662">
        <v>-44</v>
      </c>
    </row>
    <row r="11663" spans="1:3" x14ac:dyDescent="0.25">
      <c r="A11663">
        <v>38</v>
      </c>
      <c r="B11663" t="str">
        <f>"9:06:53.755070"</f>
        <v>9:06:53.755070</v>
      </c>
      <c r="C11663">
        <v>-41</v>
      </c>
    </row>
    <row r="11664" spans="1:3" x14ac:dyDescent="0.25">
      <c r="A11664">
        <v>38</v>
      </c>
      <c r="B11664" t="str">
        <f>"9:06:53.755588"</f>
        <v>9:06:53.755588</v>
      </c>
      <c r="C11664">
        <v>-32</v>
      </c>
    </row>
    <row r="11665" spans="1:3" x14ac:dyDescent="0.25">
      <c r="A11665">
        <v>38</v>
      </c>
      <c r="B11665" t="str">
        <f>"9:06:53.755914"</f>
        <v>9:06:53.755914</v>
      </c>
      <c r="C11665">
        <v>-41</v>
      </c>
    </row>
    <row r="11666" spans="1:3" x14ac:dyDescent="0.25">
      <c r="A11666">
        <v>39</v>
      </c>
      <c r="B11666" t="str">
        <f>"9:06:53.756690"</f>
        <v>9:06:53.756690</v>
      </c>
      <c r="C11666">
        <v>-46</v>
      </c>
    </row>
    <row r="11667" spans="1:3" x14ac:dyDescent="0.25">
      <c r="A11667">
        <v>37</v>
      </c>
      <c r="B11667" t="str">
        <f>"9:06:54.108331"</f>
        <v>9:06:54.108331</v>
      </c>
      <c r="C11667">
        <v>-44</v>
      </c>
    </row>
    <row r="11668" spans="1:3" x14ac:dyDescent="0.25">
      <c r="A11668">
        <v>38</v>
      </c>
      <c r="B11668" t="str">
        <f>"9:06:54.109358"</f>
        <v>9:06:54.109358</v>
      </c>
      <c r="C11668">
        <v>-41</v>
      </c>
    </row>
    <row r="11669" spans="1:3" x14ac:dyDescent="0.25">
      <c r="A11669">
        <v>39</v>
      </c>
      <c r="B11669" t="str">
        <f>"9:06:54.110384"</f>
        <v>9:06:54.110384</v>
      </c>
      <c r="C11669">
        <v>-45</v>
      </c>
    </row>
    <row r="11670" spans="1:3" x14ac:dyDescent="0.25">
      <c r="A11670">
        <v>37</v>
      </c>
      <c r="B11670" t="str">
        <f>"9:06:54.462374"</f>
        <v>9:06:54.462374</v>
      </c>
      <c r="C11670">
        <v>-44</v>
      </c>
    </row>
    <row r="11671" spans="1:3" x14ac:dyDescent="0.25">
      <c r="A11671">
        <v>38</v>
      </c>
      <c r="B11671" t="str">
        <f>"9:06:54.463402"</f>
        <v>9:06:54.463402</v>
      </c>
      <c r="C11671">
        <v>-41</v>
      </c>
    </row>
    <row r="11672" spans="1:3" x14ac:dyDescent="0.25">
      <c r="A11672">
        <v>39</v>
      </c>
      <c r="B11672" t="str">
        <f>"9:06:54.464428"</f>
        <v>9:06:54.464428</v>
      </c>
      <c r="C11672">
        <v>-46</v>
      </c>
    </row>
    <row r="11673" spans="1:3" x14ac:dyDescent="0.25">
      <c r="A11673">
        <v>39</v>
      </c>
      <c r="B11673" t="str">
        <f>"9:06:54.464946"</f>
        <v>9:06:54.464946</v>
      </c>
      <c r="C11673">
        <v>-31</v>
      </c>
    </row>
    <row r="11674" spans="1:3" x14ac:dyDescent="0.25">
      <c r="A11674">
        <v>39</v>
      </c>
      <c r="B11674" t="str">
        <f>"9:06:54.465272"</f>
        <v>9:06:54.465272</v>
      </c>
      <c r="C11674">
        <v>-45</v>
      </c>
    </row>
    <row r="11675" spans="1:3" x14ac:dyDescent="0.25">
      <c r="A11675">
        <v>37</v>
      </c>
      <c r="B11675" t="str">
        <f>"9:06:54.815970"</f>
        <v>9:06:54.815970</v>
      </c>
      <c r="C11675">
        <v>-44</v>
      </c>
    </row>
    <row r="11676" spans="1:3" x14ac:dyDescent="0.25">
      <c r="A11676">
        <v>38</v>
      </c>
      <c r="B11676" t="str">
        <f>"9:06:54.816997"</f>
        <v>9:06:54.816997</v>
      </c>
      <c r="C11676">
        <v>-41</v>
      </c>
    </row>
    <row r="11677" spans="1:3" x14ac:dyDescent="0.25">
      <c r="A11677">
        <v>39</v>
      </c>
      <c r="B11677" t="str">
        <f>"9:06:54.818023"</f>
        <v>9:06:54.818023</v>
      </c>
      <c r="C11677">
        <v>-46</v>
      </c>
    </row>
    <row r="11678" spans="1:3" x14ac:dyDescent="0.25">
      <c r="A11678">
        <v>39</v>
      </c>
      <c r="B11678" t="str">
        <f>"9:06:54.818541"</f>
        <v>9:06:54.818541</v>
      </c>
      <c r="C11678">
        <v>-30</v>
      </c>
    </row>
    <row r="11679" spans="1:3" x14ac:dyDescent="0.25">
      <c r="A11679">
        <v>39</v>
      </c>
      <c r="B11679" t="str">
        <f>"9:06:54.818867"</f>
        <v>9:06:54.818867</v>
      </c>
      <c r="C11679">
        <v>-45</v>
      </c>
    </row>
    <row r="11680" spans="1:3" x14ac:dyDescent="0.25">
      <c r="A11680">
        <v>37</v>
      </c>
      <c r="B11680" t="str">
        <f>"9:06:55.173616"</f>
        <v>9:06:55.173616</v>
      </c>
      <c r="C11680">
        <v>-44</v>
      </c>
    </row>
    <row r="11681" spans="1:3" x14ac:dyDescent="0.25">
      <c r="A11681">
        <v>38</v>
      </c>
      <c r="B11681" t="str">
        <f>"9:06:55.174643"</f>
        <v>9:06:55.174643</v>
      </c>
      <c r="C11681">
        <v>-41</v>
      </c>
    </row>
    <row r="11682" spans="1:3" x14ac:dyDescent="0.25">
      <c r="A11682">
        <v>39</v>
      </c>
      <c r="B11682" t="str">
        <f>"9:06:55.175669"</f>
        <v>9:06:55.175669</v>
      </c>
      <c r="C11682">
        <v>-46</v>
      </c>
    </row>
    <row r="11683" spans="1:3" x14ac:dyDescent="0.25">
      <c r="A11683">
        <v>39</v>
      </c>
      <c r="B11683" t="str">
        <f>"9:06:55.176515"</f>
        <v>9:06:55.176515</v>
      </c>
      <c r="C11683">
        <v>-45</v>
      </c>
    </row>
    <row r="11684" spans="1:3" x14ac:dyDescent="0.25">
      <c r="A11684">
        <v>37</v>
      </c>
      <c r="B11684" t="str">
        <f>"9:06:55.528714"</f>
        <v>9:06:55.528714</v>
      </c>
      <c r="C11684">
        <v>-44</v>
      </c>
    </row>
    <row r="11685" spans="1:3" x14ac:dyDescent="0.25">
      <c r="A11685">
        <v>38</v>
      </c>
      <c r="B11685" t="str">
        <f>"9:06:55.529741"</f>
        <v>9:06:55.529741</v>
      </c>
      <c r="C11685">
        <v>-41</v>
      </c>
    </row>
    <row r="11686" spans="1:3" x14ac:dyDescent="0.25">
      <c r="A11686">
        <v>39</v>
      </c>
      <c r="B11686" t="str">
        <f>"9:06:55.530767"</f>
        <v>9:06:55.530767</v>
      </c>
      <c r="C11686">
        <v>-46</v>
      </c>
    </row>
    <row r="11687" spans="1:3" x14ac:dyDescent="0.25">
      <c r="A11687">
        <v>39</v>
      </c>
      <c r="B11687" t="str">
        <f>"9:06:55.531285"</f>
        <v>9:06:55.531285</v>
      </c>
      <c r="C11687">
        <v>-30</v>
      </c>
    </row>
    <row r="11688" spans="1:3" x14ac:dyDescent="0.25">
      <c r="A11688">
        <v>39</v>
      </c>
      <c r="B11688" t="str">
        <f>"9:06:55.531611"</f>
        <v>9:06:55.531611</v>
      </c>
      <c r="C11688">
        <v>-45</v>
      </c>
    </row>
    <row r="11689" spans="1:3" x14ac:dyDescent="0.25">
      <c r="A11689">
        <v>37</v>
      </c>
      <c r="B11689" t="str">
        <f>"9:06:55.880484"</f>
        <v>9:06:55.880484</v>
      </c>
      <c r="C11689">
        <v>-44</v>
      </c>
    </row>
    <row r="11690" spans="1:3" x14ac:dyDescent="0.25">
      <c r="A11690">
        <v>38</v>
      </c>
      <c r="B11690" t="str">
        <f>"9:06:55.881511"</f>
        <v>9:06:55.881511</v>
      </c>
      <c r="C11690">
        <v>-41</v>
      </c>
    </row>
    <row r="11691" spans="1:3" x14ac:dyDescent="0.25">
      <c r="A11691">
        <v>39</v>
      </c>
      <c r="B11691" t="str">
        <f>"9:06:55.882537"</f>
        <v>9:06:55.882537</v>
      </c>
      <c r="C11691">
        <v>-46</v>
      </c>
    </row>
    <row r="11692" spans="1:3" x14ac:dyDescent="0.25">
      <c r="A11692">
        <v>39</v>
      </c>
      <c r="B11692" t="str">
        <f>"9:06:55.883055"</f>
        <v>9:06:55.883055</v>
      </c>
      <c r="C11692">
        <v>-30</v>
      </c>
    </row>
    <row r="11693" spans="1:3" x14ac:dyDescent="0.25">
      <c r="A11693">
        <v>39</v>
      </c>
      <c r="B11693" t="str">
        <f>"9:06:55.883381"</f>
        <v>9:06:55.883381</v>
      </c>
      <c r="C11693">
        <v>-45</v>
      </c>
    </row>
    <row r="11694" spans="1:3" x14ac:dyDescent="0.25">
      <c r="A11694">
        <v>37</v>
      </c>
      <c r="B11694" t="str">
        <f>"9:06:56.239947"</f>
        <v>9:06:56.239947</v>
      </c>
      <c r="C11694">
        <v>-44</v>
      </c>
    </row>
    <row r="11695" spans="1:3" x14ac:dyDescent="0.25">
      <c r="A11695">
        <v>38</v>
      </c>
      <c r="B11695" t="str">
        <f>"9:06:56.240974"</f>
        <v>9:06:56.240974</v>
      </c>
      <c r="C11695">
        <v>-41</v>
      </c>
    </row>
    <row r="11696" spans="1:3" x14ac:dyDescent="0.25">
      <c r="A11696">
        <v>39</v>
      </c>
      <c r="B11696" t="str">
        <f>"9:06:56.242000"</f>
        <v>9:06:56.242000</v>
      </c>
      <c r="C11696">
        <v>-45</v>
      </c>
    </row>
    <row r="11697" spans="1:3" x14ac:dyDescent="0.25">
      <c r="A11697">
        <v>39</v>
      </c>
      <c r="B11697" t="str">
        <f>"9:06:56.242519"</f>
        <v>9:06:56.242519</v>
      </c>
      <c r="C11697">
        <v>-31</v>
      </c>
    </row>
    <row r="11698" spans="1:3" x14ac:dyDescent="0.25">
      <c r="A11698">
        <v>39</v>
      </c>
      <c r="B11698" t="str">
        <f>"9:06:56.242844"</f>
        <v>9:06:56.242844</v>
      </c>
      <c r="C11698">
        <v>-45</v>
      </c>
    </row>
    <row r="11699" spans="1:3" x14ac:dyDescent="0.25">
      <c r="A11699">
        <v>37</v>
      </c>
      <c r="B11699" t="str">
        <f>"9:06:56.591927"</f>
        <v>9:06:56.591927</v>
      </c>
      <c r="C11699">
        <v>-44</v>
      </c>
    </row>
    <row r="11700" spans="1:3" x14ac:dyDescent="0.25">
      <c r="A11700">
        <v>38</v>
      </c>
      <c r="B11700" t="str">
        <f>"9:06:56.592955"</f>
        <v>9:06:56.592955</v>
      </c>
      <c r="C11700">
        <v>-41</v>
      </c>
    </row>
    <row r="11701" spans="1:3" x14ac:dyDescent="0.25">
      <c r="A11701">
        <v>39</v>
      </c>
      <c r="B11701" t="str">
        <f>"9:06:56.593981"</f>
        <v>9:06:56.593981</v>
      </c>
      <c r="C11701">
        <v>-45</v>
      </c>
    </row>
    <row r="11702" spans="1:3" x14ac:dyDescent="0.25">
      <c r="A11702">
        <v>39</v>
      </c>
      <c r="B11702" t="str">
        <f>"9:06:56.594499"</f>
        <v>9:06:56.594499</v>
      </c>
      <c r="C11702">
        <v>-31</v>
      </c>
    </row>
    <row r="11703" spans="1:3" x14ac:dyDescent="0.25">
      <c r="A11703">
        <v>39</v>
      </c>
      <c r="B11703" t="str">
        <f>"9:06:56.594825"</f>
        <v>9:06:56.594825</v>
      </c>
      <c r="C11703">
        <v>-45</v>
      </c>
    </row>
    <row r="11704" spans="1:3" x14ac:dyDescent="0.25">
      <c r="A11704">
        <v>37</v>
      </c>
      <c r="B11704" t="str">
        <f>"9:06:56.951152"</f>
        <v>9:06:56.951152</v>
      </c>
      <c r="C11704">
        <v>-44</v>
      </c>
    </row>
    <row r="11705" spans="1:3" x14ac:dyDescent="0.25">
      <c r="A11705">
        <v>38</v>
      </c>
      <c r="B11705" t="str">
        <f>"9:06:56.952179"</f>
        <v>9:06:56.952179</v>
      </c>
      <c r="C11705">
        <v>-41</v>
      </c>
    </row>
    <row r="11706" spans="1:3" x14ac:dyDescent="0.25">
      <c r="A11706">
        <v>39</v>
      </c>
      <c r="B11706" t="str">
        <f>"9:06:56.953206"</f>
        <v>9:06:56.953206</v>
      </c>
      <c r="C11706">
        <v>-45</v>
      </c>
    </row>
    <row r="11707" spans="1:3" x14ac:dyDescent="0.25">
      <c r="A11707">
        <v>39</v>
      </c>
      <c r="B11707" t="str">
        <f>"9:06:56.953724"</f>
        <v>9:06:56.953724</v>
      </c>
      <c r="C11707">
        <v>-31</v>
      </c>
    </row>
    <row r="11708" spans="1:3" x14ac:dyDescent="0.25">
      <c r="A11708">
        <v>39</v>
      </c>
      <c r="B11708" t="str">
        <f>"9:06:56.954050"</f>
        <v>9:06:56.954050</v>
      </c>
      <c r="C11708">
        <v>-45</v>
      </c>
    </row>
    <row r="11709" spans="1:3" x14ac:dyDescent="0.25">
      <c r="A11709">
        <v>37</v>
      </c>
      <c r="B11709" t="str">
        <f>"9:06:57.307259"</f>
        <v>9:06:57.307259</v>
      </c>
      <c r="C11709">
        <v>-44</v>
      </c>
    </row>
    <row r="11710" spans="1:3" x14ac:dyDescent="0.25">
      <c r="A11710">
        <v>38</v>
      </c>
      <c r="B11710" t="str">
        <f>"9:06:57.308287"</f>
        <v>9:06:57.308287</v>
      </c>
      <c r="C11710">
        <v>-41</v>
      </c>
    </row>
    <row r="11711" spans="1:3" x14ac:dyDescent="0.25">
      <c r="A11711">
        <v>39</v>
      </c>
      <c r="B11711" t="str">
        <f>"9:06:57.309313"</f>
        <v>9:06:57.309313</v>
      </c>
      <c r="C11711">
        <v>-45</v>
      </c>
    </row>
    <row r="11712" spans="1:3" x14ac:dyDescent="0.25">
      <c r="A11712">
        <v>39</v>
      </c>
      <c r="B11712" t="str">
        <f>"9:06:57.309831"</f>
        <v>9:06:57.309831</v>
      </c>
      <c r="C11712">
        <v>-31</v>
      </c>
    </row>
    <row r="11713" spans="1:3" x14ac:dyDescent="0.25">
      <c r="A11713">
        <v>39</v>
      </c>
      <c r="B11713" t="str">
        <f>"9:06:57.310157"</f>
        <v>9:06:57.310157</v>
      </c>
      <c r="C11713">
        <v>-45</v>
      </c>
    </row>
    <row r="11714" spans="1:3" x14ac:dyDescent="0.25">
      <c r="A11714">
        <v>37</v>
      </c>
      <c r="B11714" t="str">
        <f>"9:06:57.664122"</f>
        <v>9:06:57.664122</v>
      </c>
      <c r="C11714">
        <v>-44</v>
      </c>
    </row>
    <row r="11715" spans="1:3" x14ac:dyDescent="0.25">
      <c r="A11715">
        <v>38</v>
      </c>
      <c r="B11715" t="str">
        <f>"9:06:57.665149"</f>
        <v>9:06:57.665149</v>
      </c>
      <c r="C11715">
        <v>-41</v>
      </c>
    </row>
    <row r="11716" spans="1:3" x14ac:dyDescent="0.25">
      <c r="A11716">
        <v>39</v>
      </c>
      <c r="B11716" t="str">
        <f>"9:06:57.666175"</f>
        <v>9:06:57.666175</v>
      </c>
      <c r="C11716">
        <v>-46</v>
      </c>
    </row>
    <row r="11717" spans="1:3" x14ac:dyDescent="0.25">
      <c r="A11717">
        <v>39</v>
      </c>
      <c r="B11717" t="str">
        <f>"9:06:57.666693"</f>
        <v>9:06:57.666693</v>
      </c>
      <c r="C11717">
        <v>-31</v>
      </c>
    </row>
    <row r="11718" spans="1:3" x14ac:dyDescent="0.25">
      <c r="A11718">
        <v>39</v>
      </c>
      <c r="B11718" t="str">
        <f>"9:06:57.667019"</f>
        <v>9:06:57.667019</v>
      </c>
      <c r="C11718">
        <v>-45</v>
      </c>
    </row>
    <row r="11719" spans="1:3" x14ac:dyDescent="0.25">
      <c r="A11719">
        <v>37</v>
      </c>
      <c r="B11719" t="str">
        <f>"9:06:58.021295"</f>
        <v>9:06:58.021295</v>
      </c>
      <c r="C11719">
        <v>-44</v>
      </c>
    </row>
    <row r="11720" spans="1:3" x14ac:dyDescent="0.25">
      <c r="A11720">
        <v>38</v>
      </c>
      <c r="B11720" t="str">
        <f>"9:06:58.022323"</f>
        <v>9:06:58.022323</v>
      </c>
      <c r="C11720">
        <v>-41</v>
      </c>
    </row>
    <row r="11721" spans="1:3" x14ac:dyDescent="0.25">
      <c r="A11721">
        <v>39</v>
      </c>
      <c r="B11721" t="str">
        <f>"9:06:58.023349"</f>
        <v>9:06:58.023349</v>
      </c>
      <c r="C11721">
        <v>-46</v>
      </c>
    </row>
    <row r="11722" spans="1:3" x14ac:dyDescent="0.25">
      <c r="A11722">
        <v>39</v>
      </c>
      <c r="B11722" t="str">
        <f>"9:06:58.023867"</f>
        <v>9:06:58.023867</v>
      </c>
      <c r="C11722">
        <v>-31</v>
      </c>
    </row>
    <row r="11723" spans="1:3" x14ac:dyDescent="0.25">
      <c r="A11723">
        <v>39</v>
      </c>
      <c r="B11723" t="str">
        <f>"9:06:58.024193"</f>
        <v>9:06:58.024193</v>
      </c>
      <c r="C11723">
        <v>-45</v>
      </c>
    </row>
    <row r="11724" spans="1:3" x14ac:dyDescent="0.25">
      <c r="A11724">
        <v>37</v>
      </c>
      <c r="B11724" t="str">
        <f>"9:06:58.372025"</f>
        <v>9:06:58.372025</v>
      </c>
      <c r="C11724">
        <v>-44</v>
      </c>
    </row>
    <row r="11725" spans="1:3" x14ac:dyDescent="0.25">
      <c r="A11725">
        <v>38</v>
      </c>
      <c r="B11725" t="str">
        <f>"9:06:58.373052"</f>
        <v>9:06:58.373052</v>
      </c>
      <c r="C11725">
        <v>-41</v>
      </c>
    </row>
    <row r="11726" spans="1:3" x14ac:dyDescent="0.25">
      <c r="A11726">
        <v>39</v>
      </c>
      <c r="B11726" t="str">
        <f>"9:06:58.374078"</f>
        <v>9:06:58.374078</v>
      </c>
      <c r="C11726">
        <v>-46</v>
      </c>
    </row>
    <row r="11727" spans="1:3" x14ac:dyDescent="0.25">
      <c r="A11727">
        <v>39</v>
      </c>
      <c r="B11727" t="str">
        <f>"9:06:58.374596"</f>
        <v>9:06:58.374596</v>
      </c>
      <c r="C11727">
        <v>-31</v>
      </c>
    </row>
    <row r="11728" spans="1:3" x14ac:dyDescent="0.25">
      <c r="A11728">
        <v>39</v>
      </c>
      <c r="B11728" t="str">
        <f>"9:06:58.374922"</f>
        <v>9:06:58.374922</v>
      </c>
      <c r="C11728">
        <v>-45</v>
      </c>
    </row>
    <row r="11729" spans="1:3" x14ac:dyDescent="0.25">
      <c r="A11729">
        <v>37</v>
      </c>
      <c r="B11729" t="str">
        <f>"9:06:58.727382"</f>
        <v>9:06:58.727382</v>
      </c>
      <c r="C11729">
        <v>-44</v>
      </c>
    </row>
    <row r="11730" spans="1:3" x14ac:dyDescent="0.25">
      <c r="A11730">
        <v>38</v>
      </c>
      <c r="B11730" t="str">
        <f>"9:06:58.728409"</f>
        <v>9:06:58.728409</v>
      </c>
      <c r="C11730">
        <v>-41</v>
      </c>
    </row>
    <row r="11731" spans="1:3" x14ac:dyDescent="0.25">
      <c r="A11731">
        <v>39</v>
      </c>
      <c r="B11731" t="str">
        <f>"9:06:58.729435"</f>
        <v>9:06:58.729435</v>
      </c>
      <c r="C11731">
        <v>-46</v>
      </c>
    </row>
    <row r="11732" spans="1:3" x14ac:dyDescent="0.25">
      <c r="A11732">
        <v>37</v>
      </c>
      <c r="B11732" t="str">
        <f>"9:06:59.077620"</f>
        <v>9:06:59.077620</v>
      </c>
      <c r="C11732">
        <v>-44</v>
      </c>
    </row>
    <row r="11733" spans="1:3" x14ac:dyDescent="0.25">
      <c r="A11733">
        <v>38</v>
      </c>
      <c r="B11733" t="str">
        <f>"9:06:59.078647"</f>
        <v>9:06:59.078647</v>
      </c>
      <c r="C11733">
        <v>-41</v>
      </c>
    </row>
    <row r="11734" spans="1:3" x14ac:dyDescent="0.25">
      <c r="A11734">
        <v>39</v>
      </c>
      <c r="B11734" t="str">
        <f>"9:06:59.079673"</f>
        <v>9:06:59.079673</v>
      </c>
      <c r="C11734">
        <v>-46</v>
      </c>
    </row>
    <row r="11735" spans="1:3" x14ac:dyDescent="0.25">
      <c r="A11735">
        <v>39</v>
      </c>
      <c r="B11735" t="str">
        <f>"9:06:59.080191"</f>
        <v>9:06:59.080191</v>
      </c>
      <c r="C11735">
        <v>-31</v>
      </c>
    </row>
    <row r="11736" spans="1:3" x14ac:dyDescent="0.25">
      <c r="A11736">
        <v>39</v>
      </c>
      <c r="B11736" t="str">
        <f>"9:06:59.080517"</f>
        <v>9:06:59.080517</v>
      </c>
      <c r="C11736">
        <v>-45</v>
      </c>
    </row>
    <row r="11737" spans="1:3" x14ac:dyDescent="0.25">
      <c r="A11737">
        <v>37</v>
      </c>
      <c r="B11737" t="str">
        <f>"9:06:59.432960"</f>
        <v>9:06:59.432960</v>
      </c>
      <c r="C11737">
        <v>-44</v>
      </c>
    </row>
    <row r="11738" spans="1:3" x14ac:dyDescent="0.25">
      <c r="A11738">
        <v>38</v>
      </c>
      <c r="B11738" t="str">
        <f>"9:06:59.433987"</f>
        <v>9:06:59.433987</v>
      </c>
      <c r="C11738">
        <v>-41</v>
      </c>
    </row>
    <row r="11739" spans="1:3" x14ac:dyDescent="0.25">
      <c r="A11739">
        <v>39</v>
      </c>
      <c r="B11739" t="str">
        <f>"9:06:59.435013"</f>
        <v>9:06:59.435013</v>
      </c>
      <c r="C11739">
        <v>-46</v>
      </c>
    </row>
    <row r="11740" spans="1:3" x14ac:dyDescent="0.25">
      <c r="A11740">
        <v>37</v>
      </c>
      <c r="B11740" t="str">
        <f>"9:06:59.784977"</f>
        <v>9:06:59.784977</v>
      </c>
      <c r="C11740">
        <v>-44</v>
      </c>
    </row>
    <row r="11741" spans="1:3" x14ac:dyDescent="0.25">
      <c r="A11741">
        <v>37</v>
      </c>
      <c r="B11741" t="str">
        <f>"9:06:59.785496"</f>
        <v>9:06:59.785496</v>
      </c>
      <c r="C11741">
        <v>-40</v>
      </c>
    </row>
    <row r="11742" spans="1:3" x14ac:dyDescent="0.25">
      <c r="A11742">
        <v>37</v>
      </c>
      <c r="B11742" t="str">
        <f>"9:06:59.785822"</f>
        <v>9:06:59.785822</v>
      </c>
      <c r="C11742">
        <v>-44</v>
      </c>
    </row>
    <row r="11743" spans="1:3" x14ac:dyDescent="0.25">
      <c r="A11743">
        <v>38</v>
      </c>
      <c r="B11743" t="str">
        <f>"9:06:59.786599"</f>
        <v>9:06:59.786599</v>
      </c>
      <c r="C11743">
        <v>-41</v>
      </c>
    </row>
    <row r="11744" spans="1:3" x14ac:dyDescent="0.25">
      <c r="A11744">
        <v>39</v>
      </c>
      <c r="B11744" t="str">
        <f>"9:06:59.787625"</f>
        <v>9:06:59.787625</v>
      </c>
      <c r="C11744">
        <v>-46</v>
      </c>
    </row>
    <row r="11745" spans="1:3" x14ac:dyDescent="0.25">
      <c r="A11745">
        <v>37</v>
      </c>
      <c r="B11745" t="str">
        <f>"9:07:00.138268"</f>
        <v>9:07:00.138268</v>
      </c>
      <c r="C11745">
        <v>-44</v>
      </c>
    </row>
    <row r="11746" spans="1:3" x14ac:dyDescent="0.25">
      <c r="A11746">
        <v>37</v>
      </c>
      <c r="B11746" t="str">
        <f>"9:07:00.138786"</f>
        <v>9:07:00.138786</v>
      </c>
      <c r="C11746">
        <v>-40</v>
      </c>
    </row>
    <row r="11747" spans="1:3" x14ac:dyDescent="0.25">
      <c r="A11747">
        <v>37</v>
      </c>
      <c r="B11747" t="str">
        <f>"9:07:00.139113"</f>
        <v>9:07:00.139113</v>
      </c>
      <c r="C11747">
        <v>-44</v>
      </c>
    </row>
    <row r="11748" spans="1:3" x14ac:dyDescent="0.25">
      <c r="A11748">
        <v>38</v>
      </c>
      <c r="B11748" t="str">
        <f>"9:07:00.139889"</f>
        <v>9:07:00.139889</v>
      </c>
      <c r="C11748">
        <v>-41</v>
      </c>
    </row>
    <row r="11749" spans="1:3" x14ac:dyDescent="0.25">
      <c r="A11749">
        <v>38</v>
      </c>
      <c r="B11749" t="str">
        <f>"9:07:00.140409"</f>
        <v>9:07:00.140409</v>
      </c>
      <c r="C11749">
        <v>-83</v>
      </c>
    </row>
    <row r="11750" spans="1:3" x14ac:dyDescent="0.25">
      <c r="A11750">
        <v>39</v>
      </c>
      <c r="B11750" t="str">
        <f>"9:07:00.140986"</f>
        <v>9:07:00.140986</v>
      </c>
      <c r="C11750">
        <v>-46</v>
      </c>
    </row>
    <row r="11751" spans="1:3" x14ac:dyDescent="0.25">
      <c r="A11751">
        <v>37</v>
      </c>
      <c r="B11751" t="str">
        <f>"9:07:00.493573"</f>
        <v>9:07:00.493573</v>
      </c>
      <c r="C11751">
        <v>-44</v>
      </c>
    </row>
    <row r="11752" spans="1:3" x14ac:dyDescent="0.25">
      <c r="A11752">
        <v>37</v>
      </c>
      <c r="B11752" t="str">
        <f>"9:07:00.494091"</f>
        <v>9:07:00.494091</v>
      </c>
      <c r="C11752">
        <v>-40</v>
      </c>
    </row>
    <row r="11753" spans="1:3" x14ac:dyDescent="0.25">
      <c r="A11753">
        <v>37</v>
      </c>
      <c r="B11753" t="str">
        <f>"9:07:00.494418"</f>
        <v>9:07:00.494418</v>
      </c>
      <c r="C11753">
        <v>-44</v>
      </c>
    </row>
    <row r="11754" spans="1:3" x14ac:dyDescent="0.25">
      <c r="A11754">
        <v>38</v>
      </c>
      <c r="B11754" t="str">
        <f>"9:07:00.495194"</f>
        <v>9:07:00.495194</v>
      </c>
      <c r="C11754">
        <v>-41</v>
      </c>
    </row>
    <row r="11755" spans="1:3" x14ac:dyDescent="0.25">
      <c r="A11755">
        <v>39</v>
      </c>
      <c r="B11755" t="str">
        <f>"9:07:00.496220"</f>
        <v>9:07:00.496220</v>
      </c>
      <c r="C11755">
        <v>-46</v>
      </c>
    </row>
    <row r="11756" spans="1:3" x14ac:dyDescent="0.25">
      <c r="A11756">
        <v>37</v>
      </c>
      <c r="B11756" t="str">
        <f>"9:07:00.852736"</f>
        <v>9:07:00.852736</v>
      </c>
      <c r="C11756">
        <v>-44</v>
      </c>
    </row>
    <row r="11757" spans="1:3" x14ac:dyDescent="0.25">
      <c r="A11757">
        <v>37</v>
      </c>
      <c r="B11757" t="str">
        <f>"9:07:00.853254"</f>
        <v>9:07:00.853254</v>
      </c>
      <c r="C11757">
        <v>-40</v>
      </c>
    </row>
    <row r="11758" spans="1:3" x14ac:dyDescent="0.25">
      <c r="A11758">
        <v>37</v>
      </c>
      <c r="B11758" t="str">
        <f>"9:07:00.853580"</f>
        <v>9:07:00.853580</v>
      </c>
      <c r="C11758">
        <v>-44</v>
      </c>
    </row>
    <row r="11759" spans="1:3" x14ac:dyDescent="0.25">
      <c r="A11759">
        <v>38</v>
      </c>
      <c r="B11759" t="str">
        <f>"9:07:00.854356"</f>
        <v>9:07:00.854356</v>
      </c>
      <c r="C11759">
        <v>-41</v>
      </c>
    </row>
    <row r="11760" spans="1:3" x14ac:dyDescent="0.25">
      <c r="A11760">
        <v>39</v>
      </c>
      <c r="B11760" t="str">
        <f>"9:07:00.855382"</f>
        <v>9:07:00.855382</v>
      </c>
      <c r="C11760">
        <v>-46</v>
      </c>
    </row>
    <row r="11761" spans="1:3" x14ac:dyDescent="0.25">
      <c r="A11761">
        <v>37</v>
      </c>
      <c r="B11761" t="str">
        <f>"9:07:01.203474"</f>
        <v>9:07:01.203474</v>
      </c>
      <c r="C11761">
        <v>-44</v>
      </c>
    </row>
    <row r="11762" spans="1:3" x14ac:dyDescent="0.25">
      <c r="A11762">
        <v>38</v>
      </c>
      <c r="B11762" t="str">
        <f>"9:07:01.204502"</f>
        <v>9:07:01.204502</v>
      </c>
      <c r="C11762">
        <v>-41</v>
      </c>
    </row>
    <row r="11763" spans="1:3" x14ac:dyDescent="0.25">
      <c r="A11763">
        <v>39</v>
      </c>
      <c r="B11763" t="str">
        <f>"9:07:01.205528"</f>
        <v>9:07:01.205528</v>
      </c>
      <c r="C11763">
        <v>-46</v>
      </c>
    </row>
    <row r="11764" spans="1:3" x14ac:dyDescent="0.25">
      <c r="A11764">
        <v>37</v>
      </c>
      <c r="B11764" t="str">
        <f>"9:07:01.558313"</f>
        <v>9:07:01.558313</v>
      </c>
      <c r="C11764">
        <v>-44</v>
      </c>
    </row>
    <row r="11765" spans="1:3" x14ac:dyDescent="0.25">
      <c r="A11765">
        <v>37</v>
      </c>
      <c r="B11765" t="str">
        <f>"9:07:01.558831"</f>
        <v>9:07:01.558831</v>
      </c>
      <c r="C11765">
        <v>-40</v>
      </c>
    </row>
    <row r="11766" spans="1:3" x14ac:dyDescent="0.25">
      <c r="A11766">
        <v>37</v>
      </c>
      <c r="B11766" t="str">
        <f>"9:07:01.559158"</f>
        <v>9:07:01.559158</v>
      </c>
      <c r="C11766">
        <v>-44</v>
      </c>
    </row>
    <row r="11767" spans="1:3" x14ac:dyDescent="0.25">
      <c r="A11767">
        <v>38</v>
      </c>
      <c r="B11767" t="str">
        <f>"9:07:01.559934"</f>
        <v>9:07:01.559934</v>
      </c>
      <c r="C11767">
        <v>-41</v>
      </c>
    </row>
    <row r="11768" spans="1:3" x14ac:dyDescent="0.25">
      <c r="A11768">
        <v>39</v>
      </c>
      <c r="B11768" t="str">
        <f>"9:07:01.560960"</f>
        <v>9:07:01.560960</v>
      </c>
      <c r="C11768">
        <v>-45</v>
      </c>
    </row>
    <row r="11769" spans="1:3" x14ac:dyDescent="0.25">
      <c r="A11769">
        <v>37</v>
      </c>
      <c r="B11769" t="str">
        <f>"9:07:01.913683"</f>
        <v>9:07:01.913683</v>
      </c>
      <c r="C11769">
        <v>-44</v>
      </c>
    </row>
    <row r="11770" spans="1:3" x14ac:dyDescent="0.25">
      <c r="A11770">
        <v>37</v>
      </c>
      <c r="B11770" t="str">
        <f>"9:07:01.914202"</f>
        <v>9:07:01.914202</v>
      </c>
      <c r="C11770">
        <v>-40</v>
      </c>
    </row>
    <row r="11771" spans="1:3" x14ac:dyDescent="0.25">
      <c r="A11771">
        <v>37</v>
      </c>
      <c r="B11771" t="str">
        <f>"9:07:01.914528"</f>
        <v>9:07:01.914528</v>
      </c>
      <c r="C11771">
        <v>-44</v>
      </c>
    </row>
    <row r="11772" spans="1:3" x14ac:dyDescent="0.25">
      <c r="A11772">
        <v>38</v>
      </c>
      <c r="B11772" t="str">
        <f>"9:07:01.915304"</f>
        <v>9:07:01.915304</v>
      </c>
      <c r="C11772">
        <v>-41</v>
      </c>
    </row>
    <row r="11773" spans="1:3" x14ac:dyDescent="0.25">
      <c r="A11773">
        <v>39</v>
      </c>
      <c r="B11773" t="str">
        <f>"9:07:01.916330"</f>
        <v>9:07:01.916330</v>
      </c>
      <c r="C11773">
        <v>-45</v>
      </c>
    </row>
    <row r="11774" spans="1:3" x14ac:dyDescent="0.25">
      <c r="A11774">
        <v>37</v>
      </c>
      <c r="B11774" t="str">
        <f>"9:07:02.269572"</f>
        <v>9:07:02.269572</v>
      </c>
      <c r="C11774">
        <v>-44</v>
      </c>
    </row>
    <row r="11775" spans="1:3" x14ac:dyDescent="0.25">
      <c r="A11775">
        <v>37</v>
      </c>
      <c r="B11775" t="str">
        <f>"9:07:02.270091"</f>
        <v>9:07:02.270091</v>
      </c>
      <c r="C11775">
        <v>-40</v>
      </c>
    </row>
    <row r="11776" spans="1:3" x14ac:dyDescent="0.25">
      <c r="A11776">
        <v>37</v>
      </c>
      <c r="B11776" t="str">
        <f>"9:07:02.270416"</f>
        <v>9:07:02.270416</v>
      </c>
      <c r="C11776">
        <v>-44</v>
      </c>
    </row>
    <row r="11777" spans="1:3" x14ac:dyDescent="0.25">
      <c r="A11777">
        <v>38</v>
      </c>
      <c r="B11777" t="str">
        <f>"9:07:02.271193"</f>
        <v>9:07:02.271193</v>
      </c>
      <c r="C11777">
        <v>-41</v>
      </c>
    </row>
    <row r="11778" spans="1:3" x14ac:dyDescent="0.25">
      <c r="A11778">
        <v>39</v>
      </c>
      <c r="B11778" t="str">
        <f>"9:07:02.272219"</f>
        <v>9:07:02.272219</v>
      </c>
      <c r="C11778">
        <v>-45</v>
      </c>
    </row>
    <row r="11779" spans="1:3" x14ac:dyDescent="0.25">
      <c r="A11779">
        <v>37</v>
      </c>
      <c r="B11779" t="str">
        <f>"9:07:02.623419"</f>
        <v>9:07:02.623419</v>
      </c>
      <c r="C11779">
        <v>-44</v>
      </c>
    </row>
    <row r="11780" spans="1:3" x14ac:dyDescent="0.25">
      <c r="A11780">
        <v>39</v>
      </c>
      <c r="B11780" t="str">
        <f>"9:07:02.625472"</f>
        <v>9:07:02.625472</v>
      </c>
      <c r="C11780">
        <v>-46</v>
      </c>
    </row>
    <row r="11781" spans="1:3" x14ac:dyDescent="0.25">
      <c r="A11781">
        <v>37</v>
      </c>
      <c r="B11781" t="str">
        <f>"9:07:02.977727"</f>
        <v>9:07:02.977727</v>
      </c>
      <c r="C11781">
        <v>-44</v>
      </c>
    </row>
    <row r="11782" spans="1:3" x14ac:dyDescent="0.25">
      <c r="A11782">
        <v>37</v>
      </c>
      <c r="B11782" t="str">
        <f>"9:07:02.978245"</f>
        <v>9:07:02.978245</v>
      </c>
      <c r="C11782">
        <v>-38</v>
      </c>
    </row>
    <row r="11783" spans="1:3" x14ac:dyDescent="0.25">
      <c r="A11783">
        <v>37</v>
      </c>
      <c r="B11783" t="str">
        <f>"9:07:02.978571"</f>
        <v>9:07:02.978571</v>
      </c>
      <c r="C11783">
        <v>-44</v>
      </c>
    </row>
    <row r="11784" spans="1:3" x14ac:dyDescent="0.25">
      <c r="A11784">
        <v>38</v>
      </c>
      <c r="B11784" t="str">
        <f>"9:07:02.979347"</f>
        <v>9:07:02.979347</v>
      </c>
      <c r="C11784">
        <v>-41</v>
      </c>
    </row>
    <row r="11785" spans="1:3" x14ac:dyDescent="0.25">
      <c r="A11785">
        <v>39</v>
      </c>
      <c r="B11785" t="str">
        <f>"9:07:02.980373"</f>
        <v>9:07:02.980373</v>
      </c>
      <c r="C11785">
        <v>-45</v>
      </c>
    </row>
    <row r="11786" spans="1:3" x14ac:dyDescent="0.25">
      <c r="A11786">
        <v>37</v>
      </c>
      <c r="B11786" t="str">
        <f>"9:07:03.335860"</f>
        <v>9:07:03.335860</v>
      </c>
      <c r="C11786">
        <v>-44</v>
      </c>
    </row>
    <row r="11787" spans="1:3" x14ac:dyDescent="0.25">
      <c r="A11787">
        <v>38</v>
      </c>
      <c r="B11787" t="str">
        <f>"9:07:03.336887"</f>
        <v>9:07:03.336887</v>
      </c>
      <c r="C11787">
        <v>-41</v>
      </c>
    </row>
    <row r="11788" spans="1:3" x14ac:dyDescent="0.25">
      <c r="A11788">
        <v>39</v>
      </c>
      <c r="B11788" t="str">
        <f>"9:07:03.337913"</f>
        <v>9:07:03.337913</v>
      </c>
      <c r="C11788">
        <v>-46</v>
      </c>
    </row>
    <row r="11789" spans="1:3" x14ac:dyDescent="0.25">
      <c r="A11789">
        <v>37</v>
      </c>
      <c r="B11789" t="str">
        <f>"9:07:03.693770"</f>
        <v>9:07:03.693770</v>
      </c>
      <c r="C11789">
        <v>-44</v>
      </c>
    </row>
    <row r="11790" spans="1:3" x14ac:dyDescent="0.25">
      <c r="A11790">
        <v>37</v>
      </c>
      <c r="B11790" t="str">
        <f>"9:07:03.694289"</f>
        <v>9:07:03.694289</v>
      </c>
      <c r="C11790">
        <v>-38</v>
      </c>
    </row>
    <row r="11791" spans="1:3" x14ac:dyDescent="0.25">
      <c r="A11791">
        <v>37</v>
      </c>
      <c r="B11791" t="str">
        <f>"9:07:03.694614"</f>
        <v>9:07:03.694614</v>
      </c>
      <c r="C11791">
        <v>-44</v>
      </c>
    </row>
    <row r="11792" spans="1:3" x14ac:dyDescent="0.25">
      <c r="A11792">
        <v>38</v>
      </c>
      <c r="B11792" t="str">
        <f>"9:07:03.695391"</f>
        <v>9:07:03.695391</v>
      </c>
      <c r="C11792">
        <v>-41</v>
      </c>
    </row>
    <row r="11793" spans="1:3" x14ac:dyDescent="0.25">
      <c r="A11793">
        <v>39</v>
      </c>
      <c r="B11793" t="str">
        <f>"9:07:03.696417"</f>
        <v>9:07:03.696417</v>
      </c>
      <c r="C11793">
        <v>-46</v>
      </c>
    </row>
    <row r="11794" spans="1:3" x14ac:dyDescent="0.25">
      <c r="A11794">
        <v>37</v>
      </c>
      <c r="B11794" t="str">
        <f>"9:07:04.046356"</f>
        <v>9:07:04.046356</v>
      </c>
      <c r="C11794">
        <v>-44</v>
      </c>
    </row>
    <row r="11795" spans="1:3" x14ac:dyDescent="0.25">
      <c r="A11795">
        <v>38</v>
      </c>
      <c r="B11795" t="str">
        <f>"9:07:04.047383"</f>
        <v>9:07:04.047383</v>
      </c>
      <c r="C11795">
        <v>-41</v>
      </c>
    </row>
    <row r="11796" spans="1:3" x14ac:dyDescent="0.25">
      <c r="A11796">
        <v>39</v>
      </c>
      <c r="B11796" t="str">
        <f>"9:07:04.048409"</f>
        <v>9:07:04.048409</v>
      </c>
      <c r="C11796">
        <v>-45</v>
      </c>
    </row>
    <row r="11797" spans="1:3" x14ac:dyDescent="0.25">
      <c r="A11797">
        <v>37</v>
      </c>
      <c r="B11797" t="str">
        <f>"9:07:04.396851"</f>
        <v>9:07:04.396851</v>
      </c>
      <c r="C11797">
        <v>-44</v>
      </c>
    </row>
    <row r="11798" spans="1:3" x14ac:dyDescent="0.25">
      <c r="A11798">
        <v>38</v>
      </c>
      <c r="B11798" t="str">
        <f>"9:07:04.397879"</f>
        <v>9:07:04.397879</v>
      </c>
      <c r="C11798">
        <v>-41</v>
      </c>
    </row>
    <row r="11799" spans="1:3" x14ac:dyDescent="0.25">
      <c r="A11799">
        <v>39</v>
      </c>
      <c r="B11799" t="str">
        <f>"9:07:04.398905"</f>
        <v>9:07:04.398905</v>
      </c>
      <c r="C11799">
        <v>-46</v>
      </c>
    </row>
    <row r="11800" spans="1:3" x14ac:dyDescent="0.25">
      <c r="A11800">
        <v>37</v>
      </c>
      <c r="B11800" t="str">
        <f>"9:07:04.756828"</f>
        <v>9:07:04.756828</v>
      </c>
      <c r="C11800">
        <v>-44</v>
      </c>
    </row>
    <row r="11801" spans="1:3" x14ac:dyDescent="0.25">
      <c r="A11801">
        <v>38</v>
      </c>
      <c r="B11801" t="str">
        <f>"9:07:04.757856"</f>
        <v>9:07:04.757856</v>
      </c>
      <c r="C11801">
        <v>-41</v>
      </c>
    </row>
    <row r="11802" spans="1:3" x14ac:dyDescent="0.25">
      <c r="A11802">
        <v>38</v>
      </c>
      <c r="B11802" t="str">
        <f>"9:07:04.758374"</f>
        <v>9:07:04.758374</v>
      </c>
      <c r="C11802">
        <v>-32</v>
      </c>
    </row>
    <row r="11803" spans="1:3" x14ac:dyDescent="0.25">
      <c r="A11803">
        <v>38</v>
      </c>
      <c r="B11803" t="str">
        <f>"9:07:04.758700"</f>
        <v>9:07:04.758700</v>
      </c>
      <c r="C11803">
        <v>-41</v>
      </c>
    </row>
    <row r="11804" spans="1:3" x14ac:dyDescent="0.25">
      <c r="A11804">
        <v>39</v>
      </c>
      <c r="B11804" t="str">
        <f>"9:07:04.759476"</f>
        <v>9:07:04.759476</v>
      </c>
      <c r="C11804">
        <v>-46</v>
      </c>
    </row>
    <row r="11805" spans="1:3" x14ac:dyDescent="0.25">
      <c r="A11805">
        <v>37</v>
      </c>
      <c r="B11805" t="str">
        <f>"9:07:05.115816"</f>
        <v>9:07:05.115816</v>
      </c>
      <c r="C11805">
        <v>-44</v>
      </c>
    </row>
    <row r="11806" spans="1:3" x14ac:dyDescent="0.25">
      <c r="A11806">
        <v>38</v>
      </c>
      <c r="B11806" t="str">
        <f>"9:07:05.116844"</f>
        <v>9:07:05.116844</v>
      </c>
      <c r="C11806">
        <v>-41</v>
      </c>
    </row>
    <row r="11807" spans="1:3" x14ac:dyDescent="0.25">
      <c r="A11807">
        <v>39</v>
      </c>
      <c r="B11807" t="str">
        <f>"9:07:05.117870"</f>
        <v>9:07:05.117870</v>
      </c>
      <c r="C11807">
        <v>-46</v>
      </c>
    </row>
    <row r="11808" spans="1:3" x14ac:dyDescent="0.25">
      <c r="A11808">
        <v>37</v>
      </c>
      <c r="B11808" t="str">
        <f>"9:07:05.474211"</f>
        <v>9:07:05.474211</v>
      </c>
      <c r="C11808">
        <v>-44</v>
      </c>
    </row>
    <row r="11809" spans="1:3" x14ac:dyDescent="0.25">
      <c r="A11809">
        <v>38</v>
      </c>
      <c r="B11809" t="str">
        <f>"9:07:05.475238"</f>
        <v>9:07:05.475238</v>
      </c>
      <c r="C11809">
        <v>-41</v>
      </c>
    </row>
    <row r="11810" spans="1:3" x14ac:dyDescent="0.25">
      <c r="A11810">
        <v>39</v>
      </c>
      <c r="B11810" t="str">
        <f>"9:07:05.476264"</f>
        <v>9:07:05.476264</v>
      </c>
      <c r="C11810">
        <v>-46</v>
      </c>
    </row>
    <row r="11811" spans="1:3" x14ac:dyDescent="0.25">
      <c r="A11811">
        <v>37</v>
      </c>
      <c r="B11811" t="str">
        <f>"9:07:05.828828"</f>
        <v>9:07:05.828828</v>
      </c>
      <c r="C11811">
        <v>-44</v>
      </c>
    </row>
    <row r="11812" spans="1:3" x14ac:dyDescent="0.25">
      <c r="A11812">
        <v>38</v>
      </c>
      <c r="B11812" t="str">
        <f>"9:07:05.829856"</f>
        <v>9:07:05.829856</v>
      </c>
      <c r="C11812">
        <v>-41</v>
      </c>
    </row>
    <row r="11813" spans="1:3" x14ac:dyDescent="0.25">
      <c r="A11813">
        <v>38</v>
      </c>
      <c r="B11813" t="str">
        <f>"9:07:05.830374"</f>
        <v>9:07:05.830374</v>
      </c>
      <c r="C11813">
        <v>-32</v>
      </c>
    </row>
    <row r="11814" spans="1:3" x14ac:dyDescent="0.25">
      <c r="A11814">
        <v>38</v>
      </c>
      <c r="B11814" t="str">
        <f>"9:07:05.830700"</f>
        <v>9:07:05.830700</v>
      </c>
      <c r="C11814">
        <v>-41</v>
      </c>
    </row>
    <row r="11815" spans="1:3" x14ac:dyDescent="0.25">
      <c r="A11815">
        <v>39</v>
      </c>
      <c r="B11815" t="str">
        <f>"9:07:05.831476"</f>
        <v>9:07:05.831476</v>
      </c>
      <c r="C11815">
        <v>-46</v>
      </c>
    </row>
    <row r="11816" spans="1:3" x14ac:dyDescent="0.25">
      <c r="A11816">
        <v>37</v>
      </c>
      <c r="B11816" t="str">
        <f>"9:07:06.186791"</f>
        <v>9:07:06.186791</v>
      </c>
      <c r="C11816">
        <v>-44</v>
      </c>
    </row>
    <row r="11817" spans="1:3" x14ac:dyDescent="0.25">
      <c r="A11817">
        <v>38</v>
      </c>
      <c r="B11817" t="str">
        <f>"9:07:06.187818"</f>
        <v>9:07:06.187818</v>
      </c>
      <c r="C11817">
        <v>-41</v>
      </c>
    </row>
    <row r="11818" spans="1:3" x14ac:dyDescent="0.25">
      <c r="A11818">
        <v>38</v>
      </c>
      <c r="B11818" t="str">
        <f>"9:07:06.188337"</f>
        <v>9:07:06.188337</v>
      </c>
      <c r="C11818">
        <v>-31</v>
      </c>
    </row>
    <row r="11819" spans="1:3" x14ac:dyDescent="0.25">
      <c r="A11819">
        <v>38</v>
      </c>
      <c r="B11819" t="str">
        <f>"9:07:06.188664"</f>
        <v>9:07:06.188664</v>
      </c>
      <c r="C11819">
        <v>-42</v>
      </c>
    </row>
    <row r="11820" spans="1:3" x14ac:dyDescent="0.25">
      <c r="A11820">
        <v>39</v>
      </c>
      <c r="B11820" t="str">
        <f>"9:07:06.189439"</f>
        <v>9:07:06.189439</v>
      </c>
      <c r="C11820">
        <v>-46</v>
      </c>
    </row>
    <row r="11821" spans="1:3" x14ac:dyDescent="0.25">
      <c r="A11821">
        <v>37</v>
      </c>
      <c r="B11821" t="str">
        <f>"9:07:06.543169"</f>
        <v>9:07:06.543169</v>
      </c>
      <c r="C11821">
        <v>-44</v>
      </c>
    </row>
    <row r="11822" spans="1:3" x14ac:dyDescent="0.25">
      <c r="A11822">
        <v>38</v>
      </c>
      <c r="B11822" t="str">
        <f>"9:07:06.544196"</f>
        <v>9:07:06.544196</v>
      </c>
      <c r="C11822">
        <v>-41</v>
      </c>
    </row>
    <row r="11823" spans="1:3" x14ac:dyDescent="0.25">
      <c r="A11823">
        <v>38</v>
      </c>
      <c r="B11823" t="str">
        <f>"9:07:06.544715"</f>
        <v>9:07:06.544715</v>
      </c>
      <c r="C11823">
        <v>-32</v>
      </c>
    </row>
    <row r="11824" spans="1:3" x14ac:dyDescent="0.25">
      <c r="A11824">
        <v>38</v>
      </c>
      <c r="B11824" t="str">
        <f>"9:07:06.545041"</f>
        <v>9:07:06.545041</v>
      </c>
      <c r="C11824">
        <v>-41</v>
      </c>
    </row>
    <row r="11825" spans="1:3" x14ac:dyDescent="0.25">
      <c r="A11825">
        <v>39</v>
      </c>
      <c r="B11825" t="str">
        <f>"9:07:06.545817"</f>
        <v>9:07:06.545817</v>
      </c>
      <c r="C11825">
        <v>-46</v>
      </c>
    </row>
    <row r="11826" spans="1:3" x14ac:dyDescent="0.25">
      <c r="A11826">
        <v>37</v>
      </c>
      <c r="B11826" t="str">
        <f>"9:07:06.899770"</f>
        <v>9:07:06.899770</v>
      </c>
      <c r="C11826">
        <v>-44</v>
      </c>
    </row>
    <row r="11827" spans="1:3" x14ac:dyDescent="0.25">
      <c r="A11827">
        <v>38</v>
      </c>
      <c r="B11827" t="str">
        <f>"9:07:06.900797"</f>
        <v>9:07:06.900797</v>
      </c>
      <c r="C11827">
        <v>-41</v>
      </c>
    </row>
    <row r="11828" spans="1:3" x14ac:dyDescent="0.25">
      <c r="A11828">
        <v>39</v>
      </c>
      <c r="B11828" t="str">
        <f>"9:07:06.901823"</f>
        <v>9:07:06.901823</v>
      </c>
      <c r="C11828">
        <v>-46</v>
      </c>
    </row>
    <row r="11829" spans="1:3" x14ac:dyDescent="0.25">
      <c r="A11829">
        <v>37</v>
      </c>
      <c r="B11829" t="str">
        <f>"9:07:07.256168"</f>
        <v>9:07:07.256168</v>
      </c>
      <c r="C11829">
        <v>-44</v>
      </c>
    </row>
    <row r="11830" spans="1:3" x14ac:dyDescent="0.25">
      <c r="A11830">
        <v>38</v>
      </c>
      <c r="B11830" t="str">
        <f>"9:07:07.257195"</f>
        <v>9:07:07.257195</v>
      </c>
      <c r="C11830">
        <v>-41</v>
      </c>
    </row>
    <row r="11831" spans="1:3" x14ac:dyDescent="0.25">
      <c r="A11831">
        <v>38</v>
      </c>
      <c r="B11831" t="str">
        <f>"9:07:07.257713"</f>
        <v>9:07:07.257713</v>
      </c>
      <c r="C11831">
        <v>-32</v>
      </c>
    </row>
    <row r="11832" spans="1:3" x14ac:dyDescent="0.25">
      <c r="A11832">
        <v>38</v>
      </c>
      <c r="B11832" t="str">
        <f>"9:07:07.258039"</f>
        <v>9:07:07.258039</v>
      </c>
      <c r="C11832">
        <v>-41</v>
      </c>
    </row>
    <row r="11833" spans="1:3" x14ac:dyDescent="0.25">
      <c r="A11833">
        <v>39</v>
      </c>
      <c r="B11833" t="str">
        <f>"9:07:07.258815"</f>
        <v>9:07:07.258815</v>
      </c>
      <c r="C11833">
        <v>-46</v>
      </c>
    </row>
    <row r="11834" spans="1:3" x14ac:dyDescent="0.25">
      <c r="A11834">
        <v>37</v>
      </c>
      <c r="B11834" t="str">
        <f>"9:07:07.611014"</f>
        <v>9:07:07.611014</v>
      </c>
      <c r="C11834">
        <v>-44</v>
      </c>
    </row>
    <row r="11835" spans="1:3" x14ac:dyDescent="0.25">
      <c r="A11835">
        <v>38</v>
      </c>
      <c r="B11835" t="str">
        <f>"9:07:07.612042"</f>
        <v>9:07:07.612042</v>
      </c>
      <c r="C11835">
        <v>-41</v>
      </c>
    </row>
    <row r="11836" spans="1:3" x14ac:dyDescent="0.25">
      <c r="A11836">
        <v>38</v>
      </c>
      <c r="B11836" t="str">
        <f>"9:07:07.612561"</f>
        <v>9:07:07.612561</v>
      </c>
      <c r="C11836">
        <v>-31</v>
      </c>
    </row>
    <row r="11837" spans="1:3" x14ac:dyDescent="0.25">
      <c r="A11837">
        <v>38</v>
      </c>
      <c r="B11837" t="str">
        <f>"9:07:07.612887"</f>
        <v>9:07:07.612887</v>
      </c>
      <c r="C11837">
        <v>-41</v>
      </c>
    </row>
    <row r="11838" spans="1:3" x14ac:dyDescent="0.25">
      <c r="A11838">
        <v>39</v>
      </c>
      <c r="B11838" t="str">
        <f>"9:07:07.613663"</f>
        <v>9:07:07.613663</v>
      </c>
      <c r="C11838">
        <v>-46</v>
      </c>
    </row>
    <row r="11839" spans="1:3" x14ac:dyDescent="0.25">
      <c r="A11839">
        <v>37</v>
      </c>
      <c r="B11839" t="str">
        <f>"9:07:07.962754"</f>
        <v>9:07:07.962754</v>
      </c>
      <c r="C11839">
        <v>-44</v>
      </c>
    </row>
    <row r="11840" spans="1:3" x14ac:dyDescent="0.25">
      <c r="A11840">
        <v>38</v>
      </c>
      <c r="B11840" t="str">
        <f>"9:07:07.963781"</f>
        <v>9:07:07.963781</v>
      </c>
      <c r="C11840">
        <v>-41</v>
      </c>
    </row>
    <row r="11841" spans="1:3" x14ac:dyDescent="0.25">
      <c r="A11841">
        <v>38</v>
      </c>
      <c r="B11841" t="str">
        <f>"9:07:07.964300"</f>
        <v>9:07:07.964300</v>
      </c>
      <c r="C11841">
        <v>-31</v>
      </c>
    </row>
    <row r="11842" spans="1:3" x14ac:dyDescent="0.25">
      <c r="A11842">
        <v>38</v>
      </c>
      <c r="B11842" t="str">
        <f>"9:07:07.964625"</f>
        <v>9:07:07.964625</v>
      </c>
      <c r="C11842">
        <v>-41</v>
      </c>
    </row>
    <row r="11843" spans="1:3" x14ac:dyDescent="0.25">
      <c r="A11843">
        <v>39</v>
      </c>
      <c r="B11843" t="str">
        <f>"9:07:07.965401"</f>
        <v>9:07:07.965401</v>
      </c>
      <c r="C11843">
        <v>-46</v>
      </c>
    </row>
    <row r="11844" spans="1:3" x14ac:dyDescent="0.25">
      <c r="A11844">
        <v>37</v>
      </c>
      <c r="B11844" t="str">
        <f>"9:07:08.316559"</f>
        <v>9:07:08.316559</v>
      </c>
      <c r="C11844">
        <v>-44</v>
      </c>
    </row>
    <row r="11845" spans="1:3" x14ac:dyDescent="0.25">
      <c r="A11845">
        <v>38</v>
      </c>
      <c r="B11845" t="str">
        <f>"9:07:08.317586"</f>
        <v>9:07:08.317586</v>
      </c>
      <c r="C11845">
        <v>-41</v>
      </c>
    </row>
    <row r="11846" spans="1:3" x14ac:dyDescent="0.25">
      <c r="A11846">
        <v>38</v>
      </c>
      <c r="B11846" t="str">
        <f>"9:07:08.318105"</f>
        <v>9:07:08.318105</v>
      </c>
      <c r="C11846">
        <v>-31</v>
      </c>
    </row>
    <row r="11847" spans="1:3" x14ac:dyDescent="0.25">
      <c r="A11847">
        <v>38</v>
      </c>
      <c r="B11847" t="str">
        <f>"9:07:08.318430"</f>
        <v>9:07:08.318430</v>
      </c>
      <c r="C11847">
        <v>-41</v>
      </c>
    </row>
    <row r="11848" spans="1:3" x14ac:dyDescent="0.25">
      <c r="A11848">
        <v>39</v>
      </c>
      <c r="B11848" t="str">
        <f>"9:07:08.319206"</f>
        <v>9:07:08.319206</v>
      </c>
      <c r="C11848">
        <v>-46</v>
      </c>
    </row>
    <row r="11849" spans="1:3" x14ac:dyDescent="0.25">
      <c r="A11849">
        <v>37</v>
      </c>
      <c r="B11849" t="str">
        <f>"9:07:08.669863"</f>
        <v>9:07:08.669863</v>
      </c>
      <c r="C11849">
        <v>-44</v>
      </c>
    </row>
    <row r="11850" spans="1:3" x14ac:dyDescent="0.25">
      <c r="A11850">
        <v>38</v>
      </c>
      <c r="B11850" t="str">
        <f>"9:07:08.670890"</f>
        <v>9:07:08.670890</v>
      </c>
      <c r="C11850">
        <v>-41</v>
      </c>
    </row>
    <row r="11851" spans="1:3" x14ac:dyDescent="0.25">
      <c r="A11851">
        <v>38</v>
      </c>
      <c r="B11851" t="str">
        <f>"9:07:08.671409"</f>
        <v>9:07:08.671409</v>
      </c>
      <c r="C11851">
        <v>-31</v>
      </c>
    </row>
    <row r="11852" spans="1:3" x14ac:dyDescent="0.25">
      <c r="A11852">
        <v>38</v>
      </c>
      <c r="B11852" t="str">
        <f>"9:07:08.671735"</f>
        <v>9:07:08.671735</v>
      </c>
      <c r="C11852">
        <v>-41</v>
      </c>
    </row>
    <row r="11853" spans="1:3" x14ac:dyDescent="0.25">
      <c r="A11853">
        <v>39</v>
      </c>
      <c r="B11853" t="str">
        <f>"9:07:08.672511"</f>
        <v>9:07:08.672511</v>
      </c>
      <c r="C11853">
        <v>-46</v>
      </c>
    </row>
    <row r="11854" spans="1:3" x14ac:dyDescent="0.25">
      <c r="A11854">
        <v>37</v>
      </c>
      <c r="B11854" t="str">
        <f>"9:07:09.023406"</f>
        <v>9:07:09.023406</v>
      </c>
      <c r="C11854">
        <v>-44</v>
      </c>
    </row>
    <row r="11855" spans="1:3" x14ac:dyDescent="0.25">
      <c r="A11855">
        <v>38</v>
      </c>
      <c r="B11855" t="str">
        <f>"9:07:09.024434"</f>
        <v>9:07:09.024434</v>
      </c>
      <c r="C11855">
        <v>-41</v>
      </c>
    </row>
    <row r="11856" spans="1:3" x14ac:dyDescent="0.25">
      <c r="A11856">
        <v>38</v>
      </c>
      <c r="B11856" t="str">
        <f>"9:07:09.024953"</f>
        <v>9:07:09.024953</v>
      </c>
      <c r="C11856">
        <v>-31</v>
      </c>
    </row>
    <row r="11857" spans="1:3" x14ac:dyDescent="0.25">
      <c r="A11857">
        <v>38</v>
      </c>
      <c r="B11857" t="str">
        <f>"9:07:09.025279"</f>
        <v>9:07:09.025279</v>
      </c>
      <c r="C11857">
        <v>-41</v>
      </c>
    </row>
    <row r="11858" spans="1:3" x14ac:dyDescent="0.25">
      <c r="A11858">
        <v>39</v>
      </c>
      <c r="B11858" t="str">
        <f>"9:07:09.026055"</f>
        <v>9:07:09.026055</v>
      </c>
      <c r="C11858">
        <v>-46</v>
      </c>
    </row>
    <row r="11859" spans="1:3" x14ac:dyDescent="0.25">
      <c r="A11859">
        <v>37</v>
      </c>
      <c r="B11859" t="str">
        <f>"9:07:09.381806"</f>
        <v>9:07:09.381806</v>
      </c>
      <c r="C11859">
        <v>-44</v>
      </c>
    </row>
    <row r="11860" spans="1:3" x14ac:dyDescent="0.25">
      <c r="A11860">
        <v>38</v>
      </c>
      <c r="B11860" t="str">
        <f>"9:07:09.382833"</f>
        <v>9:07:09.382833</v>
      </c>
      <c r="C11860">
        <v>-41</v>
      </c>
    </row>
    <row r="11861" spans="1:3" x14ac:dyDescent="0.25">
      <c r="A11861">
        <v>38</v>
      </c>
      <c r="B11861" t="str">
        <f>"9:07:09.383352"</f>
        <v>9:07:09.383352</v>
      </c>
      <c r="C11861">
        <v>-31</v>
      </c>
    </row>
    <row r="11862" spans="1:3" x14ac:dyDescent="0.25">
      <c r="A11862">
        <v>38</v>
      </c>
      <c r="B11862" t="str">
        <f>"9:07:09.383677"</f>
        <v>9:07:09.383677</v>
      </c>
      <c r="C11862">
        <v>-41</v>
      </c>
    </row>
    <row r="11863" spans="1:3" x14ac:dyDescent="0.25">
      <c r="A11863">
        <v>39</v>
      </c>
      <c r="B11863" t="str">
        <f>"9:07:09.384453"</f>
        <v>9:07:09.384453</v>
      </c>
      <c r="C11863">
        <v>-46</v>
      </c>
    </row>
    <row r="11864" spans="1:3" x14ac:dyDescent="0.25">
      <c r="A11864">
        <v>37</v>
      </c>
      <c r="B11864" t="str">
        <f>"9:07:09.741557"</f>
        <v>9:07:09.741557</v>
      </c>
      <c r="C11864">
        <v>-44</v>
      </c>
    </row>
    <row r="11865" spans="1:3" x14ac:dyDescent="0.25">
      <c r="A11865">
        <v>38</v>
      </c>
      <c r="B11865" t="str">
        <f>"9:07:09.742584"</f>
        <v>9:07:09.742584</v>
      </c>
      <c r="C11865">
        <v>-41</v>
      </c>
    </row>
    <row r="11866" spans="1:3" x14ac:dyDescent="0.25">
      <c r="A11866">
        <v>39</v>
      </c>
      <c r="B11866" t="str">
        <f>"9:07:09.743610"</f>
        <v>9:07:09.743610</v>
      </c>
      <c r="C11866">
        <v>-46</v>
      </c>
    </row>
    <row r="11867" spans="1:3" x14ac:dyDescent="0.25">
      <c r="A11867">
        <v>39</v>
      </c>
      <c r="B11867" t="str">
        <f>"9:07:09.744129"</f>
        <v>9:07:09.744129</v>
      </c>
      <c r="C11867">
        <v>-31</v>
      </c>
    </row>
    <row r="11868" spans="1:3" x14ac:dyDescent="0.25">
      <c r="A11868">
        <v>39</v>
      </c>
      <c r="B11868" t="str">
        <f>"9:07:09.744455"</f>
        <v>9:07:09.744455</v>
      </c>
      <c r="C11868">
        <v>-46</v>
      </c>
    </row>
    <row r="11869" spans="1:3" x14ac:dyDescent="0.25">
      <c r="A11869">
        <v>37</v>
      </c>
      <c r="B11869" t="str">
        <f>"9:07:10.098459"</f>
        <v>9:07:10.098459</v>
      </c>
      <c r="C11869">
        <v>-44</v>
      </c>
    </row>
    <row r="11870" spans="1:3" x14ac:dyDescent="0.25">
      <c r="A11870">
        <v>38</v>
      </c>
      <c r="B11870" t="str">
        <f>"9:07:10.099487"</f>
        <v>9:07:10.099487</v>
      </c>
      <c r="C11870">
        <v>-41</v>
      </c>
    </row>
    <row r="11871" spans="1:3" x14ac:dyDescent="0.25">
      <c r="A11871">
        <v>39</v>
      </c>
      <c r="B11871" t="str">
        <f>"9:07:10.100513"</f>
        <v>9:07:10.100513</v>
      </c>
      <c r="C11871">
        <v>-46</v>
      </c>
    </row>
    <row r="11872" spans="1:3" x14ac:dyDescent="0.25">
      <c r="A11872">
        <v>39</v>
      </c>
      <c r="B11872" t="str">
        <f>"9:07:10.101031"</f>
        <v>9:07:10.101031</v>
      </c>
      <c r="C11872">
        <v>-31</v>
      </c>
    </row>
    <row r="11873" spans="1:3" x14ac:dyDescent="0.25">
      <c r="A11873">
        <v>39</v>
      </c>
      <c r="B11873" t="str">
        <f>"9:07:10.101357"</f>
        <v>9:07:10.101357</v>
      </c>
      <c r="C11873">
        <v>-45</v>
      </c>
    </row>
    <row r="11874" spans="1:3" x14ac:dyDescent="0.25">
      <c r="A11874">
        <v>37</v>
      </c>
      <c r="B11874" t="str">
        <f>"9:07:10.453763"</f>
        <v>9:07:10.453763</v>
      </c>
      <c r="C11874">
        <v>-44</v>
      </c>
    </row>
    <row r="11875" spans="1:3" x14ac:dyDescent="0.25">
      <c r="A11875">
        <v>38</v>
      </c>
      <c r="B11875" t="str">
        <f>"9:07:10.454791"</f>
        <v>9:07:10.454791</v>
      </c>
      <c r="C11875">
        <v>-41</v>
      </c>
    </row>
    <row r="11876" spans="1:3" x14ac:dyDescent="0.25">
      <c r="A11876">
        <v>39</v>
      </c>
      <c r="B11876" t="str">
        <f>"9:07:10.455817"</f>
        <v>9:07:10.455817</v>
      </c>
      <c r="C11876">
        <v>-46</v>
      </c>
    </row>
    <row r="11877" spans="1:3" x14ac:dyDescent="0.25">
      <c r="A11877">
        <v>39</v>
      </c>
      <c r="B11877" t="str">
        <f>"9:07:10.456335"</f>
        <v>9:07:10.456335</v>
      </c>
      <c r="C11877">
        <v>-31</v>
      </c>
    </row>
    <row r="11878" spans="1:3" x14ac:dyDescent="0.25">
      <c r="A11878">
        <v>39</v>
      </c>
      <c r="B11878" t="str">
        <f>"9:07:10.456661"</f>
        <v>9:07:10.456661</v>
      </c>
      <c r="C11878">
        <v>-46</v>
      </c>
    </row>
    <row r="11879" spans="1:3" x14ac:dyDescent="0.25">
      <c r="A11879">
        <v>37</v>
      </c>
      <c r="B11879" t="str">
        <f>"9:07:10.812193"</f>
        <v>9:07:10.812193</v>
      </c>
      <c r="C11879">
        <v>-44</v>
      </c>
    </row>
    <row r="11880" spans="1:3" x14ac:dyDescent="0.25">
      <c r="A11880">
        <v>38</v>
      </c>
      <c r="B11880" t="str">
        <f>"9:07:10.813221"</f>
        <v>9:07:10.813221</v>
      </c>
      <c r="C11880">
        <v>-41</v>
      </c>
    </row>
    <row r="11881" spans="1:3" x14ac:dyDescent="0.25">
      <c r="A11881">
        <v>39</v>
      </c>
      <c r="B11881" t="str">
        <f>"9:07:10.814247"</f>
        <v>9:07:10.814247</v>
      </c>
      <c r="C11881">
        <v>-46</v>
      </c>
    </row>
    <row r="11882" spans="1:3" x14ac:dyDescent="0.25">
      <c r="A11882">
        <v>39</v>
      </c>
      <c r="B11882" t="str">
        <f>"9:07:10.814767"</f>
        <v>9:07:10.814767</v>
      </c>
      <c r="C11882">
        <v>-90</v>
      </c>
    </row>
    <row r="11883" spans="1:3" x14ac:dyDescent="0.25">
      <c r="A11883">
        <v>39</v>
      </c>
      <c r="B11883" t="str">
        <f>"9:07:10.815093"</f>
        <v>9:07:10.815093</v>
      </c>
      <c r="C11883">
        <v>-45</v>
      </c>
    </row>
    <row r="11884" spans="1:3" x14ac:dyDescent="0.25">
      <c r="A11884">
        <v>37</v>
      </c>
      <c r="B11884" t="str">
        <f>"9:07:11.168365"</f>
        <v>9:07:11.168365</v>
      </c>
      <c r="C11884">
        <v>-44</v>
      </c>
    </row>
    <row r="11885" spans="1:3" x14ac:dyDescent="0.25">
      <c r="A11885">
        <v>38</v>
      </c>
      <c r="B11885" t="str">
        <f>"9:07:11.169393"</f>
        <v>9:07:11.169393</v>
      </c>
      <c r="C11885">
        <v>-41</v>
      </c>
    </row>
    <row r="11886" spans="1:3" x14ac:dyDescent="0.25">
      <c r="A11886">
        <v>39</v>
      </c>
      <c r="B11886" t="str">
        <f>"9:07:11.170419"</f>
        <v>9:07:11.170419</v>
      </c>
      <c r="C11886">
        <v>-46</v>
      </c>
    </row>
    <row r="11887" spans="1:3" x14ac:dyDescent="0.25">
      <c r="A11887">
        <v>39</v>
      </c>
      <c r="B11887" t="str">
        <f>"9:07:11.170937"</f>
        <v>9:07:11.170937</v>
      </c>
      <c r="C11887">
        <v>-31</v>
      </c>
    </row>
    <row r="11888" spans="1:3" x14ac:dyDescent="0.25">
      <c r="A11888">
        <v>39</v>
      </c>
      <c r="B11888" t="str">
        <f>"9:07:11.171263"</f>
        <v>9:07:11.171263</v>
      </c>
      <c r="C11888">
        <v>-45</v>
      </c>
    </row>
    <row r="11889" spans="1:3" x14ac:dyDescent="0.25">
      <c r="A11889">
        <v>37</v>
      </c>
      <c r="B11889" t="str">
        <f>"9:07:11.521901"</f>
        <v>9:07:11.521901</v>
      </c>
      <c r="C11889">
        <v>-44</v>
      </c>
    </row>
    <row r="11890" spans="1:3" x14ac:dyDescent="0.25">
      <c r="A11890">
        <v>38</v>
      </c>
      <c r="B11890" t="str">
        <f>"9:07:11.522928"</f>
        <v>9:07:11.522928</v>
      </c>
      <c r="C11890">
        <v>-41</v>
      </c>
    </row>
    <row r="11891" spans="1:3" x14ac:dyDescent="0.25">
      <c r="A11891">
        <v>39</v>
      </c>
      <c r="B11891" t="str">
        <f>"9:07:11.523954"</f>
        <v>9:07:11.523954</v>
      </c>
      <c r="C11891">
        <v>-46</v>
      </c>
    </row>
    <row r="11892" spans="1:3" x14ac:dyDescent="0.25">
      <c r="A11892">
        <v>39</v>
      </c>
      <c r="B11892" t="str">
        <f>"9:07:11.524473"</f>
        <v>9:07:11.524473</v>
      </c>
      <c r="C11892">
        <v>-31</v>
      </c>
    </row>
    <row r="11893" spans="1:3" x14ac:dyDescent="0.25">
      <c r="A11893">
        <v>39</v>
      </c>
      <c r="B11893" t="str">
        <f>"9:07:11.524799"</f>
        <v>9:07:11.524799</v>
      </c>
      <c r="C11893">
        <v>-45</v>
      </c>
    </row>
    <row r="11894" spans="1:3" x14ac:dyDescent="0.25">
      <c r="A11894">
        <v>37</v>
      </c>
      <c r="B11894" t="str">
        <f>"9:07:11.877016"</f>
        <v>9:07:11.877016</v>
      </c>
      <c r="C11894">
        <v>-44</v>
      </c>
    </row>
    <row r="11895" spans="1:3" x14ac:dyDescent="0.25">
      <c r="A11895">
        <v>38</v>
      </c>
      <c r="B11895" t="str">
        <f>"9:07:11.878043"</f>
        <v>9:07:11.878043</v>
      </c>
      <c r="C11895">
        <v>-41</v>
      </c>
    </row>
    <row r="11896" spans="1:3" x14ac:dyDescent="0.25">
      <c r="A11896">
        <v>39</v>
      </c>
      <c r="B11896" t="str">
        <f>"9:07:11.879069"</f>
        <v>9:07:11.879069</v>
      </c>
      <c r="C11896">
        <v>-46</v>
      </c>
    </row>
    <row r="11897" spans="1:3" x14ac:dyDescent="0.25">
      <c r="A11897">
        <v>39</v>
      </c>
      <c r="B11897" t="str">
        <f>"9:07:11.879587"</f>
        <v>9:07:11.879587</v>
      </c>
      <c r="C11897">
        <v>-31</v>
      </c>
    </row>
    <row r="11898" spans="1:3" x14ac:dyDescent="0.25">
      <c r="A11898">
        <v>39</v>
      </c>
      <c r="B11898" t="str">
        <f>"9:07:11.879913"</f>
        <v>9:07:11.879913</v>
      </c>
      <c r="C11898">
        <v>-45</v>
      </c>
    </row>
    <row r="11899" spans="1:3" x14ac:dyDescent="0.25">
      <c r="A11899">
        <v>37</v>
      </c>
      <c r="B11899" t="str">
        <f>"9:07:12.232338"</f>
        <v>9:07:12.232338</v>
      </c>
      <c r="C11899">
        <v>-44</v>
      </c>
    </row>
    <row r="11900" spans="1:3" x14ac:dyDescent="0.25">
      <c r="A11900">
        <v>38</v>
      </c>
      <c r="B11900" t="str">
        <f>"9:07:12.233366"</f>
        <v>9:07:12.233366</v>
      </c>
      <c r="C11900">
        <v>-41</v>
      </c>
    </row>
    <row r="11901" spans="1:3" x14ac:dyDescent="0.25">
      <c r="A11901">
        <v>39</v>
      </c>
      <c r="B11901" t="str">
        <f>"9:07:12.234392"</f>
        <v>9:07:12.234392</v>
      </c>
      <c r="C11901">
        <v>-46</v>
      </c>
    </row>
    <row r="11902" spans="1:3" x14ac:dyDescent="0.25">
      <c r="A11902">
        <v>39</v>
      </c>
      <c r="B11902" t="str">
        <f>"9:07:12.234910"</f>
        <v>9:07:12.234910</v>
      </c>
      <c r="C11902">
        <v>-31</v>
      </c>
    </row>
    <row r="11903" spans="1:3" x14ac:dyDescent="0.25">
      <c r="A11903">
        <v>39</v>
      </c>
      <c r="B11903" t="str">
        <f>"9:07:12.235236"</f>
        <v>9:07:12.235236</v>
      </c>
      <c r="C11903">
        <v>-45</v>
      </c>
    </row>
    <row r="11904" spans="1:3" x14ac:dyDescent="0.25">
      <c r="A11904">
        <v>37</v>
      </c>
      <c r="B11904" t="str">
        <f>"9:07:12.591802"</f>
        <v>9:07:12.591802</v>
      </c>
      <c r="C11904">
        <v>-44</v>
      </c>
    </row>
    <row r="11905" spans="1:3" x14ac:dyDescent="0.25">
      <c r="A11905">
        <v>38</v>
      </c>
      <c r="B11905" t="str">
        <f>"9:07:12.592830"</f>
        <v>9:07:12.592830</v>
      </c>
      <c r="C11905">
        <v>-41</v>
      </c>
    </row>
    <row r="11906" spans="1:3" x14ac:dyDescent="0.25">
      <c r="A11906">
        <v>39</v>
      </c>
      <c r="B11906" t="str">
        <f>"9:07:12.593856"</f>
        <v>9:07:12.593856</v>
      </c>
      <c r="C11906">
        <v>-46</v>
      </c>
    </row>
    <row r="11907" spans="1:3" x14ac:dyDescent="0.25">
      <c r="A11907">
        <v>39</v>
      </c>
      <c r="B11907" t="str">
        <f>"9:07:12.594374"</f>
        <v>9:07:12.594374</v>
      </c>
      <c r="C11907">
        <v>-31</v>
      </c>
    </row>
    <row r="11908" spans="1:3" x14ac:dyDescent="0.25">
      <c r="A11908">
        <v>39</v>
      </c>
      <c r="B11908" t="str">
        <f>"9:07:12.594700"</f>
        <v>9:07:12.594700</v>
      </c>
      <c r="C11908">
        <v>-45</v>
      </c>
    </row>
    <row r="11909" spans="1:3" x14ac:dyDescent="0.25">
      <c r="A11909">
        <v>37</v>
      </c>
      <c r="B11909" t="str">
        <f>"9:07:12.946130"</f>
        <v>9:07:12.946130</v>
      </c>
      <c r="C11909">
        <v>-44</v>
      </c>
    </row>
    <row r="11910" spans="1:3" x14ac:dyDescent="0.25">
      <c r="A11910">
        <v>38</v>
      </c>
      <c r="B11910" t="str">
        <f>"9:07:12.947157"</f>
        <v>9:07:12.947157</v>
      </c>
      <c r="C11910">
        <v>-41</v>
      </c>
    </row>
    <row r="11911" spans="1:3" x14ac:dyDescent="0.25">
      <c r="A11911">
        <v>39</v>
      </c>
      <c r="B11911" t="str">
        <f>"9:07:12.948183"</f>
        <v>9:07:12.948183</v>
      </c>
      <c r="C11911">
        <v>-46</v>
      </c>
    </row>
    <row r="11912" spans="1:3" x14ac:dyDescent="0.25">
      <c r="A11912">
        <v>37</v>
      </c>
      <c r="B11912" t="str">
        <f>"9:07:13.297917"</f>
        <v>9:07:13.297917</v>
      </c>
      <c r="C11912">
        <v>-44</v>
      </c>
    </row>
    <row r="11913" spans="1:3" x14ac:dyDescent="0.25">
      <c r="A11913">
        <v>38</v>
      </c>
      <c r="B11913" t="str">
        <f>"9:07:13.298944"</f>
        <v>9:07:13.298944</v>
      </c>
      <c r="C11913">
        <v>-41</v>
      </c>
    </row>
    <row r="11914" spans="1:3" x14ac:dyDescent="0.25">
      <c r="A11914">
        <v>39</v>
      </c>
      <c r="B11914" t="str">
        <f>"9:07:13.299970"</f>
        <v>9:07:13.299970</v>
      </c>
      <c r="C11914">
        <v>-46</v>
      </c>
    </row>
    <row r="11915" spans="1:3" x14ac:dyDescent="0.25">
      <c r="A11915">
        <v>39</v>
      </c>
      <c r="B11915" t="str">
        <f>"9:07:13.300488"</f>
        <v>9:07:13.300488</v>
      </c>
      <c r="C11915">
        <v>-31</v>
      </c>
    </row>
    <row r="11916" spans="1:3" x14ac:dyDescent="0.25">
      <c r="A11916">
        <v>39</v>
      </c>
      <c r="B11916" t="str">
        <f>"9:07:13.300814"</f>
        <v>9:07:13.300814</v>
      </c>
      <c r="C11916">
        <v>-45</v>
      </c>
    </row>
    <row r="11917" spans="1:3" x14ac:dyDescent="0.25">
      <c r="A11917">
        <v>37</v>
      </c>
      <c r="B11917" t="str">
        <f>"9:07:13.650223"</f>
        <v>9:07:13.650223</v>
      </c>
      <c r="C11917">
        <v>-44</v>
      </c>
    </row>
    <row r="11918" spans="1:3" x14ac:dyDescent="0.25">
      <c r="A11918">
        <v>38</v>
      </c>
      <c r="B11918" t="str">
        <f>"9:07:13.651251"</f>
        <v>9:07:13.651251</v>
      </c>
      <c r="C11918">
        <v>-41</v>
      </c>
    </row>
    <row r="11919" spans="1:3" x14ac:dyDescent="0.25">
      <c r="A11919">
        <v>39</v>
      </c>
      <c r="B11919" t="str">
        <f>"9:07:13.652277"</f>
        <v>9:07:13.652277</v>
      </c>
      <c r="C11919">
        <v>-46</v>
      </c>
    </row>
    <row r="11920" spans="1:3" x14ac:dyDescent="0.25">
      <c r="A11920">
        <v>39</v>
      </c>
      <c r="B11920" t="str">
        <f>"9:07:13.652796"</f>
        <v>9:07:13.652796</v>
      </c>
      <c r="C11920">
        <v>-31</v>
      </c>
    </row>
    <row r="11921" spans="1:3" x14ac:dyDescent="0.25">
      <c r="A11921">
        <v>39</v>
      </c>
      <c r="B11921" t="str">
        <f>"9:07:13.653122"</f>
        <v>9:07:13.653122</v>
      </c>
      <c r="C11921">
        <v>-45</v>
      </c>
    </row>
    <row r="11922" spans="1:3" x14ac:dyDescent="0.25">
      <c r="A11922">
        <v>37</v>
      </c>
      <c r="B11922" t="str">
        <f>"9:07:14.000968"</f>
        <v>9:07:14.000968</v>
      </c>
      <c r="C11922">
        <v>-44</v>
      </c>
    </row>
    <row r="11923" spans="1:3" x14ac:dyDescent="0.25">
      <c r="A11923">
        <v>38</v>
      </c>
      <c r="B11923" t="str">
        <f>"9:07:14.001995"</f>
        <v>9:07:14.001995</v>
      </c>
      <c r="C11923">
        <v>-41</v>
      </c>
    </row>
    <row r="11924" spans="1:3" x14ac:dyDescent="0.25">
      <c r="A11924">
        <v>39</v>
      </c>
      <c r="B11924" t="str">
        <f>"9:07:14.003021"</f>
        <v>9:07:14.003021</v>
      </c>
      <c r="C11924">
        <v>-46</v>
      </c>
    </row>
    <row r="11925" spans="1:3" x14ac:dyDescent="0.25">
      <c r="A11925">
        <v>39</v>
      </c>
      <c r="B11925" t="str">
        <f>"9:07:14.003540"</f>
        <v>9:07:14.003540</v>
      </c>
      <c r="C11925">
        <v>-30</v>
      </c>
    </row>
    <row r="11926" spans="1:3" x14ac:dyDescent="0.25">
      <c r="A11926">
        <v>39</v>
      </c>
      <c r="B11926" t="str">
        <f>"9:07:14.003865"</f>
        <v>9:07:14.003865</v>
      </c>
      <c r="C11926">
        <v>-45</v>
      </c>
    </row>
    <row r="11927" spans="1:3" x14ac:dyDescent="0.25">
      <c r="A11927">
        <v>37</v>
      </c>
      <c r="B11927" t="str">
        <f>"9:07:14.357109"</f>
        <v>9:07:14.357109</v>
      </c>
      <c r="C11927">
        <v>-44</v>
      </c>
    </row>
    <row r="11928" spans="1:3" x14ac:dyDescent="0.25">
      <c r="A11928">
        <v>38</v>
      </c>
      <c r="B11928" t="str">
        <f>"9:07:14.358136"</f>
        <v>9:07:14.358136</v>
      </c>
      <c r="C11928">
        <v>-41</v>
      </c>
    </row>
    <row r="11929" spans="1:3" x14ac:dyDescent="0.25">
      <c r="A11929">
        <v>39</v>
      </c>
      <c r="B11929" t="str">
        <f>"9:07:14.359162"</f>
        <v>9:07:14.359162</v>
      </c>
      <c r="C11929">
        <v>-46</v>
      </c>
    </row>
    <row r="11930" spans="1:3" x14ac:dyDescent="0.25">
      <c r="A11930">
        <v>39</v>
      </c>
      <c r="B11930" t="str">
        <f>"9:07:14.359680"</f>
        <v>9:07:14.359680</v>
      </c>
      <c r="C11930">
        <v>-31</v>
      </c>
    </row>
    <row r="11931" spans="1:3" x14ac:dyDescent="0.25">
      <c r="A11931">
        <v>39</v>
      </c>
      <c r="B11931" t="str">
        <f>"9:07:14.360006"</f>
        <v>9:07:14.360006</v>
      </c>
      <c r="C11931">
        <v>-45</v>
      </c>
    </row>
    <row r="11932" spans="1:3" x14ac:dyDescent="0.25">
      <c r="A11932">
        <v>37</v>
      </c>
      <c r="B11932" t="str">
        <f>"9:07:14.710686"</f>
        <v>9:07:14.710686</v>
      </c>
      <c r="C11932">
        <v>-44</v>
      </c>
    </row>
    <row r="11933" spans="1:3" x14ac:dyDescent="0.25">
      <c r="A11933">
        <v>37</v>
      </c>
      <c r="B11933" t="str">
        <f>"9:07:14.711205"</f>
        <v>9:07:14.711205</v>
      </c>
      <c r="C11933">
        <v>-37</v>
      </c>
    </row>
    <row r="11934" spans="1:3" x14ac:dyDescent="0.25">
      <c r="A11934">
        <v>37</v>
      </c>
      <c r="B11934" t="str">
        <f>"9:07:14.711532"</f>
        <v>9:07:14.711532</v>
      </c>
      <c r="C11934">
        <v>-44</v>
      </c>
    </row>
    <row r="11935" spans="1:3" x14ac:dyDescent="0.25">
      <c r="A11935">
        <v>38</v>
      </c>
      <c r="B11935" t="str">
        <f>"9:07:14.712308"</f>
        <v>9:07:14.712308</v>
      </c>
      <c r="C11935">
        <v>-41</v>
      </c>
    </row>
    <row r="11936" spans="1:3" x14ac:dyDescent="0.25">
      <c r="A11936">
        <v>39</v>
      </c>
      <c r="B11936" t="str">
        <f>"9:07:14.713334"</f>
        <v>9:07:14.713334</v>
      </c>
      <c r="C11936">
        <v>-46</v>
      </c>
    </row>
    <row r="11937" spans="1:3" x14ac:dyDescent="0.25">
      <c r="A11937">
        <v>37</v>
      </c>
      <c r="B11937" t="str">
        <f>"9:07:15.061452"</f>
        <v>9:07:15.061452</v>
      </c>
      <c r="C11937">
        <v>-44</v>
      </c>
    </row>
    <row r="11938" spans="1:3" x14ac:dyDescent="0.25">
      <c r="A11938">
        <v>38</v>
      </c>
      <c r="B11938" t="str">
        <f>"9:07:15.062479"</f>
        <v>9:07:15.062479</v>
      </c>
      <c r="C11938">
        <v>-41</v>
      </c>
    </row>
    <row r="11939" spans="1:3" x14ac:dyDescent="0.25">
      <c r="A11939">
        <v>39</v>
      </c>
      <c r="B11939" t="str">
        <f>"9:07:15.063505"</f>
        <v>9:07:15.063505</v>
      </c>
      <c r="C11939">
        <v>-46</v>
      </c>
    </row>
    <row r="11940" spans="1:3" x14ac:dyDescent="0.25">
      <c r="A11940">
        <v>37</v>
      </c>
      <c r="B11940" t="str">
        <f>"9:07:15.416812"</f>
        <v>9:07:15.416812</v>
      </c>
      <c r="C11940">
        <v>-44</v>
      </c>
    </row>
    <row r="11941" spans="1:3" x14ac:dyDescent="0.25">
      <c r="A11941">
        <v>38</v>
      </c>
      <c r="B11941" t="str">
        <f>"9:07:15.417840"</f>
        <v>9:07:15.417840</v>
      </c>
      <c r="C11941">
        <v>-41</v>
      </c>
    </row>
    <row r="11942" spans="1:3" x14ac:dyDescent="0.25">
      <c r="A11942">
        <v>39</v>
      </c>
      <c r="B11942" t="str">
        <f>"9:07:15.418866"</f>
        <v>9:07:15.418866</v>
      </c>
      <c r="C11942">
        <v>-46</v>
      </c>
    </row>
    <row r="11943" spans="1:3" x14ac:dyDescent="0.25">
      <c r="A11943">
        <v>37</v>
      </c>
      <c r="B11943" t="str">
        <f>"9:07:15.769086"</f>
        <v>9:07:15.769086</v>
      </c>
      <c r="C11943">
        <v>-44</v>
      </c>
    </row>
    <row r="11944" spans="1:3" x14ac:dyDescent="0.25">
      <c r="A11944">
        <v>37</v>
      </c>
      <c r="B11944" t="str">
        <f>"9:07:15.769604"</f>
        <v>9:07:15.769604</v>
      </c>
      <c r="C11944">
        <v>-37</v>
      </c>
    </row>
    <row r="11945" spans="1:3" x14ac:dyDescent="0.25">
      <c r="A11945">
        <v>37</v>
      </c>
      <c r="B11945" t="str">
        <f>"9:07:15.769930"</f>
        <v>9:07:15.769930</v>
      </c>
      <c r="C11945">
        <v>-44</v>
      </c>
    </row>
    <row r="11946" spans="1:3" x14ac:dyDescent="0.25">
      <c r="A11946">
        <v>38</v>
      </c>
      <c r="B11946" t="str">
        <f>"9:07:15.770706"</f>
        <v>9:07:15.770706</v>
      </c>
      <c r="C11946">
        <v>-41</v>
      </c>
    </row>
    <row r="11947" spans="1:3" x14ac:dyDescent="0.25">
      <c r="A11947">
        <v>39</v>
      </c>
      <c r="B11947" t="str">
        <f>"9:07:15.771732"</f>
        <v>9:07:15.771732</v>
      </c>
      <c r="C11947">
        <v>-46</v>
      </c>
    </row>
    <row r="11948" spans="1:3" x14ac:dyDescent="0.25">
      <c r="A11948">
        <v>37</v>
      </c>
      <c r="B11948" t="str">
        <f>"9:07:16.121087"</f>
        <v>9:07:16.121087</v>
      </c>
      <c r="C11948">
        <v>-44</v>
      </c>
    </row>
    <row r="11949" spans="1:3" x14ac:dyDescent="0.25">
      <c r="A11949">
        <v>37</v>
      </c>
      <c r="B11949" t="str">
        <f>"9:07:16.121605"</f>
        <v>9:07:16.121605</v>
      </c>
      <c r="C11949">
        <v>-37</v>
      </c>
    </row>
    <row r="11950" spans="1:3" x14ac:dyDescent="0.25">
      <c r="A11950">
        <v>37</v>
      </c>
      <c r="B11950" t="str">
        <f>"9:07:16.121932"</f>
        <v>9:07:16.121932</v>
      </c>
      <c r="C11950">
        <v>-44</v>
      </c>
    </row>
    <row r="11951" spans="1:3" x14ac:dyDescent="0.25">
      <c r="A11951">
        <v>38</v>
      </c>
      <c r="B11951" t="str">
        <f>"9:07:16.122708"</f>
        <v>9:07:16.122708</v>
      </c>
      <c r="C11951">
        <v>-41</v>
      </c>
    </row>
    <row r="11952" spans="1:3" x14ac:dyDescent="0.25">
      <c r="A11952">
        <v>39</v>
      </c>
      <c r="B11952" t="str">
        <f>"9:07:16.123734"</f>
        <v>9:07:16.123734</v>
      </c>
      <c r="C11952">
        <v>-46</v>
      </c>
    </row>
    <row r="11953" spans="1:3" x14ac:dyDescent="0.25">
      <c r="A11953">
        <v>37</v>
      </c>
      <c r="B11953" t="str">
        <f>"9:07:16.472103"</f>
        <v>9:07:16.472103</v>
      </c>
      <c r="C11953">
        <v>-44</v>
      </c>
    </row>
    <row r="11954" spans="1:3" x14ac:dyDescent="0.25">
      <c r="A11954">
        <v>37</v>
      </c>
      <c r="B11954" t="str">
        <f>"9:07:16.472622"</f>
        <v>9:07:16.472622</v>
      </c>
      <c r="C11954">
        <v>-37</v>
      </c>
    </row>
    <row r="11955" spans="1:3" x14ac:dyDescent="0.25">
      <c r="A11955">
        <v>37</v>
      </c>
      <c r="B11955" t="str">
        <f>"9:07:16.472948"</f>
        <v>9:07:16.472948</v>
      </c>
      <c r="C11955">
        <v>-44</v>
      </c>
    </row>
    <row r="11956" spans="1:3" x14ac:dyDescent="0.25">
      <c r="A11956">
        <v>38</v>
      </c>
      <c r="B11956" t="str">
        <f>"9:07:16.473724"</f>
        <v>9:07:16.473724</v>
      </c>
      <c r="C11956">
        <v>-41</v>
      </c>
    </row>
    <row r="11957" spans="1:3" x14ac:dyDescent="0.25">
      <c r="A11957">
        <v>39</v>
      </c>
      <c r="B11957" t="str">
        <f>"9:07:16.474750"</f>
        <v>9:07:16.474750</v>
      </c>
      <c r="C11957">
        <v>-46</v>
      </c>
    </row>
    <row r="11958" spans="1:3" x14ac:dyDescent="0.25">
      <c r="A11958">
        <v>37</v>
      </c>
      <c r="B11958" t="str">
        <f>"9:07:16.825673"</f>
        <v>9:07:16.825673</v>
      </c>
      <c r="C11958">
        <v>-44</v>
      </c>
    </row>
    <row r="11959" spans="1:3" x14ac:dyDescent="0.25">
      <c r="A11959">
        <v>37</v>
      </c>
      <c r="B11959" t="str">
        <f>"9:07:16.826192"</f>
        <v>9:07:16.826192</v>
      </c>
      <c r="C11959">
        <v>-37</v>
      </c>
    </row>
    <row r="11960" spans="1:3" x14ac:dyDescent="0.25">
      <c r="A11960">
        <v>37</v>
      </c>
      <c r="B11960" t="str">
        <f>"9:07:16.826518"</f>
        <v>9:07:16.826518</v>
      </c>
      <c r="C11960">
        <v>-44</v>
      </c>
    </row>
    <row r="11961" spans="1:3" x14ac:dyDescent="0.25">
      <c r="A11961">
        <v>38</v>
      </c>
      <c r="B11961" t="str">
        <f>"9:07:16.827294"</f>
        <v>9:07:16.827294</v>
      </c>
      <c r="C11961">
        <v>-41</v>
      </c>
    </row>
    <row r="11962" spans="1:3" x14ac:dyDescent="0.25">
      <c r="A11962">
        <v>39</v>
      </c>
      <c r="B11962" t="str">
        <f>"9:07:16.828320"</f>
        <v>9:07:16.828320</v>
      </c>
      <c r="C11962">
        <v>-46</v>
      </c>
    </row>
    <row r="11963" spans="1:3" x14ac:dyDescent="0.25">
      <c r="A11963">
        <v>37</v>
      </c>
      <c r="B11963" t="str">
        <f>"9:07:17.184670"</f>
        <v>9:07:17.184670</v>
      </c>
      <c r="C11963">
        <v>-44</v>
      </c>
    </row>
    <row r="11964" spans="1:3" x14ac:dyDescent="0.25">
      <c r="A11964">
        <v>37</v>
      </c>
      <c r="B11964" t="str">
        <f>"9:07:17.185189"</f>
        <v>9:07:17.185189</v>
      </c>
      <c r="C11964">
        <v>-37</v>
      </c>
    </row>
    <row r="11965" spans="1:3" x14ac:dyDescent="0.25">
      <c r="A11965">
        <v>37</v>
      </c>
      <c r="B11965" t="str">
        <f>"9:07:17.185515"</f>
        <v>9:07:17.185515</v>
      </c>
      <c r="C11965">
        <v>-44</v>
      </c>
    </row>
    <row r="11966" spans="1:3" x14ac:dyDescent="0.25">
      <c r="A11966">
        <v>38</v>
      </c>
      <c r="B11966" t="str">
        <f>"9:07:17.186291"</f>
        <v>9:07:17.186291</v>
      </c>
      <c r="C11966">
        <v>-41</v>
      </c>
    </row>
    <row r="11967" spans="1:3" x14ac:dyDescent="0.25">
      <c r="A11967">
        <v>39</v>
      </c>
      <c r="B11967" t="str">
        <f>"9:07:17.187317"</f>
        <v>9:07:17.187317</v>
      </c>
      <c r="C11967">
        <v>-46</v>
      </c>
    </row>
    <row r="11968" spans="1:3" x14ac:dyDescent="0.25">
      <c r="A11968">
        <v>39</v>
      </c>
      <c r="B11968" t="str">
        <f>"9:07:17.188162"</f>
        <v>9:07:17.188162</v>
      </c>
      <c r="C11968">
        <v>-45</v>
      </c>
    </row>
    <row r="11969" spans="1:3" x14ac:dyDescent="0.25">
      <c r="A11969">
        <v>37</v>
      </c>
      <c r="B11969" t="str">
        <f>"9:07:17.535881"</f>
        <v>9:07:17.535881</v>
      </c>
      <c r="C11969">
        <v>-44</v>
      </c>
    </row>
    <row r="11970" spans="1:3" x14ac:dyDescent="0.25">
      <c r="A11970">
        <v>37</v>
      </c>
      <c r="B11970" t="str">
        <f>"9:07:17.536400"</f>
        <v>9:07:17.536400</v>
      </c>
      <c r="C11970">
        <v>-37</v>
      </c>
    </row>
    <row r="11971" spans="1:3" x14ac:dyDescent="0.25">
      <c r="A11971">
        <v>37</v>
      </c>
      <c r="B11971" t="str">
        <f>"9:07:17.536726"</f>
        <v>9:07:17.536726</v>
      </c>
      <c r="C11971">
        <v>-44</v>
      </c>
    </row>
    <row r="11972" spans="1:3" x14ac:dyDescent="0.25">
      <c r="A11972">
        <v>38</v>
      </c>
      <c r="B11972" t="str">
        <f>"9:07:17.537502"</f>
        <v>9:07:17.537502</v>
      </c>
      <c r="C11972">
        <v>-41</v>
      </c>
    </row>
    <row r="11973" spans="1:3" x14ac:dyDescent="0.25">
      <c r="A11973">
        <v>39</v>
      </c>
      <c r="B11973" t="str">
        <f>"9:07:17.538528"</f>
        <v>9:07:17.538528</v>
      </c>
      <c r="C11973">
        <v>-46</v>
      </c>
    </row>
    <row r="11974" spans="1:3" x14ac:dyDescent="0.25">
      <c r="A11974">
        <v>37</v>
      </c>
      <c r="B11974" t="str">
        <f>"9:07:17.890676"</f>
        <v>9:07:17.890676</v>
      </c>
      <c r="C11974">
        <v>-44</v>
      </c>
    </row>
    <row r="11975" spans="1:3" x14ac:dyDescent="0.25">
      <c r="A11975">
        <v>38</v>
      </c>
      <c r="B11975" t="str">
        <f>"9:07:17.891703"</f>
        <v>9:07:17.891703</v>
      </c>
      <c r="C11975">
        <v>-41</v>
      </c>
    </row>
    <row r="11976" spans="1:3" x14ac:dyDescent="0.25">
      <c r="A11976">
        <v>39</v>
      </c>
      <c r="B11976" t="str">
        <f>"9:07:17.892729"</f>
        <v>9:07:17.892729</v>
      </c>
      <c r="C11976">
        <v>-46</v>
      </c>
    </row>
    <row r="11977" spans="1:3" x14ac:dyDescent="0.25">
      <c r="A11977">
        <v>37</v>
      </c>
      <c r="B11977" t="str">
        <f>"9:07:18.241437"</f>
        <v>9:07:18.241437</v>
      </c>
      <c r="C11977">
        <v>-44</v>
      </c>
    </row>
    <row r="11978" spans="1:3" x14ac:dyDescent="0.25">
      <c r="A11978">
        <v>37</v>
      </c>
      <c r="B11978" t="str">
        <f>"9:07:18.241956"</f>
        <v>9:07:18.241956</v>
      </c>
      <c r="C11978">
        <v>-40</v>
      </c>
    </row>
    <row r="11979" spans="1:3" x14ac:dyDescent="0.25">
      <c r="A11979">
        <v>37</v>
      </c>
      <c r="B11979" t="str">
        <f>"9:07:18.242282"</f>
        <v>9:07:18.242282</v>
      </c>
      <c r="C11979">
        <v>-44</v>
      </c>
    </row>
    <row r="11980" spans="1:3" x14ac:dyDescent="0.25">
      <c r="A11980">
        <v>38</v>
      </c>
      <c r="B11980" t="str">
        <f>"9:07:18.243058"</f>
        <v>9:07:18.243058</v>
      </c>
      <c r="C11980">
        <v>-41</v>
      </c>
    </row>
    <row r="11981" spans="1:3" x14ac:dyDescent="0.25">
      <c r="A11981">
        <v>39</v>
      </c>
      <c r="B11981" t="str">
        <f>"9:07:18.244084"</f>
        <v>9:07:18.244084</v>
      </c>
      <c r="C11981">
        <v>-45</v>
      </c>
    </row>
    <row r="11982" spans="1:3" x14ac:dyDescent="0.25">
      <c r="A11982">
        <v>37</v>
      </c>
      <c r="B11982" t="str">
        <f>"9:07:18.600680"</f>
        <v>9:07:18.600680</v>
      </c>
      <c r="C11982">
        <v>-44</v>
      </c>
    </row>
    <row r="11983" spans="1:3" x14ac:dyDescent="0.25">
      <c r="A11983">
        <v>37</v>
      </c>
      <c r="B11983" t="str">
        <f>"9:07:18.601198"</f>
        <v>9:07:18.601198</v>
      </c>
      <c r="C11983">
        <v>-40</v>
      </c>
    </row>
    <row r="11984" spans="1:3" x14ac:dyDescent="0.25">
      <c r="A11984">
        <v>37</v>
      </c>
      <c r="B11984" t="str">
        <f>"9:07:18.601524"</f>
        <v>9:07:18.601524</v>
      </c>
      <c r="C11984">
        <v>-44</v>
      </c>
    </row>
    <row r="11985" spans="1:3" x14ac:dyDescent="0.25">
      <c r="A11985">
        <v>38</v>
      </c>
      <c r="B11985" t="str">
        <f>"9:07:18.602300"</f>
        <v>9:07:18.602300</v>
      </c>
      <c r="C11985">
        <v>-41</v>
      </c>
    </row>
    <row r="11986" spans="1:3" x14ac:dyDescent="0.25">
      <c r="A11986">
        <v>39</v>
      </c>
      <c r="B11986" t="str">
        <f>"9:07:18.603326"</f>
        <v>9:07:18.603326</v>
      </c>
      <c r="C11986">
        <v>-45</v>
      </c>
    </row>
    <row r="11987" spans="1:3" x14ac:dyDescent="0.25">
      <c r="A11987">
        <v>37</v>
      </c>
      <c r="B11987" t="str">
        <f>"9:07:18.958093"</f>
        <v>9:07:18.958093</v>
      </c>
      <c r="C11987">
        <v>-44</v>
      </c>
    </row>
    <row r="11988" spans="1:3" x14ac:dyDescent="0.25">
      <c r="A11988">
        <v>37</v>
      </c>
      <c r="B11988" t="str">
        <f>"9:07:18.958612"</f>
        <v>9:07:18.958612</v>
      </c>
      <c r="C11988">
        <v>-40</v>
      </c>
    </row>
    <row r="11989" spans="1:3" x14ac:dyDescent="0.25">
      <c r="A11989">
        <v>37</v>
      </c>
      <c r="B11989" t="str">
        <f>"9:07:18.958938"</f>
        <v>9:07:18.958938</v>
      </c>
      <c r="C11989">
        <v>-44</v>
      </c>
    </row>
    <row r="11990" spans="1:3" x14ac:dyDescent="0.25">
      <c r="A11990">
        <v>38</v>
      </c>
      <c r="B11990" t="str">
        <f>"9:07:18.959714"</f>
        <v>9:07:18.959714</v>
      </c>
      <c r="C11990">
        <v>-41</v>
      </c>
    </row>
    <row r="11991" spans="1:3" x14ac:dyDescent="0.25">
      <c r="A11991">
        <v>39</v>
      </c>
      <c r="B11991" t="str">
        <f>"9:07:18.960740"</f>
        <v>9:07:18.960740</v>
      </c>
      <c r="C11991">
        <v>-45</v>
      </c>
    </row>
    <row r="11992" spans="1:3" x14ac:dyDescent="0.25">
      <c r="A11992">
        <v>37</v>
      </c>
      <c r="B11992" t="str">
        <f>"9:07:19.316490"</f>
        <v>9:07:19.316490</v>
      </c>
      <c r="C11992">
        <v>-44</v>
      </c>
    </row>
    <row r="11993" spans="1:3" x14ac:dyDescent="0.25">
      <c r="A11993">
        <v>37</v>
      </c>
      <c r="B11993" t="str">
        <f>"9:07:19.317008"</f>
        <v>9:07:19.317008</v>
      </c>
      <c r="C11993">
        <v>-42</v>
      </c>
    </row>
    <row r="11994" spans="1:3" x14ac:dyDescent="0.25">
      <c r="A11994">
        <v>37</v>
      </c>
      <c r="B11994" t="str">
        <f>"9:07:19.317334"</f>
        <v>9:07:19.317334</v>
      </c>
      <c r="C11994">
        <v>-44</v>
      </c>
    </row>
    <row r="11995" spans="1:3" x14ac:dyDescent="0.25">
      <c r="A11995">
        <v>38</v>
      </c>
      <c r="B11995" t="str">
        <f>"9:07:19.318110"</f>
        <v>9:07:19.318110</v>
      </c>
      <c r="C11995">
        <v>-41</v>
      </c>
    </row>
    <row r="11996" spans="1:3" x14ac:dyDescent="0.25">
      <c r="A11996">
        <v>39</v>
      </c>
      <c r="B11996" t="str">
        <f>"9:07:19.319136"</f>
        <v>9:07:19.319136</v>
      </c>
      <c r="C11996">
        <v>-45</v>
      </c>
    </row>
    <row r="11997" spans="1:3" x14ac:dyDescent="0.25">
      <c r="A11997">
        <v>37</v>
      </c>
      <c r="B11997" t="str">
        <f>"9:07:19.674182"</f>
        <v>9:07:19.674182</v>
      </c>
      <c r="C11997">
        <v>-44</v>
      </c>
    </row>
    <row r="11998" spans="1:3" x14ac:dyDescent="0.25">
      <c r="A11998">
        <v>38</v>
      </c>
      <c r="B11998" t="str">
        <f>"9:07:19.675209"</f>
        <v>9:07:19.675209</v>
      </c>
      <c r="C11998">
        <v>-41</v>
      </c>
    </row>
    <row r="11999" spans="1:3" x14ac:dyDescent="0.25">
      <c r="A11999">
        <v>38</v>
      </c>
      <c r="B11999" t="str">
        <f>"9:07:19.675727"</f>
        <v>9:07:19.675727</v>
      </c>
      <c r="C11999">
        <v>-32</v>
      </c>
    </row>
    <row r="12000" spans="1:3" x14ac:dyDescent="0.25">
      <c r="A12000">
        <v>38</v>
      </c>
      <c r="B12000" t="str">
        <f>"9:07:19.676053"</f>
        <v>9:07:19.676053</v>
      </c>
      <c r="C12000">
        <v>-41</v>
      </c>
    </row>
    <row r="12001" spans="1:3" x14ac:dyDescent="0.25">
      <c r="A12001">
        <v>39</v>
      </c>
      <c r="B12001" t="str">
        <f>"9:07:19.676829"</f>
        <v>9:07:19.676829</v>
      </c>
      <c r="C12001">
        <v>-46</v>
      </c>
    </row>
    <row r="12002" spans="1:3" x14ac:dyDescent="0.25">
      <c r="A12002">
        <v>37</v>
      </c>
      <c r="B12002" t="str">
        <f>"9:07:20.024670"</f>
        <v>9:07:20.024670</v>
      </c>
      <c r="C12002">
        <v>-44</v>
      </c>
    </row>
    <row r="12003" spans="1:3" x14ac:dyDescent="0.25">
      <c r="A12003">
        <v>38</v>
      </c>
      <c r="B12003" t="str">
        <f>"9:07:20.025697"</f>
        <v>9:07:20.025697</v>
      </c>
      <c r="C12003">
        <v>-41</v>
      </c>
    </row>
    <row r="12004" spans="1:3" x14ac:dyDescent="0.25">
      <c r="A12004">
        <v>38</v>
      </c>
      <c r="B12004" t="str">
        <f>"9:07:20.026216"</f>
        <v>9:07:20.026216</v>
      </c>
      <c r="C12004">
        <v>-32</v>
      </c>
    </row>
    <row r="12005" spans="1:3" x14ac:dyDescent="0.25">
      <c r="A12005">
        <v>38</v>
      </c>
      <c r="B12005" t="str">
        <f>"9:07:20.026542"</f>
        <v>9:07:20.026542</v>
      </c>
      <c r="C12005">
        <v>-41</v>
      </c>
    </row>
    <row r="12006" spans="1:3" x14ac:dyDescent="0.25">
      <c r="A12006">
        <v>39</v>
      </c>
      <c r="B12006" t="str">
        <f>"9:07:20.027318"</f>
        <v>9:07:20.027318</v>
      </c>
      <c r="C12006">
        <v>-46</v>
      </c>
    </row>
    <row r="12007" spans="1:3" x14ac:dyDescent="0.25">
      <c r="A12007">
        <v>37</v>
      </c>
      <c r="B12007" t="str">
        <f>"9:07:20.380804"</f>
        <v>9:07:20.380804</v>
      </c>
      <c r="C12007">
        <v>-44</v>
      </c>
    </row>
    <row r="12008" spans="1:3" x14ac:dyDescent="0.25">
      <c r="A12008">
        <v>38</v>
      </c>
      <c r="B12008" t="str">
        <f>"9:07:20.381831"</f>
        <v>9:07:20.381831</v>
      </c>
      <c r="C12008">
        <v>-41</v>
      </c>
    </row>
    <row r="12009" spans="1:3" x14ac:dyDescent="0.25">
      <c r="A12009">
        <v>38</v>
      </c>
      <c r="B12009" t="str">
        <f>"9:07:20.382349"</f>
        <v>9:07:20.382349</v>
      </c>
      <c r="C12009">
        <v>-32</v>
      </c>
    </row>
    <row r="12010" spans="1:3" x14ac:dyDescent="0.25">
      <c r="A12010">
        <v>38</v>
      </c>
      <c r="B12010" t="str">
        <f>"9:07:20.382675"</f>
        <v>9:07:20.382675</v>
      </c>
      <c r="C12010">
        <v>-41</v>
      </c>
    </row>
    <row r="12011" spans="1:3" x14ac:dyDescent="0.25">
      <c r="A12011">
        <v>39</v>
      </c>
      <c r="B12011" t="str">
        <f>"9:07:20.383451"</f>
        <v>9:07:20.383451</v>
      </c>
      <c r="C12011">
        <v>-45</v>
      </c>
    </row>
    <row r="12012" spans="1:3" x14ac:dyDescent="0.25">
      <c r="A12012">
        <v>37</v>
      </c>
      <c r="B12012" t="str">
        <f>"9:07:20.734636"</f>
        <v>9:07:20.734636</v>
      </c>
      <c r="C12012">
        <v>-43</v>
      </c>
    </row>
    <row r="12013" spans="1:3" x14ac:dyDescent="0.25">
      <c r="A12013">
        <v>38</v>
      </c>
      <c r="B12013" t="str">
        <f>"9:07:20.735663"</f>
        <v>9:07:20.735663</v>
      </c>
      <c r="C12013">
        <v>-41</v>
      </c>
    </row>
    <row r="12014" spans="1:3" x14ac:dyDescent="0.25">
      <c r="A12014">
        <v>38</v>
      </c>
      <c r="B12014" t="str">
        <f>"9:07:20.736181"</f>
        <v>9:07:20.736181</v>
      </c>
      <c r="C12014">
        <v>-31</v>
      </c>
    </row>
    <row r="12015" spans="1:3" x14ac:dyDescent="0.25">
      <c r="A12015">
        <v>38</v>
      </c>
      <c r="B12015" t="str">
        <f>"9:07:20.736507"</f>
        <v>9:07:20.736507</v>
      </c>
      <c r="C12015">
        <v>-41</v>
      </c>
    </row>
    <row r="12016" spans="1:3" x14ac:dyDescent="0.25">
      <c r="A12016">
        <v>39</v>
      </c>
      <c r="B12016" t="str">
        <f>"9:07:20.737283"</f>
        <v>9:07:20.737283</v>
      </c>
      <c r="C12016">
        <v>-46</v>
      </c>
    </row>
    <row r="12017" spans="1:3" x14ac:dyDescent="0.25">
      <c r="A12017">
        <v>37</v>
      </c>
      <c r="B12017" t="str">
        <f>"9:07:21.088932"</f>
        <v>9:07:21.088932</v>
      </c>
      <c r="C12017">
        <v>-44</v>
      </c>
    </row>
    <row r="12018" spans="1:3" x14ac:dyDescent="0.25">
      <c r="A12018">
        <v>38</v>
      </c>
      <c r="B12018" t="str">
        <f>"9:07:21.089959"</f>
        <v>9:07:21.089959</v>
      </c>
      <c r="C12018">
        <v>-41</v>
      </c>
    </row>
    <row r="12019" spans="1:3" x14ac:dyDescent="0.25">
      <c r="A12019">
        <v>38</v>
      </c>
      <c r="B12019" t="str">
        <f>"9:07:21.090477"</f>
        <v>9:07:21.090477</v>
      </c>
      <c r="C12019">
        <v>-31</v>
      </c>
    </row>
    <row r="12020" spans="1:3" x14ac:dyDescent="0.25">
      <c r="A12020">
        <v>38</v>
      </c>
      <c r="B12020" t="str">
        <f>"9:07:21.090803"</f>
        <v>9:07:21.090803</v>
      </c>
      <c r="C12020">
        <v>-41</v>
      </c>
    </row>
    <row r="12021" spans="1:3" x14ac:dyDescent="0.25">
      <c r="A12021">
        <v>39</v>
      </c>
      <c r="B12021" t="str">
        <f>"9:07:21.091579"</f>
        <v>9:07:21.091579</v>
      </c>
      <c r="C12021">
        <v>-45</v>
      </c>
    </row>
    <row r="12022" spans="1:3" x14ac:dyDescent="0.25">
      <c r="A12022">
        <v>37</v>
      </c>
      <c r="B12022" t="str">
        <f>"9:07:21.447371"</f>
        <v>9:07:21.447371</v>
      </c>
      <c r="C12022">
        <v>-44</v>
      </c>
    </row>
    <row r="12023" spans="1:3" x14ac:dyDescent="0.25">
      <c r="A12023">
        <v>38</v>
      </c>
      <c r="B12023" t="str">
        <f>"9:07:21.448398"</f>
        <v>9:07:21.448398</v>
      </c>
      <c r="C12023">
        <v>-41</v>
      </c>
    </row>
    <row r="12024" spans="1:3" x14ac:dyDescent="0.25">
      <c r="A12024">
        <v>38</v>
      </c>
      <c r="B12024" t="str">
        <f>"9:07:21.448917"</f>
        <v>9:07:21.448917</v>
      </c>
      <c r="C12024">
        <v>-32</v>
      </c>
    </row>
    <row r="12025" spans="1:3" x14ac:dyDescent="0.25">
      <c r="A12025">
        <v>38</v>
      </c>
      <c r="B12025" t="str">
        <f>"9:07:21.449242"</f>
        <v>9:07:21.449242</v>
      </c>
      <c r="C12025">
        <v>-41</v>
      </c>
    </row>
    <row r="12026" spans="1:3" x14ac:dyDescent="0.25">
      <c r="A12026">
        <v>39</v>
      </c>
      <c r="B12026" t="str">
        <f>"9:07:21.450018"</f>
        <v>9:07:21.450018</v>
      </c>
      <c r="C12026">
        <v>-45</v>
      </c>
    </row>
    <row r="12027" spans="1:3" x14ac:dyDescent="0.25">
      <c r="A12027">
        <v>37</v>
      </c>
      <c r="B12027" t="str">
        <f>"9:07:21.803285"</f>
        <v>9:07:21.803285</v>
      </c>
      <c r="C12027">
        <v>-44</v>
      </c>
    </row>
    <row r="12028" spans="1:3" x14ac:dyDescent="0.25">
      <c r="A12028">
        <v>39</v>
      </c>
      <c r="B12028" t="str">
        <f>"9:07:21.805337"</f>
        <v>9:07:21.805337</v>
      </c>
      <c r="C12028">
        <v>-45</v>
      </c>
    </row>
    <row r="12029" spans="1:3" x14ac:dyDescent="0.25">
      <c r="A12029">
        <v>37</v>
      </c>
      <c r="B12029" t="str">
        <f>"9:07:22.159677"</f>
        <v>9:07:22.159677</v>
      </c>
      <c r="C12029">
        <v>-44</v>
      </c>
    </row>
    <row r="12030" spans="1:3" x14ac:dyDescent="0.25">
      <c r="A12030">
        <v>38</v>
      </c>
      <c r="B12030" t="str">
        <f>"9:07:22.160704"</f>
        <v>9:07:22.160704</v>
      </c>
      <c r="C12030">
        <v>-41</v>
      </c>
    </row>
    <row r="12031" spans="1:3" x14ac:dyDescent="0.25">
      <c r="A12031">
        <v>38</v>
      </c>
      <c r="B12031" t="str">
        <f>"9:07:22.161223"</f>
        <v>9:07:22.161223</v>
      </c>
      <c r="C12031">
        <v>-32</v>
      </c>
    </row>
    <row r="12032" spans="1:3" x14ac:dyDescent="0.25">
      <c r="A12032">
        <v>38</v>
      </c>
      <c r="B12032" t="str">
        <f>"9:07:22.161548"</f>
        <v>9:07:22.161548</v>
      </c>
      <c r="C12032">
        <v>-41</v>
      </c>
    </row>
    <row r="12033" spans="1:3" x14ac:dyDescent="0.25">
      <c r="A12033">
        <v>39</v>
      </c>
      <c r="B12033" t="str">
        <f>"9:07:22.162324"</f>
        <v>9:07:22.162324</v>
      </c>
      <c r="C12033">
        <v>-45</v>
      </c>
    </row>
    <row r="12034" spans="1:3" x14ac:dyDescent="0.25">
      <c r="A12034">
        <v>37</v>
      </c>
      <c r="B12034" t="str">
        <f>"9:07:22.514468"</f>
        <v>9:07:22.514468</v>
      </c>
      <c r="C12034">
        <v>-44</v>
      </c>
    </row>
    <row r="12035" spans="1:3" x14ac:dyDescent="0.25">
      <c r="A12035">
        <v>38</v>
      </c>
      <c r="B12035" t="str">
        <f>"9:07:22.515495"</f>
        <v>9:07:22.515495</v>
      </c>
      <c r="C12035">
        <v>-41</v>
      </c>
    </row>
    <row r="12036" spans="1:3" x14ac:dyDescent="0.25">
      <c r="A12036">
        <v>38</v>
      </c>
      <c r="B12036" t="str">
        <f>"9:07:22.516014"</f>
        <v>9:07:22.516014</v>
      </c>
      <c r="C12036">
        <v>-32</v>
      </c>
    </row>
    <row r="12037" spans="1:3" x14ac:dyDescent="0.25">
      <c r="A12037">
        <v>38</v>
      </c>
      <c r="B12037" t="str">
        <f>"9:07:22.516340"</f>
        <v>9:07:22.516340</v>
      </c>
      <c r="C12037">
        <v>-41</v>
      </c>
    </row>
    <row r="12038" spans="1:3" x14ac:dyDescent="0.25">
      <c r="A12038">
        <v>39</v>
      </c>
      <c r="B12038" t="str">
        <f>"9:07:22.517116"</f>
        <v>9:07:22.517116</v>
      </c>
      <c r="C12038">
        <v>-45</v>
      </c>
    </row>
    <row r="12039" spans="1:3" x14ac:dyDescent="0.25">
      <c r="A12039">
        <v>37</v>
      </c>
      <c r="B12039" t="str">
        <f>"9:07:22.872606"</f>
        <v>9:07:22.872606</v>
      </c>
      <c r="C12039">
        <v>-44</v>
      </c>
    </row>
    <row r="12040" spans="1:3" x14ac:dyDescent="0.25">
      <c r="A12040">
        <v>38</v>
      </c>
      <c r="B12040" t="str">
        <f>"9:07:22.873633"</f>
        <v>9:07:22.873633</v>
      </c>
      <c r="C12040">
        <v>-41</v>
      </c>
    </row>
    <row r="12041" spans="1:3" x14ac:dyDescent="0.25">
      <c r="A12041">
        <v>38</v>
      </c>
      <c r="B12041" t="str">
        <f>"9:07:22.874152"</f>
        <v>9:07:22.874152</v>
      </c>
      <c r="C12041">
        <v>-32</v>
      </c>
    </row>
    <row r="12042" spans="1:3" x14ac:dyDescent="0.25">
      <c r="A12042">
        <v>38</v>
      </c>
      <c r="B12042" t="str">
        <f>"9:07:22.874477"</f>
        <v>9:07:22.874477</v>
      </c>
      <c r="C12042">
        <v>-42</v>
      </c>
    </row>
    <row r="12043" spans="1:3" x14ac:dyDescent="0.25">
      <c r="A12043">
        <v>39</v>
      </c>
      <c r="B12043" t="str">
        <f>"9:07:22.875253"</f>
        <v>9:07:22.875253</v>
      </c>
      <c r="C12043">
        <v>-45</v>
      </c>
    </row>
    <row r="12044" spans="1:3" x14ac:dyDescent="0.25">
      <c r="A12044">
        <v>37</v>
      </c>
      <c r="B12044" t="str">
        <f>"9:07:23.223143"</f>
        <v>9:07:23.223143</v>
      </c>
      <c r="C12044">
        <v>-44</v>
      </c>
    </row>
    <row r="12045" spans="1:3" x14ac:dyDescent="0.25">
      <c r="A12045">
        <v>38</v>
      </c>
      <c r="B12045" t="str">
        <f>"9:07:23.224170"</f>
        <v>9:07:23.224170</v>
      </c>
      <c r="C12045">
        <v>-41</v>
      </c>
    </row>
    <row r="12046" spans="1:3" x14ac:dyDescent="0.25">
      <c r="A12046">
        <v>38</v>
      </c>
      <c r="B12046" t="str">
        <f>"9:07:23.224689"</f>
        <v>9:07:23.224689</v>
      </c>
      <c r="C12046">
        <v>-32</v>
      </c>
    </row>
    <row r="12047" spans="1:3" x14ac:dyDescent="0.25">
      <c r="A12047">
        <v>38</v>
      </c>
      <c r="B12047" t="str">
        <f>"9:07:23.225015"</f>
        <v>9:07:23.225015</v>
      </c>
      <c r="C12047">
        <v>-41</v>
      </c>
    </row>
    <row r="12048" spans="1:3" x14ac:dyDescent="0.25">
      <c r="A12048">
        <v>39</v>
      </c>
      <c r="B12048" t="str">
        <f>"9:07:23.225791"</f>
        <v>9:07:23.225791</v>
      </c>
      <c r="C12048">
        <v>-46</v>
      </c>
    </row>
    <row r="12049" spans="1:3" x14ac:dyDescent="0.25">
      <c r="A12049">
        <v>37</v>
      </c>
      <c r="B12049" t="str">
        <f>"9:07:23.582860"</f>
        <v>9:07:23.582860</v>
      </c>
      <c r="C12049">
        <v>-44</v>
      </c>
    </row>
    <row r="12050" spans="1:3" x14ac:dyDescent="0.25">
      <c r="A12050">
        <v>38</v>
      </c>
      <c r="B12050" t="str">
        <f>"9:07:23.583887"</f>
        <v>9:07:23.583887</v>
      </c>
      <c r="C12050">
        <v>-41</v>
      </c>
    </row>
    <row r="12051" spans="1:3" x14ac:dyDescent="0.25">
      <c r="A12051">
        <v>39</v>
      </c>
      <c r="B12051" t="str">
        <f>"9:07:23.584913"</f>
        <v>9:07:23.584913</v>
      </c>
      <c r="C12051">
        <v>-46</v>
      </c>
    </row>
    <row r="12052" spans="1:3" x14ac:dyDescent="0.25">
      <c r="A12052">
        <v>37</v>
      </c>
      <c r="B12052" t="str">
        <f>"9:07:23.938712"</f>
        <v>9:07:23.938712</v>
      </c>
      <c r="C12052">
        <v>-44</v>
      </c>
    </row>
    <row r="12053" spans="1:3" x14ac:dyDescent="0.25">
      <c r="A12053">
        <v>38</v>
      </c>
      <c r="B12053" t="str">
        <f>"9:07:23.939739"</f>
        <v>9:07:23.939739</v>
      </c>
      <c r="C12053">
        <v>-41</v>
      </c>
    </row>
    <row r="12054" spans="1:3" x14ac:dyDescent="0.25">
      <c r="A12054">
        <v>38</v>
      </c>
      <c r="B12054" t="str">
        <f>"9:07:23.940258"</f>
        <v>9:07:23.940258</v>
      </c>
      <c r="C12054">
        <v>-32</v>
      </c>
    </row>
    <row r="12055" spans="1:3" x14ac:dyDescent="0.25">
      <c r="A12055">
        <v>38</v>
      </c>
      <c r="B12055" t="str">
        <f>"9:07:23.940583"</f>
        <v>9:07:23.940583</v>
      </c>
      <c r="C12055">
        <v>-42</v>
      </c>
    </row>
    <row r="12056" spans="1:3" x14ac:dyDescent="0.25">
      <c r="A12056">
        <v>39</v>
      </c>
      <c r="B12056" t="str">
        <f>"9:07:23.941359"</f>
        <v>9:07:23.941359</v>
      </c>
      <c r="C12056">
        <v>-46</v>
      </c>
    </row>
    <row r="12057" spans="1:3" x14ac:dyDescent="0.25">
      <c r="A12057">
        <v>37</v>
      </c>
      <c r="B12057" t="str">
        <f>"9:07:24.292486"</f>
        <v>9:07:24.292486</v>
      </c>
      <c r="C12057">
        <v>-44</v>
      </c>
    </row>
    <row r="12058" spans="1:3" x14ac:dyDescent="0.25">
      <c r="A12058">
        <v>38</v>
      </c>
      <c r="B12058" t="str">
        <f>"9:07:24.293513"</f>
        <v>9:07:24.293513</v>
      </c>
      <c r="C12058">
        <v>-41</v>
      </c>
    </row>
    <row r="12059" spans="1:3" x14ac:dyDescent="0.25">
      <c r="A12059">
        <v>38</v>
      </c>
      <c r="B12059" t="str">
        <f>"9:07:24.294032"</f>
        <v>9:07:24.294032</v>
      </c>
      <c r="C12059">
        <v>-32</v>
      </c>
    </row>
    <row r="12060" spans="1:3" x14ac:dyDescent="0.25">
      <c r="A12060">
        <v>38</v>
      </c>
      <c r="B12060" t="str">
        <f>"9:07:24.294358"</f>
        <v>9:07:24.294358</v>
      </c>
      <c r="C12060">
        <v>-41</v>
      </c>
    </row>
    <row r="12061" spans="1:3" x14ac:dyDescent="0.25">
      <c r="A12061">
        <v>39</v>
      </c>
      <c r="B12061" t="str">
        <f>"9:07:24.295134"</f>
        <v>9:07:24.295134</v>
      </c>
      <c r="C12061">
        <v>-46</v>
      </c>
    </row>
    <row r="12062" spans="1:3" x14ac:dyDescent="0.25">
      <c r="A12062">
        <v>37</v>
      </c>
      <c r="B12062" t="str">
        <f>"9:07:24.646318"</f>
        <v>9:07:24.646318</v>
      </c>
      <c r="C12062">
        <v>-44</v>
      </c>
    </row>
    <row r="12063" spans="1:3" x14ac:dyDescent="0.25">
      <c r="A12063">
        <v>38</v>
      </c>
      <c r="B12063" t="str">
        <f>"9:07:24.647346"</f>
        <v>9:07:24.647346</v>
      </c>
      <c r="C12063">
        <v>-41</v>
      </c>
    </row>
    <row r="12064" spans="1:3" x14ac:dyDescent="0.25">
      <c r="A12064">
        <v>39</v>
      </c>
      <c r="B12064" t="str">
        <f>"9:07:24.648372"</f>
        <v>9:07:24.648372</v>
      </c>
      <c r="C12064">
        <v>-46</v>
      </c>
    </row>
    <row r="12065" spans="1:3" x14ac:dyDescent="0.25">
      <c r="A12065">
        <v>39</v>
      </c>
      <c r="B12065" t="str">
        <f>"9:07:24.648890"</f>
        <v>9:07:24.648890</v>
      </c>
      <c r="C12065">
        <v>-30</v>
      </c>
    </row>
    <row r="12066" spans="1:3" x14ac:dyDescent="0.25">
      <c r="A12066">
        <v>39</v>
      </c>
      <c r="B12066" t="str">
        <f>"9:07:24.649216"</f>
        <v>9:07:24.649216</v>
      </c>
      <c r="C12066">
        <v>-45</v>
      </c>
    </row>
    <row r="12067" spans="1:3" x14ac:dyDescent="0.25">
      <c r="A12067">
        <v>37</v>
      </c>
      <c r="B12067" t="str">
        <f>"9:07:24.998106"</f>
        <v>9:07:24.998106</v>
      </c>
      <c r="C12067">
        <v>-44</v>
      </c>
    </row>
    <row r="12068" spans="1:3" x14ac:dyDescent="0.25">
      <c r="A12068">
        <v>38</v>
      </c>
      <c r="B12068" t="str">
        <f>"9:07:24.999134"</f>
        <v>9:07:24.999134</v>
      </c>
      <c r="C12068">
        <v>-41</v>
      </c>
    </row>
    <row r="12069" spans="1:3" x14ac:dyDescent="0.25">
      <c r="A12069">
        <v>39</v>
      </c>
      <c r="B12069" t="str">
        <f>"9:07:25.000160"</f>
        <v>9:07:25.000160</v>
      </c>
      <c r="C12069">
        <v>-46</v>
      </c>
    </row>
    <row r="12070" spans="1:3" x14ac:dyDescent="0.25">
      <c r="A12070">
        <v>39</v>
      </c>
      <c r="B12070" t="str">
        <f>"9:07:25.000678"</f>
        <v>9:07:25.000678</v>
      </c>
      <c r="C12070">
        <v>-30</v>
      </c>
    </row>
    <row r="12071" spans="1:3" x14ac:dyDescent="0.25">
      <c r="A12071">
        <v>39</v>
      </c>
      <c r="B12071" t="str">
        <f>"9:07:25.001004"</f>
        <v>9:07:25.001004</v>
      </c>
      <c r="C12071">
        <v>-45</v>
      </c>
    </row>
    <row r="12072" spans="1:3" x14ac:dyDescent="0.25">
      <c r="A12072">
        <v>37</v>
      </c>
      <c r="B12072" t="str">
        <f>"9:07:25.355053"</f>
        <v>9:07:25.355053</v>
      </c>
      <c r="C12072">
        <v>-44</v>
      </c>
    </row>
    <row r="12073" spans="1:3" x14ac:dyDescent="0.25">
      <c r="A12073">
        <v>38</v>
      </c>
      <c r="B12073" t="str">
        <f>"9:07:25.356080"</f>
        <v>9:07:25.356080</v>
      </c>
      <c r="C12073">
        <v>-41</v>
      </c>
    </row>
    <row r="12074" spans="1:3" x14ac:dyDescent="0.25">
      <c r="A12074">
        <v>39</v>
      </c>
      <c r="B12074" t="str">
        <f>"9:07:25.357106"</f>
        <v>9:07:25.357106</v>
      </c>
      <c r="C12074">
        <v>-45</v>
      </c>
    </row>
    <row r="12075" spans="1:3" x14ac:dyDescent="0.25">
      <c r="A12075">
        <v>39</v>
      </c>
      <c r="B12075" t="str">
        <f>"9:07:25.357625"</f>
        <v>9:07:25.357625</v>
      </c>
      <c r="C12075">
        <v>-31</v>
      </c>
    </row>
    <row r="12076" spans="1:3" x14ac:dyDescent="0.25">
      <c r="A12076">
        <v>39</v>
      </c>
      <c r="B12076" t="str">
        <f>"9:07:25.357951"</f>
        <v>9:07:25.357951</v>
      </c>
      <c r="C12076">
        <v>-45</v>
      </c>
    </row>
    <row r="12077" spans="1:3" x14ac:dyDescent="0.25">
      <c r="A12077">
        <v>37</v>
      </c>
      <c r="B12077" t="str">
        <f>"9:07:25.714984"</f>
        <v>9:07:25.714984</v>
      </c>
      <c r="C12077">
        <v>-44</v>
      </c>
    </row>
    <row r="12078" spans="1:3" x14ac:dyDescent="0.25">
      <c r="A12078">
        <v>38</v>
      </c>
      <c r="B12078" t="str">
        <f>"9:07:25.716011"</f>
        <v>9:07:25.716011</v>
      </c>
      <c r="C12078">
        <v>-41</v>
      </c>
    </row>
    <row r="12079" spans="1:3" x14ac:dyDescent="0.25">
      <c r="A12079">
        <v>39</v>
      </c>
      <c r="B12079" t="str">
        <f>"9:07:25.717037"</f>
        <v>9:07:25.717037</v>
      </c>
      <c r="C12079">
        <v>-45</v>
      </c>
    </row>
    <row r="12080" spans="1:3" x14ac:dyDescent="0.25">
      <c r="A12080">
        <v>39</v>
      </c>
      <c r="B12080" t="str">
        <f>"9:07:25.717556"</f>
        <v>9:07:25.717556</v>
      </c>
      <c r="C12080">
        <v>-31</v>
      </c>
    </row>
    <row r="12081" spans="1:3" x14ac:dyDescent="0.25">
      <c r="A12081">
        <v>39</v>
      </c>
      <c r="B12081" t="str">
        <f>"9:07:25.717882"</f>
        <v>9:07:25.717882</v>
      </c>
      <c r="C12081">
        <v>-45</v>
      </c>
    </row>
    <row r="12082" spans="1:3" x14ac:dyDescent="0.25">
      <c r="A12082">
        <v>37</v>
      </c>
      <c r="B12082" t="str">
        <f>"9:07:26.070841"</f>
        <v>9:07:26.070841</v>
      </c>
      <c r="C12082">
        <v>-44</v>
      </c>
    </row>
    <row r="12083" spans="1:3" x14ac:dyDescent="0.25">
      <c r="A12083">
        <v>38</v>
      </c>
      <c r="B12083" t="str">
        <f>"9:07:26.071868"</f>
        <v>9:07:26.071868</v>
      </c>
      <c r="C12083">
        <v>-41</v>
      </c>
    </row>
    <row r="12084" spans="1:3" x14ac:dyDescent="0.25">
      <c r="A12084">
        <v>39</v>
      </c>
      <c r="B12084" t="str">
        <f>"9:07:26.072895"</f>
        <v>9:07:26.072895</v>
      </c>
      <c r="C12084">
        <v>-46</v>
      </c>
    </row>
    <row r="12085" spans="1:3" x14ac:dyDescent="0.25">
      <c r="A12085">
        <v>39</v>
      </c>
      <c r="B12085" t="str">
        <f>"9:07:26.073413"</f>
        <v>9:07:26.073413</v>
      </c>
      <c r="C12085">
        <v>-31</v>
      </c>
    </row>
    <row r="12086" spans="1:3" x14ac:dyDescent="0.25">
      <c r="A12086">
        <v>39</v>
      </c>
      <c r="B12086" t="str">
        <f>"9:07:26.073739"</f>
        <v>9:07:26.073739</v>
      </c>
      <c r="C12086">
        <v>-45</v>
      </c>
    </row>
    <row r="12087" spans="1:3" x14ac:dyDescent="0.25">
      <c r="A12087">
        <v>37</v>
      </c>
      <c r="B12087" t="str">
        <f>"9:07:26.425649"</f>
        <v>9:07:26.425649</v>
      </c>
      <c r="C12087">
        <v>-44</v>
      </c>
    </row>
    <row r="12088" spans="1:3" x14ac:dyDescent="0.25">
      <c r="A12088">
        <v>38</v>
      </c>
      <c r="B12088" t="str">
        <f>"9:07:26.426676"</f>
        <v>9:07:26.426676</v>
      </c>
      <c r="C12088">
        <v>-41</v>
      </c>
    </row>
    <row r="12089" spans="1:3" x14ac:dyDescent="0.25">
      <c r="A12089">
        <v>39</v>
      </c>
      <c r="B12089" t="str">
        <f>"9:07:26.427702"</f>
        <v>9:07:26.427702</v>
      </c>
      <c r="C12089">
        <v>-46</v>
      </c>
    </row>
    <row r="12090" spans="1:3" x14ac:dyDescent="0.25">
      <c r="A12090">
        <v>39</v>
      </c>
      <c r="B12090" t="str">
        <f>"9:07:26.428221"</f>
        <v>9:07:26.428221</v>
      </c>
      <c r="C12090">
        <v>-31</v>
      </c>
    </row>
    <row r="12091" spans="1:3" x14ac:dyDescent="0.25">
      <c r="A12091">
        <v>39</v>
      </c>
      <c r="B12091" t="str">
        <f>"9:07:26.428547"</f>
        <v>9:07:26.428547</v>
      </c>
      <c r="C12091">
        <v>-45</v>
      </c>
    </row>
    <row r="12092" spans="1:3" x14ac:dyDescent="0.25">
      <c r="A12092">
        <v>37</v>
      </c>
      <c r="B12092" t="str">
        <f>"9:07:26.779448"</f>
        <v>9:07:26.779448</v>
      </c>
      <c r="C12092">
        <v>-44</v>
      </c>
    </row>
    <row r="12093" spans="1:3" x14ac:dyDescent="0.25">
      <c r="A12093">
        <v>38</v>
      </c>
      <c r="B12093" t="str">
        <f>"9:07:26.780476"</f>
        <v>9:07:26.780476</v>
      </c>
      <c r="C12093">
        <v>-41</v>
      </c>
    </row>
    <row r="12094" spans="1:3" x14ac:dyDescent="0.25">
      <c r="A12094">
        <v>39</v>
      </c>
      <c r="B12094" t="str">
        <f>"9:07:26.781502"</f>
        <v>9:07:26.781502</v>
      </c>
      <c r="C12094">
        <v>-46</v>
      </c>
    </row>
    <row r="12095" spans="1:3" x14ac:dyDescent="0.25">
      <c r="A12095">
        <v>39</v>
      </c>
      <c r="B12095" t="str">
        <f>"9:07:26.782020"</f>
        <v>9:07:26.782020</v>
      </c>
      <c r="C12095">
        <v>-31</v>
      </c>
    </row>
    <row r="12096" spans="1:3" x14ac:dyDescent="0.25">
      <c r="A12096">
        <v>39</v>
      </c>
      <c r="B12096" t="str">
        <f>"9:07:26.782346"</f>
        <v>9:07:26.782346</v>
      </c>
      <c r="C12096">
        <v>-45</v>
      </c>
    </row>
    <row r="12097" spans="1:3" x14ac:dyDescent="0.25">
      <c r="A12097">
        <v>37</v>
      </c>
      <c r="B12097" t="str">
        <f>"9:07:27.137921"</f>
        <v>9:07:27.137921</v>
      </c>
      <c r="C12097">
        <v>-44</v>
      </c>
    </row>
    <row r="12098" spans="1:3" x14ac:dyDescent="0.25">
      <c r="A12098">
        <v>37</v>
      </c>
      <c r="B12098" t="str">
        <f>"9:07:27.138440"</f>
        <v>9:07:27.138440</v>
      </c>
      <c r="C12098">
        <v>-88</v>
      </c>
    </row>
    <row r="12099" spans="1:3" x14ac:dyDescent="0.25">
      <c r="A12099">
        <v>37</v>
      </c>
      <c r="B12099" t="str">
        <f>"9:07:27.138765"</f>
        <v>9:07:27.138765</v>
      </c>
      <c r="C12099">
        <v>-44</v>
      </c>
    </row>
    <row r="12100" spans="1:3" x14ac:dyDescent="0.25">
      <c r="A12100">
        <v>38</v>
      </c>
      <c r="B12100" t="str">
        <f>"9:07:27.139542"</f>
        <v>9:07:27.139542</v>
      </c>
      <c r="C12100">
        <v>-41</v>
      </c>
    </row>
    <row r="12101" spans="1:3" x14ac:dyDescent="0.25">
      <c r="A12101">
        <v>39</v>
      </c>
      <c r="B12101" t="str">
        <f>"9:07:27.140568"</f>
        <v>9:07:27.140568</v>
      </c>
      <c r="C12101">
        <v>-46</v>
      </c>
    </row>
    <row r="12102" spans="1:3" x14ac:dyDescent="0.25">
      <c r="A12102">
        <v>39</v>
      </c>
      <c r="B12102" t="str">
        <f>"9:07:27.141086"</f>
        <v>9:07:27.141086</v>
      </c>
      <c r="C12102">
        <v>-31</v>
      </c>
    </row>
    <row r="12103" spans="1:3" x14ac:dyDescent="0.25">
      <c r="A12103">
        <v>39</v>
      </c>
      <c r="B12103" t="str">
        <f>"9:07:27.141412"</f>
        <v>9:07:27.141412</v>
      </c>
      <c r="C12103">
        <v>-45</v>
      </c>
    </row>
    <row r="12104" spans="1:3" x14ac:dyDescent="0.25">
      <c r="A12104">
        <v>37</v>
      </c>
      <c r="B12104" t="str">
        <f>"9:07:27.495546"</f>
        <v>9:07:27.495546</v>
      </c>
      <c r="C12104">
        <v>-44</v>
      </c>
    </row>
    <row r="12105" spans="1:3" x14ac:dyDescent="0.25">
      <c r="A12105">
        <v>38</v>
      </c>
      <c r="B12105" t="str">
        <f>"9:07:27.496574"</f>
        <v>9:07:27.496574</v>
      </c>
      <c r="C12105">
        <v>-41</v>
      </c>
    </row>
    <row r="12106" spans="1:3" x14ac:dyDescent="0.25">
      <c r="A12106">
        <v>39</v>
      </c>
      <c r="B12106" t="str">
        <f>"9:07:27.497600"</f>
        <v>9:07:27.497600</v>
      </c>
      <c r="C12106">
        <v>-46</v>
      </c>
    </row>
    <row r="12107" spans="1:3" x14ac:dyDescent="0.25">
      <c r="A12107">
        <v>39</v>
      </c>
      <c r="B12107" t="str">
        <f>"9:07:27.498118"</f>
        <v>9:07:27.498118</v>
      </c>
      <c r="C12107">
        <v>-31</v>
      </c>
    </row>
    <row r="12108" spans="1:3" x14ac:dyDescent="0.25">
      <c r="A12108">
        <v>39</v>
      </c>
      <c r="B12108" t="str">
        <f>"9:07:27.498444"</f>
        <v>9:07:27.498444</v>
      </c>
      <c r="C12108">
        <v>-45</v>
      </c>
    </row>
    <row r="12109" spans="1:3" x14ac:dyDescent="0.25">
      <c r="A12109">
        <v>37</v>
      </c>
      <c r="B12109" t="str">
        <f>"9:07:27.853190"</f>
        <v>9:07:27.853190</v>
      </c>
      <c r="C12109">
        <v>-44</v>
      </c>
    </row>
    <row r="12110" spans="1:3" x14ac:dyDescent="0.25">
      <c r="A12110">
        <v>38</v>
      </c>
      <c r="B12110" t="str">
        <f>"9:07:27.854218"</f>
        <v>9:07:27.854218</v>
      </c>
      <c r="C12110">
        <v>-41</v>
      </c>
    </row>
    <row r="12111" spans="1:3" x14ac:dyDescent="0.25">
      <c r="A12111">
        <v>39</v>
      </c>
      <c r="B12111" t="str">
        <f>"9:07:27.855244"</f>
        <v>9:07:27.855244</v>
      </c>
      <c r="C12111">
        <v>-46</v>
      </c>
    </row>
    <row r="12112" spans="1:3" x14ac:dyDescent="0.25">
      <c r="A12112">
        <v>39</v>
      </c>
      <c r="B12112" t="str">
        <f>"9:07:27.855762"</f>
        <v>9:07:27.855762</v>
      </c>
      <c r="C12112">
        <v>-31</v>
      </c>
    </row>
    <row r="12113" spans="1:3" x14ac:dyDescent="0.25">
      <c r="A12113">
        <v>39</v>
      </c>
      <c r="B12113" t="str">
        <f>"9:07:27.856089"</f>
        <v>9:07:27.856089</v>
      </c>
      <c r="C12113">
        <v>-45</v>
      </c>
    </row>
    <row r="12114" spans="1:3" x14ac:dyDescent="0.25">
      <c r="A12114">
        <v>37</v>
      </c>
      <c r="B12114" t="str">
        <f>"9:07:28.211328"</f>
        <v>9:07:28.211328</v>
      </c>
      <c r="C12114">
        <v>-44</v>
      </c>
    </row>
    <row r="12115" spans="1:3" x14ac:dyDescent="0.25">
      <c r="A12115">
        <v>38</v>
      </c>
      <c r="B12115" t="str">
        <f>"9:07:28.212355"</f>
        <v>9:07:28.212355</v>
      </c>
      <c r="C12115">
        <v>-41</v>
      </c>
    </row>
    <row r="12116" spans="1:3" x14ac:dyDescent="0.25">
      <c r="A12116">
        <v>38</v>
      </c>
      <c r="B12116" t="str">
        <f>"9:07:28.212875"</f>
        <v>9:07:28.212875</v>
      </c>
      <c r="C12116">
        <v>-83</v>
      </c>
    </row>
    <row r="12117" spans="1:3" x14ac:dyDescent="0.25">
      <c r="A12117">
        <v>38</v>
      </c>
      <c r="B12117" t="str">
        <f>"9:07:28.213201"</f>
        <v>9:07:28.213201</v>
      </c>
      <c r="C12117">
        <v>-42</v>
      </c>
    </row>
    <row r="12118" spans="1:3" x14ac:dyDescent="0.25">
      <c r="A12118">
        <v>39</v>
      </c>
      <c r="B12118" t="str">
        <f>"9:07:28.213977"</f>
        <v>9:07:28.213977</v>
      </c>
      <c r="C12118">
        <v>-46</v>
      </c>
    </row>
    <row r="12119" spans="1:3" x14ac:dyDescent="0.25">
      <c r="A12119">
        <v>39</v>
      </c>
      <c r="B12119" t="str">
        <f>"9:07:28.214495"</f>
        <v>9:07:28.214495</v>
      </c>
      <c r="C12119">
        <v>-31</v>
      </c>
    </row>
    <row r="12120" spans="1:3" x14ac:dyDescent="0.25">
      <c r="A12120">
        <v>39</v>
      </c>
      <c r="B12120" t="str">
        <f>"9:07:28.214821"</f>
        <v>9:07:28.214821</v>
      </c>
      <c r="C12120">
        <v>-45</v>
      </c>
    </row>
    <row r="12121" spans="1:3" x14ac:dyDescent="0.25">
      <c r="A12121">
        <v>37</v>
      </c>
      <c r="B12121" t="str">
        <f>"9:07:28.567965"</f>
        <v>9:07:28.567965</v>
      </c>
      <c r="C12121">
        <v>-44</v>
      </c>
    </row>
    <row r="12122" spans="1:3" x14ac:dyDescent="0.25">
      <c r="A12122">
        <v>38</v>
      </c>
      <c r="B12122" t="str">
        <f>"9:07:28.568993"</f>
        <v>9:07:28.568993</v>
      </c>
      <c r="C12122">
        <v>-41</v>
      </c>
    </row>
    <row r="12123" spans="1:3" x14ac:dyDescent="0.25">
      <c r="A12123">
        <v>39</v>
      </c>
      <c r="B12123" t="str">
        <f>"9:07:28.570019"</f>
        <v>9:07:28.570019</v>
      </c>
      <c r="C12123">
        <v>-46</v>
      </c>
    </row>
    <row r="12124" spans="1:3" x14ac:dyDescent="0.25">
      <c r="A12124">
        <v>39</v>
      </c>
      <c r="B12124" t="str">
        <f>"9:07:28.570537"</f>
        <v>9:07:28.570537</v>
      </c>
      <c r="C12124">
        <v>-31</v>
      </c>
    </row>
    <row r="12125" spans="1:3" x14ac:dyDescent="0.25">
      <c r="A12125">
        <v>39</v>
      </c>
      <c r="B12125" t="str">
        <f>"9:07:28.570863"</f>
        <v>9:07:28.570863</v>
      </c>
      <c r="C12125">
        <v>-45</v>
      </c>
    </row>
    <row r="12126" spans="1:3" x14ac:dyDescent="0.25">
      <c r="A12126">
        <v>37</v>
      </c>
      <c r="B12126" t="str">
        <f>"9:07:28.918208"</f>
        <v>9:07:28.918208</v>
      </c>
      <c r="C12126">
        <v>-44</v>
      </c>
    </row>
    <row r="12127" spans="1:3" x14ac:dyDescent="0.25">
      <c r="A12127">
        <v>38</v>
      </c>
      <c r="B12127" t="str">
        <f>"9:07:28.919235"</f>
        <v>9:07:28.919235</v>
      </c>
      <c r="C12127">
        <v>-41</v>
      </c>
    </row>
    <row r="12128" spans="1:3" x14ac:dyDescent="0.25">
      <c r="A12128">
        <v>39</v>
      </c>
      <c r="B12128" t="str">
        <f>"9:07:28.920261"</f>
        <v>9:07:28.920261</v>
      </c>
      <c r="C12128">
        <v>-46</v>
      </c>
    </row>
    <row r="12129" spans="1:3" x14ac:dyDescent="0.25">
      <c r="A12129">
        <v>39</v>
      </c>
      <c r="B12129" t="str">
        <f>"9:07:28.920779"</f>
        <v>9:07:28.920779</v>
      </c>
      <c r="C12129">
        <v>-31</v>
      </c>
    </row>
    <row r="12130" spans="1:3" x14ac:dyDescent="0.25">
      <c r="A12130">
        <v>39</v>
      </c>
      <c r="B12130" t="str">
        <f>"9:07:28.921105"</f>
        <v>9:07:28.921105</v>
      </c>
      <c r="C12130">
        <v>-45</v>
      </c>
    </row>
    <row r="12131" spans="1:3" x14ac:dyDescent="0.25">
      <c r="A12131">
        <v>37</v>
      </c>
      <c r="B12131" t="str">
        <f>"9:07:29.270537"</f>
        <v>9:07:29.270537</v>
      </c>
      <c r="C12131">
        <v>-44</v>
      </c>
    </row>
    <row r="12132" spans="1:3" x14ac:dyDescent="0.25">
      <c r="A12132">
        <v>38</v>
      </c>
      <c r="B12132" t="str">
        <f>"9:07:29.271565"</f>
        <v>9:07:29.271565</v>
      </c>
      <c r="C12132">
        <v>-41</v>
      </c>
    </row>
    <row r="12133" spans="1:3" x14ac:dyDescent="0.25">
      <c r="A12133">
        <v>39</v>
      </c>
      <c r="B12133" t="str">
        <f>"9:07:29.272591"</f>
        <v>9:07:29.272591</v>
      </c>
      <c r="C12133">
        <v>-46</v>
      </c>
    </row>
    <row r="12134" spans="1:3" x14ac:dyDescent="0.25">
      <c r="A12134">
        <v>39</v>
      </c>
      <c r="B12134" t="str">
        <f>"9:07:29.273108"</f>
        <v>9:07:29.273108</v>
      </c>
      <c r="C12134">
        <v>-31</v>
      </c>
    </row>
    <row r="12135" spans="1:3" x14ac:dyDescent="0.25">
      <c r="A12135">
        <v>39</v>
      </c>
      <c r="B12135" t="str">
        <f>"9:07:29.273435"</f>
        <v>9:07:29.273435</v>
      </c>
      <c r="C12135">
        <v>-45</v>
      </c>
    </row>
    <row r="12136" spans="1:3" x14ac:dyDescent="0.25">
      <c r="A12136">
        <v>37</v>
      </c>
      <c r="B12136" t="str">
        <f>"9:07:29.623592"</f>
        <v>9:07:29.623592</v>
      </c>
      <c r="C12136">
        <v>-44</v>
      </c>
    </row>
    <row r="12137" spans="1:3" x14ac:dyDescent="0.25">
      <c r="A12137">
        <v>37</v>
      </c>
      <c r="B12137" t="str">
        <f>"9:07:29.624111"</f>
        <v>9:07:29.624111</v>
      </c>
      <c r="C12137">
        <v>-40</v>
      </c>
    </row>
    <row r="12138" spans="1:3" x14ac:dyDescent="0.25">
      <c r="A12138">
        <v>37</v>
      </c>
      <c r="B12138" t="str">
        <f>"9:07:29.624436"</f>
        <v>9:07:29.624436</v>
      </c>
      <c r="C12138">
        <v>-44</v>
      </c>
    </row>
    <row r="12139" spans="1:3" x14ac:dyDescent="0.25">
      <c r="A12139">
        <v>38</v>
      </c>
      <c r="B12139" t="str">
        <f>"9:07:29.625212"</f>
        <v>9:07:29.625212</v>
      </c>
      <c r="C12139">
        <v>-41</v>
      </c>
    </row>
    <row r="12140" spans="1:3" x14ac:dyDescent="0.25">
      <c r="A12140">
        <v>39</v>
      </c>
      <c r="B12140" t="str">
        <f>"9:07:29.626238"</f>
        <v>9:07:29.626238</v>
      </c>
      <c r="C12140">
        <v>-46</v>
      </c>
    </row>
    <row r="12141" spans="1:3" x14ac:dyDescent="0.25">
      <c r="A12141">
        <v>37</v>
      </c>
      <c r="B12141" t="str">
        <f>"9:07:29.981516"</f>
        <v>9:07:29.981516</v>
      </c>
      <c r="C12141">
        <v>-44</v>
      </c>
    </row>
    <row r="12142" spans="1:3" x14ac:dyDescent="0.25">
      <c r="A12142">
        <v>37</v>
      </c>
      <c r="B12142" t="str">
        <f>"9:07:29.982035"</f>
        <v>9:07:29.982035</v>
      </c>
      <c r="C12142">
        <v>-40</v>
      </c>
    </row>
    <row r="12143" spans="1:3" x14ac:dyDescent="0.25">
      <c r="A12143">
        <v>37</v>
      </c>
      <c r="B12143" t="str">
        <f>"9:07:29.982361"</f>
        <v>9:07:29.982361</v>
      </c>
      <c r="C12143">
        <v>-44</v>
      </c>
    </row>
    <row r="12144" spans="1:3" x14ac:dyDescent="0.25">
      <c r="A12144">
        <v>38</v>
      </c>
      <c r="B12144" t="str">
        <f>"9:07:29.983137"</f>
        <v>9:07:29.983137</v>
      </c>
      <c r="C12144">
        <v>-41</v>
      </c>
    </row>
    <row r="12145" spans="1:3" x14ac:dyDescent="0.25">
      <c r="A12145">
        <v>39</v>
      </c>
      <c r="B12145" t="str">
        <f>"9:07:29.984163"</f>
        <v>9:07:29.984163</v>
      </c>
      <c r="C12145">
        <v>-45</v>
      </c>
    </row>
    <row r="12146" spans="1:3" x14ac:dyDescent="0.25">
      <c r="A12146">
        <v>37</v>
      </c>
      <c r="B12146" t="str">
        <f>"9:07:30.334508"</f>
        <v>9:07:30.334508</v>
      </c>
      <c r="C12146">
        <v>-44</v>
      </c>
    </row>
    <row r="12147" spans="1:3" x14ac:dyDescent="0.25">
      <c r="A12147">
        <v>37</v>
      </c>
      <c r="B12147" t="str">
        <f>"9:07:30.335027"</f>
        <v>9:07:30.335027</v>
      </c>
      <c r="C12147">
        <v>-40</v>
      </c>
    </row>
    <row r="12148" spans="1:3" x14ac:dyDescent="0.25">
      <c r="A12148">
        <v>37</v>
      </c>
      <c r="B12148" t="str">
        <f>"9:07:30.335353"</f>
        <v>9:07:30.335353</v>
      </c>
      <c r="C12148">
        <v>-44</v>
      </c>
    </row>
    <row r="12149" spans="1:3" x14ac:dyDescent="0.25">
      <c r="A12149">
        <v>38</v>
      </c>
      <c r="B12149" t="str">
        <f>"9:07:30.336129"</f>
        <v>9:07:30.336129</v>
      </c>
      <c r="C12149">
        <v>-41</v>
      </c>
    </row>
    <row r="12150" spans="1:3" x14ac:dyDescent="0.25">
      <c r="A12150">
        <v>39</v>
      </c>
      <c r="B12150" t="str">
        <f>"9:07:30.337155"</f>
        <v>9:07:30.337155</v>
      </c>
      <c r="C12150">
        <v>-46</v>
      </c>
    </row>
    <row r="12151" spans="1:3" x14ac:dyDescent="0.25">
      <c r="A12151">
        <v>37</v>
      </c>
      <c r="B12151" t="str">
        <f>"9:07:30.687584"</f>
        <v>9:07:30.687584</v>
      </c>
      <c r="C12151">
        <v>-44</v>
      </c>
    </row>
    <row r="12152" spans="1:3" x14ac:dyDescent="0.25">
      <c r="A12152">
        <v>37</v>
      </c>
      <c r="B12152" t="str">
        <f>"9:07:30.688103"</f>
        <v>9:07:30.688103</v>
      </c>
      <c r="C12152">
        <v>-40</v>
      </c>
    </row>
    <row r="12153" spans="1:3" x14ac:dyDescent="0.25">
      <c r="A12153">
        <v>37</v>
      </c>
      <c r="B12153" t="str">
        <f>"9:07:30.688429"</f>
        <v>9:07:30.688429</v>
      </c>
      <c r="C12153">
        <v>-44</v>
      </c>
    </row>
    <row r="12154" spans="1:3" x14ac:dyDescent="0.25">
      <c r="A12154">
        <v>38</v>
      </c>
      <c r="B12154" t="str">
        <f>"9:07:30.689205"</f>
        <v>9:07:30.689205</v>
      </c>
      <c r="C12154">
        <v>-41</v>
      </c>
    </row>
    <row r="12155" spans="1:3" x14ac:dyDescent="0.25">
      <c r="A12155">
        <v>39</v>
      </c>
      <c r="B12155" t="str">
        <f>"9:07:30.690231"</f>
        <v>9:07:30.690231</v>
      </c>
      <c r="C12155">
        <v>-46</v>
      </c>
    </row>
    <row r="12156" spans="1:3" x14ac:dyDescent="0.25">
      <c r="A12156">
        <v>37</v>
      </c>
      <c r="B12156" t="str">
        <f>"9:07:31.040926"</f>
        <v>9:07:31.040926</v>
      </c>
      <c r="C12156">
        <v>-44</v>
      </c>
    </row>
    <row r="12157" spans="1:3" x14ac:dyDescent="0.25">
      <c r="A12157">
        <v>38</v>
      </c>
      <c r="B12157" t="str">
        <f>"9:07:31.041953"</f>
        <v>9:07:31.041953</v>
      </c>
      <c r="C12157">
        <v>-41</v>
      </c>
    </row>
    <row r="12158" spans="1:3" x14ac:dyDescent="0.25">
      <c r="A12158">
        <v>39</v>
      </c>
      <c r="B12158" t="str">
        <f>"9:07:31.042979"</f>
        <v>9:07:31.042979</v>
      </c>
      <c r="C12158">
        <v>-46</v>
      </c>
    </row>
    <row r="12159" spans="1:3" x14ac:dyDescent="0.25">
      <c r="A12159">
        <v>37</v>
      </c>
      <c r="B12159" t="str">
        <f>"9:07:31.395249"</f>
        <v>9:07:31.395249</v>
      </c>
      <c r="C12159">
        <v>-44</v>
      </c>
    </row>
    <row r="12160" spans="1:3" x14ac:dyDescent="0.25">
      <c r="A12160">
        <v>37</v>
      </c>
      <c r="B12160" t="str">
        <f>"9:07:31.395768"</f>
        <v>9:07:31.395768</v>
      </c>
      <c r="C12160">
        <v>-40</v>
      </c>
    </row>
    <row r="12161" spans="1:3" x14ac:dyDescent="0.25">
      <c r="A12161">
        <v>37</v>
      </c>
      <c r="B12161" t="str">
        <f>"9:07:31.396094"</f>
        <v>9:07:31.396094</v>
      </c>
      <c r="C12161">
        <v>-44</v>
      </c>
    </row>
    <row r="12162" spans="1:3" x14ac:dyDescent="0.25">
      <c r="A12162">
        <v>38</v>
      </c>
      <c r="B12162" t="str">
        <f>"9:07:31.396870"</f>
        <v>9:07:31.396870</v>
      </c>
      <c r="C12162">
        <v>-41</v>
      </c>
    </row>
    <row r="12163" spans="1:3" x14ac:dyDescent="0.25">
      <c r="A12163">
        <v>39</v>
      </c>
      <c r="B12163" t="str">
        <f>"9:07:31.397896"</f>
        <v>9:07:31.397896</v>
      </c>
      <c r="C12163">
        <v>-46</v>
      </c>
    </row>
    <row r="12164" spans="1:3" x14ac:dyDescent="0.25">
      <c r="A12164">
        <v>37</v>
      </c>
      <c r="B12164" t="str">
        <f>"9:07:31.754656"</f>
        <v>9:07:31.754656</v>
      </c>
      <c r="C12164">
        <v>-44</v>
      </c>
    </row>
    <row r="12165" spans="1:3" x14ac:dyDescent="0.25">
      <c r="A12165">
        <v>37</v>
      </c>
      <c r="B12165" t="str">
        <f>"9:07:31.755175"</f>
        <v>9:07:31.755175</v>
      </c>
      <c r="C12165">
        <v>-40</v>
      </c>
    </row>
    <row r="12166" spans="1:3" x14ac:dyDescent="0.25">
      <c r="A12166">
        <v>37</v>
      </c>
      <c r="B12166" t="str">
        <f>"9:07:31.755501"</f>
        <v>9:07:31.755501</v>
      </c>
      <c r="C12166">
        <v>-44</v>
      </c>
    </row>
    <row r="12167" spans="1:3" x14ac:dyDescent="0.25">
      <c r="A12167">
        <v>38</v>
      </c>
      <c r="B12167" t="str">
        <f>"9:07:31.756277"</f>
        <v>9:07:31.756277</v>
      </c>
      <c r="C12167">
        <v>-41</v>
      </c>
    </row>
    <row r="12168" spans="1:3" x14ac:dyDescent="0.25">
      <c r="A12168">
        <v>39</v>
      </c>
      <c r="B12168" t="str">
        <f>"9:07:31.757303"</f>
        <v>9:07:31.757303</v>
      </c>
      <c r="C12168">
        <v>-46</v>
      </c>
    </row>
    <row r="12169" spans="1:3" x14ac:dyDescent="0.25">
      <c r="A12169">
        <v>37</v>
      </c>
      <c r="B12169" t="str">
        <f>"9:07:32.105374"</f>
        <v>9:07:32.105374</v>
      </c>
      <c r="C12169">
        <v>-44</v>
      </c>
    </row>
    <row r="12170" spans="1:3" x14ac:dyDescent="0.25">
      <c r="A12170">
        <v>37</v>
      </c>
      <c r="B12170" t="str">
        <f>"9:07:32.105893"</f>
        <v>9:07:32.105893</v>
      </c>
      <c r="C12170">
        <v>-40</v>
      </c>
    </row>
    <row r="12171" spans="1:3" x14ac:dyDescent="0.25">
      <c r="A12171">
        <v>37</v>
      </c>
      <c r="B12171" t="str">
        <f>"9:07:32.106219"</f>
        <v>9:07:32.106219</v>
      </c>
      <c r="C12171">
        <v>-44</v>
      </c>
    </row>
    <row r="12172" spans="1:3" x14ac:dyDescent="0.25">
      <c r="A12172">
        <v>38</v>
      </c>
      <c r="B12172" t="str">
        <f>"9:07:32.106995"</f>
        <v>9:07:32.106995</v>
      </c>
      <c r="C12172">
        <v>-41</v>
      </c>
    </row>
    <row r="12173" spans="1:3" x14ac:dyDescent="0.25">
      <c r="A12173">
        <v>39</v>
      </c>
      <c r="B12173" t="str">
        <f>"9:07:32.108021"</f>
        <v>9:07:32.108021</v>
      </c>
      <c r="C12173">
        <v>-45</v>
      </c>
    </row>
    <row r="12174" spans="1:3" x14ac:dyDescent="0.25">
      <c r="A12174">
        <v>37</v>
      </c>
      <c r="B12174" t="str">
        <f>"9:07:32.456663"</f>
        <v>9:07:32.456663</v>
      </c>
      <c r="C12174">
        <v>-44</v>
      </c>
    </row>
    <row r="12175" spans="1:3" x14ac:dyDescent="0.25">
      <c r="A12175">
        <v>37</v>
      </c>
      <c r="B12175" t="str">
        <f>"9:07:32.457182"</f>
        <v>9:07:32.457182</v>
      </c>
      <c r="C12175">
        <v>-40</v>
      </c>
    </row>
    <row r="12176" spans="1:3" x14ac:dyDescent="0.25">
      <c r="A12176">
        <v>37</v>
      </c>
      <c r="B12176" t="str">
        <f>"9:07:32.457507"</f>
        <v>9:07:32.457507</v>
      </c>
      <c r="C12176">
        <v>-44</v>
      </c>
    </row>
    <row r="12177" spans="1:3" x14ac:dyDescent="0.25">
      <c r="A12177">
        <v>38</v>
      </c>
      <c r="B12177" t="str">
        <f>"9:07:32.458284"</f>
        <v>9:07:32.458284</v>
      </c>
      <c r="C12177">
        <v>-41</v>
      </c>
    </row>
    <row r="12178" spans="1:3" x14ac:dyDescent="0.25">
      <c r="A12178">
        <v>39</v>
      </c>
      <c r="B12178" t="str">
        <f>"9:07:32.459310"</f>
        <v>9:07:32.459310</v>
      </c>
      <c r="C12178">
        <v>-45</v>
      </c>
    </row>
    <row r="12179" spans="1:3" x14ac:dyDescent="0.25">
      <c r="A12179">
        <v>37</v>
      </c>
      <c r="B12179" t="str">
        <f>"9:07:32.814803"</f>
        <v>9:07:32.814803</v>
      </c>
      <c r="C12179">
        <v>-44</v>
      </c>
    </row>
    <row r="12180" spans="1:3" x14ac:dyDescent="0.25">
      <c r="A12180">
        <v>38</v>
      </c>
      <c r="B12180" t="str">
        <f>"9:07:32.815830"</f>
        <v>9:07:32.815830</v>
      </c>
      <c r="C12180">
        <v>-41</v>
      </c>
    </row>
    <row r="12181" spans="1:3" x14ac:dyDescent="0.25">
      <c r="A12181">
        <v>39</v>
      </c>
      <c r="B12181" t="str">
        <f>"9:07:32.816856"</f>
        <v>9:07:32.816856</v>
      </c>
      <c r="C12181">
        <v>-45</v>
      </c>
    </row>
    <row r="12182" spans="1:3" x14ac:dyDescent="0.25">
      <c r="A12182">
        <v>37</v>
      </c>
      <c r="B12182" t="str">
        <f>"9:07:33.172964"</f>
        <v>9:07:33.172964</v>
      </c>
      <c r="C12182">
        <v>-44</v>
      </c>
    </row>
    <row r="12183" spans="1:3" x14ac:dyDescent="0.25">
      <c r="A12183">
        <v>37</v>
      </c>
      <c r="B12183" t="str">
        <f>"9:07:33.173482"</f>
        <v>9:07:33.173482</v>
      </c>
      <c r="C12183">
        <v>-38</v>
      </c>
    </row>
    <row r="12184" spans="1:3" x14ac:dyDescent="0.25">
      <c r="A12184">
        <v>37</v>
      </c>
      <c r="B12184" t="str">
        <f>"9:07:33.173808"</f>
        <v>9:07:33.173808</v>
      </c>
      <c r="C12184">
        <v>-44</v>
      </c>
    </row>
    <row r="12185" spans="1:3" x14ac:dyDescent="0.25">
      <c r="A12185">
        <v>38</v>
      </c>
      <c r="B12185" t="str">
        <f>"9:07:33.174584"</f>
        <v>9:07:33.174584</v>
      </c>
      <c r="C12185">
        <v>-41</v>
      </c>
    </row>
    <row r="12186" spans="1:3" x14ac:dyDescent="0.25">
      <c r="A12186">
        <v>39</v>
      </c>
      <c r="B12186" t="str">
        <f>"9:07:33.175610"</f>
        <v>9:07:33.175610</v>
      </c>
      <c r="C12186">
        <v>-45</v>
      </c>
    </row>
    <row r="12187" spans="1:3" x14ac:dyDescent="0.25">
      <c r="A12187">
        <v>37</v>
      </c>
      <c r="B12187" t="str">
        <f>"9:07:33.531108"</f>
        <v>9:07:33.531108</v>
      </c>
      <c r="C12187">
        <v>-44</v>
      </c>
    </row>
    <row r="12188" spans="1:3" x14ac:dyDescent="0.25">
      <c r="A12188">
        <v>37</v>
      </c>
      <c r="B12188" t="str">
        <f>"9:07:33.531626"</f>
        <v>9:07:33.531626</v>
      </c>
      <c r="C12188">
        <v>-38</v>
      </c>
    </row>
    <row r="12189" spans="1:3" x14ac:dyDescent="0.25">
      <c r="A12189">
        <v>37</v>
      </c>
      <c r="B12189" t="str">
        <f>"9:07:33.531953"</f>
        <v>9:07:33.531953</v>
      </c>
      <c r="C12189">
        <v>-44</v>
      </c>
    </row>
    <row r="12190" spans="1:3" x14ac:dyDescent="0.25">
      <c r="A12190">
        <v>38</v>
      </c>
      <c r="B12190" t="str">
        <f>"9:07:33.532729"</f>
        <v>9:07:33.532729</v>
      </c>
      <c r="C12190">
        <v>-41</v>
      </c>
    </row>
    <row r="12191" spans="1:3" x14ac:dyDescent="0.25">
      <c r="A12191">
        <v>39</v>
      </c>
      <c r="B12191" t="str">
        <f>"9:07:33.533755"</f>
        <v>9:07:33.533755</v>
      </c>
      <c r="C12191">
        <v>-46</v>
      </c>
    </row>
    <row r="12192" spans="1:3" x14ac:dyDescent="0.25">
      <c r="A12192">
        <v>37</v>
      </c>
      <c r="B12192" t="str">
        <f>"9:07:33.884093"</f>
        <v>9:07:33.884093</v>
      </c>
      <c r="C12192">
        <v>-44</v>
      </c>
    </row>
    <row r="12193" spans="1:3" x14ac:dyDescent="0.25">
      <c r="A12193">
        <v>37</v>
      </c>
      <c r="B12193" t="str">
        <f>"9:07:33.884611"</f>
        <v>9:07:33.884611</v>
      </c>
      <c r="C12193">
        <v>-38</v>
      </c>
    </row>
    <row r="12194" spans="1:3" x14ac:dyDescent="0.25">
      <c r="A12194">
        <v>37</v>
      </c>
      <c r="B12194" t="str">
        <f>"9:07:33.884937"</f>
        <v>9:07:33.884937</v>
      </c>
      <c r="C12194">
        <v>-44</v>
      </c>
    </row>
    <row r="12195" spans="1:3" x14ac:dyDescent="0.25">
      <c r="A12195">
        <v>38</v>
      </c>
      <c r="B12195" t="str">
        <f>"9:07:33.885713"</f>
        <v>9:07:33.885713</v>
      </c>
      <c r="C12195">
        <v>-41</v>
      </c>
    </row>
    <row r="12196" spans="1:3" x14ac:dyDescent="0.25">
      <c r="A12196">
        <v>39</v>
      </c>
      <c r="B12196" t="str">
        <f>"9:07:33.886739"</f>
        <v>9:07:33.886739</v>
      </c>
      <c r="C12196">
        <v>-45</v>
      </c>
    </row>
    <row r="12197" spans="1:3" x14ac:dyDescent="0.25">
      <c r="A12197">
        <v>37</v>
      </c>
      <c r="B12197" t="str">
        <f>"9:07:34.235799"</f>
        <v>9:07:34.235799</v>
      </c>
      <c r="C12197">
        <v>-44</v>
      </c>
    </row>
    <row r="12198" spans="1:3" x14ac:dyDescent="0.25">
      <c r="A12198">
        <v>38</v>
      </c>
      <c r="B12198" t="str">
        <f>"9:07:34.236826"</f>
        <v>9:07:34.236826</v>
      </c>
      <c r="C12198">
        <v>-41</v>
      </c>
    </row>
    <row r="12199" spans="1:3" x14ac:dyDescent="0.25">
      <c r="A12199">
        <v>39</v>
      </c>
      <c r="B12199" t="str">
        <f>"9:07:34.237852"</f>
        <v>9:07:34.237852</v>
      </c>
      <c r="C12199">
        <v>-46</v>
      </c>
    </row>
    <row r="12200" spans="1:3" x14ac:dyDescent="0.25">
      <c r="A12200">
        <v>37</v>
      </c>
      <c r="B12200" t="str">
        <f>"9:07:34.592448"</f>
        <v>9:07:34.592448</v>
      </c>
      <c r="C12200">
        <v>-44</v>
      </c>
    </row>
    <row r="12201" spans="1:3" x14ac:dyDescent="0.25">
      <c r="A12201">
        <v>38</v>
      </c>
      <c r="B12201" t="str">
        <f>"9:07:34.593475"</f>
        <v>9:07:34.593475</v>
      </c>
      <c r="C12201">
        <v>-41</v>
      </c>
    </row>
    <row r="12202" spans="1:3" x14ac:dyDescent="0.25">
      <c r="A12202">
        <v>38</v>
      </c>
      <c r="B12202" t="str">
        <f>"9:07:34.593994"</f>
        <v>9:07:34.593994</v>
      </c>
      <c r="C12202">
        <v>-32</v>
      </c>
    </row>
    <row r="12203" spans="1:3" x14ac:dyDescent="0.25">
      <c r="A12203">
        <v>38</v>
      </c>
      <c r="B12203" t="str">
        <f>"9:07:34.594321"</f>
        <v>9:07:34.594321</v>
      </c>
      <c r="C12203">
        <v>-41</v>
      </c>
    </row>
    <row r="12204" spans="1:3" x14ac:dyDescent="0.25">
      <c r="A12204">
        <v>39</v>
      </c>
      <c r="B12204" t="str">
        <f>"9:07:34.595097"</f>
        <v>9:07:34.595097</v>
      </c>
      <c r="C12204">
        <v>-46</v>
      </c>
    </row>
    <row r="12205" spans="1:3" x14ac:dyDescent="0.25">
      <c r="A12205">
        <v>37</v>
      </c>
      <c r="B12205" t="str">
        <f>"9:07:34.943673"</f>
        <v>9:07:34.943673</v>
      </c>
      <c r="C12205">
        <v>-44</v>
      </c>
    </row>
    <row r="12206" spans="1:3" x14ac:dyDescent="0.25">
      <c r="A12206">
        <v>38</v>
      </c>
      <c r="B12206" t="str">
        <f>"9:07:34.944700"</f>
        <v>9:07:34.944700</v>
      </c>
      <c r="C12206">
        <v>-41</v>
      </c>
    </row>
    <row r="12207" spans="1:3" x14ac:dyDescent="0.25">
      <c r="A12207">
        <v>38</v>
      </c>
      <c r="B12207" t="str">
        <f>"9:07:34.945219"</f>
        <v>9:07:34.945219</v>
      </c>
      <c r="C12207">
        <v>-32</v>
      </c>
    </row>
    <row r="12208" spans="1:3" x14ac:dyDescent="0.25">
      <c r="A12208">
        <v>38</v>
      </c>
      <c r="B12208" t="str">
        <f>"9:07:34.945544"</f>
        <v>9:07:34.945544</v>
      </c>
      <c r="C12208">
        <v>-41</v>
      </c>
    </row>
    <row r="12209" spans="1:3" x14ac:dyDescent="0.25">
      <c r="A12209">
        <v>39</v>
      </c>
      <c r="B12209" t="str">
        <f>"9:07:34.946320"</f>
        <v>9:07:34.946320</v>
      </c>
      <c r="C12209">
        <v>-46</v>
      </c>
    </row>
    <row r="12210" spans="1:3" x14ac:dyDescent="0.25">
      <c r="A12210">
        <v>37</v>
      </c>
      <c r="B12210" t="str">
        <f>"9:07:35.303605"</f>
        <v>9:07:35.303605</v>
      </c>
      <c r="C12210">
        <v>-44</v>
      </c>
    </row>
    <row r="12211" spans="1:3" x14ac:dyDescent="0.25">
      <c r="A12211">
        <v>38</v>
      </c>
      <c r="B12211" t="str">
        <f>"9:07:35.304632"</f>
        <v>9:07:35.304632</v>
      </c>
      <c r="C12211">
        <v>-41</v>
      </c>
    </row>
    <row r="12212" spans="1:3" x14ac:dyDescent="0.25">
      <c r="A12212">
        <v>38</v>
      </c>
      <c r="B12212" t="str">
        <f>"9:07:35.305151"</f>
        <v>9:07:35.305151</v>
      </c>
      <c r="C12212">
        <v>-32</v>
      </c>
    </row>
    <row r="12213" spans="1:3" x14ac:dyDescent="0.25">
      <c r="A12213">
        <v>38</v>
      </c>
      <c r="B12213" t="str">
        <f>"9:07:35.305477"</f>
        <v>9:07:35.305477</v>
      </c>
      <c r="C12213">
        <v>-41</v>
      </c>
    </row>
    <row r="12214" spans="1:3" x14ac:dyDescent="0.25">
      <c r="A12214">
        <v>39</v>
      </c>
      <c r="B12214" t="str">
        <f>"9:07:35.306253"</f>
        <v>9:07:35.306253</v>
      </c>
      <c r="C12214">
        <v>-46</v>
      </c>
    </row>
    <row r="12215" spans="1:3" x14ac:dyDescent="0.25">
      <c r="A12215">
        <v>37</v>
      </c>
      <c r="B12215" t="str">
        <f>"9:07:35.663541"</f>
        <v>9:07:35.663541</v>
      </c>
      <c r="C12215">
        <v>-44</v>
      </c>
    </row>
    <row r="12216" spans="1:3" x14ac:dyDescent="0.25">
      <c r="A12216">
        <v>38</v>
      </c>
      <c r="B12216" t="str">
        <f>"9:07:35.664569"</f>
        <v>9:07:35.664569</v>
      </c>
      <c r="C12216">
        <v>-41</v>
      </c>
    </row>
    <row r="12217" spans="1:3" x14ac:dyDescent="0.25">
      <c r="A12217">
        <v>39</v>
      </c>
      <c r="B12217" t="str">
        <f>"9:07:35.665595"</f>
        <v>9:07:35.665595</v>
      </c>
      <c r="C12217">
        <v>-46</v>
      </c>
    </row>
    <row r="12218" spans="1:3" x14ac:dyDescent="0.25">
      <c r="A12218">
        <v>37</v>
      </c>
      <c r="B12218" t="str">
        <f>"9:07:36.022433"</f>
        <v>9:07:36.022433</v>
      </c>
      <c r="C12218">
        <v>-44</v>
      </c>
    </row>
    <row r="12219" spans="1:3" x14ac:dyDescent="0.25">
      <c r="A12219">
        <v>38</v>
      </c>
      <c r="B12219" t="str">
        <f>"9:07:36.023460"</f>
        <v>9:07:36.023460</v>
      </c>
      <c r="C12219">
        <v>-41</v>
      </c>
    </row>
    <row r="12220" spans="1:3" x14ac:dyDescent="0.25">
      <c r="A12220">
        <v>38</v>
      </c>
      <c r="B12220" t="str">
        <f>"9:07:36.023978"</f>
        <v>9:07:36.023978</v>
      </c>
      <c r="C12220">
        <v>-32</v>
      </c>
    </row>
    <row r="12221" spans="1:3" x14ac:dyDescent="0.25">
      <c r="A12221">
        <v>38</v>
      </c>
      <c r="B12221" t="str">
        <f>"9:07:36.024304"</f>
        <v>9:07:36.024304</v>
      </c>
      <c r="C12221">
        <v>-41</v>
      </c>
    </row>
    <row r="12222" spans="1:3" x14ac:dyDescent="0.25">
      <c r="A12222">
        <v>39</v>
      </c>
      <c r="B12222" t="str">
        <f>"9:07:36.025080"</f>
        <v>9:07:36.025080</v>
      </c>
      <c r="C12222">
        <v>-46</v>
      </c>
    </row>
    <row r="12223" spans="1:3" x14ac:dyDescent="0.25">
      <c r="A12223">
        <v>37</v>
      </c>
      <c r="B12223" t="str">
        <f>"9:07:36.382122"</f>
        <v>9:07:36.382122</v>
      </c>
      <c r="C12223">
        <v>-44</v>
      </c>
    </row>
    <row r="12224" spans="1:3" x14ac:dyDescent="0.25">
      <c r="A12224">
        <v>38</v>
      </c>
      <c r="B12224" t="str">
        <f>"9:07:36.383150"</f>
        <v>9:07:36.383150</v>
      </c>
      <c r="C12224">
        <v>-41</v>
      </c>
    </row>
    <row r="12225" spans="1:3" x14ac:dyDescent="0.25">
      <c r="A12225">
        <v>38</v>
      </c>
      <c r="B12225" t="str">
        <f>"9:07:36.383669"</f>
        <v>9:07:36.383669</v>
      </c>
      <c r="C12225">
        <v>-32</v>
      </c>
    </row>
    <row r="12226" spans="1:3" x14ac:dyDescent="0.25">
      <c r="A12226">
        <v>38</v>
      </c>
      <c r="B12226" t="str">
        <f>"9:07:36.383995"</f>
        <v>9:07:36.383995</v>
      </c>
      <c r="C12226">
        <v>-41</v>
      </c>
    </row>
    <row r="12227" spans="1:3" x14ac:dyDescent="0.25">
      <c r="A12227">
        <v>39</v>
      </c>
      <c r="B12227" t="str">
        <f>"9:07:36.384771"</f>
        <v>9:07:36.384771</v>
      </c>
      <c r="C12227">
        <v>-46</v>
      </c>
    </row>
    <row r="12228" spans="1:3" x14ac:dyDescent="0.25">
      <c r="A12228">
        <v>37</v>
      </c>
      <c r="B12228" t="str">
        <f>"9:07:36.736218"</f>
        <v>9:07:36.736218</v>
      </c>
      <c r="C12228">
        <v>-44</v>
      </c>
    </row>
    <row r="12229" spans="1:3" x14ac:dyDescent="0.25">
      <c r="A12229">
        <v>38</v>
      </c>
      <c r="B12229" t="str">
        <f>"9:07:36.737246"</f>
        <v>9:07:36.737246</v>
      </c>
      <c r="C12229">
        <v>-41</v>
      </c>
    </row>
    <row r="12230" spans="1:3" x14ac:dyDescent="0.25">
      <c r="A12230">
        <v>38</v>
      </c>
      <c r="B12230" t="str">
        <f>"9:07:36.737765"</f>
        <v>9:07:36.737765</v>
      </c>
      <c r="C12230">
        <v>-32</v>
      </c>
    </row>
    <row r="12231" spans="1:3" x14ac:dyDescent="0.25">
      <c r="A12231">
        <v>38</v>
      </c>
      <c r="B12231" t="str">
        <f>"9:07:36.738091"</f>
        <v>9:07:36.738091</v>
      </c>
      <c r="C12231">
        <v>-41</v>
      </c>
    </row>
    <row r="12232" spans="1:3" x14ac:dyDescent="0.25">
      <c r="A12232">
        <v>39</v>
      </c>
      <c r="B12232" t="str">
        <f>"9:07:36.738867"</f>
        <v>9:07:36.738867</v>
      </c>
      <c r="C12232">
        <v>-46</v>
      </c>
    </row>
    <row r="12233" spans="1:3" x14ac:dyDescent="0.25">
      <c r="A12233">
        <v>37</v>
      </c>
      <c r="B12233" t="str">
        <f>"9:07:37.089051"</f>
        <v>9:07:37.089051</v>
      </c>
      <c r="C12233">
        <v>-44</v>
      </c>
    </row>
    <row r="12234" spans="1:3" x14ac:dyDescent="0.25">
      <c r="A12234">
        <v>38</v>
      </c>
      <c r="B12234" t="str">
        <f>"9:07:37.090079"</f>
        <v>9:07:37.090079</v>
      </c>
      <c r="C12234">
        <v>-41</v>
      </c>
    </row>
    <row r="12235" spans="1:3" x14ac:dyDescent="0.25">
      <c r="A12235">
        <v>38</v>
      </c>
      <c r="B12235" t="str">
        <f>"9:07:37.090598"</f>
        <v>9:07:37.090598</v>
      </c>
      <c r="C12235">
        <v>-32</v>
      </c>
    </row>
    <row r="12236" spans="1:3" x14ac:dyDescent="0.25">
      <c r="A12236">
        <v>38</v>
      </c>
      <c r="B12236" t="str">
        <f>"9:07:37.090924"</f>
        <v>9:07:37.090924</v>
      </c>
      <c r="C12236">
        <v>-41</v>
      </c>
    </row>
    <row r="12237" spans="1:3" x14ac:dyDescent="0.25">
      <c r="A12237">
        <v>39</v>
      </c>
      <c r="B12237" t="str">
        <f>"9:07:37.091700"</f>
        <v>9:07:37.091700</v>
      </c>
      <c r="C12237">
        <v>-46</v>
      </c>
    </row>
    <row r="12238" spans="1:3" x14ac:dyDescent="0.25">
      <c r="A12238">
        <v>37</v>
      </c>
      <c r="B12238" t="str">
        <f>"9:07:37.442567"</f>
        <v>9:07:37.442567</v>
      </c>
      <c r="C12238">
        <v>-45</v>
      </c>
    </row>
    <row r="12239" spans="1:3" x14ac:dyDescent="0.25">
      <c r="A12239">
        <v>38</v>
      </c>
      <c r="B12239" t="str">
        <f>"9:07:37.443595"</f>
        <v>9:07:37.443595</v>
      </c>
      <c r="C12239">
        <v>-41</v>
      </c>
    </row>
    <row r="12240" spans="1:3" x14ac:dyDescent="0.25">
      <c r="A12240">
        <v>38</v>
      </c>
      <c r="B12240" t="str">
        <f>"9:07:37.444113"</f>
        <v>9:07:37.444113</v>
      </c>
      <c r="C12240">
        <v>-32</v>
      </c>
    </row>
    <row r="12241" spans="1:3" x14ac:dyDescent="0.25">
      <c r="A12241">
        <v>38</v>
      </c>
      <c r="B12241" t="str">
        <f>"9:07:37.444439"</f>
        <v>9:07:37.444439</v>
      </c>
      <c r="C12241">
        <v>-41</v>
      </c>
    </row>
    <row r="12242" spans="1:3" x14ac:dyDescent="0.25">
      <c r="A12242">
        <v>39</v>
      </c>
      <c r="B12242" t="str">
        <f>"9:07:37.445215"</f>
        <v>9:07:37.445215</v>
      </c>
      <c r="C12242">
        <v>-46</v>
      </c>
    </row>
    <row r="12243" spans="1:3" x14ac:dyDescent="0.25">
      <c r="A12243">
        <v>37</v>
      </c>
      <c r="B12243" t="str">
        <f>"9:07:37.800953"</f>
        <v>9:07:37.800953</v>
      </c>
      <c r="C12243">
        <v>-44</v>
      </c>
    </row>
    <row r="12244" spans="1:3" x14ac:dyDescent="0.25">
      <c r="A12244">
        <v>38</v>
      </c>
      <c r="B12244" t="str">
        <f>"9:07:37.801978"</f>
        <v>9:07:37.801978</v>
      </c>
      <c r="C12244">
        <v>-41</v>
      </c>
    </row>
    <row r="12245" spans="1:3" x14ac:dyDescent="0.25">
      <c r="A12245">
        <v>38</v>
      </c>
      <c r="B12245" t="str">
        <f>"9:07:37.802497"</f>
        <v>9:07:37.802497</v>
      </c>
      <c r="C12245">
        <v>-32</v>
      </c>
    </row>
    <row r="12246" spans="1:3" x14ac:dyDescent="0.25">
      <c r="A12246">
        <v>38</v>
      </c>
      <c r="B12246" t="str">
        <f>"9:07:37.802823"</f>
        <v>9:07:37.802823</v>
      </c>
      <c r="C12246">
        <v>-41</v>
      </c>
    </row>
    <row r="12247" spans="1:3" x14ac:dyDescent="0.25">
      <c r="A12247">
        <v>39</v>
      </c>
      <c r="B12247" t="str">
        <f>"9:07:37.803597"</f>
        <v>9:07:37.803597</v>
      </c>
      <c r="C12247">
        <v>-46</v>
      </c>
    </row>
    <row r="12248" spans="1:3" x14ac:dyDescent="0.25">
      <c r="A12248">
        <v>37</v>
      </c>
      <c r="B12248" t="str">
        <f>"9:07:38.153781"</f>
        <v>9:07:38.153781</v>
      </c>
      <c r="C12248">
        <v>-45</v>
      </c>
    </row>
    <row r="12249" spans="1:3" x14ac:dyDescent="0.25">
      <c r="A12249">
        <v>38</v>
      </c>
      <c r="B12249" t="str">
        <f>"9:07:38.154808"</f>
        <v>9:07:38.154808</v>
      </c>
      <c r="C12249">
        <v>-41</v>
      </c>
    </row>
    <row r="12250" spans="1:3" x14ac:dyDescent="0.25">
      <c r="A12250">
        <v>38</v>
      </c>
      <c r="B12250" t="str">
        <f>"9:07:38.155327"</f>
        <v>9:07:38.155327</v>
      </c>
      <c r="C12250">
        <v>-32</v>
      </c>
    </row>
    <row r="12251" spans="1:3" x14ac:dyDescent="0.25">
      <c r="A12251">
        <v>38</v>
      </c>
      <c r="B12251" t="str">
        <f>"9:07:38.155652"</f>
        <v>9:07:38.155652</v>
      </c>
      <c r="C12251">
        <v>-41</v>
      </c>
    </row>
    <row r="12252" spans="1:3" x14ac:dyDescent="0.25">
      <c r="A12252">
        <v>39</v>
      </c>
      <c r="B12252" t="str">
        <f>"9:07:38.156428"</f>
        <v>9:07:38.156428</v>
      </c>
      <c r="C12252">
        <v>-46</v>
      </c>
    </row>
    <row r="12253" spans="1:3" x14ac:dyDescent="0.25">
      <c r="A12253">
        <v>37</v>
      </c>
      <c r="B12253" t="str">
        <f>"9:07:38.512197"</f>
        <v>9:07:38.512197</v>
      </c>
      <c r="C12253">
        <v>-44</v>
      </c>
    </row>
    <row r="12254" spans="1:3" x14ac:dyDescent="0.25">
      <c r="A12254">
        <v>38</v>
      </c>
      <c r="B12254" t="str">
        <f>"9:07:38.513225"</f>
        <v>9:07:38.513225</v>
      </c>
      <c r="C12254">
        <v>-41</v>
      </c>
    </row>
    <row r="12255" spans="1:3" x14ac:dyDescent="0.25">
      <c r="A12255">
        <v>38</v>
      </c>
      <c r="B12255" t="str">
        <f>"9:07:38.513743"</f>
        <v>9:07:38.513743</v>
      </c>
      <c r="C12255">
        <v>-32</v>
      </c>
    </row>
    <row r="12256" spans="1:3" x14ac:dyDescent="0.25">
      <c r="A12256">
        <v>38</v>
      </c>
      <c r="B12256" t="str">
        <f>"9:07:38.514069"</f>
        <v>9:07:38.514069</v>
      </c>
      <c r="C12256">
        <v>-41</v>
      </c>
    </row>
    <row r="12257" spans="1:3" x14ac:dyDescent="0.25">
      <c r="A12257">
        <v>39</v>
      </c>
      <c r="B12257" t="str">
        <f>"9:07:38.514845"</f>
        <v>9:07:38.514845</v>
      </c>
      <c r="C12257">
        <v>-46</v>
      </c>
    </row>
    <row r="12258" spans="1:3" x14ac:dyDescent="0.25">
      <c r="A12258">
        <v>37</v>
      </c>
      <c r="B12258" t="str">
        <f>"9:07:38.862645"</f>
        <v>9:07:38.862645</v>
      </c>
      <c r="C12258">
        <v>-44</v>
      </c>
    </row>
    <row r="12259" spans="1:3" x14ac:dyDescent="0.25">
      <c r="A12259">
        <v>38</v>
      </c>
      <c r="B12259" t="str">
        <f>"9:07:38.863672"</f>
        <v>9:07:38.863672</v>
      </c>
      <c r="C12259">
        <v>-41</v>
      </c>
    </row>
    <row r="12260" spans="1:3" x14ac:dyDescent="0.25">
      <c r="A12260">
        <v>38</v>
      </c>
      <c r="B12260" t="str">
        <f>"9:07:38.864190"</f>
        <v>9:07:38.864190</v>
      </c>
      <c r="C12260">
        <v>-32</v>
      </c>
    </row>
    <row r="12261" spans="1:3" x14ac:dyDescent="0.25">
      <c r="A12261">
        <v>38</v>
      </c>
      <c r="B12261" t="str">
        <f>"9:07:38.864516"</f>
        <v>9:07:38.864516</v>
      </c>
      <c r="C12261">
        <v>-42</v>
      </c>
    </row>
    <row r="12262" spans="1:3" x14ac:dyDescent="0.25">
      <c r="A12262">
        <v>39</v>
      </c>
      <c r="B12262" t="str">
        <f>"9:07:38.865292"</f>
        <v>9:07:38.865292</v>
      </c>
      <c r="C12262">
        <v>-46</v>
      </c>
    </row>
    <row r="12263" spans="1:3" x14ac:dyDescent="0.25">
      <c r="A12263">
        <v>39</v>
      </c>
      <c r="B12263" t="str">
        <f>"9:07:38.866138"</f>
        <v>9:07:38.866138</v>
      </c>
      <c r="C12263">
        <v>-45</v>
      </c>
    </row>
    <row r="12264" spans="1:3" x14ac:dyDescent="0.25">
      <c r="A12264">
        <v>37</v>
      </c>
      <c r="B12264" t="str">
        <f>"9:07:39.219039"</f>
        <v>9:07:39.219039</v>
      </c>
      <c r="C12264">
        <v>-44</v>
      </c>
    </row>
    <row r="12265" spans="1:3" x14ac:dyDescent="0.25">
      <c r="A12265">
        <v>39</v>
      </c>
      <c r="B12265" t="str">
        <f>"9:07:39.221093"</f>
        <v>9:07:39.221093</v>
      </c>
      <c r="C12265">
        <v>-46</v>
      </c>
    </row>
    <row r="12266" spans="1:3" x14ac:dyDescent="0.25">
      <c r="A12266">
        <v>37</v>
      </c>
      <c r="B12266" t="str">
        <f>"9:07:39.569473"</f>
        <v>9:07:39.569473</v>
      </c>
      <c r="C12266">
        <v>-44</v>
      </c>
    </row>
    <row r="12267" spans="1:3" x14ac:dyDescent="0.25">
      <c r="A12267">
        <v>38</v>
      </c>
      <c r="B12267" t="str">
        <f>"9:07:39.570500"</f>
        <v>9:07:39.570500</v>
      </c>
      <c r="C12267">
        <v>-41</v>
      </c>
    </row>
    <row r="12268" spans="1:3" x14ac:dyDescent="0.25">
      <c r="A12268">
        <v>39</v>
      </c>
      <c r="B12268" t="str">
        <f>"9:07:39.571526"</f>
        <v>9:07:39.571526</v>
      </c>
      <c r="C12268">
        <v>-46</v>
      </c>
    </row>
    <row r="12269" spans="1:3" x14ac:dyDescent="0.25">
      <c r="A12269">
        <v>39</v>
      </c>
      <c r="B12269" t="str">
        <f>"9:07:39.572044"</f>
        <v>9:07:39.572044</v>
      </c>
      <c r="C12269">
        <v>-31</v>
      </c>
    </row>
    <row r="12270" spans="1:3" x14ac:dyDescent="0.25">
      <c r="A12270">
        <v>39</v>
      </c>
      <c r="B12270" t="str">
        <f>"9:07:39.572370"</f>
        <v>9:07:39.572370</v>
      </c>
      <c r="C12270">
        <v>-45</v>
      </c>
    </row>
    <row r="12271" spans="1:3" x14ac:dyDescent="0.25">
      <c r="A12271">
        <v>37</v>
      </c>
      <c r="B12271" t="str">
        <f>"9:07:39.929394"</f>
        <v>9:07:39.929394</v>
      </c>
      <c r="C12271">
        <v>-44</v>
      </c>
    </row>
    <row r="12272" spans="1:3" x14ac:dyDescent="0.25">
      <c r="A12272">
        <v>38</v>
      </c>
      <c r="B12272" t="str">
        <f>"9:07:39.930422"</f>
        <v>9:07:39.930422</v>
      </c>
      <c r="C12272">
        <v>-41</v>
      </c>
    </row>
    <row r="12273" spans="1:3" x14ac:dyDescent="0.25">
      <c r="A12273">
        <v>39</v>
      </c>
      <c r="B12273" t="str">
        <f>"9:07:39.931448"</f>
        <v>9:07:39.931448</v>
      </c>
      <c r="C12273">
        <v>-46</v>
      </c>
    </row>
    <row r="12274" spans="1:3" x14ac:dyDescent="0.25">
      <c r="A12274">
        <v>39</v>
      </c>
      <c r="B12274" t="str">
        <f>"9:07:39.931966"</f>
        <v>9:07:39.931966</v>
      </c>
      <c r="C12274">
        <v>-31</v>
      </c>
    </row>
    <row r="12275" spans="1:3" x14ac:dyDescent="0.25">
      <c r="A12275">
        <v>39</v>
      </c>
      <c r="B12275" t="str">
        <f>"9:07:39.932292"</f>
        <v>9:07:39.932292</v>
      </c>
      <c r="C12275">
        <v>-45</v>
      </c>
    </row>
    <row r="12276" spans="1:3" x14ac:dyDescent="0.25">
      <c r="A12276">
        <v>37</v>
      </c>
      <c r="B12276" t="str">
        <f>"9:07:40.281465"</f>
        <v>9:07:40.281465</v>
      </c>
      <c r="C12276">
        <v>-44</v>
      </c>
    </row>
    <row r="12277" spans="1:3" x14ac:dyDescent="0.25">
      <c r="A12277">
        <v>38</v>
      </c>
      <c r="B12277" t="str">
        <f>"9:07:40.282492"</f>
        <v>9:07:40.282492</v>
      </c>
      <c r="C12277">
        <v>-41</v>
      </c>
    </row>
    <row r="12278" spans="1:3" x14ac:dyDescent="0.25">
      <c r="A12278">
        <v>39</v>
      </c>
      <c r="B12278" t="str">
        <f>"9:07:40.283518"</f>
        <v>9:07:40.283518</v>
      </c>
      <c r="C12278">
        <v>-46</v>
      </c>
    </row>
    <row r="12279" spans="1:3" x14ac:dyDescent="0.25">
      <c r="A12279">
        <v>37</v>
      </c>
      <c r="B12279" t="str">
        <f>"9:07:40.632989"</f>
        <v>9:07:40.632989</v>
      </c>
      <c r="C12279">
        <v>-44</v>
      </c>
    </row>
    <row r="12280" spans="1:3" x14ac:dyDescent="0.25">
      <c r="A12280">
        <v>38</v>
      </c>
      <c r="B12280" t="str">
        <f>"9:07:40.634016"</f>
        <v>9:07:40.634016</v>
      </c>
      <c r="C12280">
        <v>-41</v>
      </c>
    </row>
    <row r="12281" spans="1:3" x14ac:dyDescent="0.25">
      <c r="A12281">
        <v>39</v>
      </c>
      <c r="B12281" t="str">
        <f>"9:07:40.635042"</f>
        <v>9:07:40.635042</v>
      </c>
      <c r="C12281">
        <v>-45</v>
      </c>
    </row>
    <row r="12282" spans="1:3" x14ac:dyDescent="0.25">
      <c r="A12282">
        <v>39</v>
      </c>
      <c r="B12282" t="str">
        <f>"9:07:40.635560"</f>
        <v>9:07:40.635560</v>
      </c>
      <c r="C12282">
        <v>-31</v>
      </c>
    </row>
    <row r="12283" spans="1:3" x14ac:dyDescent="0.25">
      <c r="A12283">
        <v>39</v>
      </c>
      <c r="B12283" t="str">
        <f>"9:07:40.635886"</f>
        <v>9:07:40.635886</v>
      </c>
      <c r="C12283">
        <v>-45</v>
      </c>
    </row>
    <row r="12284" spans="1:3" x14ac:dyDescent="0.25">
      <c r="A12284">
        <v>37</v>
      </c>
      <c r="B12284" t="str">
        <f>"9:07:40.990097"</f>
        <v>9:07:40.990097</v>
      </c>
      <c r="C12284">
        <v>-44</v>
      </c>
    </row>
    <row r="12285" spans="1:3" x14ac:dyDescent="0.25">
      <c r="A12285">
        <v>38</v>
      </c>
      <c r="B12285" t="str">
        <f>"9:07:40.991125"</f>
        <v>9:07:40.991125</v>
      </c>
      <c r="C12285">
        <v>-41</v>
      </c>
    </row>
    <row r="12286" spans="1:3" x14ac:dyDescent="0.25">
      <c r="A12286">
        <v>39</v>
      </c>
      <c r="B12286" t="str">
        <f>"9:07:40.992151"</f>
        <v>9:07:40.992151</v>
      </c>
      <c r="C12286">
        <v>-46</v>
      </c>
    </row>
    <row r="12287" spans="1:3" x14ac:dyDescent="0.25">
      <c r="A12287">
        <v>39</v>
      </c>
      <c r="B12287" t="str">
        <f>"9:07:40.992669"</f>
        <v>9:07:40.992669</v>
      </c>
      <c r="C12287">
        <v>-31</v>
      </c>
    </row>
    <row r="12288" spans="1:3" x14ac:dyDescent="0.25">
      <c r="A12288">
        <v>39</v>
      </c>
      <c r="B12288" t="str">
        <f>"9:07:40.992995"</f>
        <v>9:07:40.992995</v>
      </c>
      <c r="C12288">
        <v>-45</v>
      </c>
    </row>
    <row r="12289" spans="1:3" x14ac:dyDescent="0.25">
      <c r="A12289">
        <v>37</v>
      </c>
      <c r="B12289" t="str">
        <f>"9:07:41.349768"</f>
        <v>9:07:41.349768</v>
      </c>
      <c r="C12289">
        <v>-44</v>
      </c>
    </row>
    <row r="12290" spans="1:3" x14ac:dyDescent="0.25">
      <c r="A12290">
        <v>38</v>
      </c>
      <c r="B12290" t="str">
        <f>"9:07:41.350795"</f>
        <v>9:07:41.350795</v>
      </c>
      <c r="C12290">
        <v>-41</v>
      </c>
    </row>
    <row r="12291" spans="1:3" x14ac:dyDescent="0.25">
      <c r="A12291">
        <v>39</v>
      </c>
      <c r="B12291" t="str">
        <f>"9:07:41.351821"</f>
        <v>9:07:41.351821</v>
      </c>
      <c r="C12291">
        <v>-46</v>
      </c>
    </row>
    <row r="12292" spans="1:3" x14ac:dyDescent="0.25">
      <c r="A12292">
        <v>39</v>
      </c>
      <c r="B12292" t="str">
        <f>"9:07:41.352339"</f>
        <v>9:07:41.352339</v>
      </c>
      <c r="C12292">
        <v>-31</v>
      </c>
    </row>
    <row r="12293" spans="1:3" x14ac:dyDescent="0.25">
      <c r="A12293">
        <v>39</v>
      </c>
      <c r="B12293" t="str">
        <f>"9:07:41.352665"</f>
        <v>9:07:41.352665</v>
      </c>
      <c r="C12293">
        <v>-45</v>
      </c>
    </row>
    <row r="12294" spans="1:3" x14ac:dyDescent="0.25">
      <c r="A12294">
        <v>37</v>
      </c>
      <c r="B12294" t="str">
        <f>"9:07:41.700510"</f>
        <v>9:07:41.700510</v>
      </c>
      <c r="C12294">
        <v>-44</v>
      </c>
    </row>
    <row r="12295" spans="1:3" x14ac:dyDescent="0.25">
      <c r="A12295">
        <v>38</v>
      </c>
      <c r="B12295" t="str">
        <f>"9:07:41.701537"</f>
        <v>9:07:41.701537</v>
      </c>
      <c r="C12295">
        <v>-41</v>
      </c>
    </row>
    <row r="12296" spans="1:3" x14ac:dyDescent="0.25">
      <c r="A12296">
        <v>39</v>
      </c>
      <c r="B12296" t="str">
        <f>"9:07:41.702563"</f>
        <v>9:07:41.702563</v>
      </c>
      <c r="C12296">
        <v>-46</v>
      </c>
    </row>
    <row r="12297" spans="1:3" x14ac:dyDescent="0.25">
      <c r="A12297">
        <v>39</v>
      </c>
      <c r="B12297" t="str">
        <f>"9:07:41.703081"</f>
        <v>9:07:41.703081</v>
      </c>
      <c r="C12297">
        <v>-31</v>
      </c>
    </row>
    <row r="12298" spans="1:3" x14ac:dyDescent="0.25">
      <c r="A12298">
        <v>39</v>
      </c>
      <c r="B12298" t="str">
        <f>"9:07:41.703407"</f>
        <v>9:07:41.703407</v>
      </c>
      <c r="C12298">
        <v>-45</v>
      </c>
    </row>
    <row r="12299" spans="1:3" x14ac:dyDescent="0.25">
      <c r="A12299">
        <v>37</v>
      </c>
      <c r="B12299" t="str">
        <f>"9:07:42.056422"</f>
        <v>9:07:42.056422</v>
      </c>
      <c r="C12299">
        <v>-44</v>
      </c>
    </row>
    <row r="12300" spans="1:3" x14ac:dyDescent="0.25">
      <c r="A12300">
        <v>38</v>
      </c>
      <c r="B12300" t="str">
        <f>"9:07:42.057450"</f>
        <v>9:07:42.057450</v>
      </c>
      <c r="C12300">
        <v>-41</v>
      </c>
    </row>
    <row r="12301" spans="1:3" x14ac:dyDescent="0.25">
      <c r="A12301">
        <v>39</v>
      </c>
      <c r="B12301" t="str">
        <f>"9:07:42.058476"</f>
        <v>9:07:42.058476</v>
      </c>
      <c r="C12301">
        <v>-46</v>
      </c>
    </row>
    <row r="12302" spans="1:3" x14ac:dyDescent="0.25">
      <c r="A12302">
        <v>39</v>
      </c>
      <c r="B12302" t="str">
        <f>"9:07:42.058994"</f>
        <v>9:07:42.058994</v>
      </c>
      <c r="C12302">
        <v>-31</v>
      </c>
    </row>
    <row r="12303" spans="1:3" x14ac:dyDescent="0.25">
      <c r="A12303">
        <v>39</v>
      </c>
      <c r="B12303" t="str">
        <f>"9:07:42.059320"</f>
        <v>9:07:42.059320</v>
      </c>
      <c r="C12303">
        <v>-45</v>
      </c>
    </row>
    <row r="12304" spans="1:3" x14ac:dyDescent="0.25">
      <c r="A12304">
        <v>37</v>
      </c>
      <c r="B12304" t="str">
        <f>"9:07:42.413819"</f>
        <v>9:07:42.413819</v>
      </c>
      <c r="C12304">
        <v>-44</v>
      </c>
    </row>
    <row r="12305" spans="1:3" x14ac:dyDescent="0.25">
      <c r="A12305">
        <v>38</v>
      </c>
      <c r="B12305" t="str">
        <f>"9:07:42.414846"</f>
        <v>9:07:42.414846</v>
      </c>
      <c r="C12305">
        <v>-41</v>
      </c>
    </row>
    <row r="12306" spans="1:3" x14ac:dyDescent="0.25">
      <c r="A12306">
        <v>39</v>
      </c>
      <c r="B12306" t="str">
        <f>"9:07:42.415872"</f>
        <v>9:07:42.415872</v>
      </c>
      <c r="C12306">
        <v>-46</v>
      </c>
    </row>
    <row r="12307" spans="1:3" x14ac:dyDescent="0.25">
      <c r="A12307">
        <v>37</v>
      </c>
      <c r="B12307" t="str">
        <f>"9:07:42.773758"</f>
        <v>9:07:42.773758</v>
      </c>
      <c r="C12307">
        <v>-44</v>
      </c>
    </row>
    <row r="12308" spans="1:3" x14ac:dyDescent="0.25">
      <c r="A12308">
        <v>38</v>
      </c>
      <c r="B12308" t="str">
        <f>"9:07:42.774785"</f>
        <v>9:07:42.774785</v>
      </c>
      <c r="C12308">
        <v>-41</v>
      </c>
    </row>
    <row r="12309" spans="1:3" x14ac:dyDescent="0.25">
      <c r="A12309">
        <v>39</v>
      </c>
      <c r="B12309" t="str">
        <f>"9:07:42.775811"</f>
        <v>9:07:42.775811</v>
      </c>
      <c r="C12309">
        <v>-46</v>
      </c>
    </row>
    <row r="12310" spans="1:3" x14ac:dyDescent="0.25">
      <c r="A12310">
        <v>39</v>
      </c>
      <c r="B12310" t="str">
        <f>"9:07:42.776330"</f>
        <v>9:07:42.776330</v>
      </c>
      <c r="C12310">
        <v>-31</v>
      </c>
    </row>
    <row r="12311" spans="1:3" x14ac:dyDescent="0.25">
      <c r="A12311">
        <v>39</v>
      </c>
      <c r="B12311" t="str">
        <f>"9:07:42.776655"</f>
        <v>9:07:42.776655</v>
      </c>
      <c r="C12311">
        <v>-45</v>
      </c>
    </row>
    <row r="12312" spans="1:3" x14ac:dyDescent="0.25">
      <c r="A12312">
        <v>37</v>
      </c>
      <c r="B12312" t="str">
        <f>"9:07:43.132465"</f>
        <v>9:07:43.132465</v>
      </c>
      <c r="C12312">
        <v>-44</v>
      </c>
    </row>
    <row r="12313" spans="1:3" x14ac:dyDescent="0.25">
      <c r="A12313">
        <v>38</v>
      </c>
      <c r="B12313" t="str">
        <f>"9:07:43.133492"</f>
        <v>9:07:43.133492</v>
      </c>
      <c r="C12313">
        <v>-41</v>
      </c>
    </row>
    <row r="12314" spans="1:3" x14ac:dyDescent="0.25">
      <c r="A12314">
        <v>39</v>
      </c>
      <c r="B12314" t="str">
        <f>"9:07:43.134518"</f>
        <v>9:07:43.134518</v>
      </c>
      <c r="C12314">
        <v>-46</v>
      </c>
    </row>
    <row r="12315" spans="1:3" x14ac:dyDescent="0.25">
      <c r="A12315">
        <v>39</v>
      </c>
      <c r="B12315" t="str">
        <f>"9:07:43.135037"</f>
        <v>9:07:43.135037</v>
      </c>
      <c r="C12315">
        <v>-31</v>
      </c>
    </row>
    <row r="12316" spans="1:3" x14ac:dyDescent="0.25">
      <c r="A12316">
        <v>39</v>
      </c>
      <c r="B12316" t="str">
        <f>"9:07:43.135363"</f>
        <v>9:07:43.135363</v>
      </c>
      <c r="C12316">
        <v>-45</v>
      </c>
    </row>
    <row r="12317" spans="1:3" x14ac:dyDescent="0.25">
      <c r="A12317">
        <v>37</v>
      </c>
      <c r="B12317" t="str">
        <f>"9:07:43.486503"</f>
        <v>9:07:43.486503</v>
      </c>
      <c r="C12317">
        <v>-44</v>
      </c>
    </row>
    <row r="12318" spans="1:3" x14ac:dyDescent="0.25">
      <c r="A12318">
        <v>37</v>
      </c>
      <c r="B12318" t="str">
        <f>"9:07:43.487348"</f>
        <v>9:07:43.487348</v>
      </c>
      <c r="C12318">
        <v>-44</v>
      </c>
    </row>
    <row r="12319" spans="1:3" x14ac:dyDescent="0.25">
      <c r="A12319">
        <v>38</v>
      </c>
      <c r="B12319" t="str">
        <f>"9:07:43.488124"</f>
        <v>9:07:43.488124</v>
      </c>
      <c r="C12319">
        <v>-41</v>
      </c>
    </row>
    <row r="12320" spans="1:3" x14ac:dyDescent="0.25">
      <c r="A12320">
        <v>39</v>
      </c>
      <c r="B12320" t="str">
        <f>"9:07:43.489150"</f>
        <v>9:07:43.489150</v>
      </c>
      <c r="C12320">
        <v>-46</v>
      </c>
    </row>
    <row r="12321" spans="1:3" x14ac:dyDescent="0.25">
      <c r="A12321">
        <v>39</v>
      </c>
      <c r="B12321" t="str">
        <f>"9:07:43.489669"</f>
        <v>9:07:43.489669</v>
      </c>
      <c r="C12321">
        <v>-32</v>
      </c>
    </row>
    <row r="12322" spans="1:3" x14ac:dyDescent="0.25">
      <c r="A12322">
        <v>39</v>
      </c>
      <c r="B12322" t="str">
        <f>"9:07:43.489994"</f>
        <v>9:07:43.489994</v>
      </c>
      <c r="C12322">
        <v>-45</v>
      </c>
    </row>
    <row r="12323" spans="1:3" x14ac:dyDescent="0.25">
      <c r="A12323">
        <v>37</v>
      </c>
      <c r="B12323" t="str">
        <f>"9:07:43.839754"</f>
        <v>9:07:43.839754</v>
      </c>
      <c r="C12323">
        <v>-44</v>
      </c>
    </row>
    <row r="12324" spans="1:3" x14ac:dyDescent="0.25">
      <c r="A12324">
        <v>38</v>
      </c>
      <c r="B12324" t="str">
        <f>"9:07:43.840782"</f>
        <v>9:07:43.840782</v>
      </c>
      <c r="C12324">
        <v>-41</v>
      </c>
    </row>
    <row r="12325" spans="1:3" x14ac:dyDescent="0.25">
      <c r="A12325">
        <v>39</v>
      </c>
      <c r="B12325" t="str">
        <f>"9:07:43.841808"</f>
        <v>9:07:43.841808</v>
      </c>
      <c r="C12325">
        <v>-46</v>
      </c>
    </row>
    <row r="12326" spans="1:3" x14ac:dyDescent="0.25">
      <c r="A12326">
        <v>39</v>
      </c>
      <c r="B12326" t="str">
        <f>"9:07:43.842327"</f>
        <v>9:07:43.842327</v>
      </c>
      <c r="C12326">
        <v>-31</v>
      </c>
    </row>
    <row r="12327" spans="1:3" x14ac:dyDescent="0.25">
      <c r="A12327">
        <v>39</v>
      </c>
      <c r="B12327" t="str">
        <f>"9:07:43.842653"</f>
        <v>9:07:43.842653</v>
      </c>
      <c r="C12327">
        <v>-45</v>
      </c>
    </row>
    <row r="12328" spans="1:3" x14ac:dyDescent="0.25">
      <c r="A12328">
        <v>37</v>
      </c>
      <c r="B12328" t="str">
        <f>"9:07:44.198901"</f>
        <v>9:07:44.198901</v>
      </c>
      <c r="C12328">
        <v>-44</v>
      </c>
    </row>
    <row r="12329" spans="1:3" x14ac:dyDescent="0.25">
      <c r="A12329">
        <v>38</v>
      </c>
      <c r="B12329" t="str">
        <f>"9:07:44.199929"</f>
        <v>9:07:44.199929</v>
      </c>
      <c r="C12329">
        <v>-41</v>
      </c>
    </row>
    <row r="12330" spans="1:3" x14ac:dyDescent="0.25">
      <c r="A12330">
        <v>39</v>
      </c>
      <c r="B12330" t="str">
        <f>"9:07:44.200955"</f>
        <v>9:07:44.200955</v>
      </c>
      <c r="C12330">
        <v>-46</v>
      </c>
    </row>
    <row r="12331" spans="1:3" x14ac:dyDescent="0.25">
      <c r="A12331">
        <v>39</v>
      </c>
      <c r="B12331" t="str">
        <f>"9:07:44.201473"</f>
        <v>9:07:44.201473</v>
      </c>
      <c r="C12331">
        <v>-31</v>
      </c>
    </row>
    <row r="12332" spans="1:3" x14ac:dyDescent="0.25">
      <c r="A12332">
        <v>39</v>
      </c>
      <c r="B12332" t="str">
        <f>"9:07:44.201799"</f>
        <v>9:07:44.201799</v>
      </c>
      <c r="C12332">
        <v>-45</v>
      </c>
    </row>
    <row r="12333" spans="1:3" x14ac:dyDescent="0.25">
      <c r="A12333">
        <v>37</v>
      </c>
      <c r="B12333" t="str">
        <f>"9:07:44.557623"</f>
        <v>9:07:44.557623</v>
      </c>
      <c r="C12333">
        <v>-44</v>
      </c>
    </row>
    <row r="12334" spans="1:3" x14ac:dyDescent="0.25">
      <c r="A12334">
        <v>37</v>
      </c>
      <c r="B12334" t="str">
        <f>"9:07:44.558141"</f>
        <v>9:07:44.558141</v>
      </c>
      <c r="C12334">
        <v>-39</v>
      </c>
    </row>
    <row r="12335" spans="1:3" x14ac:dyDescent="0.25">
      <c r="A12335">
        <v>37</v>
      </c>
      <c r="B12335" t="str">
        <f>"9:07:44.558467"</f>
        <v>9:07:44.558467</v>
      </c>
      <c r="C12335">
        <v>-44</v>
      </c>
    </row>
    <row r="12336" spans="1:3" x14ac:dyDescent="0.25">
      <c r="A12336">
        <v>38</v>
      </c>
      <c r="B12336" t="str">
        <f>"9:07:44.559243"</f>
        <v>9:07:44.559243</v>
      </c>
      <c r="C12336">
        <v>-41</v>
      </c>
    </row>
    <row r="12337" spans="1:3" x14ac:dyDescent="0.25">
      <c r="A12337">
        <v>39</v>
      </c>
      <c r="B12337" t="str">
        <f>"9:07:44.560269"</f>
        <v>9:07:44.560269</v>
      </c>
      <c r="C12337">
        <v>-46</v>
      </c>
    </row>
    <row r="12338" spans="1:3" x14ac:dyDescent="0.25">
      <c r="A12338">
        <v>37</v>
      </c>
      <c r="B12338" t="str">
        <f>"9:07:44.908099"</f>
        <v>9:07:44.908099</v>
      </c>
      <c r="C12338">
        <v>-44</v>
      </c>
    </row>
    <row r="12339" spans="1:3" x14ac:dyDescent="0.25">
      <c r="A12339">
        <v>37</v>
      </c>
      <c r="B12339" t="str">
        <f>"9:07:44.908617"</f>
        <v>9:07:44.908617</v>
      </c>
      <c r="C12339">
        <v>-39</v>
      </c>
    </row>
    <row r="12340" spans="1:3" x14ac:dyDescent="0.25">
      <c r="A12340">
        <v>37</v>
      </c>
      <c r="B12340" t="str">
        <f>"9:07:44.908943"</f>
        <v>9:07:44.908943</v>
      </c>
      <c r="C12340">
        <v>-44</v>
      </c>
    </row>
    <row r="12341" spans="1:3" x14ac:dyDescent="0.25">
      <c r="A12341">
        <v>38</v>
      </c>
      <c r="B12341" t="str">
        <f>"9:07:44.909719"</f>
        <v>9:07:44.909719</v>
      </c>
      <c r="C12341">
        <v>-41</v>
      </c>
    </row>
    <row r="12342" spans="1:3" x14ac:dyDescent="0.25">
      <c r="A12342">
        <v>39</v>
      </c>
      <c r="B12342" t="str">
        <f>"9:07:44.910745"</f>
        <v>9:07:44.910745</v>
      </c>
      <c r="C12342">
        <v>-46</v>
      </c>
    </row>
    <row r="12343" spans="1:3" x14ac:dyDescent="0.25">
      <c r="A12343">
        <v>37</v>
      </c>
      <c r="B12343" t="str">
        <f>"9:07:45.260611"</f>
        <v>9:07:45.260611</v>
      </c>
      <c r="C12343">
        <v>-44</v>
      </c>
    </row>
    <row r="12344" spans="1:3" x14ac:dyDescent="0.25">
      <c r="A12344">
        <v>38</v>
      </c>
      <c r="B12344" t="str">
        <f>"9:07:45.261638"</f>
        <v>9:07:45.261638</v>
      </c>
      <c r="C12344">
        <v>-41</v>
      </c>
    </row>
    <row r="12345" spans="1:3" x14ac:dyDescent="0.25">
      <c r="A12345">
        <v>39</v>
      </c>
      <c r="B12345" t="str">
        <f>"9:07:45.262665"</f>
        <v>9:07:45.262665</v>
      </c>
      <c r="C12345">
        <v>-46</v>
      </c>
    </row>
    <row r="12346" spans="1:3" x14ac:dyDescent="0.25">
      <c r="A12346">
        <v>37</v>
      </c>
      <c r="B12346" t="str">
        <f>"9:07:45.613428"</f>
        <v>9:07:45.613428</v>
      </c>
      <c r="C12346">
        <v>-44</v>
      </c>
    </row>
    <row r="12347" spans="1:3" x14ac:dyDescent="0.25">
      <c r="A12347">
        <v>37</v>
      </c>
      <c r="B12347" t="str">
        <f>"9:07:45.613946"</f>
        <v>9:07:45.613946</v>
      </c>
      <c r="C12347">
        <v>-39</v>
      </c>
    </row>
    <row r="12348" spans="1:3" x14ac:dyDescent="0.25">
      <c r="A12348">
        <v>37</v>
      </c>
      <c r="B12348" t="str">
        <f>"9:07:45.614272"</f>
        <v>9:07:45.614272</v>
      </c>
      <c r="C12348">
        <v>-44</v>
      </c>
    </row>
    <row r="12349" spans="1:3" x14ac:dyDescent="0.25">
      <c r="A12349">
        <v>38</v>
      </c>
      <c r="B12349" t="str">
        <f>"9:07:45.615048"</f>
        <v>9:07:45.615048</v>
      </c>
      <c r="C12349">
        <v>-41</v>
      </c>
    </row>
    <row r="12350" spans="1:3" x14ac:dyDescent="0.25">
      <c r="A12350">
        <v>39</v>
      </c>
      <c r="B12350" t="str">
        <f>"9:07:45.616074"</f>
        <v>9:07:45.616074</v>
      </c>
      <c r="C12350">
        <v>-46</v>
      </c>
    </row>
    <row r="12351" spans="1:3" x14ac:dyDescent="0.25">
      <c r="A12351">
        <v>37</v>
      </c>
      <c r="B12351" t="str">
        <f>"9:07:45.970342"</f>
        <v>9:07:45.970342</v>
      </c>
      <c r="C12351">
        <v>-44</v>
      </c>
    </row>
    <row r="12352" spans="1:3" x14ac:dyDescent="0.25">
      <c r="A12352">
        <v>37</v>
      </c>
      <c r="B12352" t="str">
        <f>"9:07:45.970861"</f>
        <v>9:07:45.970861</v>
      </c>
      <c r="C12352">
        <v>-38</v>
      </c>
    </row>
    <row r="12353" spans="1:3" x14ac:dyDescent="0.25">
      <c r="A12353">
        <v>37</v>
      </c>
      <c r="B12353" t="str">
        <f>"9:07:45.971188"</f>
        <v>9:07:45.971188</v>
      </c>
      <c r="C12353">
        <v>-44</v>
      </c>
    </row>
    <row r="12354" spans="1:3" x14ac:dyDescent="0.25">
      <c r="A12354">
        <v>38</v>
      </c>
      <c r="B12354" t="str">
        <f>"9:07:45.971964"</f>
        <v>9:07:45.971964</v>
      </c>
      <c r="C12354">
        <v>-41</v>
      </c>
    </row>
    <row r="12355" spans="1:3" x14ac:dyDescent="0.25">
      <c r="A12355">
        <v>39</v>
      </c>
      <c r="B12355" t="str">
        <f>"9:07:45.972990"</f>
        <v>9:07:45.972990</v>
      </c>
      <c r="C12355">
        <v>-46</v>
      </c>
    </row>
    <row r="12356" spans="1:3" x14ac:dyDescent="0.25">
      <c r="A12356">
        <v>37</v>
      </c>
      <c r="B12356" t="str">
        <f>"9:07:46.321130"</f>
        <v>9:07:46.321130</v>
      </c>
      <c r="C12356">
        <v>-44</v>
      </c>
    </row>
    <row r="12357" spans="1:3" x14ac:dyDescent="0.25">
      <c r="A12357">
        <v>37</v>
      </c>
      <c r="B12357" t="str">
        <f>"9:07:46.321648"</f>
        <v>9:07:46.321648</v>
      </c>
      <c r="C12357">
        <v>-38</v>
      </c>
    </row>
    <row r="12358" spans="1:3" x14ac:dyDescent="0.25">
      <c r="A12358">
        <v>37</v>
      </c>
      <c r="B12358" t="str">
        <f>"9:07:46.321974"</f>
        <v>9:07:46.321974</v>
      </c>
      <c r="C12358">
        <v>-44</v>
      </c>
    </row>
    <row r="12359" spans="1:3" x14ac:dyDescent="0.25">
      <c r="A12359">
        <v>38</v>
      </c>
      <c r="B12359" t="str">
        <f>"9:07:46.322750"</f>
        <v>9:07:46.322750</v>
      </c>
      <c r="C12359">
        <v>-41</v>
      </c>
    </row>
    <row r="12360" spans="1:3" x14ac:dyDescent="0.25">
      <c r="A12360">
        <v>39</v>
      </c>
      <c r="B12360" t="str">
        <f>"9:07:46.323776"</f>
        <v>9:07:46.323776</v>
      </c>
      <c r="C12360">
        <v>-46</v>
      </c>
    </row>
    <row r="12361" spans="1:3" x14ac:dyDescent="0.25">
      <c r="A12361">
        <v>37</v>
      </c>
      <c r="B12361" t="str">
        <f>"9:07:46.679615"</f>
        <v>9:07:46.679615</v>
      </c>
      <c r="C12361">
        <v>-44</v>
      </c>
    </row>
    <row r="12362" spans="1:3" x14ac:dyDescent="0.25">
      <c r="A12362">
        <v>37</v>
      </c>
      <c r="B12362" t="str">
        <f>"9:07:46.680134"</f>
        <v>9:07:46.680134</v>
      </c>
      <c r="C12362">
        <v>-38</v>
      </c>
    </row>
    <row r="12363" spans="1:3" x14ac:dyDescent="0.25">
      <c r="A12363">
        <v>37</v>
      </c>
      <c r="B12363" t="str">
        <f>"9:07:46.680460"</f>
        <v>9:07:46.680460</v>
      </c>
      <c r="C12363">
        <v>-44</v>
      </c>
    </row>
    <row r="12364" spans="1:3" x14ac:dyDescent="0.25">
      <c r="A12364">
        <v>38</v>
      </c>
      <c r="B12364" t="str">
        <f>"9:07:46.681236"</f>
        <v>9:07:46.681236</v>
      </c>
      <c r="C12364">
        <v>-41</v>
      </c>
    </row>
    <row r="12365" spans="1:3" x14ac:dyDescent="0.25">
      <c r="A12365">
        <v>39</v>
      </c>
      <c r="B12365" t="str">
        <f>"9:07:46.682262"</f>
        <v>9:07:46.682262</v>
      </c>
      <c r="C12365">
        <v>-46</v>
      </c>
    </row>
    <row r="12366" spans="1:3" x14ac:dyDescent="0.25">
      <c r="A12366">
        <v>37</v>
      </c>
      <c r="B12366" t="str">
        <f>"9:07:47.032672"</f>
        <v>9:07:47.032672</v>
      </c>
      <c r="C12366">
        <v>-44</v>
      </c>
    </row>
    <row r="12367" spans="1:3" x14ac:dyDescent="0.25">
      <c r="A12367">
        <v>37</v>
      </c>
      <c r="B12367" t="str">
        <f>"9:07:47.033191"</f>
        <v>9:07:47.033191</v>
      </c>
      <c r="C12367">
        <v>-38</v>
      </c>
    </row>
    <row r="12368" spans="1:3" x14ac:dyDescent="0.25">
      <c r="A12368">
        <v>37</v>
      </c>
      <c r="B12368" t="str">
        <f>"9:07:47.033517"</f>
        <v>9:07:47.033517</v>
      </c>
      <c r="C12368">
        <v>-44</v>
      </c>
    </row>
    <row r="12369" spans="1:3" x14ac:dyDescent="0.25">
      <c r="A12369">
        <v>38</v>
      </c>
      <c r="B12369" t="str">
        <f>"9:07:47.034294"</f>
        <v>9:07:47.034294</v>
      </c>
      <c r="C12369">
        <v>-41</v>
      </c>
    </row>
    <row r="12370" spans="1:3" x14ac:dyDescent="0.25">
      <c r="A12370">
        <v>39</v>
      </c>
      <c r="B12370" t="str">
        <f>"9:07:47.035320"</f>
        <v>9:07:47.035320</v>
      </c>
      <c r="C12370">
        <v>-46</v>
      </c>
    </row>
    <row r="12371" spans="1:3" x14ac:dyDescent="0.25">
      <c r="A12371">
        <v>37</v>
      </c>
      <c r="B12371" t="str">
        <f>"9:07:47.386482"</f>
        <v>9:07:47.386482</v>
      </c>
      <c r="C12371">
        <v>-44</v>
      </c>
    </row>
    <row r="12372" spans="1:3" x14ac:dyDescent="0.25">
      <c r="A12372">
        <v>37</v>
      </c>
      <c r="B12372" t="str">
        <f>"9:07:47.387000"</f>
        <v>9:07:47.387000</v>
      </c>
      <c r="C12372">
        <v>-37</v>
      </c>
    </row>
    <row r="12373" spans="1:3" x14ac:dyDescent="0.25">
      <c r="A12373">
        <v>37</v>
      </c>
      <c r="B12373" t="str">
        <f>"9:07:47.387326"</f>
        <v>9:07:47.387326</v>
      </c>
      <c r="C12373">
        <v>-44</v>
      </c>
    </row>
    <row r="12374" spans="1:3" x14ac:dyDescent="0.25">
      <c r="A12374">
        <v>38</v>
      </c>
      <c r="B12374" t="str">
        <f>"9:07:47.388102"</f>
        <v>9:07:47.388102</v>
      </c>
      <c r="C12374">
        <v>-41</v>
      </c>
    </row>
    <row r="12375" spans="1:3" x14ac:dyDescent="0.25">
      <c r="A12375">
        <v>39</v>
      </c>
      <c r="B12375" t="str">
        <f>"9:07:47.389128"</f>
        <v>9:07:47.389128</v>
      </c>
      <c r="C12375">
        <v>-46</v>
      </c>
    </row>
    <row r="12376" spans="1:3" x14ac:dyDescent="0.25">
      <c r="A12376">
        <v>37</v>
      </c>
      <c r="B12376" t="str">
        <f>"9:07:47.739540"</f>
        <v>9:07:47.739540</v>
      </c>
      <c r="C12376">
        <v>-44</v>
      </c>
    </row>
    <row r="12377" spans="1:3" x14ac:dyDescent="0.25">
      <c r="A12377">
        <v>37</v>
      </c>
      <c r="B12377" t="str">
        <f>"9:07:47.740060"</f>
        <v>9:07:47.740060</v>
      </c>
      <c r="C12377">
        <v>-37</v>
      </c>
    </row>
    <row r="12378" spans="1:3" x14ac:dyDescent="0.25">
      <c r="A12378">
        <v>37</v>
      </c>
      <c r="B12378" t="str">
        <f>"9:07:47.740386"</f>
        <v>9:07:47.740386</v>
      </c>
      <c r="C12378">
        <v>-45</v>
      </c>
    </row>
    <row r="12379" spans="1:3" x14ac:dyDescent="0.25">
      <c r="A12379">
        <v>38</v>
      </c>
      <c r="B12379" t="str">
        <f>"9:07:47.741162"</f>
        <v>9:07:47.741162</v>
      </c>
      <c r="C12379">
        <v>-41</v>
      </c>
    </row>
    <row r="12380" spans="1:3" x14ac:dyDescent="0.25">
      <c r="A12380">
        <v>39</v>
      </c>
      <c r="B12380" t="str">
        <f>"9:07:47.742188"</f>
        <v>9:07:47.742188</v>
      </c>
      <c r="C12380">
        <v>-46</v>
      </c>
    </row>
    <row r="12381" spans="1:3" x14ac:dyDescent="0.25">
      <c r="A12381">
        <v>37</v>
      </c>
      <c r="B12381" t="str">
        <f>"9:07:48.095705"</f>
        <v>9:07:48.095705</v>
      </c>
      <c r="C12381">
        <v>-44</v>
      </c>
    </row>
    <row r="12382" spans="1:3" x14ac:dyDescent="0.25">
      <c r="A12382">
        <v>37</v>
      </c>
      <c r="B12382" t="str">
        <f>"9:07:48.096223"</f>
        <v>9:07:48.096223</v>
      </c>
      <c r="C12382">
        <v>-37</v>
      </c>
    </row>
    <row r="12383" spans="1:3" x14ac:dyDescent="0.25">
      <c r="A12383">
        <v>37</v>
      </c>
      <c r="B12383" t="str">
        <f>"9:07:48.096549"</f>
        <v>9:07:48.096549</v>
      </c>
      <c r="C12383">
        <v>-44</v>
      </c>
    </row>
    <row r="12384" spans="1:3" x14ac:dyDescent="0.25">
      <c r="A12384">
        <v>38</v>
      </c>
      <c r="B12384" t="str">
        <f>"9:07:48.097325"</f>
        <v>9:07:48.097325</v>
      </c>
      <c r="C12384">
        <v>-41</v>
      </c>
    </row>
    <row r="12385" spans="1:3" x14ac:dyDescent="0.25">
      <c r="A12385">
        <v>39</v>
      </c>
      <c r="B12385" t="str">
        <f>"9:07:48.098351"</f>
        <v>9:07:48.098351</v>
      </c>
      <c r="C12385">
        <v>-46</v>
      </c>
    </row>
    <row r="12386" spans="1:3" x14ac:dyDescent="0.25">
      <c r="A12386">
        <v>37</v>
      </c>
      <c r="B12386" t="str">
        <f>"9:07:48.447463"</f>
        <v>9:07:48.447463</v>
      </c>
      <c r="C12386">
        <v>-44</v>
      </c>
    </row>
    <row r="12387" spans="1:3" x14ac:dyDescent="0.25">
      <c r="A12387">
        <v>37</v>
      </c>
      <c r="B12387" t="str">
        <f>"9:07:48.447981"</f>
        <v>9:07:48.447981</v>
      </c>
      <c r="C12387">
        <v>-37</v>
      </c>
    </row>
    <row r="12388" spans="1:3" x14ac:dyDescent="0.25">
      <c r="A12388">
        <v>37</v>
      </c>
      <c r="B12388" t="str">
        <f>"9:07:48.448307"</f>
        <v>9:07:48.448307</v>
      </c>
      <c r="C12388">
        <v>-45</v>
      </c>
    </row>
    <row r="12389" spans="1:3" x14ac:dyDescent="0.25">
      <c r="A12389">
        <v>38</v>
      </c>
      <c r="B12389" t="str">
        <f>"9:07:48.449083"</f>
        <v>9:07:48.449083</v>
      </c>
      <c r="C12389">
        <v>-41</v>
      </c>
    </row>
    <row r="12390" spans="1:3" x14ac:dyDescent="0.25">
      <c r="A12390">
        <v>39</v>
      </c>
      <c r="B12390" t="str">
        <f>"9:07:48.450109"</f>
        <v>9:07:48.450109</v>
      </c>
      <c r="C12390">
        <v>-45</v>
      </c>
    </row>
    <row r="12391" spans="1:3" x14ac:dyDescent="0.25">
      <c r="A12391">
        <v>37</v>
      </c>
      <c r="B12391" t="str">
        <f>"9:07:48.802103"</f>
        <v>9:07:48.802103</v>
      </c>
      <c r="C12391">
        <v>-44</v>
      </c>
    </row>
    <row r="12392" spans="1:3" x14ac:dyDescent="0.25">
      <c r="A12392">
        <v>37</v>
      </c>
      <c r="B12392" t="str">
        <f>"9:07:48.802621"</f>
        <v>9:07:48.802621</v>
      </c>
      <c r="C12392">
        <v>-37</v>
      </c>
    </row>
    <row r="12393" spans="1:3" x14ac:dyDescent="0.25">
      <c r="A12393">
        <v>37</v>
      </c>
      <c r="B12393" t="str">
        <f>"9:07:48.802947"</f>
        <v>9:07:48.802947</v>
      </c>
      <c r="C12393">
        <v>-44</v>
      </c>
    </row>
    <row r="12394" spans="1:3" x14ac:dyDescent="0.25">
      <c r="A12394">
        <v>38</v>
      </c>
      <c r="B12394" t="str">
        <f>"9:07:48.803723"</f>
        <v>9:07:48.803723</v>
      </c>
      <c r="C12394">
        <v>-41</v>
      </c>
    </row>
    <row r="12395" spans="1:3" x14ac:dyDescent="0.25">
      <c r="A12395">
        <v>39</v>
      </c>
      <c r="B12395" t="str">
        <f>"9:07:48.804749"</f>
        <v>9:07:48.804749</v>
      </c>
      <c r="C12395">
        <v>-46</v>
      </c>
    </row>
    <row r="12396" spans="1:3" x14ac:dyDescent="0.25">
      <c r="A12396">
        <v>37</v>
      </c>
      <c r="B12396" t="str">
        <f>"9:07:49.156163"</f>
        <v>9:07:49.156163</v>
      </c>
      <c r="C12396">
        <v>-44</v>
      </c>
    </row>
    <row r="12397" spans="1:3" x14ac:dyDescent="0.25">
      <c r="A12397">
        <v>37</v>
      </c>
      <c r="B12397" t="str">
        <f>"9:07:49.156682"</f>
        <v>9:07:49.156682</v>
      </c>
      <c r="C12397">
        <v>-38</v>
      </c>
    </row>
    <row r="12398" spans="1:3" x14ac:dyDescent="0.25">
      <c r="A12398">
        <v>37</v>
      </c>
      <c r="B12398" t="str">
        <f>"9:07:49.157008"</f>
        <v>9:07:49.157008</v>
      </c>
      <c r="C12398">
        <v>-44</v>
      </c>
    </row>
    <row r="12399" spans="1:3" x14ac:dyDescent="0.25">
      <c r="A12399">
        <v>38</v>
      </c>
      <c r="B12399" t="str">
        <f>"9:07:49.157785"</f>
        <v>9:07:49.157785</v>
      </c>
      <c r="C12399">
        <v>-41</v>
      </c>
    </row>
    <row r="12400" spans="1:3" x14ac:dyDescent="0.25">
      <c r="A12400">
        <v>39</v>
      </c>
      <c r="B12400" t="str">
        <f>"9:07:49.158811"</f>
        <v>9:07:49.158811</v>
      </c>
      <c r="C12400">
        <v>-46</v>
      </c>
    </row>
    <row r="12401" spans="1:3" x14ac:dyDescent="0.25">
      <c r="A12401">
        <v>37</v>
      </c>
      <c r="B12401" t="str">
        <f>"9:07:49.511826"</f>
        <v>9:07:49.511826</v>
      </c>
      <c r="C12401">
        <v>-44</v>
      </c>
    </row>
    <row r="12402" spans="1:3" x14ac:dyDescent="0.25">
      <c r="A12402">
        <v>38</v>
      </c>
      <c r="B12402" t="str">
        <f>"9:07:49.512853"</f>
        <v>9:07:49.512853</v>
      </c>
      <c r="C12402">
        <v>-41</v>
      </c>
    </row>
    <row r="12403" spans="1:3" x14ac:dyDescent="0.25">
      <c r="A12403">
        <v>38</v>
      </c>
      <c r="B12403" t="str">
        <f>"9:07:49.513372"</f>
        <v>9:07:49.513372</v>
      </c>
      <c r="C12403">
        <v>-32</v>
      </c>
    </row>
    <row r="12404" spans="1:3" x14ac:dyDescent="0.25">
      <c r="A12404">
        <v>38</v>
      </c>
      <c r="B12404" t="str">
        <f>"9:07:49.513697"</f>
        <v>9:07:49.513697</v>
      </c>
      <c r="C12404">
        <v>-41</v>
      </c>
    </row>
    <row r="12405" spans="1:3" x14ac:dyDescent="0.25">
      <c r="A12405">
        <v>39</v>
      </c>
      <c r="B12405" t="str">
        <f>"9:07:49.514473"</f>
        <v>9:07:49.514473</v>
      </c>
      <c r="C12405">
        <v>-45</v>
      </c>
    </row>
    <row r="12406" spans="1:3" x14ac:dyDescent="0.25">
      <c r="A12406">
        <v>37</v>
      </c>
      <c r="B12406" t="str">
        <f>"9:07:49.865603"</f>
        <v>9:07:49.865603</v>
      </c>
      <c r="C12406">
        <v>-44</v>
      </c>
    </row>
    <row r="12407" spans="1:3" x14ac:dyDescent="0.25">
      <c r="A12407">
        <v>38</v>
      </c>
      <c r="B12407" t="str">
        <f>"9:07:49.866630"</f>
        <v>9:07:49.866630</v>
      </c>
      <c r="C12407">
        <v>-41</v>
      </c>
    </row>
    <row r="12408" spans="1:3" x14ac:dyDescent="0.25">
      <c r="A12408">
        <v>38</v>
      </c>
      <c r="B12408" t="str">
        <f>"9:07:49.867149"</f>
        <v>9:07:49.867149</v>
      </c>
      <c r="C12408">
        <v>-32</v>
      </c>
    </row>
    <row r="12409" spans="1:3" x14ac:dyDescent="0.25">
      <c r="A12409">
        <v>38</v>
      </c>
      <c r="B12409" t="str">
        <f>"9:07:49.867474"</f>
        <v>9:07:49.867474</v>
      </c>
      <c r="C12409">
        <v>-41</v>
      </c>
    </row>
    <row r="12410" spans="1:3" x14ac:dyDescent="0.25">
      <c r="A12410">
        <v>39</v>
      </c>
      <c r="B12410" t="str">
        <f>"9:07:49.868250"</f>
        <v>9:07:49.868250</v>
      </c>
      <c r="C12410">
        <v>-46</v>
      </c>
    </row>
    <row r="12411" spans="1:3" x14ac:dyDescent="0.25">
      <c r="A12411">
        <v>37</v>
      </c>
      <c r="B12411" t="str">
        <f>"9:07:50.217417"</f>
        <v>9:07:50.217417</v>
      </c>
      <c r="C12411">
        <v>-44</v>
      </c>
    </row>
    <row r="12412" spans="1:3" x14ac:dyDescent="0.25">
      <c r="A12412">
        <v>38</v>
      </c>
      <c r="B12412" t="str">
        <f>"9:07:50.218444"</f>
        <v>9:07:50.218444</v>
      </c>
      <c r="C12412">
        <v>-41</v>
      </c>
    </row>
    <row r="12413" spans="1:3" x14ac:dyDescent="0.25">
      <c r="A12413">
        <v>39</v>
      </c>
      <c r="B12413" t="str">
        <f>"9:07:50.219470"</f>
        <v>9:07:50.219470</v>
      </c>
      <c r="C12413">
        <v>-46</v>
      </c>
    </row>
    <row r="12414" spans="1:3" x14ac:dyDescent="0.25">
      <c r="A12414">
        <v>37</v>
      </c>
      <c r="B12414" t="str">
        <f>"9:07:50.571233"</f>
        <v>9:07:50.571233</v>
      </c>
      <c r="C12414">
        <v>-44</v>
      </c>
    </row>
    <row r="12415" spans="1:3" x14ac:dyDescent="0.25">
      <c r="A12415">
        <v>38</v>
      </c>
      <c r="B12415" t="str">
        <f>"9:07:50.572260"</f>
        <v>9:07:50.572260</v>
      </c>
      <c r="C12415">
        <v>-41</v>
      </c>
    </row>
    <row r="12416" spans="1:3" x14ac:dyDescent="0.25">
      <c r="A12416">
        <v>38</v>
      </c>
      <c r="B12416" t="str">
        <f>"9:07:50.572779"</f>
        <v>9:07:50.572779</v>
      </c>
      <c r="C12416">
        <v>-31</v>
      </c>
    </row>
    <row r="12417" spans="1:3" x14ac:dyDescent="0.25">
      <c r="A12417">
        <v>38</v>
      </c>
      <c r="B12417" t="str">
        <f>"9:07:50.573104"</f>
        <v>9:07:50.573104</v>
      </c>
      <c r="C12417">
        <v>-41</v>
      </c>
    </row>
    <row r="12418" spans="1:3" x14ac:dyDescent="0.25">
      <c r="A12418">
        <v>39</v>
      </c>
      <c r="B12418" t="str">
        <f>"9:07:50.573880"</f>
        <v>9:07:50.573880</v>
      </c>
      <c r="C12418">
        <v>-46</v>
      </c>
    </row>
    <row r="12419" spans="1:3" x14ac:dyDescent="0.25">
      <c r="A12419">
        <v>37</v>
      </c>
      <c r="B12419" t="str">
        <f>"9:07:50.929418"</f>
        <v>9:07:50.929418</v>
      </c>
      <c r="C12419">
        <v>-44</v>
      </c>
    </row>
    <row r="12420" spans="1:3" x14ac:dyDescent="0.25">
      <c r="A12420">
        <v>38</v>
      </c>
      <c r="B12420" t="str">
        <f>"9:07:50.930445"</f>
        <v>9:07:50.930445</v>
      </c>
      <c r="C12420">
        <v>-41</v>
      </c>
    </row>
    <row r="12421" spans="1:3" x14ac:dyDescent="0.25">
      <c r="A12421">
        <v>38</v>
      </c>
      <c r="B12421" t="str">
        <f>"9:07:50.930964"</f>
        <v>9:07:50.930964</v>
      </c>
      <c r="C12421">
        <v>-31</v>
      </c>
    </row>
    <row r="12422" spans="1:3" x14ac:dyDescent="0.25">
      <c r="A12422">
        <v>38</v>
      </c>
      <c r="B12422" t="str">
        <f>"9:07:50.931290"</f>
        <v>9:07:50.931290</v>
      </c>
      <c r="C12422">
        <v>-41</v>
      </c>
    </row>
    <row r="12423" spans="1:3" x14ac:dyDescent="0.25">
      <c r="A12423">
        <v>39</v>
      </c>
      <c r="B12423" t="str">
        <f>"9:07:50.932066"</f>
        <v>9:07:50.932066</v>
      </c>
      <c r="C12423">
        <v>-46</v>
      </c>
    </row>
    <row r="12424" spans="1:3" x14ac:dyDescent="0.25">
      <c r="A12424">
        <v>37</v>
      </c>
      <c r="B12424" t="str">
        <f>"9:07:51.288385"</f>
        <v>9:07:51.288385</v>
      </c>
      <c r="C12424">
        <v>-44</v>
      </c>
    </row>
    <row r="12425" spans="1:3" x14ac:dyDescent="0.25">
      <c r="A12425">
        <v>38</v>
      </c>
      <c r="B12425" t="str">
        <f>"9:07:51.289413"</f>
        <v>9:07:51.289413</v>
      </c>
      <c r="C12425">
        <v>-41</v>
      </c>
    </row>
    <row r="12426" spans="1:3" x14ac:dyDescent="0.25">
      <c r="A12426">
        <v>38</v>
      </c>
      <c r="B12426" t="str">
        <f>"9:07:51.289931"</f>
        <v>9:07:51.289931</v>
      </c>
      <c r="C12426">
        <v>-31</v>
      </c>
    </row>
    <row r="12427" spans="1:3" x14ac:dyDescent="0.25">
      <c r="A12427">
        <v>38</v>
      </c>
      <c r="B12427" t="str">
        <f>"9:07:51.290257"</f>
        <v>9:07:51.290257</v>
      </c>
      <c r="C12427">
        <v>-41</v>
      </c>
    </row>
    <row r="12428" spans="1:3" x14ac:dyDescent="0.25">
      <c r="A12428">
        <v>39</v>
      </c>
      <c r="B12428" t="str">
        <f>"9:07:51.291033"</f>
        <v>9:07:51.291033</v>
      </c>
      <c r="C12428">
        <v>-46</v>
      </c>
    </row>
    <row r="12429" spans="1:3" x14ac:dyDescent="0.25">
      <c r="A12429">
        <v>37</v>
      </c>
      <c r="B12429" t="str">
        <f>"9:07:51.639378"</f>
        <v>9:07:51.639378</v>
      </c>
      <c r="C12429">
        <v>-44</v>
      </c>
    </row>
    <row r="12430" spans="1:3" x14ac:dyDescent="0.25">
      <c r="A12430">
        <v>38</v>
      </c>
      <c r="B12430" t="str">
        <f>"9:07:51.640405"</f>
        <v>9:07:51.640405</v>
      </c>
      <c r="C12430">
        <v>-41</v>
      </c>
    </row>
    <row r="12431" spans="1:3" x14ac:dyDescent="0.25">
      <c r="A12431">
        <v>38</v>
      </c>
      <c r="B12431" t="str">
        <f>"9:07:51.640924"</f>
        <v>9:07:51.640924</v>
      </c>
      <c r="C12431">
        <v>-32</v>
      </c>
    </row>
    <row r="12432" spans="1:3" x14ac:dyDescent="0.25">
      <c r="A12432">
        <v>38</v>
      </c>
      <c r="B12432" t="str">
        <f>"9:07:51.641250"</f>
        <v>9:07:51.641250</v>
      </c>
      <c r="C12432">
        <v>-41</v>
      </c>
    </row>
    <row r="12433" spans="1:3" x14ac:dyDescent="0.25">
      <c r="A12433">
        <v>39</v>
      </c>
      <c r="B12433" t="str">
        <f>"9:07:51.642026"</f>
        <v>9:07:51.642026</v>
      </c>
      <c r="C12433">
        <v>-46</v>
      </c>
    </row>
    <row r="12434" spans="1:3" x14ac:dyDescent="0.25">
      <c r="A12434">
        <v>37</v>
      </c>
      <c r="B12434" t="str">
        <f>"9:07:51.992646"</f>
        <v>9:07:51.992646</v>
      </c>
      <c r="C12434">
        <v>-44</v>
      </c>
    </row>
    <row r="12435" spans="1:3" x14ac:dyDescent="0.25">
      <c r="A12435">
        <v>38</v>
      </c>
      <c r="B12435" t="str">
        <f>"9:07:51.993673"</f>
        <v>9:07:51.993673</v>
      </c>
      <c r="C12435">
        <v>-41</v>
      </c>
    </row>
    <row r="12436" spans="1:3" x14ac:dyDescent="0.25">
      <c r="A12436">
        <v>38</v>
      </c>
      <c r="B12436" t="str">
        <f>"9:07:51.994192"</f>
        <v>9:07:51.994192</v>
      </c>
      <c r="C12436">
        <v>-31</v>
      </c>
    </row>
    <row r="12437" spans="1:3" x14ac:dyDescent="0.25">
      <c r="A12437">
        <v>38</v>
      </c>
      <c r="B12437" t="str">
        <f>"9:07:51.994518"</f>
        <v>9:07:51.994518</v>
      </c>
      <c r="C12437">
        <v>-41</v>
      </c>
    </row>
    <row r="12438" spans="1:3" x14ac:dyDescent="0.25">
      <c r="A12438">
        <v>39</v>
      </c>
      <c r="B12438" t="str">
        <f>"9:07:51.995294"</f>
        <v>9:07:51.995294</v>
      </c>
      <c r="C12438">
        <v>-45</v>
      </c>
    </row>
    <row r="12439" spans="1:3" x14ac:dyDescent="0.25">
      <c r="A12439">
        <v>37</v>
      </c>
      <c r="B12439" t="str">
        <f>"9:07:52.346747"</f>
        <v>9:07:52.346747</v>
      </c>
      <c r="C12439">
        <v>-44</v>
      </c>
    </row>
    <row r="12440" spans="1:3" x14ac:dyDescent="0.25">
      <c r="A12440">
        <v>38</v>
      </c>
      <c r="B12440" t="str">
        <f>"9:07:52.347774"</f>
        <v>9:07:52.347774</v>
      </c>
      <c r="C12440">
        <v>-41</v>
      </c>
    </row>
    <row r="12441" spans="1:3" x14ac:dyDescent="0.25">
      <c r="A12441">
        <v>38</v>
      </c>
      <c r="B12441" t="str">
        <f>"9:07:52.348293"</f>
        <v>9:07:52.348293</v>
      </c>
      <c r="C12441">
        <v>-32</v>
      </c>
    </row>
    <row r="12442" spans="1:3" x14ac:dyDescent="0.25">
      <c r="A12442">
        <v>38</v>
      </c>
      <c r="B12442" t="str">
        <f>"9:07:52.348619"</f>
        <v>9:07:52.348619</v>
      </c>
      <c r="C12442">
        <v>-41</v>
      </c>
    </row>
    <row r="12443" spans="1:3" x14ac:dyDescent="0.25">
      <c r="A12443">
        <v>39</v>
      </c>
      <c r="B12443" t="str">
        <f>"9:07:52.349395"</f>
        <v>9:07:52.349395</v>
      </c>
      <c r="C12443">
        <v>-45</v>
      </c>
    </row>
    <row r="12444" spans="1:3" x14ac:dyDescent="0.25">
      <c r="A12444">
        <v>37</v>
      </c>
      <c r="B12444" t="str">
        <f>"9:07:52.700041"</f>
        <v>9:07:52.700041</v>
      </c>
      <c r="C12444">
        <v>-44</v>
      </c>
    </row>
    <row r="12445" spans="1:3" x14ac:dyDescent="0.25">
      <c r="A12445">
        <v>38</v>
      </c>
      <c r="B12445" t="str">
        <f>"9:07:52.701068"</f>
        <v>9:07:52.701068</v>
      </c>
      <c r="C12445">
        <v>-41</v>
      </c>
    </row>
    <row r="12446" spans="1:3" x14ac:dyDescent="0.25">
      <c r="A12446">
        <v>38</v>
      </c>
      <c r="B12446" t="str">
        <f>"9:07:52.701587"</f>
        <v>9:07:52.701587</v>
      </c>
      <c r="C12446">
        <v>-32</v>
      </c>
    </row>
    <row r="12447" spans="1:3" x14ac:dyDescent="0.25">
      <c r="A12447">
        <v>38</v>
      </c>
      <c r="B12447" t="str">
        <f>"9:07:52.701912"</f>
        <v>9:07:52.701912</v>
      </c>
      <c r="C12447">
        <v>-41</v>
      </c>
    </row>
    <row r="12448" spans="1:3" x14ac:dyDescent="0.25">
      <c r="A12448">
        <v>39</v>
      </c>
      <c r="B12448" t="str">
        <f>"9:07:52.702688"</f>
        <v>9:07:52.702688</v>
      </c>
      <c r="C12448">
        <v>-46</v>
      </c>
    </row>
    <row r="12449" spans="1:3" x14ac:dyDescent="0.25">
      <c r="A12449">
        <v>37</v>
      </c>
      <c r="B12449" t="str">
        <f>"9:07:53.056679"</f>
        <v>9:07:53.056679</v>
      </c>
      <c r="C12449">
        <v>-44</v>
      </c>
    </row>
    <row r="12450" spans="1:3" x14ac:dyDescent="0.25">
      <c r="A12450">
        <v>38</v>
      </c>
      <c r="B12450" t="str">
        <f>"9:07:53.057706"</f>
        <v>9:07:53.057706</v>
      </c>
      <c r="C12450">
        <v>-41</v>
      </c>
    </row>
    <row r="12451" spans="1:3" x14ac:dyDescent="0.25">
      <c r="A12451">
        <v>38</v>
      </c>
      <c r="B12451" t="str">
        <f>"9:07:53.058224"</f>
        <v>9:07:53.058224</v>
      </c>
      <c r="C12451">
        <v>-31</v>
      </c>
    </row>
    <row r="12452" spans="1:3" x14ac:dyDescent="0.25">
      <c r="A12452">
        <v>38</v>
      </c>
      <c r="B12452" t="str">
        <f>"9:07:53.058550"</f>
        <v>9:07:53.058550</v>
      </c>
      <c r="C12452">
        <v>-42</v>
      </c>
    </row>
    <row r="12453" spans="1:3" x14ac:dyDescent="0.25">
      <c r="A12453">
        <v>39</v>
      </c>
      <c r="B12453" t="str">
        <f>"9:07:53.059326"</f>
        <v>9:07:53.059326</v>
      </c>
      <c r="C12453">
        <v>-46</v>
      </c>
    </row>
    <row r="12454" spans="1:3" x14ac:dyDescent="0.25">
      <c r="A12454">
        <v>37</v>
      </c>
      <c r="B12454" t="str">
        <f>"9:07:53.409175"</f>
        <v>9:07:53.409175</v>
      </c>
      <c r="C12454">
        <v>-44</v>
      </c>
    </row>
    <row r="12455" spans="1:3" x14ac:dyDescent="0.25">
      <c r="A12455">
        <v>38</v>
      </c>
      <c r="B12455" t="str">
        <f>"9:07:53.410203"</f>
        <v>9:07:53.410203</v>
      </c>
      <c r="C12455">
        <v>-41</v>
      </c>
    </row>
    <row r="12456" spans="1:3" x14ac:dyDescent="0.25">
      <c r="A12456">
        <v>38</v>
      </c>
      <c r="B12456" t="str">
        <f>"9:07:53.410721"</f>
        <v>9:07:53.410721</v>
      </c>
      <c r="C12456">
        <v>-31</v>
      </c>
    </row>
    <row r="12457" spans="1:3" x14ac:dyDescent="0.25">
      <c r="A12457">
        <v>38</v>
      </c>
      <c r="B12457" t="str">
        <f>"9:07:53.411047"</f>
        <v>9:07:53.411047</v>
      </c>
      <c r="C12457">
        <v>-41</v>
      </c>
    </row>
    <row r="12458" spans="1:3" x14ac:dyDescent="0.25">
      <c r="A12458">
        <v>39</v>
      </c>
      <c r="B12458" t="str">
        <f>"9:07:53.411823"</f>
        <v>9:07:53.411823</v>
      </c>
      <c r="C12458">
        <v>-46</v>
      </c>
    </row>
    <row r="12459" spans="1:3" x14ac:dyDescent="0.25">
      <c r="A12459">
        <v>37</v>
      </c>
      <c r="B12459" t="str">
        <f>"9:07:53.762478"</f>
        <v>9:07:53.762478</v>
      </c>
      <c r="C12459">
        <v>-44</v>
      </c>
    </row>
    <row r="12460" spans="1:3" x14ac:dyDescent="0.25">
      <c r="A12460">
        <v>38</v>
      </c>
      <c r="B12460" t="str">
        <f>"9:07:53.763505"</f>
        <v>9:07:53.763505</v>
      </c>
      <c r="C12460">
        <v>-41</v>
      </c>
    </row>
    <row r="12461" spans="1:3" x14ac:dyDescent="0.25">
      <c r="A12461">
        <v>38</v>
      </c>
      <c r="B12461" t="str">
        <f>"9:07:53.764024"</f>
        <v>9:07:53.764024</v>
      </c>
      <c r="C12461">
        <v>-32</v>
      </c>
    </row>
    <row r="12462" spans="1:3" x14ac:dyDescent="0.25">
      <c r="A12462">
        <v>38</v>
      </c>
      <c r="B12462" t="str">
        <f>"9:07:53.764350"</f>
        <v>9:07:53.764350</v>
      </c>
      <c r="C12462">
        <v>-41</v>
      </c>
    </row>
    <row r="12463" spans="1:3" x14ac:dyDescent="0.25">
      <c r="A12463">
        <v>39</v>
      </c>
      <c r="B12463" t="str">
        <f>"9:07:53.765126"</f>
        <v>9:07:53.765126</v>
      </c>
      <c r="C12463">
        <v>-46</v>
      </c>
    </row>
    <row r="12464" spans="1:3" x14ac:dyDescent="0.25">
      <c r="A12464">
        <v>37</v>
      </c>
      <c r="B12464" t="str">
        <f>"9:07:54.120917"</f>
        <v>9:07:54.120917</v>
      </c>
      <c r="C12464">
        <v>-44</v>
      </c>
    </row>
    <row r="12465" spans="1:3" x14ac:dyDescent="0.25">
      <c r="A12465">
        <v>38</v>
      </c>
      <c r="B12465" t="str">
        <f>"9:07:54.121944"</f>
        <v>9:07:54.121944</v>
      </c>
      <c r="C12465">
        <v>-41</v>
      </c>
    </row>
    <row r="12466" spans="1:3" x14ac:dyDescent="0.25">
      <c r="A12466">
        <v>38</v>
      </c>
      <c r="B12466" t="str">
        <f>"9:07:54.122462"</f>
        <v>9:07:54.122462</v>
      </c>
      <c r="C12466">
        <v>-31</v>
      </c>
    </row>
    <row r="12467" spans="1:3" x14ac:dyDescent="0.25">
      <c r="A12467">
        <v>38</v>
      </c>
      <c r="B12467" t="str">
        <f>"9:07:54.122788"</f>
        <v>9:07:54.122788</v>
      </c>
      <c r="C12467">
        <v>-41</v>
      </c>
    </row>
    <row r="12468" spans="1:3" x14ac:dyDescent="0.25">
      <c r="A12468">
        <v>39</v>
      </c>
      <c r="B12468" t="str">
        <f>"9:07:54.123564"</f>
        <v>9:07:54.123564</v>
      </c>
      <c r="C12468">
        <v>-45</v>
      </c>
    </row>
    <row r="12469" spans="1:3" x14ac:dyDescent="0.25">
      <c r="A12469">
        <v>37</v>
      </c>
      <c r="B12469" t="str">
        <f>"9:07:54.477020"</f>
        <v>9:07:54.477020</v>
      </c>
      <c r="C12469">
        <v>-44</v>
      </c>
    </row>
    <row r="12470" spans="1:3" x14ac:dyDescent="0.25">
      <c r="A12470">
        <v>38</v>
      </c>
      <c r="B12470" t="str">
        <f>"9:07:54.478047"</f>
        <v>9:07:54.478047</v>
      </c>
      <c r="C12470">
        <v>-41</v>
      </c>
    </row>
    <row r="12471" spans="1:3" x14ac:dyDescent="0.25">
      <c r="A12471">
        <v>38</v>
      </c>
      <c r="B12471" t="str">
        <f>"9:07:54.478566"</f>
        <v>9:07:54.478566</v>
      </c>
      <c r="C12471">
        <v>-90</v>
      </c>
    </row>
    <row r="12472" spans="1:3" x14ac:dyDescent="0.25">
      <c r="A12472">
        <v>38</v>
      </c>
      <c r="B12472" t="str">
        <f>"9:07:54.478891"</f>
        <v>9:07:54.478891</v>
      </c>
      <c r="C12472">
        <v>-41</v>
      </c>
    </row>
    <row r="12473" spans="1:3" x14ac:dyDescent="0.25">
      <c r="A12473">
        <v>39</v>
      </c>
      <c r="B12473" t="str">
        <f>"9:07:54.479667"</f>
        <v>9:07:54.479667</v>
      </c>
      <c r="C12473">
        <v>-45</v>
      </c>
    </row>
    <row r="12474" spans="1:3" x14ac:dyDescent="0.25">
      <c r="A12474">
        <v>39</v>
      </c>
      <c r="B12474" t="str">
        <f>"9:07:54.480186"</f>
        <v>9:07:54.480186</v>
      </c>
      <c r="C12474">
        <v>-31</v>
      </c>
    </row>
    <row r="12475" spans="1:3" x14ac:dyDescent="0.25">
      <c r="A12475">
        <v>39</v>
      </c>
      <c r="B12475" t="str">
        <f>"9:07:54.480512"</f>
        <v>9:07:54.480512</v>
      </c>
      <c r="C12475">
        <v>-45</v>
      </c>
    </row>
    <row r="12476" spans="1:3" x14ac:dyDescent="0.25">
      <c r="A12476">
        <v>37</v>
      </c>
      <c r="B12476" t="str">
        <f>"9:07:54.832101"</f>
        <v>9:07:54.832101</v>
      </c>
      <c r="C12476">
        <v>-44</v>
      </c>
    </row>
    <row r="12477" spans="1:3" x14ac:dyDescent="0.25">
      <c r="A12477">
        <v>38</v>
      </c>
      <c r="B12477" t="str">
        <f>"9:07:54.833128"</f>
        <v>9:07:54.833128</v>
      </c>
      <c r="C12477">
        <v>-41</v>
      </c>
    </row>
    <row r="12478" spans="1:3" x14ac:dyDescent="0.25">
      <c r="A12478">
        <v>39</v>
      </c>
      <c r="B12478" t="str">
        <f>"9:07:54.834154"</f>
        <v>9:07:54.834154</v>
      </c>
      <c r="C12478">
        <v>-45</v>
      </c>
    </row>
    <row r="12479" spans="1:3" x14ac:dyDescent="0.25">
      <c r="A12479">
        <v>39</v>
      </c>
      <c r="B12479" t="str">
        <f>"9:07:54.834672"</f>
        <v>9:07:54.834672</v>
      </c>
      <c r="C12479">
        <v>-31</v>
      </c>
    </row>
    <row r="12480" spans="1:3" x14ac:dyDescent="0.25">
      <c r="A12480">
        <v>39</v>
      </c>
      <c r="B12480" t="str">
        <f>"9:07:54.834998"</f>
        <v>9:07:54.834998</v>
      </c>
      <c r="C12480">
        <v>-45</v>
      </c>
    </row>
    <row r="12481" spans="1:3" x14ac:dyDescent="0.25">
      <c r="A12481">
        <v>37</v>
      </c>
      <c r="B12481" t="str">
        <f>"9:07:55.188799"</f>
        <v>9:07:55.188799</v>
      </c>
      <c r="C12481">
        <v>-44</v>
      </c>
    </row>
    <row r="12482" spans="1:3" x14ac:dyDescent="0.25">
      <c r="A12482">
        <v>37</v>
      </c>
      <c r="B12482" t="str">
        <f>"9:07:55.189318"</f>
        <v>9:07:55.189318</v>
      </c>
      <c r="C12482">
        <v>-84</v>
      </c>
    </row>
    <row r="12483" spans="1:3" x14ac:dyDescent="0.25">
      <c r="A12483">
        <v>37</v>
      </c>
      <c r="B12483" t="str">
        <f>"9:07:55.189644"</f>
        <v>9:07:55.189644</v>
      </c>
      <c r="C12483">
        <v>-44</v>
      </c>
    </row>
    <row r="12484" spans="1:3" x14ac:dyDescent="0.25">
      <c r="A12484">
        <v>38</v>
      </c>
      <c r="B12484" t="str">
        <f>"9:07:55.190421"</f>
        <v>9:07:55.190421</v>
      </c>
      <c r="C12484">
        <v>-41</v>
      </c>
    </row>
    <row r="12485" spans="1:3" x14ac:dyDescent="0.25">
      <c r="A12485">
        <v>39</v>
      </c>
      <c r="B12485" t="str">
        <f>"9:07:55.191447"</f>
        <v>9:07:55.191447</v>
      </c>
      <c r="C12485">
        <v>-45</v>
      </c>
    </row>
    <row r="12486" spans="1:3" x14ac:dyDescent="0.25">
      <c r="A12486">
        <v>39</v>
      </c>
      <c r="B12486" t="str">
        <f>"9:07:55.191965"</f>
        <v>9:07:55.191965</v>
      </c>
      <c r="C12486">
        <v>-31</v>
      </c>
    </row>
    <row r="12487" spans="1:3" x14ac:dyDescent="0.25">
      <c r="A12487">
        <v>39</v>
      </c>
      <c r="B12487" t="str">
        <f>"9:07:55.192291"</f>
        <v>9:07:55.192291</v>
      </c>
      <c r="C12487">
        <v>-45</v>
      </c>
    </row>
    <row r="12488" spans="1:3" x14ac:dyDescent="0.25">
      <c r="A12488">
        <v>37</v>
      </c>
      <c r="B12488" t="str">
        <f>"9:07:55.542146"</f>
        <v>9:07:55.542146</v>
      </c>
      <c r="C12488">
        <v>-44</v>
      </c>
    </row>
    <row r="12489" spans="1:3" x14ac:dyDescent="0.25">
      <c r="A12489">
        <v>38</v>
      </c>
      <c r="B12489" t="str">
        <f>"9:07:55.543174"</f>
        <v>9:07:55.543174</v>
      </c>
      <c r="C12489">
        <v>-41</v>
      </c>
    </row>
    <row r="12490" spans="1:3" x14ac:dyDescent="0.25">
      <c r="A12490">
        <v>39</v>
      </c>
      <c r="B12490" t="str">
        <f>"9:07:55.544200"</f>
        <v>9:07:55.544200</v>
      </c>
      <c r="C12490">
        <v>-46</v>
      </c>
    </row>
    <row r="12491" spans="1:3" x14ac:dyDescent="0.25">
      <c r="A12491">
        <v>39</v>
      </c>
      <c r="B12491" t="str">
        <f>"9:07:55.544718"</f>
        <v>9:07:55.544718</v>
      </c>
      <c r="C12491">
        <v>-31</v>
      </c>
    </row>
    <row r="12492" spans="1:3" x14ac:dyDescent="0.25">
      <c r="A12492">
        <v>39</v>
      </c>
      <c r="B12492" t="str">
        <f>"9:07:55.545044"</f>
        <v>9:07:55.545044</v>
      </c>
      <c r="C12492">
        <v>-45</v>
      </c>
    </row>
    <row r="12493" spans="1:3" x14ac:dyDescent="0.25">
      <c r="A12493">
        <v>37</v>
      </c>
      <c r="B12493" t="str">
        <f>"9:07:55.894391"</f>
        <v>9:07:55.894391</v>
      </c>
      <c r="C12493">
        <v>-44</v>
      </c>
    </row>
    <row r="12494" spans="1:3" x14ac:dyDescent="0.25">
      <c r="A12494">
        <v>37</v>
      </c>
      <c r="B12494" t="str">
        <f>"9:07:55.895237"</f>
        <v>9:07:55.895237</v>
      </c>
      <c r="C12494">
        <v>-44</v>
      </c>
    </row>
    <row r="12495" spans="1:3" x14ac:dyDescent="0.25">
      <c r="A12495">
        <v>38</v>
      </c>
      <c r="B12495" t="str">
        <f>"9:07:55.896013"</f>
        <v>9:07:55.896013</v>
      </c>
      <c r="C12495">
        <v>-41</v>
      </c>
    </row>
    <row r="12496" spans="1:3" x14ac:dyDescent="0.25">
      <c r="A12496">
        <v>39</v>
      </c>
      <c r="B12496" t="str">
        <f>"9:07:55.897039"</f>
        <v>9:07:55.897039</v>
      </c>
      <c r="C12496">
        <v>-45</v>
      </c>
    </row>
    <row r="12497" spans="1:3" x14ac:dyDescent="0.25">
      <c r="A12497">
        <v>39</v>
      </c>
      <c r="B12497" t="str">
        <f>"9:07:55.897557"</f>
        <v>9:07:55.897557</v>
      </c>
      <c r="C12497">
        <v>-31</v>
      </c>
    </row>
    <row r="12498" spans="1:3" x14ac:dyDescent="0.25">
      <c r="A12498">
        <v>39</v>
      </c>
      <c r="B12498" t="str">
        <f>"9:07:55.897883"</f>
        <v>9:07:55.897883</v>
      </c>
      <c r="C12498">
        <v>-45</v>
      </c>
    </row>
    <row r="12499" spans="1:3" x14ac:dyDescent="0.25">
      <c r="A12499">
        <v>37</v>
      </c>
      <c r="B12499" t="str">
        <f>"9:07:56.245658"</f>
        <v>9:07:56.245658</v>
      </c>
      <c r="C12499">
        <v>-44</v>
      </c>
    </row>
    <row r="12500" spans="1:3" x14ac:dyDescent="0.25">
      <c r="A12500">
        <v>38</v>
      </c>
      <c r="B12500" t="str">
        <f>"9:07:56.246685"</f>
        <v>9:07:56.246685</v>
      </c>
      <c r="C12500">
        <v>-41</v>
      </c>
    </row>
    <row r="12501" spans="1:3" x14ac:dyDescent="0.25">
      <c r="A12501">
        <v>39</v>
      </c>
      <c r="B12501" t="str">
        <f>"9:07:56.247711"</f>
        <v>9:07:56.247711</v>
      </c>
      <c r="C12501">
        <v>-45</v>
      </c>
    </row>
    <row r="12502" spans="1:3" x14ac:dyDescent="0.25">
      <c r="A12502">
        <v>37</v>
      </c>
      <c r="B12502" t="str">
        <f>"9:07:56.603838"</f>
        <v>9:07:56.603838</v>
      </c>
      <c r="C12502">
        <v>-44</v>
      </c>
    </row>
    <row r="12503" spans="1:3" x14ac:dyDescent="0.25">
      <c r="A12503">
        <v>38</v>
      </c>
      <c r="B12503" t="str">
        <f>"9:07:56.604866"</f>
        <v>9:07:56.604866</v>
      </c>
      <c r="C12503">
        <v>-41</v>
      </c>
    </row>
    <row r="12504" spans="1:3" x14ac:dyDescent="0.25">
      <c r="A12504">
        <v>39</v>
      </c>
      <c r="B12504" t="str">
        <f>"9:07:56.605892"</f>
        <v>9:07:56.605892</v>
      </c>
      <c r="C12504">
        <v>-45</v>
      </c>
    </row>
    <row r="12505" spans="1:3" x14ac:dyDescent="0.25">
      <c r="A12505">
        <v>39</v>
      </c>
      <c r="B12505" t="str">
        <f>"9:07:56.606410"</f>
        <v>9:07:56.606410</v>
      </c>
      <c r="C12505">
        <v>-31</v>
      </c>
    </row>
    <row r="12506" spans="1:3" x14ac:dyDescent="0.25">
      <c r="A12506">
        <v>39</v>
      </c>
      <c r="B12506" t="str">
        <f>"9:07:56.606737"</f>
        <v>9:07:56.606737</v>
      </c>
      <c r="C12506">
        <v>-45</v>
      </c>
    </row>
    <row r="12507" spans="1:3" x14ac:dyDescent="0.25">
      <c r="A12507">
        <v>37</v>
      </c>
      <c r="B12507" t="str">
        <f>"9:07:56.963839"</f>
        <v>9:07:56.963839</v>
      </c>
      <c r="C12507">
        <v>-44</v>
      </c>
    </row>
    <row r="12508" spans="1:3" x14ac:dyDescent="0.25">
      <c r="A12508">
        <v>38</v>
      </c>
      <c r="B12508" t="str">
        <f>"9:07:56.964866"</f>
        <v>9:07:56.964866</v>
      </c>
      <c r="C12508">
        <v>-41</v>
      </c>
    </row>
    <row r="12509" spans="1:3" x14ac:dyDescent="0.25">
      <c r="A12509">
        <v>39</v>
      </c>
      <c r="B12509" t="str">
        <f>"9:07:56.965892"</f>
        <v>9:07:56.965892</v>
      </c>
      <c r="C12509">
        <v>-45</v>
      </c>
    </row>
    <row r="12510" spans="1:3" x14ac:dyDescent="0.25">
      <c r="A12510">
        <v>39</v>
      </c>
      <c r="B12510" t="str">
        <f>"9:07:56.966410"</f>
        <v>9:07:56.966410</v>
      </c>
      <c r="C12510">
        <v>-31</v>
      </c>
    </row>
    <row r="12511" spans="1:3" x14ac:dyDescent="0.25">
      <c r="A12511">
        <v>39</v>
      </c>
      <c r="B12511" t="str">
        <f>"9:07:56.966736"</f>
        <v>9:07:56.966736</v>
      </c>
      <c r="C12511">
        <v>-45</v>
      </c>
    </row>
    <row r="12512" spans="1:3" x14ac:dyDescent="0.25">
      <c r="A12512">
        <v>37</v>
      </c>
      <c r="B12512" t="str">
        <f>"9:07:57.314309"</f>
        <v>9:07:57.314309</v>
      </c>
      <c r="C12512">
        <v>-44</v>
      </c>
    </row>
    <row r="12513" spans="1:3" x14ac:dyDescent="0.25">
      <c r="A12513">
        <v>38</v>
      </c>
      <c r="B12513" t="str">
        <f>"9:07:57.315337"</f>
        <v>9:07:57.315337</v>
      </c>
      <c r="C12513">
        <v>-41</v>
      </c>
    </row>
    <row r="12514" spans="1:3" x14ac:dyDescent="0.25">
      <c r="A12514">
        <v>39</v>
      </c>
      <c r="B12514" t="str">
        <f>"9:07:57.316363"</f>
        <v>9:07:57.316363</v>
      </c>
      <c r="C12514">
        <v>-45</v>
      </c>
    </row>
    <row r="12515" spans="1:3" x14ac:dyDescent="0.25">
      <c r="A12515">
        <v>39</v>
      </c>
      <c r="B12515" t="str">
        <f>"9:07:57.316881"</f>
        <v>9:07:57.316881</v>
      </c>
      <c r="C12515">
        <v>-31</v>
      </c>
    </row>
    <row r="12516" spans="1:3" x14ac:dyDescent="0.25">
      <c r="A12516">
        <v>39</v>
      </c>
      <c r="B12516" t="str">
        <f>"9:07:57.317207"</f>
        <v>9:07:57.317207</v>
      </c>
      <c r="C12516">
        <v>-45</v>
      </c>
    </row>
    <row r="12517" spans="1:3" x14ac:dyDescent="0.25">
      <c r="A12517">
        <v>37</v>
      </c>
      <c r="B12517" t="str">
        <f>"9:07:57.673035"</f>
        <v>9:07:57.673035</v>
      </c>
      <c r="C12517">
        <v>-44</v>
      </c>
    </row>
    <row r="12518" spans="1:3" x14ac:dyDescent="0.25">
      <c r="A12518">
        <v>38</v>
      </c>
      <c r="B12518" t="str">
        <f>"9:07:57.674063"</f>
        <v>9:07:57.674063</v>
      </c>
      <c r="C12518">
        <v>-41</v>
      </c>
    </row>
    <row r="12519" spans="1:3" x14ac:dyDescent="0.25">
      <c r="A12519">
        <v>39</v>
      </c>
      <c r="B12519" t="str">
        <f>"9:07:57.675089"</f>
        <v>9:07:57.675089</v>
      </c>
      <c r="C12519">
        <v>-45</v>
      </c>
    </row>
    <row r="12520" spans="1:3" x14ac:dyDescent="0.25">
      <c r="A12520">
        <v>39</v>
      </c>
      <c r="B12520" t="str">
        <f>"9:07:57.675607"</f>
        <v>9:07:57.675607</v>
      </c>
      <c r="C12520">
        <v>-31</v>
      </c>
    </row>
    <row r="12521" spans="1:3" x14ac:dyDescent="0.25">
      <c r="A12521">
        <v>39</v>
      </c>
      <c r="B12521" t="str">
        <f>"9:07:57.675933"</f>
        <v>9:07:57.675933</v>
      </c>
      <c r="C12521">
        <v>-45</v>
      </c>
    </row>
    <row r="12522" spans="1:3" x14ac:dyDescent="0.25">
      <c r="A12522">
        <v>37</v>
      </c>
      <c r="B12522" t="str">
        <f>"9:07:58.027375"</f>
        <v>9:07:58.027375</v>
      </c>
      <c r="C12522">
        <v>-44</v>
      </c>
    </row>
    <row r="12523" spans="1:3" x14ac:dyDescent="0.25">
      <c r="A12523">
        <v>38</v>
      </c>
      <c r="B12523" t="str">
        <f>"9:07:58.028402"</f>
        <v>9:07:58.028402</v>
      </c>
      <c r="C12523">
        <v>-41</v>
      </c>
    </row>
    <row r="12524" spans="1:3" x14ac:dyDescent="0.25">
      <c r="A12524">
        <v>39</v>
      </c>
      <c r="B12524" t="str">
        <f>"9:07:58.029428"</f>
        <v>9:07:58.029428</v>
      </c>
      <c r="C12524">
        <v>-45</v>
      </c>
    </row>
    <row r="12525" spans="1:3" x14ac:dyDescent="0.25">
      <c r="A12525">
        <v>39</v>
      </c>
      <c r="B12525" t="str">
        <f>"9:07:58.029946"</f>
        <v>9:07:58.029946</v>
      </c>
      <c r="C12525">
        <v>-31</v>
      </c>
    </row>
    <row r="12526" spans="1:3" x14ac:dyDescent="0.25">
      <c r="A12526">
        <v>39</v>
      </c>
      <c r="B12526" t="str">
        <f>"9:07:58.030272"</f>
        <v>9:07:58.030272</v>
      </c>
      <c r="C12526">
        <v>-45</v>
      </c>
    </row>
    <row r="12527" spans="1:3" x14ac:dyDescent="0.25">
      <c r="A12527">
        <v>37</v>
      </c>
      <c r="B12527" t="str">
        <f>"9:07:58.378390"</f>
        <v>9:07:58.378390</v>
      </c>
      <c r="C12527">
        <v>-44</v>
      </c>
    </row>
    <row r="12528" spans="1:3" x14ac:dyDescent="0.25">
      <c r="A12528">
        <v>38</v>
      </c>
      <c r="B12528" t="str">
        <f>"9:07:58.379417"</f>
        <v>9:07:58.379417</v>
      </c>
      <c r="C12528">
        <v>-41</v>
      </c>
    </row>
    <row r="12529" spans="1:3" x14ac:dyDescent="0.25">
      <c r="A12529">
        <v>39</v>
      </c>
      <c r="B12529" t="str">
        <f>"9:07:58.380443"</f>
        <v>9:07:58.380443</v>
      </c>
      <c r="C12529">
        <v>-45</v>
      </c>
    </row>
    <row r="12530" spans="1:3" x14ac:dyDescent="0.25">
      <c r="A12530">
        <v>39</v>
      </c>
      <c r="B12530" t="str">
        <f>"9:07:58.380961"</f>
        <v>9:07:58.380961</v>
      </c>
      <c r="C12530">
        <v>-31</v>
      </c>
    </row>
    <row r="12531" spans="1:3" x14ac:dyDescent="0.25">
      <c r="A12531">
        <v>39</v>
      </c>
      <c r="B12531" t="str">
        <f>"9:07:58.381287"</f>
        <v>9:07:58.381287</v>
      </c>
      <c r="C12531">
        <v>-45</v>
      </c>
    </row>
    <row r="12532" spans="1:3" x14ac:dyDescent="0.25">
      <c r="A12532">
        <v>37</v>
      </c>
      <c r="B12532" t="str">
        <f>"9:07:58.728889"</f>
        <v>9:07:58.728889</v>
      </c>
      <c r="C12532">
        <v>-44</v>
      </c>
    </row>
    <row r="12533" spans="1:3" x14ac:dyDescent="0.25">
      <c r="A12533">
        <v>38</v>
      </c>
      <c r="B12533" t="str">
        <f>"9:07:58.729916"</f>
        <v>9:07:58.729916</v>
      </c>
      <c r="C12533">
        <v>-41</v>
      </c>
    </row>
    <row r="12534" spans="1:3" x14ac:dyDescent="0.25">
      <c r="A12534">
        <v>39</v>
      </c>
      <c r="B12534" t="str">
        <f>"9:07:58.730942"</f>
        <v>9:07:58.730942</v>
      </c>
      <c r="C12534">
        <v>-46</v>
      </c>
    </row>
    <row r="12535" spans="1:3" x14ac:dyDescent="0.25">
      <c r="A12535">
        <v>39</v>
      </c>
      <c r="B12535" t="str">
        <f>"9:07:58.731461"</f>
        <v>9:07:58.731461</v>
      </c>
      <c r="C12535">
        <v>-31</v>
      </c>
    </row>
    <row r="12536" spans="1:3" x14ac:dyDescent="0.25">
      <c r="A12536">
        <v>39</v>
      </c>
      <c r="B12536" t="str">
        <f>"9:07:58.731786"</f>
        <v>9:07:58.731786</v>
      </c>
      <c r="C12536">
        <v>-45</v>
      </c>
    </row>
    <row r="12537" spans="1:3" x14ac:dyDescent="0.25">
      <c r="A12537">
        <v>37</v>
      </c>
      <c r="B12537" t="str">
        <f>"9:07:59.080409"</f>
        <v>9:07:59.080409</v>
      </c>
      <c r="C12537">
        <v>-44</v>
      </c>
    </row>
    <row r="12538" spans="1:3" x14ac:dyDescent="0.25">
      <c r="A12538">
        <v>38</v>
      </c>
      <c r="B12538" t="str">
        <f>"9:07:59.081436"</f>
        <v>9:07:59.081436</v>
      </c>
      <c r="C12538">
        <v>-41</v>
      </c>
    </row>
    <row r="12539" spans="1:3" x14ac:dyDescent="0.25">
      <c r="A12539">
        <v>39</v>
      </c>
      <c r="B12539" t="str">
        <f>"9:07:59.082462"</f>
        <v>9:07:59.082462</v>
      </c>
      <c r="C12539">
        <v>-46</v>
      </c>
    </row>
    <row r="12540" spans="1:3" x14ac:dyDescent="0.25">
      <c r="A12540">
        <v>39</v>
      </c>
      <c r="B12540" t="str">
        <f>"9:07:59.082981"</f>
        <v>9:07:59.082981</v>
      </c>
      <c r="C12540">
        <v>-31</v>
      </c>
    </row>
    <row r="12541" spans="1:3" x14ac:dyDescent="0.25">
      <c r="A12541">
        <v>39</v>
      </c>
      <c r="B12541" t="str">
        <f>"9:07:59.083306"</f>
        <v>9:07:59.083306</v>
      </c>
      <c r="C12541">
        <v>-45</v>
      </c>
    </row>
    <row r="12542" spans="1:3" x14ac:dyDescent="0.25">
      <c r="A12542">
        <v>37</v>
      </c>
      <c r="B12542" t="str">
        <f>"9:07:59.430878"</f>
        <v>9:07:59.430878</v>
      </c>
      <c r="C12542">
        <v>-44</v>
      </c>
    </row>
    <row r="12543" spans="1:3" x14ac:dyDescent="0.25">
      <c r="A12543">
        <v>38</v>
      </c>
      <c r="B12543" t="str">
        <f>"9:07:59.431905"</f>
        <v>9:07:59.431905</v>
      </c>
      <c r="C12543">
        <v>-41</v>
      </c>
    </row>
    <row r="12544" spans="1:3" x14ac:dyDescent="0.25">
      <c r="A12544">
        <v>39</v>
      </c>
      <c r="B12544" t="str">
        <f>"9:07:59.432931"</f>
        <v>9:07:59.432931</v>
      </c>
      <c r="C12544">
        <v>-46</v>
      </c>
    </row>
    <row r="12545" spans="1:3" x14ac:dyDescent="0.25">
      <c r="A12545">
        <v>37</v>
      </c>
      <c r="B12545" t="str">
        <f>"9:07:59.786278"</f>
        <v>9:07:59.786278</v>
      </c>
      <c r="C12545">
        <v>-44</v>
      </c>
    </row>
    <row r="12546" spans="1:3" x14ac:dyDescent="0.25">
      <c r="A12546">
        <v>37</v>
      </c>
      <c r="B12546" t="str">
        <f>"9:07:59.786797"</f>
        <v>9:07:59.786797</v>
      </c>
      <c r="C12546">
        <v>-38</v>
      </c>
    </row>
    <row r="12547" spans="1:3" x14ac:dyDescent="0.25">
      <c r="A12547">
        <v>37</v>
      </c>
      <c r="B12547" t="str">
        <f>"9:07:59.787123"</f>
        <v>9:07:59.787123</v>
      </c>
      <c r="C12547">
        <v>-44</v>
      </c>
    </row>
    <row r="12548" spans="1:3" x14ac:dyDescent="0.25">
      <c r="A12548">
        <v>38</v>
      </c>
      <c r="B12548" t="str">
        <f>"9:07:59.787900"</f>
        <v>9:07:59.787900</v>
      </c>
      <c r="C12548">
        <v>-41</v>
      </c>
    </row>
    <row r="12549" spans="1:3" x14ac:dyDescent="0.25">
      <c r="A12549">
        <v>39</v>
      </c>
      <c r="B12549" t="str">
        <f>"9:07:59.788926"</f>
        <v>9:07:59.788926</v>
      </c>
      <c r="C12549">
        <v>-45</v>
      </c>
    </row>
    <row r="12550" spans="1:3" x14ac:dyDescent="0.25">
      <c r="A12550">
        <v>37</v>
      </c>
      <c r="B12550" t="str">
        <f>"9:08:00.138286"</f>
        <v>9:08:00.138286</v>
      </c>
      <c r="C12550">
        <v>-45</v>
      </c>
    </row>
    <row r="12551" spans="1:3" x14ac:dyDescent="0.25">
      <c r="A12551">
        <v>38</v>
      </c>
      <c r="B12551" t="str">
        <f>"9:08:00.139313"</f>
        <v>9:08:00.139313</v>
      </c>
      <c r="C12551">
        <v>-41</v>
      </c>
    </row>
    <row r="12552" spans="1:3" x14ac:dyDescent="0.25">
      <c r="A12552">
        <v>39</v>
      </c>
      <c r="B12552" t="str">
        <f>"9:08:00.140339"</f>
        <v>9:08:00.140339</v>
      </c>
      <c r="C12552">
        <v>-46</v>
      </c>
    </row>
    <row r="12553" spans="1:3" x14ac:dyDescent="0.25">
      <c r="A12553">
        <v>37</v>
      </c>
      <c r="B12553" t="str">
        <f>"9:08:00.497457"</f>
        <v>9:08:00.497457</v>
      </c>
      <c r="C12553">
        <v>-45</v>
      </c>
    </row>
    <row r="12554" spans="1:3" x14ac:dyDescent="0.25">
      <c r="A12554">
        <v>37</v>
      </c>
      <c r="B12554" t="str">
        <f>"9:08:00.497975"</f>
        <v>9:08:00.497975</v>
      </c>
      <c r="C12554">
        <v>-37</v>
      </c>
    </row>
    <row r="12555" spans="1:3" x14ac:dyDescent="0.25">
      <c r="A12555">
        <v>37</v>
      </c>
      <c r="B12555" t="str">
        <f>"9:08:00.498301"</f>
        <v>9:08:00.498301</v>
      </c>
      <c r="C12555">
        <v>-45</v>
      </c>
    </row>
    <row r="12556" spans="1:3" x14ac:dyDescent="0.25">
      <c r="A12556">
        <v>38</v>
      </c>
      <c r="B12556" t="str">
        <f>"9:08:00.499077"</f>
        <v>9:08:00.499077</v>
      </c>
      <c r="C12556">
        <v>-41</v>
      </c>
    </row>
    <row r="12557" spans="1:3" x14ac:dyDescent="0.25">
      <c r="A12557">
        <v>39</v>
      </c>
      <c r="B12557" t="str">
        <f>"9:08:00.500103"</f>
        <v>9:08:00.500103</v>
      </c>
      <c r="C12557">
        <v>-46</v>
      </c>
    </row>
    <row r="12558" spans="1:3" x14ac:dyDescent="0.25">
      <c r="A12558">
        <v>37</v>
      </c>
      <c r="B12558" t="str">
        <f>"9:08:00.848746"</f>
        <v>9:08:00.848746</v>
      </c>
      <c r="C12558">
        <v>-45</v>
      </c>
    </row>
    <row r="12559" spans="1:3" x14ac:dyDescent="0.25">
      <c r="A12559">
        <v>37</v>
      </c>
      <c r="B12559" t="str">
        <f>"9:08:00.849265"</f>
        <v>9:08:00.849265</v>
      </c>
      <c r="C12559">
        <v>-60</v>
      </c>
    </row>
    <row r="12560" spans="1:3" x14ac:dyDescent="0.25">
      <c r="A12560">
        <v>37</v>
      </c>
      <c r="B12560" t="str">
        <f>"9:08:00.849591"</f>
        <v>9:08:00.849591</v>
      </c>
      <c r="C12560">
        <v>-45</v>
      </c>
    </row>
    <row r="12561" spans="1:3" x14ac:dyDescent="0.25">
      <c r="A12561">
        <v>38</v>
      </c>
      <c r="B12561" t="str">
        <f>"9:08:00.850368"</f>
        <v>9:08:00.850368</v>
      </c>
      <c r="C12561">
        <v>-41</v>
      </c>
    </row>
    <row r="12562" spans="1:3" x14ac:dyDescent="0.25">
      <c r="A12562">
        <v>39</v>
      </c>
      <c r="B12562" t="str">
        <f>"9:08:00.851394"</f>
        <v>9:08:00.851394</v>
      </c>
      <c r="C12562">
        <v>-46</v>
      </c>
    </row>
    <row r="12563" spans="1:3" x14ac:dyDescent="0.25">
      <c r="A12563">
        <v>38</v>
      </c>
      <c r="B12563" t="str">
        <f>"9:08:01.203607"</f>
        <v>9:08:01.203607</v>
      </c>
      <c r="C12563">
        <v>-41</v>
      </c>
    </row>
    <row r="12564" spans="1:3" x14ac:dyDescent="0.25">
      <c r="A12564">
        <v>39</v>
      </c>
      <c r="B12564" t="str">
        <f>"9:08:01.204633"</f>
        <v>9:08:01.204633</v>
      </c>
      <c r="C12564">
        <v>-46</v>
      </c>
    </row>
    <row r="12565" spans="1:3" x14ac:dyDescent="0.25">
      <c r="A12565">
        <v>37</v>
      </c>
      <c r="B12565" t="str">
        <f>"9:08:01.561562"</f>
        <v>9:08:01.561562</v>
      </c>
      <c r="C12565">
        <v>-44</v>
      </c>
    </row>
    <row r="12566" spans="1:3" x14ac:dyDescent="0.25">
      <c r="A12566">
        <v>37</v>
      </c>
      <c r="B12566" t="str">
        <f>"9:08:01.562081"</f>
        <v>9:08:01.562081</v>
      </c>
      <c r="C12566">
        <v>-37</v>
      </c>
    </row>
    <row r="12567" spans="1:3" x14ac:dyDescent="0.25">
      <c r="A12567">
        <v>37</v>
      </c>
      <c r="B12567" t="str">
        <f>"9:08:01.562407"</f>
        <v>9:08:01.562407</v>
      </c>
      <c r="C12567">
        <v>-44</v>
      </c>
    </row>
    <row r="12568" spans="1:3" x14ac:dyDescent="0.25">
      <c r="A12568">
        <v>38</v>
      </c>
      <c r="B12568" t="str">
        <f>"9:08:01.563183"</f>
        <v>9:08:01.563183</v>
      </c>
      <c r="C12568">
        <v>-41</v>
      </c>
    </row>
    <row r="12569" spans="1:3" x14ac:dyDescent="0.25">
      <c r="A12569">
        <v>39</v>
      </c>
      <c r="B12569" t="str">
        <f>"9:08:01.564209"</f>
        <v>9:08:01.564209</v>
      </c>
      <c r="C12569">
        <v>-46</v>
      </c>
    </row>
    <row r="12570" spans="1:3" x14ac:dyDescent="0.25">
      <c r="A12570">
        <v>37</v>
      </c>
      <c r="B12570" t="str">
        <f>"9:08:01.914877"</f>
        <v>9:08:01.914877</v>
      </c>
      <c r="C12570">
        <v>-44</v>
      </c>
    </row>
    <row r="12571" spans="1:3" x14ac:dyDescent="0.25">
      <c r="A12571">
        <v>37</v>
      </c>
      <c r="B12571" t="str">
        <f>"9:08:01.915396"</f>
        <v>9:08:01.915396</v>
      </c>
      <c r="C12571">
        <v>-37</v>
      </c>
    </row>
    <row r="12572" spans="1:3" x14ac:dyDescent="0.25">
      <c r="A12572">
        <v>37</v>
      </c>
      <c r="B12572" t="str">
        <f>"9:08:01.915722"</f>
        <v>9:08:01.915722</v>
      </c>
      <c r="C12572">
        <v>-44</v>
      </c>
    </row>
    <row r="12573" spans="1:3" x14ac:dyDescent="0.25">
      <c r="A12573">
        <v>38</v>
      </c>
      <c r="B12573" t="str">
        <f>"9:08:01.916498"</f>
        <v>9:08:01.916498</v>
      </c>
      <c r="C12573">
        <v>-41</v>
      </c>
    </row>
    <row r="12574" spans="1:3" x14ac:dyDescent="0.25">
      <c r="A12574">
        <v>39</v>
      </c>
      <c r="B12574" t="str">
        <f>"9:08:01.917524"</f>
        <v>9:08:01.917524</v>
      </c>
      <c r="C12574">
        <v>-46</v>
      </c>
    </row>
    <row r="12575" spans="1:3" x14ac:dyDescent="0.25">
      <c r="A12575">
        <v>37</v>
      </c>
      <c r="B12575" t="str">
        <f>"9:08:02.267945"</f>
        <v>9:08:02.267945</v>
      </c>
      <c r="C12575">
        <v>-44</v>
      </c>
    </row>
    <row r="12576" spans="1:3" x14ac:dyDescent="0.25">
      <c r="A12576">
        <v>37</v>
      </c>
      <c r="B12576" t="str">
        <f>"9:08:02.268463"</f>
        <v>9:08:02.268463</v>
      </c>
      <c r="C12576">
        <v>-37</v>
      </c>
    </row>
    <row r="12577" spans="1:3" x14ac:dyDescent="0.25">
      <c r="A12577">
        <v>37</v>
      </c>
      <c r="B12577" t="str">
        <f>"9:08:02.268789"</f>
        <v>9:08:02.268789</v>
      </c>
      <c r="C12577">
        <v>-44</v>
      </c>
    </row>
    <row r="12578" spans="1:3" x14ac:dyDescent="0.25">
      <c r="A12578">
        <v>38</v>
      </c>
      <c r="B12578" t="str">
        <f>"9:08:02.269565"</f>
        <v>9:08:02.269565</v>
      </c>
      <c r="C12578">
        <v>-41</v>
      </c>
    </row>
    <row r="12579" spans="1:3" x14ac:dyDescent="0.25">
      <c r="A12579">
        <v>39</v>
      </c>
      <c r="B12579" t="str">
        <f>"9:08:02.270591"</f>
        <v>9:08:02.270591</v>
      </c>
      <c r="C12579">
        <v>-46</v>
      </c>
    </row>
    <row r="12580" spans="1:3" x14ac:dyDescent="0.25">
      <c r="A12580">
        <v>37</v>
      </c>
      <c r="B12580" t="str">
        <f>"9:08:02.625302"</f>
        <v>9:08:02.625302</v>
      </c>
      <c r="C12580">
        <v>-44</v>
      </c>
    </row>
    <row r="12581" spans="1:3" x14ac:dyDescent="0.25">
      <c r="A12581">
        <v>37</v>
      </c>
      <c r="B12581" t="str">
        <f>"9:08:02.625821"</f>
        <v>9:08:02.625821</v>
      </c>
      <c r="C12581">
        <v>-36</v>
      </c>
    </row>
    <row r="12582" spans="1:3" x14ac:dyDescent="0.25">
      <c r="A12582">
        <v>37</v>
      </c>
      <c r="B12582" t="str">
        <f>"9:08:02.626148"</f>
        <v>9:08:02.626148</v>
      </c>
      <c r="C12582">
        <v>-44</v>
      </c>
    </row>
    <row r="12583" spans="1:3" x14ac:dyDescent="0.25">
      <c r="A12583">
        <v>38</v>
      </c>
      <c r="B12583" t="str">
        <f>"9:08:02.626924"</f>
        <v>9:08:02.626924</v>
      </c>
      <c r="C12583">
        <v>-41</v>
      </c>
    </row>
    <row r="12584" spans="1:3" x14ac:dyDescent="0.25">
      <c r="A12584">
        <v>39</v>
      </c>
      <c r="B12584" t="str">
        <f>"9:08:02.627950"</f>
        <v>9:08:02.627950</v>
      </c>
      <c r="C12584">
        <v>-46</v>
      </c>
    </row>
    <row r="12585" spans="1:3" x14ac:dyDescent="0.25">
      <c r="A12585">
        <v>37</v>
      </c>
      <c r="B12585" t="str">
        <f>"9:08:02.977556"</f>
        <v>9:08:02.977556</v>
      </c>
      <c r="C12585">
        <v>-44</v>
      </c>
    </row>
    <row r="12586" spans="1:3" x14ac:dyDescent="0.25">
      <c r="A12586">
        <v>37</v>
      </c>
      <c r="B12586" t="str">
        <f>"9:08:02.978075"</f>
        <v>9:08:02.978075</v>
      </c>
      <c r="C12586">
        <v>-37</v>
      </c>
    </row>
    <row r="12587" spans="1:3" x14ac:dyDescent="0.25">
      <c r="A12587">
        <v>37</v>
      </c>
      <c r="B12587" t="str">
        <f>"9:08:02.978401"</f>
        <v>9:08:02.978401</v>
      </c>
      <c r="C12587">
        <v>-44</v>
      </c>
    </row>
    <row r="12588" spans="1:3" x14ac:dyDescent="0.25">
      <c r="A12588">
        <v>38</v>
      </c>
      <c r="B12588" t="str">
        <f>"9:08:02.979178"</f>
        <v>9:08:02.979178</v>
      </c>
      <c r="C12588">
        <v>-41</v>
      </c>
    </row>
    <row r="12589" spans="1:3" x14ac:dyDescent="0.25">
      <c r="A12589">
        <v>39</v>
      </c>
      <c r="B12589" t="str">
        <f>"9:08:02.980204"</f>
        <v>9:08:02.980204</v>
      </c>
      <c r="C12589">
        <v>-46</v>
      </c>
    </row>
    <row r="12590" spans="1:3" x14ac:dyDescent="0.25">
      <c r="A12590">
        <v>37</v>
      </c>
      <c r="B12590" t="str">
        <f>"9:08:03.332629"</f>
        <v>9:08:03.332629</v>
      </c>
      <c r="C12590">
        <v>-44</v>
      </c>
    </row>
    <row r="12591" spans="1:3" x14ac:dyDescent="0.25">
      <c r="A12591">
        <v>37</v>
      </c>
      <c r="B12591" t="str">
        <f>"9:08:03.333148"</f>
        <v>9:08:03.333148</v>
      </c>
      <c r="C12591">
        <v>-35</v>
      </c>
    </row>
    <row r="12592" spans="1:3" x14ac:dyDescent="0.25">
      <c r="A12592">
        <v>37</v>
      </c>
      <c r="B12592" t="str">
        <f>"9:08:03.333474"</f>
        <v>9:08:03.333474</v>
      </c>
      <c r="C12592">
        <v>-45</v>
      </c>
    </row>
    <row r="12593" spans="1:3" x14ac:dyDescent="0.25">
      <c r="A12593">
        <v>38</v>
      </c>
      <c r="B12593" t="str">
        <f>"9:08:03.334251"</f>
        <v>9:08:03.334251</v>
      </c>
      <c r="C12593">
        <v>-41</v>
      </c>
    </row>
    <row r="12594" spans="1:3" x14ac:dyDescent="0.25">
      <c r="A12594">
        <v>39</v>
      </c>
      <c r="B12594" t="str">
        <f>"9:08:03.335277"</f>
        <v>9:08:03.335277</v>
      </c>
      <c r="C12594">
        <v>-46</v>
      </c>
    </row>
    <row r="12595" spans="1:3" x14ac:dyDescent="0.25">
      <c r="A12595">
        <v>37</v>
      </c>
      <c r="B12595" t="str">
        <f>"9:08:03.683150"</f>
        <v>9:08:03.683150</v>
      </c>
      <c r="C12595">
        <v>-44</v>
      </c>
    </row>
    <row r="12596" spans="1:3" x14ac:dyDescent="0.25">
      <c r="A12596">
        <v>37</v>
      </c>
      <c r="B12596" t="str">
        <f>"9:08:03.683668"</f>
        <v>9:08:03.683668</v>
      </c>
      <c r="C12596">
        <v>-36</v>
      </c>
    </row>
    <row r="12597" spans="1:3" x14ac:dyDescent="0.25">
      <c r="A12597">
        <v>37</v>
      </c>
      <c r="B12597" t="str">
        <f>"9:08:03.683994"</f>
        <v>9:08:03.683994</v>
      </c>
      <c r="C12597">
        <v>-44</v>
      </c>
    </row>
    <row r="12598" spans="1:3" x14ac:dyDescent="0.25">
      <c r="A12598">
        <v>38</v>
      </c>
      <c r="B12598" t="str">
        <f>"9:08:03.684770"</f>
        <v>9:08:03.684770</v>
      </c>
      <c r="C12598">
        <v>-41</v>
      </c>
    </row>
    <row r="12599" spans="1:3" x14ac:dyDescent="0.25">
      <c r="A12599">
        <v>39</v>
      </c>
      <c r="B12599" t="str">
        <f>"9:08:03.685796"</f>
        <v>9:08:03.685796</v>
      </c>
      <c r="C12599">
        <v>-46</v>
      </c>
    </row>
    <row r="12600" spans="1:3" x14ac:dyDescent="0.25">
      <c r="A12600">
        <v>37</v>
      </c>
      <c r="B12600" t="str">
        <f>"9:08:04.040554"</f>
        <v>9:08:04.040554</v>
      </c>
      <c r="C12600">
        <v>-44</v>
      </c>
    </row>
    <row r="12601" spans="1:3" x14ac:dyDescent="0.25">
      <c r="A12601">
        <v>37</v>
      </c>
      <c r="B12601" t="str">
        <f>"9:08:04.041072"</f>
        <v>9:08:04.041072</v>
      </c>
      <c r="C12601">
        <v>-40</v>
      </c>
    </row>
    <row r="12602" spans="1:3" x14ac:dyDescent="0.25">
      <c r="A12602">
        <v>37</v>
      </c>
      <c r="B12602" t="str">
        <f>"9:08:04.041399"</f>
        <v>9:08:04.041399</v>
      </c>
      <c r="C12602">
        <v>-44</v>
      </c>
    </row>
    <row r="12603" spans="1:3" x14ac:dyDescent="0.25">
      <c r="A12603">
        <v>38</v>
      </c>
      <c r="B12603" t="str">
        <f>"9:08:04.042175"</f>
        <v>9:08:04.042175</v>
      </c>
      <c r="C12603">
        <v>-41</v>
      </c>
    </row>
    <row r="12604" spans="1:3" x14ac:dyDescent="0.25">
      <c r="A12604">
        <v>39</v>
      </c>
      <c r="B12604" t="str">
        <f>"9:08:04.043201"</f>
        <v>9:08:04.043201</v>
      </c>
      <c r="C12604">
        <v>-46</v>
      </c>
    </row>
    <row r="12605" spans="1:3" x14ac:dyDescent="0.25">
      <c r="A12605">
        <v>39</v>
      </c>
      <c r="B12605" t="str">
        <f>"9:08:04.043721"</f>
        <v>9:08:04.043721</v>
      </c>
      <c r="C12605">
        <v>-85</v>
      </c>
    </row>
    <row r="12606" spans="1:3" x14ac:dyDescent="0.25">
      <c r="A12606">
        <v>39</v>
      </c>
      <c r="B12606" t="str">
        <f>"9:08:04.044046"</f>
        <v>9:08:04.044046</v>
      </c>
      <c r="C12606">
        <v>-45</v>
      </c>
    </row>
    <row r="12607" spans="1:3" x14ac:dyDescent="0.25">
      <c r="A12607">
        <v>37</v>
      </c>
      <c r="B12607" t="str">
        <f>"9:08:04.399494"</f>
        <v>9:08:04.399494</v>
      </c>
      <c r="C12607">
        <v>-44</v>
      </c>
    </row>
    <row r="12608" spans="1:3" x14ac:dyDescent="0.25">
      <c r="A12608">
        <v>37</v>
      </c>
      <c r="B12608" t="str">
        <f>"9:08:04.400012"</f>
        <v>9:08:04.400012</v>
      </c>
      <c r="C12608">
        <v>-40</v>
      </c>
    </row>
    <row r="12609" spans="1:3" x14ac:dyDescent="0.25">
      <c r="A12609">
        <v>37</v>
      </c>
      <c r="B12609" t="str">
        <f>"9:08:04.400338"</f>
        <v>9:08:04.400338</v>
      </c>
      <c r="C12609">
        <v>-44</v>
      </c>
    </row>
    <row r="12610" spans="1:3" x14ac:dyDescent="0.25">
      <c r="A12610">
        <v>38</v>
      </c>
      <c r="B12610" t="str">
        <f>"9:08:04.401114"</f>
        <v>9:08:04.401114</v>
      </c>
      <c r="C12610">
        <v>-41</v>
      </c>
    </row>
    <row r="12611" spans="1:3" x14ac:dyDescent="0.25">
      <c r="A12611">
        <v>39</v>
      </c>
      <c r="B12611" t="str">
        <f>"9:08:04.402140"</f>
        <v>9:08:04.402140</v>
      </c>
      <c r="C12611">
        <v>-45</v>
      </c>
    </row>
    <row r="12612" spans="1:3" x14ac:dyDescent="0.25">
      <c r="A12612">
        <v>37</v>
      </c>
      <c r="B12612" t="str">
        <f>"9:08:04.758678"</f>
        <v>9:08:04.758678</v>
      </c>
      <c r="C12612">
        <v>-44</v>
      </c>
    </row>
    <row r="12613" spans="1:3" x14ac:dyDescent="0.25">
      <c r="A12613">
        <v>38</v>
      </c>
      <c r="B12613" t="str">
        <f>"9:08:04.759705"</f>
        <v>9:08:04.759705</v>
      </c>
      <c r="C12613">
        <v>-41</v>
      </c>
    </row>
    <row r="12614" spans="1:3" x14ac:dyDescent="0.25">
      <c r="A12614">
        <v>38</v>
      </c>
      <c r="B12614" t="str">
        <f>"9:08:04.760224"</f>
        <v>9:08:04.760224</v>
      </c>
      <c r="C12614">
        <v>-31</v>
      </c>
    </row>
    <row r="12615" spans="1:3" x14ac:dyDescent="0.25">
      <c r="A12615">
        <v>38</v>
      </c>
      <c r="B12615" t="str">
        <f>"9:08:04.760551"</f>
        <v>9:08:04.760551</v>
      </c>
      <c r="C12615">
        <v>-41</v>
      </c>
    </row>
    <row r="12616" spans="1:3" x14ac:dyDescent="0.25">
      <c r="A12616">
        <v>39</v>
      </c>
      <c r="B12616" t="str">
        <f>"9:08:04.761327"</f>
        <v>9:08:04.761327</v>
      </c>
      <c r="C12616">
        <v>-45</v>
      </c>
    </row>
    <row r="12617" spans="1:3" x14ac:dyDescent="0.25">
      <c r="A12617">
        <v>37</v>
      </c>
      <c r="B12617" t="str">
        <f>"9:08:05.112213"</f>
        <v>9:08:05.112213</v>
      </c>
      <c r="C12617">
        <v>-44</v>
      </c>
    </row>
    <row r="12618" spans="1:3" x14ac:dyDescent="0.25">
      <c r="A12618">
        <v>38</v>
      </c>
      <c r="B12618" t="str">
        <f>"9:08:05.113241"</f>
        <v>9:08:05.113241</v>
      </c>
      <c r="C12618">
        <v>-41</v>
      </c>
    </row>
    <row r="12619" spans="1:3" x14ac:dyDescent="0.25">
      <c r="A12619">
        <v>38</v>
      </c>
      <c r="B12619" t="str">
        <f>"9:08:05.113759"</f>
        <v>9:08:05.113759</v>
      </c>
      <c r="C12619">
        <v>-31</v>
      </c>
    </row>
    <row r="12620" spans="1:3" x14ac:dyDescent="0.25">
      <c r="A12620">
        <v>38</v>
      </c>
      <c r="B12620" t="str">
        <f>"9:08:05.114086"</f>
        <v>9:08:05.114086</v>
      </c>
      <c r="C12620">
        <v>-41</v>
      </c>
    </row>
    <row r="12621" spans="1:3" x14ac:dyDescent="0.25">
      <c r="A12621">
        <v>39</v>
      </c>
      <c r="B12621" t="str">
        <f>"9:08:05.114862"</f>
        <v>9:08:05.114862</v>
      </c>
      <c r="C12621">
        <v>-45</v>
      </c>
    </row>
    <row r="12622" spans="1:3" x14ac:dyDescent="0.25">
      <c r="A12622">
        <v>37</v>
      </c>
      <c r="B12622" t="str">
        <f>"9:08:05.465730"</f>
        <v>9:08:05.465730</v>
      </c>
      <c r="C12622">
        <v>-44</v>
      </c>
    </row>
    <row r="12623" spans="1:3" x14ac:dyDescent="0.25">
      <c r="A12623">
        <v>38</v>
      </c>
      <c r="B12623" t="str">
        <f>"9:08:05.466757"</f>
        <v>9:08:05.466757</v>
      </c>
      <c r="C12623">
        <v>-41</v>
      </c>
    </row>
    <row r="12624" spans="1:3" x14ac:dyDescent="0.25">
      <c r="A12624">
        <v>38</v>
      </c>
      <c r="B12624" t="str">
        <f>"9:08:05.467276"</f>
        <v>9:08:05.467276</v>
      </c>
      <c r="C12624">
        <v>-32</v>
      </c>
    </row>
    <row r="12625" spans="1:3" x14ac:dyDescent="0.25">
      <c r="A12625">
        <v>38</v>
      </c>
      <c r="B12625" t="str">
        <f>"9:08:05.467603"</f>
        <v>9:08:05.467603</v>
      </c>
      <c r="C12625">
        <v>-41</v>
      </c>
    </row>
    <row r="12626" spans="1:3" x14ac:dyDescent="0.25">
      <c r="A12626">
        <v>39</v>
      </c>
      <c r="B12626" t="str">
        <f>"9:08:05.468379"</f>
        <v>9:08:05.468379</v>
      </c>
      <c r="C12626">
        <v>-45</v>
      </c>
    </row>
    <row r="12627" spans="1:3" x14ac:dyDescent="0.25">
      <c r="A12627">
        <v>37</v>
      </c>
      <c r="B12627" t="str">
        <f>"9:08:05.822105"</f>
        <v>9:08:05.822105</v>
      </c>
      <c r="C12627">
        <v>-44</v>
      </c>
    </row>
    <row r="12628" spans="1:3" x14ac:dyDescent="0.25">
      <c r="A12628">
        <v>38</v>
      </c>
      <c r="B12628" t="str">
        <f>"9:08:05.823132"</f>
        <v>9:08:05.823132</v>
      </c>
      <c r="C12628">
        <v>-41</v>
      </c>
    </row>
    <row r="12629" spans="1:3" x14ac:dyDescent="0.25">
      <c r="A12629">
        <v>39</v>
      </c>
      <c r="B12629" t="str">
        <f>"9:08:05.824158"</f>
        <v>9:08:05.824158</v>
      </c>
      <c r="C12629">
        <v>-45</v>
      </c>
    </row>
    <row r="12630" spans="1:3" x14ac:dyDescent="0.25">
      <c r="A12630">
        <v>37</v>
      </c>
      <c r="B12630" t="str">
        <f>"9:08:06.178173"</f>
        <v>9:08:06.178173</v>
      </c>
      <c r="C12630">
        <v>-44</v>
      </c>
    </row>
    <row r="12631" spans="1:3" x14ac:dyDescent="0.25">
      <c r="A12631">
        <v>38</v>
      </c>
      <c r="B12631" t="str">
        <f>"9:08:06.179200"</f>
        <v>9:08:06.179200</v>
      </c>
      <c r="C12631">
        <v>-41</v>
      </c>
    </row>
    <row r="12632" spans="1:3" x14ac:dyDescent="0.25">
      <c r="A12632">
        <v>38</v>
      </c>
      <c r="B12632" t="str">
        <f>"9:08:06.179719"</f>
        <v>9:08:06.179719</v>
      </c>
      <c r="C12632">
        <v>-31</v>
      </c>
    </row>
    <row r="12633" spans="1:3" x14ac:dyDescent="0.25">
      <c r="A12633">
        <v>38</v>
      </c>
      <c r="B12633" t="str">
        <f>"9:08:06.180044"</f>
        <v>9:08:06.180044</v>
      </c>
      <c r="C12633">
        <v>-41</v>
      </c>
    </row>
    <row r="12634" spans="1:3" x14ac:dyDescent="0.25">
      <c r="A12634">
        <v>39</v>
      </c>
      <c r="B12634" t="str">
        <f>"9:08:06.180820"</f>
        <v>9:08:06.180820</v>
      </c>
      <c r="C12634">
        <v>-45</v>
      </c>
    </row>
    <row r="12635" spans="1:3" x14ac:dyDescent="0.25">
      <c r="A12635">
        <v>37</v>
      </c>
      <c r="B12635" t="str">
        <f>"9:08:06.531236"</f>
        <v>9:08:06.531236</v>
      </c>
      <c r="C12635">
        <v>-44</v>
      </c>
    </row>
    <row r="12636" spans="1:3" x14ac:dyDescent="0.25">
      <c r="A12636">
        <v>38</v>
      </c>
      <c r="B12636" t="str">
        <f>"9:08:06.532264"</f>
        <v>9:08:06.532264</v>
      </c>
      <c r="C12636">
        <v>-41</v>
      </c>
    </row>
    <row r="12637" spans="1:3" x14ac:dyDescent="0.25">
      <c r="A12637">
        <v>38</v>
      </c>
      <c r="B12637" t="str">
        <f>"9:08:06.532783"</f>
        <v>9:08:06.532783</v>
      </c>
      <c r="C12637">
        <v>-32</v>
      </c>
    </row>
    <row r="12638" spans="1:3" x14ac:dyDescent="0.25">
      <c r="A12638">
        <v>38</v>
      </c>
      <c r="B12638" t="str">
        <f>"9:08:06.533109"</f>
        <v>9:08:06.533109</v>
      </c>
      <c r="C12638">
        <v>-41</v>
      </c>
    </row>
    <row r="12639" spans="1:3" x14ac:dyDescent="0.25">
      <c r="A12639">
        <v>39</v>
      </c>
      <c r="B12639" t="str">
        <f>"9:08:06.533885"</f>
        <v>9:08:06.533885</v>
      </c>
      <c r="C12639">
        <v>-45</v>
      </c>
    </row>
    <row r="12640" spans="1:3" x14ac:dyDescent="0.25">
      <c r="A12640">
        <v>37</v>
      </c>
      <c r="B12640" t="str">
        <f>"9:08:06.883001"</f>
        <v>9:08:06.883001</v>
      </c>
      <c r="C12640">
        <v>-44</v>
      </c>
    </row>
    <row r="12641" spans="1:3" x14ac:dyDescent="0.25">
      <c r="A12641">
        <v>38</v>
      </c>
      <c r="B12641" t="str">
        <f>"9:08:06.884028"</f>
        <v>9:08:06.884028</v>
      </c>
      <c r="C12641">
        <v>-41</v>
      </c>
    </row>
    <row r="12642" spans="1:3" x14ac:dyDescent="0.25">
      <c r="A12642">
        <v>38</v>
      </c>
      <c r="B12642" t="str">
        <f>"9:08:06.884547"</f>
        <v>9:08:06.884547</v>
      </c>
      <c r="C12642">
        <v>-31</v>
      </c>
    </row>
    <row r="12643" spans="1:3" x14ac:dyDescent="0.25">
      <c r="A12643">
        <v>38</v>
      </c>
      <c r="B12643" t="str">
        <f>"9:08:06.884872"</f>
        <v>9:08:06.884872</v>
      </c>
      <c r="C12643">
        <v>-41</v>
      </c>
    </row>
    <row r="12644" spans="1:3" x14ac:dyDescent="0.25">
      <c r="A12644">
        <v>39</v>
      </c>
      <c r="B12644" t="str">
        <f>"9:08:06.885648"</f>
        <v>9:08:06.885648</v>
      </c>
      <c r="C12644">
        <v>-45</v>
      </c>
    </row>
    <row r="12645" spans="1:3" x14ac:dyDescent="0.25">
      <c r="A12645">
        <v>37</v>
      </c>
      <c r="B12645" t="str">
        <f>"9:08:07.235009"</f>
        <v>9:08:07.235009</v>
      </c>
      <c r="C12645">
        <v>-43</v>
      </c>
    </row>
    <row r="12646" spans="1:3" x14ac:dyDescent="0.25">
      <c r="A12646">
        <v>38</v>
      </c>
      <c r="B12646" t="str">
        <f>"9:08:07.236037"</f>
        <v>9:08:07.236037</v>
      </c>
      <c r="C12646">
        <v>-41</v>
      </c>
    </row>
    <row r="12647" spans="1:3" x14ac:dyDescent="0.25">
      <c r="A12647">
        <v>38</v>
      </c>
      <c r="B12647" t="str">
        <f>"9:08:07.236556"</f>
        <v>9:08:07.236556</v>
      </c>
      <c r="C12647">
        <v>-31</v>
      </c>
    </row>
    <row r="12648" spans="1:3" x14ac:dyDescent="0.25">
      <c r="A12648">
        <v>38</v>
      </c>
      <c r="B12648" t="str">
        <f>"9:08:07.236882"</f>
        <v>9:08:07.236882</v>
      </c>
      <c r="C12648">
        <v>-41</v>
      </c>
    </row>
    <row r="12649" spans="1:3" x14ac:dyDescent="0.25">
      <c r="A12649">
        <v>39</v>
      </c>
      <c r="B12649" t="str">
        <f>"9:08:07.237658"</f>
        <v>9:08:07.237658</v>
      </c>
      <c r="C12649">
        <v>-45</v>
      </c>
    </row>
    <row r="12650" spans="1:3" x14ac:dyDescent="0.25">
      <c r="A12650">
        <v>37</v>
      </c>
      <c r="B12650" t="str">
        <f>"9:08:07.592377"</f>
        <v>9:08:07.592377</v>
      </c>
      <c r="C12650">
        <v>-44</v>
      </c>
    </row>
    <row r="12651" spans="1:3" x14ac:dyDescent="0.25">
      <c r="A12651">
        <v>38</v>
      </c>
      <c r="B12651" t="str">
        <f>"9:08:07.593405"</f>
        <v>9:08:07.593405</v>
      </c>
      <c r="C12651">
        <v>-41</v>
      </c>
    </row>
    <row r="12652" spans="1:3" x14ac:dyDescent="0.25">
      <c r="A12652">
        <v>39</v>
      </c>
      <c r="B12652" t="str">
        <f>"9:08:07.594431"</f>
        <v>9:08:07.594431</v>
      </c>
      <c r="C12652">
        <v>-45</v>
      </c>
    </row>
    <row r="12653" spans="1:3" x14ac:dyDescent="0.25">
      <c r="A12653">
        <v>37</v>
      </c>
      <c r="B12653" t="str">
        <f>"9:08:07.945402"</f>
        <v>9:08:07.945402</v>
      </c>
      <c r="C12653">
        <v>-44</v>
      </c>
    </row>
    <row r="12654" spans="1:3" x14ac:dyDescent="0.25">
      <c r="A12654">
        <v>38</v>
      </c>
      <c r="B12654" t="str">
        <f>"9:08:07.946429"</f>
        <v>9:08:07.946429</v>
      </c>
      <c r="C12654">
        <v>-41</v>
      </c>
    </row>
    <row r="12655" spans="1:3" x14ac:dyDescent="0.25">
      <c r="A12655">
        <v>38</v>
      </c>
      <c r="B12655" t="str">
        <f>"9:08:07.946948"</f>
        <v>9:08:07.946948</v>
      </c>
      <c r="C12655">
        <v>-31</v>
      </c>
    </row>
    <row r="12656" spans="1:3" x14ac:dyDescent="0.25">
      <c r="A12656">
        <v>38</v>
      </c>
      <c r="B12656" t="str">
        <f>"9:08:07.947274"</f>
        <v>9:08:07.947274</v>
      </c>
      <c r="C12656">
        <v>-41</v>
      </c>
    </row>
    <row r="12657" spans="1:3" x14ac:dyDescent="0.25">
      <c r="A12657">
        <v>39</v>
      </c>
      <c r="B12657" t="str">
        <f>"9:08:07.948050"</f>
        <v>9:08:07.948050</v>
      </c>
      <c r="C12657">
        <v>-45</v>
      </c>
    </row>
    <row r="12658" spans="1:3" x14ac:dyDescent="0.25">
      <c r="A12658">
        <v>37</v>
      </c>
      <c r="B12658" t="str">
        <f>"9:08:08.301781"</f>
        <v>9:08:08.301781</v>
      </c>
      <c r="C12658">
        <v>-44</v>
      </c>
    </row>
    <row r="12659" spans="1:3" x14ac:dyDescent="0.25">
      <c r="A12659">
        <v>38</v>
      </c>
      <c r="B12659" t="str">
        <f>"9:08:08.302809"</f>
        <v>9:08:08.302809</v>
      </c>
      <c r="C12659">
        <v>-41</v>
      </c>
    </row>
    <row r="12660" spans="1:3" x14ac:dyDescent="0.25">
      <c r="A12660">
        <v>38</v>
      </c>
      <c r="B12660" t="str">
        <f>"9:08:08.303327"</f>
        <v>9:08:08.303327</v>
      </c>
      <c r="C12660">
        <v>-32</v>
      </c>
    </row>
    <row r="12661" spans="1:3" x14ac:dyDescent="0.25">
      <c r="A12661">
        <v>38</v>
      </c>
      <c r="B12661" t="str">
        <f>"9:08:08.303653"</f>
        <v>9:08:08.303653</v>
      </c>
      <c r="C12661">
        <v>-41</v>
      </c>
    </row>
    <row r="12662" spans="1:3" x14ac:dyDescent="0.25">
      <c r="A12662">
        <v>39</v>
      </c>
      <c r="B12662" t="str">
        <f>"9:08:08.304429"</f>
        <v>9:08:08.304429</v>
      </c>
      <c r="C12662">
        <v>-46</v>
      </c>
    </row>
    <row r="12663" spans="1:3" x14ac:dyDescent="0.25">
      <c r="A12663">
        <v>37</v>
      </c>
      <c r="B12663" t="str">
        <f>"9:08:08.654577"</f>
        <v>9:08:08.654577</v>
      </c>
      <c r="C12663">
        <v>-44</v>
      </c>
    </row>
    <row r="12664" spans="1:3" x14ac:dyDescent="0.25">
      <c r="A12664">
        <v>38</v>
      </c>
      <c r="B12664" t="str">
        <f>"9:08:08.655604"</f>
        <v>9:08:08.655604</v>
      </c>
      <c r="C12664">
        <v>-41</v>
      </c>
    </row>
    <row r="12665" spans="1:3" x14ac:dyDescent="0.25">
      <c r="A12665">
        <v>39</v>
      </c>
      <c r="B12665" t="str">
        <f>"9:08:08.656631"</f>
        <v>9:08:08.656631</v>
      </c>
      <c r="C12665">
        <v>-45</v>
      </c>
    </row>
    <row r="12666" spans="1:3" x14ac:dyDescent="0.25">
      <c r="A12666">
        <v>37</v>
      </c>
      <c r="B12666" t="str">
        <f>"9:08:09.007103"</f>
        <v>9:08:09.007103</v>
      </c>
      <c r="C12666">
        <v>-44</v>
      </c>
    </row>
    <row r="12667" spans="1:3" x14ac:dyDescent="0.25">
      <c r="A12667">
        <v>38</v>
      </c>
      <c r="B12667" t="str">
        <f>"9:08:09.008130"</f>
        <v>9:08:09.008130</v>
      </c>
      <c r="C12667">
        <v>-41</v>
      </c>
    </row>
    <row r="12668" spans="1:3" x14ac:dyDescent="0.25">
      <c r="A12668">
        <v>38</v>
      </c>
      <c r="B12668" t="str">
        <f>"9:08:09.008648"</f>
        <v>9:08:09.008648</v>
      </c>
      <c r="C12668">
        <v>-32</v>
      </c>
    </row>
    <row r="12669" spans="1:3" x14ac:dyDescent="0.25">
      <c r="A12669">
        <v>38</v>
      </c>
      <c r="B12669" t="str">
        <f>"9:08:09.008974"</f>
        <v>9:08:09.008974</v>
      </c>
      <c r="C12669">
        <v>-41</v>
      </c>
    </row>
    <row r="12670" spans="1:3" x14ac:dyDescent="0.25">
      <c r="A12670">
        <v>39</v>
      </c>
      <c r="B12670" t="str">
        <f>"9:08:09.009750"</f>
        <v>9:08:09.009750</v>
      </c>
      <c r="C12670">
        <v>-45</v>
      </c>
    </row>
    <row r="12671" spans="1:3" x14ac:dyDescent="0.25">
      <c r="A12671">
        <v>37</v>
      </c>
      <c r="B12671" t="str">
        <f>"9:08:09.363481"</f>
        <v>9:08:09.363481</v>
      </c>
      <c r="C12671">
        <v>-44</v>
      </c>
    </row>
    <row r="12672" spans="1:3" x14ac:dyDescent="0.25">
      <c r="A12672">
        <v>38</v>
      </c>
      <c r="B12672" t="str">
        <f>"9:08:09.364509"</f>
        <v>9:08:09.364509</v>
      </c>
      <c r="C12672">
        <v>-41</v>
      </c>
    </row>
    <row r="12673" spans="1:3" x14ac:dyDescent="0.25">
      <c r="A12673">
        <v>38</v>
      </c>
      <c r="B12673" t="str">
        <f>"9:08:09.365027"</f>
        <v>9:08:09.365027</v>
      </c>
      <c r="C12673">
        <v>-32</v>
      </c>
    </row>
    <row r="12674" spans="1:3" x14ac:dyDescent="0.25">
      <c r="A12674">
        <v>38</v>
      </c>
      <c r="B12674" t="str">
        <f>"9:08:09.365354"</f>
        <v>9:08:09.365354</v>
      </c>
      <c r="C12674">
        <v>-41</v>
      </c>
    </row>
    <row r="12675" spans="1:3" x14ac:dyDescent="0.25">
      <c r="A12675">
        <v>39</v>
      </c>
      <c r="B12675" t="str">
        <f>"9:08:09.366130"</f>
        <v>9:08:09.366130</v>
      </c>
      <c r="C12675">
        <v>-45</v>
      </c>
    </row>
    <row r="12676" spans="1:3" x14ac:dyDescent="0.25">
      <c r="A12676">
        <v>37</v>
      </c>
      <c r="B12676" t="str">
        <f>"9:08:09.718325"</f>
        <v>9:08:09.718325</v>
      </c>
      <c r="C12676">
        <v>-44</v>
      </c>
    </row>
    <row r="12677" spans="1:3" x14ac:dyDescent="0.25">
      <c r="A12677">
        <v>38</v>
      </c>
      <c r="B12677" t="str">
        <f>"9:08:09.719353"</f>
        <v>9:08:09.719353</v>
      </c>
      <c r="C12677">
        <v>-41</v>
      </c>
    </row>
    <row r="12678" spans="1:3" x14ac:dyDescent="0.25">
      <c r="A12678">
        <v>39</v>
      </c>
      <c r="B12678" t="str">
        <f>"9:08:09.720379"</f>
        <v>9:08:09.720379</v>
      </c>
      <c r="C12678">
        <v>-45</v>
      </c>
    </row>
    <row r="12679" spans="1:3" x14ac:dyDescent="0.25">
      <c r="A12679">
        <v>39</v>
      </c>
      <c r="B12679" t="str">
        <f>"9:08:09.720898"</f>
        <v>9:08:09.720898</v>
      </c>
      <c r="C12679">
        <v>-31</v>
      </c>
    </row>
    <row r="12680" spans="1:3" x14ac:dyDescent="0.25">
      <c r="A12680">
        <v>39</v>
      </c>
      <c r="B12680" t="str">
        <f>"9:08:09.721224"</f>
        <v>9:08:09.721224</v>
      </c>
      <c r="C12680">
        <v>-44</v>
      </c>
    </row>
    <row r="12681" spans="1:3" x14ac:dyDescent="0.25">
      <c r="A12681">
        <v>37</v>
      </c>
      <c r="B12681" t="str">
        <f>"9:08:10.077481"</f>
        <v>9:08:10.077481</v>
      </c>
      <c r="C12681">
        <v>-44</v>
      </c>
    </row>
    <row r="12682" spans="1:3" x14ac:dyDescent="0.25">
      <c r="A12682">
        <v>38</v>
      </c>
      <c r="B12682" t="str">
        <f>"9:08:10.078509"</f>
        <v>9:08:10.078509</v>
      </c>
      <c r="C12682">
        <v>-41</v>
      </c>
    </row>
    <row r="12683" spans="1:3" x14ac:dyDescent="0.25">
      <c r="A12683">
        <v>39</v>
      </c>
      <c r="B12683" t="str">
        <f>"9:08:10.079535"</f>
        <v>9:08:10.079535</v>
      </c>
      <c r="C12683">
        <v>-45</v>
      </c>
    </row>
    <row r="12684" spans="1:3" x14ac:dyDescent="0.25">
      <c r="A12684">
        <v>39</v>
      </c>
      <c r="B12684" t="str">
        <f>"9:08:10.080053"</f>
        <v>9:08:10.080053</v>
      </c>
      <c r="C12684">
        <v>-31</v>
      </c>
    </row>
    <row r="12685" spans="1:3" x14ac:dyDescent="0.25">
      <c r="A12685">
        <v>39</v>
      </c>
      <c r="B12685" t="str">
        <f>"9:08:10.080379"</f>
        <v>9:08:10.080379</v>
      </c>
      <c r="C12685">
        <v>-44</v>
      </c>
    </row>
    <row r="12686" spans="1:3" x14ac:dyDescent="0.25">
      <c r="A12686">
        <v>37</v>
      </c>
      <c r="B12686" t="str">
        <f>"9:08:10.429720"</f>
        <v>9:08:10.429720</v>
      </c>
      <c r="C12686">
        <v>-43</v>
      </c>
    </row>
    <row r="12687" spans="1:3" x14ac:dyDescent="0.25">
      <c r="A12687">
        <v>38</v>
      </c>
      <c r="B12687" t="str">
        <f>"9:08:10.430747"</f>
        <v>9:08:10.430747</v>
      </c>
      <c r="C12687">
        <v>-41</v>
      </c>
    </row>
    <row r="12688" spans="1:3" x14ac:dyDescent="0.25">
      <c r="A12688">
        <v>39</v>
      </c>
      <c r="B12688" t="str">
        <f>"9:08:10.431773"</f>
        <v>9:08:10.431773</v>
      </c>
      <c r="C12688">
        <v>-45</v>
      </c>
    </row>
    <row r="12689" spans="1:3" x14ac:dyDescent="0.25">
      <c r="A12689">
        <v>39</v>
      </c>
      <c r="B12689" t="str">
        <f>"9:08:10.432291"</f>
        <v>9:08:10.432291</v>
      </c>
      <c r="C12689">
        <v>-31</v>
      </c>
    </row>
    <row r="12690" spans="1:3" x14ac:dyDescent="0.25">
      <c r="A12690">
        <v>39</v>
      </c>
      <c r="B12690" t="str">
        <f>"9:08:10.432617"</f>
        <v>9:08:10.432617</v>
      </c>
      <c r="C12690">
        <v>-44</v>
      </c>
    </row>
    <row r="12691" spans="1:3" x14ac:dyDescent="0.25">
      <c r="A12691">
        <v>37</v>
      </c>
      <c r="B12691" t="str">
        <f>"9:08:10.788189"</f>
        <v>9:08:10.788189</v>
      </c>
      <c r="C12691">
        <v>-43</v>
      </c>
    </row>
    <row r="12692" spans="1:3" x14ac:dyDescent="0.25">
      <c r="A12692">
        <v>38</v>
      </c>
      <c r="B12692" t="str">
        <f>"9:08:10.789216"</f>
        <v>9:08:10.789216</v>
      </c>
      <c r="C12692">
        <v>-42</v>
      </c>
    </row>
    <row r="12693" spans="1:3" x14ac:dyDescent="0.25">
      <c r="A12693">
        <v>39</v>
      </c>
      <c r="B12693" t="str">
        <f>"9:08:10.790242"</f>
        <v>9:08:10.790242</v>
      </c>
      <c r="C12693">
        <v>-46</v>
      </c>
    </row>
    <row r="12694" spans="1:3" x14ac:dyDescent="0.25">
      <c r="A12694">
        <v>39</v>
      </c>
      <c r="B12694" t="str">
        <f>"9:08:10.790760"</f>
        <v>9:08:10.790760</v>
      </c>
      <c r="C12694">
        <v>-31</v>
      </c>
    </row>
    <row r="12695" spans="1:3" x14ac:dyDescent="0.25">
      <c r="A12695">
        <v>39</v>
      </c>
      <c r="B12695" t="str">
        <f>"9:08:10.791086"</f>
        <v>9:08:10.791086</v>
      </c>
      <c r="C12695">
        <v>-45</v>
      </c>
    </row>
    <row r="12696" spans="1:3" x14ac:dyDescent="0.25">
      <c r="A12696">
        <v>37</v>
      </c>
      <c r="B12696" t="str">
        <f>"9:08:11.140712"</f>
        <v>9:08:11.140712</v>
      </c>
      <c r="C12696">
        <v>-44</v>
      </c>
    </row>
    <row r="12697" spans="1:3" x14ac:dyDescent="0.25">
      <c r="A12697">
        <v>38</v>
      </c>
      <c r="B12697" t="str">
        <f>"9:08:11.141739"</f>
        <v>9:08:11.141739</v>
      </c>
      <c r="C12697">
        <v>-42</v>
      </c>
    </row>
    <row r="12698" spans="1:3" x14ac:dyDescent="0.25">
      <c r="A12698">
        <v>39</v>
      </c>
      <c r="B12698" t="str">
        <f>"9:08:11.142765"</f>
        <v>9:08:11.142765</v>
      </c>
      <c r="C12698">
        <v>-45</v>
      </c>
    </row>
    <row r="12699" spans="1:3" x14ac:dyDescent="0.25">
      <c r="A12699">
        <v>39</v>
      </c>
      <c r="B12699" t="str">
        <f>"9:08:11.143284"</f>
        <v>9:08:11.143284</v>
      </c>
      <c r="C12699">
        <v>-31</v>
      </c>
    </row>
    <row r="12700" spans="1:3" x14ac:dyDescent="0.25">
      <c r="A12700">
        <v>39</v>
      </c>
      <c r="B12700" t="str">
        <f>"9:08:11.143609"</f>
        <v>9:08:11.143609</v>
      </c>
      <c r="C12700">
        <v>-45</v>
      </c>
    </row>
    <row r="12701" spans="1:3" x14ac:dyDescent="0.25">
      <c r="A12701">
        <v>37</v>
      </c>
      <c r="B12701" t="str">
        <f>"9:08:11.491669"</f>
        <v>9:08:11.491669</v>
      </c>
      <c r="C12701">
        <v>-44</v>
      </c>
    </row>
    <row r="12702" spans="1:3" x14ac:dyDescent="0.25">
      <c r="A12702">
        <v>38</v>
      </c>
      <c r="B12702" t="str">
        <f>"9:08:11.492696"</f>
        <v>9:08:11.492696</v>
      </c>
      <c r="C12702">
        <v>-41</v>
      </c>
    </row>
    <row r="12703" spans="1:3" x14ac:dyDescent="0.25">
      <c r="A12703">
        <v>39</v>
      </c>
      <c r="B12703" t="str">
        <f>"9:08:11.493722"</f>
        <v>9:08:11.493722</v>
      </c>
      <c r="C12703">
        <v>-45</v>
      </c>
    </row>
    <row r="12704" spans="1:3" x14ac:dyDescent="0.25">
      <c r="A12704">
        <v>39</v>
      </c>
      <c r="B12704" t="str">
        <f>"9:08:11.494240"</f>
        <v>9:08:11.494240</v>
      </c>
      <c r="C12704">
        <v>-31</v>
      </c>
    </row>
    <row r="12705" spans="1:3" x14ac:dyDescent="0.25">
      <c r="A12705">
        <v>39</v>
      </c>
      <c r="B12705" t="str">
        <f>"9:08:11.494566"</f>
        <v>9:08:11.494566</v>
      </c>
      <c r="C12705">
        <v>-44</v>
      </c>
    </row>
    <row r="12706" spans="1:3" x14ac:dyDescent="0.25">
      <c r="A12706">
        <v>37</v>
      </c>
      <c r="B12706" t="str">
        <f>"9:08:11.846481"</f>
        <v>9:08:11.846481</v>
      </c>
      <c r="C12706">
        <v>-44</v>
      </c>
    </row>
    <row r="12707" spans="1:3" x14ac:dyDescent="0.25">
      <c r="A12707">
        <v>38</v>
      </c>
      <c r="B12707" t="str">
        <f>"9:08:11.847508"</f>
        <v>9:08:11.847508</v>
      </c>
      <c r="C12707">
        <v>-42</v>
      </c>
    </row>
    <row r="12708" spans="1:3" x14ac:dyDescent="0.25">
      <c r="A12708">
        <v>39</v>
      </c>
      <c r="B12708" t="str">
        <f>"9:08:11.848534"</f>
        <v>9:08:11.848534</v>
      </c>
      <c r="C12708">
        <v>-45</v>
      </c>
    </row>
    <row r="12709" spans="1:3" x14ac:dyDescent="0.25">
      <c r="A12709">
        <v>39</v>
      </c>
      <c r="B12709" t="str">
        <f>"9:08:11.849052"</f>
        <v>9:08:11.849052</v>
      </c>
      <c r="C12709">
        <v>-31</v>
      </c>
    </row>
    <row r="12710" spans="1:3" x14ac:dyDescent="0.25">
      <c r="A12710">
        <v>39</v>
      </c>
      <c r="B12710" t="str">
        <f>"9:08:11.849378"</f>
        <v>9:08:11.849378</v>
      </c>
      <c r="C12710">
        <v>-44</v>
      </c>
    </row>
    <row r="12711" spans="1:3" x14ac:dyDescent="0.25">
      <c r="A12711">
        <v>37</v>
      </c>
      <c r="B12711" t="str">
        <f>"9:08:12.201540"</f>
        <v>9:08:12.201540</v>
      </c>
      <c r="C12711">
        <v>-44</v>
      </c>
    </row>
    <row r="12712" spans="1:3" x14ac:dyDescent="0.25">
      <c r="A12712">
        <v>38</v>
      </c>
      <c r="B12712" t="str">
        <f>"9:08:12.202567"</f>
        <v>9:08:12.202567</v>
      </c>
      <c r="C12712">
        <v>-41</v>
      </c>
    </row>
    <row r="12713" spans="1:3" x14ac:dyDescent="0.25">
      <c r="A12713">
        <v>39</v>
      </c>
      <c r="B12713" t="str">
        <f>"9:08:12.203593"</f>
        <v>9:08:12.203593</v>
      </c>
      <c r="C12713">
        <v>-45</v>
      </c>
    </row>
    <row r="12714" spans="1:3" x14ac:dyDescent="0.25">
      <c r="A12714">
        <v>39</v>
      </c>
      <c r="B12714" t="str">
        <f>"9:08:12.204112"</f>
        <v>9:08:12.204112</v>
      </c>
      <c r="C12714">
        <v>-31</v>
      </c>
    </row>
    <row r="12715" spans="1:3" x14ac:dyDescent="0.25">
      <c r="A12715">
        <v>39</v>
      </c>
      <c r="B12715" t="str">
        <f>"9:08:12.204437"</f>
        <v>9:08:12.204437</v>
      </c>
      <c r="C12715">
        <v>-44</v>
      </c>
    </row>
    <row r="12716" spans="1:3" x14ac:dyDescent="0.25">
      <c r="A12716">
        <v>37</v>
      </c>
      <c r="B12716" t="str">
        <f>"9:08:12.560779"</f>
        <v>9:08:12.560779</v>
      </c>
      <c r="C12716">
        <v>-44</v>
      </c>
    </row>
    <row r="12717" spans="1:3" x14ac:dyDescent="0.25">
      <c r="A12717">
        <v>38</v>
      </c>
      <c r="B12717" t="str">
        <f>"9:08:12.561807"</f>
        <v>9:08:12.561807</v>
      </c>
      <c r="C12717">
        <v>-41</v>
      </c>
    </row>
    <row r="12718" spans="1:3" x14ac:dyDescent="0.25">
      <c r="A12718">
        <v>39</v>
      </c>
      <c r="B12718" t="str">
        <f>"9:08:12.562833"</f>
        <v>9:08:12.562833</v>
      </c>
      <c r="C12718">
        <v>-45</v>
      </c>
    </row>
    <row r="12719" spans="1:3" x14ac:dyDescent="0.25">
      <c r="A12719">
        <v>39</v>
      </c>
      <c r="B12719" t="str">
        <f>"9:08:12.563351"</f>
        <v>9:08:12.563351</v>
      </c>
      <c r="C12719">
        <v>-31</v>
      </c>
    </row>
    <row r="12720" spans="1:3" x14ac:dyDescent="0.25">
      <c r="A12720">
        <v>39</v>
      </c>
      <c r="B12720" t="str">
        <f>"9:08:12.563677"</f>
        <v>9:08:12.563677</v>
      </c>
      <c r="C12720">
        <v>-44</v>
      </c>
    </row>
    <row r="12721" spans="1:3" x14ac:dyDescent="0.25">
      <c r="A12721">
        <v>37</v>
      </c>
      <c r="B12721" t="str">
        <f>"9:08:12.912318"</f>
        <v>9:08:12.912318</v>
      </c>
      <c r="C12721">
        <v>-44</v>
      </c>
    </row>
    <row r="12722" spans="1:3" x14ac:dyDescent="0.25">
      <c r="A12722">
        <v>38</v>
      </c>
      <c r="B12722" t="str">
        <f>"9:08:12.913345"</f>
        <v>9:08:12.913345</v>
      </c>
      <c r="C12722">
        <v>-41</v>
      </c>
    </row>
    <row r="12723" spans="1:3" x14ac:dyDescent="0.25">
      <c r="A12723">
        <v>39</v>
      </c>
      <c r="B12723" t="str">
        <f>"9:08:12.914371"</f>
        <v>9:08:12.914371</v>
      </c>
      <c r="C12723">
        <v>-45</v>
      </c>
    </row>
    <row r="12724" spans="1:3" x14ac:dyDescent="0.25">
      <c r="A12724">
        <v>39</v>
      </c>
      <c r="B12724" t="str">
        <f>"9:08:12.914889"</f>
        <v>9:08:12.914889</v>
      </c>
      <c r="C12724">
        <v>-30</v>
      </c>
    </row>
    <row r="12725" spans="1:3" x14ac:dyDescent="0.25">
      <c r="A12725">
        <v>39</v>
      </c>
      <c r="B12725" t="str">
        <f>"9:08:12.915215"</f>
        <v>9:08:12.915215</v>
      </c>
      <c r="C12725">
        <v>-44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full_power_B2_1B_OUTSIDE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Gadicherla Srikanth</dc:creator>
  <cp:lastModifiedBy>Gadicherla Srikanth</cp:lastModifiedBy>
  <dcterms:created xsi:type="dcterms:W3CDTF">2017-10-02T21:15:52Z</dcterms:created>
  <dcterms:modified xsi:type="dcterms:W3CDTF">2017-10-02T21:15:53Z</dcterms:modified>
</cp:coreProperties>
</file>