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4185"/>
  </bookViews>
  <sheets>
    <sheet name="PV_Current" sheetId="4" r:id="rId1"/>
    <sheet name="Batt_Current" sheetId="1" r:id="rId2"/>
  </sheets>
  <calcPr calcId="125725"/>
</workbook>
</file>

<file path=xl/calcChain.xml><?xml version="1.0" encoding="utf-8"?>
<calcChain xmlns="http://schemas.openxmlformats.org/spreadsheetml/2006/main">
  <c r="C41" i="4"/>
  <c r="C42" s="1"/>
  <c r="C43" s="1"/>
  <c r="C44" s="1"/>
  <c r="J25"/>
  <c r="J26" s="1"/>
  <c r="Q20" s="1"/>
  <c r="C21"/>
  <c r="J38" s="1"/>
  <c r="J39" s="1"/>
  <c r="O41" s="1"/>
  <c r="C11"/>
  <c r="J5"/>
  <c r="J14" s="1"/>
  <c r="J4"/>
  <c r="C41" i="1"/>
  <c r="C42" s="1"/>
  <c r="C43" s="1"/>
  <c r="C44" s="1"/>
  <c r="Q41"/>
  <c r="O41"/>
  <c r="J39"/>
  <c r="J38"/>
  <c r="Q20"/>
  <c r="J26"/>
  <c r="J35"/>
  <c r="J34"/>
  <c r="C33"/>
  <c r="C32"/>
  <c r="C30"/>
  <c r="C29"/>
  <c r="C25"/>
  <c r="C21"/>
  <c r="J25"/>
  <c r="C11"/>
  <c r="J5"/>
  <c r="J4"/>
  <c r="C29" i="4" l="1"/>
  <c r="C32" s="1"/>
  <c r="J10"/>
  <c r="J12" s="1"/>
  <c r="J7"/>
  <c r="J8" s="1"/>
  <c r="C30"/>
  <c r="C33" s="1"/>
  <c r="J34" s="1"/>
  <c r="J35" s="1"/>
  <c r="Q41" s="1"/>
  <c r="J7" i="1"/>
  <c r="J8" s="1"/>
  <c r="J14"/>
  <c r="J29" s="1"/>
  <c r="J30" s="1"/>
  <c r="O20" s="1"/>
  <c r="J10"/>
  <c r="J12" s="1"/>
  <c r="J15" i="4" l="1"/>
  <c r="J29"/>
  <c r="J30" s="1"/>
  <c r="O20" s="1"/>
  <c r="J17"/>
  <c r="J15" i="1"/>
  <c r="J17"/>
</calcChain>
</file>

<file path=xl/sharedStrings.xml><?xml version="1.0" encoding="utf-8"?>
<sst xmlns="http://schemas.openxmlformats.org/spreadsheetml/2006/main" count="144" uniqueCount="51">
  <si>
    <t>Vref</t>
  </si>
  <si>
    <t>Design Parameters</t>
  </si>
  <si>
    <t>V</t>
  </si>
  <si>
    <t>Steps</t>
  </si>
  <si>
    <t>LSB</t>
  </si>
  <si>
    <t>Imax</t>
  </si>
  <si>
    <t>A</t>
  </si>
  <si>
    <t>Imin</t>
  </si>
  <si>
    <t>Rshunt</t>
  </si>
  <si>
    <t>Ohms</t>
  </si>
  <si>
    <t>Peak shunt power</t>
  </si>
  <si>
    <t>W</t>
  </si>
  <si>
    <t>mOhms</t>
  </si>
  <si>
    <t>Max shunt voltage</t>
  </si>
  <si>
    <t>Min shunt voltage</t>
  </si>
  <si>
    <t>mV</t>
  </si>
  <si>
    <t>mW</t>
  </si>
  <si>
    <t>R2/R1</t>
  </si>
  <si>
    <t>R1/(R2+R1)</t>
  </si>
  <si>
    <t>R1/(R2+R1), Vref</t>
  </si>
  <si>
    <t>Total range</t>
  </si>
  <si>
    <t>Vadc @ 0A</t>
  </si>
  <si>
    <t>LSB @ 0A</t>
  </si>
  <si>
    <t>) *</t>
  </si>
  <si>
    <t>mA = (BIN -</t>
  </si>
  <si>
    <t>Formule théorique:</t>
  </si>
  <si>
    <t>Composants choisis:</t>
  </si>
  <si>
    <t>R1 gain:</t>
  </si>
  <si>
    <t>R2 gain:</t>
  </si>
  <si>
    <t>R1 vref:</t>
  </si>
  <si>
    <t>R2 vref:</t>
  </si>
  <si>
    <t>Range réel</t>
  </si>
  <si>
    <t>mA/LSB</t>
  </si>
  <si>
    <t>Vdc @ 0A</t>
  </si>
  <si>
    <t>Fc</t>
  </si>
  <si>
    <t>Hz</t>
  </si>
  <si>
    <t>Editable fields in gray</t>
  </si>
  <si>
    <t>Theoratical Formula</t>
  </si>
  <si>
    <t>Real Formula</t>
  </si>
  <si>
    <t>real R2/R1</t>
  </si>
  <si>
    <t>real Vref:</t>
  </si>
  <si>
    <t>real max sh. V</t>
  </si>
  <si>
    <t>real min sh. V</t>
  </si>
  <si>
    <t>real Imax</t>
  </si>
  <si>
    <t>real Imin</t>
  </si>
  <si>
    <t>Low Pass Filter</t>
  </si>
  <si>
    <t>C</t>
  </si>
  <si>
    <t>F</t>
  </si>
  <si>
    <t>uF</t>
  </si>
  <si>
    <t>nF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</si>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</sst>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2" borderId="0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51"/>
  <sheetViews>
    <sheetView tabSelected="1" topLeftCell="A11" workbookViewId="0">
      <selection activeCell="C19" sqref="C19"/>
    </sheetView>
  </sheetViews>
  <sheetFormatPr defaultRowHeight="15"/>
  <cols>
    <col min="2" max="2" width="13.5703125" customWidth="1"/>
    <col min="10" max="10" width="16.5703125" customWidth="1"/>
    <col min="14" max="14" width="10.7109375" customWidth="1"/>
    <col min="15" max="15" width="4.140625" customWidth="1"/>
    <col min="16" max="16" width="3.28515625" customWidth="1"/>
    <col min="17" max="17" width="6.5703125" customWidth="1"/>
  </cols>
  <sheetData>
    <row r="1" spans="2:18">
      <c r="J1" s="26" t="s">
        <v>36</v>
      </c>
      <c r="K1" s="26"/>
      <c r="L1" s="26"/>
      <c r="M1" s="26"/>
      <c r="N1" s="26"/>
      <c r="O1" s="26"/>
      <c r="P1" s="26"/>
      <c r="Q1" s="26"/>
      <c r="R1" s="26"/>
    </row>
    <row r="2" spans="2:18">
      <c r="B2" s="3" t="s">
        <v>1</v>
      </c>
      <c r="C2" s="4"/>
      <c r="D2" s="4"/>
      <c r="E2" s="4"/>
      <c r="F2" s="5"/>
      <c r="J2" s="1"/>
    </row>
    <row r="4" spans="2:18">
      <c r="B4" t="s">
        <v>0</v>
      </c>
      <c r="C4" s="6">
        <v>4.0960000000000001</v>
      </c>
      <c r="D4" t="s">
        <v>2</v>
      </c>
      <c r="H4" s="2" t="s">
        <v>13</v>
      </c>
      <c r="I4" s="2"/>
      <c r="J4">
        <f>C7*$C$10</f>
        <v>0</v>
      </c>
      <c r="K4" t="s">
        <v>2</v>
      </c>
    </row>
    <row r="5" spans="2:18">
      <c r="B5" t="s">
        <v>3</v>
      </c>
      <c r="C5" s="6">
        <v>1024</v>
      </c>
      <c r="D5" t="s">
        <v>4</v>
      </c>
      <c r="H5" s="2" t="s">
        <v>14</v>
      </c>
      <c r="I5" s="2"/>
      <c r="J5">
        <f>C8*$C$10</f>
        <v>-5.1200000000000002E-2</v>
      </c>
      <c r="K5" t="s">
        <v>2</v>
      </c>
    </row>
    <row r="6" spans="2:18">
      <c r="H6" s="2"/>
      <c r="I6" s="2"/>
    </row>
    <row r="7" spans="2:18">
      <c r="B7" t="s">
        <v>5</v>
      </c>
      <c r="C7" s="6">
        <v>0</v>
      </c>
      <c r="D7" t="s">
        <v>6</v>
      </c>
      <c r="H7" s="2" t="s">
        <v>10</v>
      </c>
      <c r="I7" s="2"/>
      <c r="J7">
        <f>MAX(J4*C7,J5*C8)</f>
        <v>2.6214400000000002E-2</v>
      </c>
      <c r="K7" t="s">
        <v>11</v>
      </c>
    </row>
    <row r="8" spans="2:18">
      <c r="B8" t="s">
        <v>7</v>
      </c>
      <c r="C8" s="6">
        <v>-0.51200000000000001</v>
      </c>
      <c r="D8" t="s">
        <v>6</v>
      </c>
      <c r="H8" s="2"/>
      <c r="I8" s="2"/>
      <c r="J8">
        <f>J7*1000</f>
        <v>26.214400000000001</v>
      </c>
      <c r="K8" t="s">
        <v>16</v>
      </c>
    </row>
    <row r="9" spans="2:18">
      <c r="H9" s="2"/>
      <c r="I9" s="2"/>
    </row>
    <row r="10" spans="2:18">
      <c r="B10" t="s">
        <v>8</v>
      </c>
      <c r="C10" s="6">
        <v>0.1</v>
      </c>
      <c r="D10" t="s">
        <v>9</v>
      </c>
      <c r="H10" s="2" t="s">
        <v>17</v>
      </c>
      <c r="I10" s="2"/>
      <c r="J10">
        <f>C4/(J4-J5)</f>
        <v>80</v>
      </c>
    </row>
    <row r="11" spans="2:18">
      <c r="C11">
        <f>C10*1000</f>
        <v>100</v>
      </c>
      <c r="D11" t="s">
        <v>12</v>
      </c>
      <c r="H11" s="2"/>
      <c r="I11" s="2"/>
    </row>
    <row r="12" spans="2:18">
      <c r="H12" s="2" t="s">
        <v>18</v>
      </c>
      <c r="I12" s="2"/>
      <c r="J12">
        <f>1/(J10+1)</f>
        <v>1.2345679012345678E-2</v>
      </c>
    </row>
    <row r="13" spans="2:18">
      <c r="H13" s="2"/>
      <c r="I13" s="2"/>
    </row>
    <row r="14" spans="2:18">
      <c r="H14" s="2" t="s">
        <v>0</v>
      </c>
      <c r="I14" s="2"/>
      <c r="J14">
        <f>(J4*C4)/(J4-J5+C4)</f>
        <v>0</v>
      </c>
      <c r="K14" t="s">
        <v>2</v>
      </c>
    </row>
    <row r="15" spans="2:18">
      <c r="H15" s="2"/>
      <c r="I15" s="2"/>
      <c r="J15">
        <f>J14*1000</f>
        <v>0</v>
      </c>
      <c r="K15" t="s">
        <v>15</v>
      </c>
    </row>
    <row r="16" spans="2:18">
      <c r="H16" s="2"/>
      <c r="I16" s="2"/>
    </row>
    <row r="17" spans="2:18">
      <c r="B17" s="3" t="s">
        <v>26</v>
      </c>
      <c r="C17" s="4"/>
      <c r="D17" s="5"/>
      <c r="H17" s="2" t="s">
        <v>19</v>
      </c>
      <c r="I17" s="2"/>
      <c r="J17">
        <f>J14/C4</f>
        <v>0</v>
      </c>
    </row>
    <row r="18" spans="2:18">
      <c r="H18" s="2"/>
      <c r="I18" s="2"/>
    </row>
    <row r="19" spans="2:18">
      <c r="B19" t="s">
        <v>27</v>
      </c>
      <c r="C19" s="6">
        <v>1500</v>
      </c>
      <c r="H19" s="2" t="s">
        <v>37</v>
      </c>
      <c r="I19" s="2"/>
    </row>
    <row r="20" spans="2:18">
      <c r="B20" t="s">
        <v>28</v>
      </c>
      <c r="C20" s="6">
        <v>120000</v>
      </c>
      <c r="H20" s="7"/>
      <c r="I20" s="8"/>
      <c r="J20" s="9"/>
      <c r="K20" s="9"/>
      <c r="L20" s="8" t="s">
        <v>25</v>
      </c>
      <c r="M20" s="8"/>
      <c r="N20" s="9" t="s">
        <v>24</v>
      </c>
      <c r="O20" s="9">
        <f>J30</f>
        <v>0</v>
      </c>
      <c r="P20" s="9" t="s">
        <v>23</v>
      </c>
      <c r="Q20" s="19">
        <f>J26</f>
        <v>0.5</v>
      </c>
      <c r="R20" s="10"/>
    </row>
    <row r="21" spans="2:18">
      <c r="B21" t="s">
        <v>39</v>
      </c>
      <c r="C21">
        <f>C20/C19</f>
        <v>80</v>
      </c>
      <c r="H21" s="11"/>
      <c r="I21" s="12"/>
      <c r="J21" s="13"/>
      <c r="K21" s="13"/>
      <c r="L21" s="13"/>
      <c r="M21" s="13"/>
      <c r="N21" s="13"/>
      <c r="O21" s="13"/>
      <c r="P21" s="13"/>
      <c r="Q21" s="13"/>
      <c r="R21" s="14"/>
    </row>
    <row r="22" spans="2:18">
      <c r="H22" s="11"/>
      <c r="I22" s="12"/>
      <c r="J22" s="13"/>
      <c r="K22" s="13"/>
      <c r="L22" s="13"/>
      <c r="M22" s="13"/>
      <c r="N22" s="13"/>
      <c r="O22" s="13"/>
      <c r="P22" s="13"/>
      <c r="Q22" s="13"/>
      <c r="R22" s="14"/>
    </row>
    <row r="23" spans="2:18">
      <c r="B23" t="s">
        <v>29</v>
      </c>
      <c r="C23" s="6">
        <v>1000</v>
      </c>
      <c r="H23" s="11"/>
      <c r="I23" s="12"/>
      <c r="J23" s="13"/>
      <c r="K23" s="13"/>
      <c r="L23" s="13"/>
      <c r="M23" s="13"/>
      <c r="N23" s="13"/>
      <c r="O23" s="13"/>
      <c r="P23" s="13"/>
      <c r="Q23" s="13"/>
      <c r="R23" s="14"/>
    </row>
    <row r="24" spans="2:18">
      <c r="B24" t="s">
        <v>30</v>
      </c>
      <c r="C24" s="6">
        <v>200000</v>
      </c>
      <c r="H24" s="11"/>
      <c r="I24" s="12"/>
      <c r="J24" s="13"/>
      <c r="K24" s="13"/>
      <c r="L24" s="13"/>
      <c r="M24" s="13"/>
      <c r="N24" s="13"/>
      <c r="O24" s="13"/>
      <c r="P24" s="13"/>
      <c r="Q24" s="13"/>
      <c r="R24" s="14"/>
    </row>
    <row r="25" spans="2:18">
      <c r="B25" t="s">
        <v>40</v>
      </c>
      <c r="C25">
        <v>0</v>
      </c>
      <c r="D25" t="s">
        <v>2</v>
      </c>
      <c r="H25" s="11" t="s">
        <v>20</v>
      </c>
      <c r="I25" s="12"/>
      <c r="J25" s="13">
        <f>C7-C8</f>
        <v>0.51200000000000001</v>
      </c>
      <c r="K25" s="13" t="s">
        <v>6</v>
      </c>
      <c r="L25" s="13"/>
      <c r="M25" s="13"/>
      <c r="N25" s="13"/>
      <c r="O25" s="13"/>
      <c r="P25" s="13"/>
      <c r="Q25" s="13"/>
      <c r="R25" s="14"/>
    </row>
    <row r="26" spans="2:18">
      <c r="H26" s="11"/>
      <c r="I26" s="12"/>
      <c r="J26" s="13">
        <f>(J25*1000)/C5</f>
        <v>0.5</v>
      </c>
      <c r="K26" s="13" t="s">
        <v>32</v>
      </c>
      <c r="L26" s="13"/>
      <c r="M26" s="13"/>
      <c r="N26" s="13"/>
      <c r="O26" s="13"/>
      <c r="P26" s="13"/>
      <c r="Q26" s="13"/>
      <c r="R26" s="14"/>
    </row>
    <row r="27" spans="2:18">
      <c r="H27" s="11"/>
      <c r="I27" s="12"/>
      <c r="J27" s="13"/>
      <c r="K27" s="13"/>
      <c r="L27" s="13"/>
      <c r="M27" s="13"/>
      <c r="N27" s="13"/>
      <c r="O27" s="13"/>
      <c r="P27" s="13"/>
      <c r="Q27" s="13"/>
      <c r="R27" s="14"/>
    </row>
    <row r="28" spans="2:18">
      <c r="H28" s="11"/>
      <c r="I28" s="12"/>
      <c r="J28" s="13"/>
      <c r="K28" s="13"/>
      <c r="L28" s="13"/>
      <c r="M28" s="13"/>
      <c r="N28" s="13"/>
      <c r="O28" s="13"/>
      <c r="P28" s="13"/>
      <c r="Q28" s="13"/>
      <c r="R28" s="14"/>
    </row>
    <row r="29" spans="2:18">
      <c r="B29" t="s">
        <v>41</v>
      </c>
      <c r="C29">
        <f>C25+(C25/C21)</f>
        <v>0</v>
      </c>
      <c r="D29" t="s">
        <v>2</v>
      </c>
      <c r="H29" s="11" t="s">
        <v>21</v>
      </c>
      <c r="I29" s="12"/>
      <c r="J29" s="13">
        <f>J14*J10+J14</f>
        <v>0</v>
      </c>
      <c r="K29" s="13" t="s">
        <v>2</v>
      </c>
      <c r="L29" s="13"/>
      <c r="M29" s="13"/>
      <c r="N29" s="13"/>
      <c r="O29" s="13"/>
      <c r="P29" s="13"/>
      <c r="Q29" s="13"/>
      <c r="R29" s="14"/>
    </row>
    <row r="30" spans="2:18">
      <c r="B30" t="s">
        <v>42</v>
      </c>
      <c r="C30">
        <f>C25-((C4-C25)/C20)*C19</f>
        <v>-5.1200000000000002E-2</v>
      </c>
      <c r="D30" t="s">
        <v>2</v>
      </c>
      <c r="H30" s="11" t="s">
        <v>22</v>
      </c>
      <c r="I30" s="12"/>
      <c r="J30" s="13">
        <f>(J29/C4)*C5</f>
        <v>0</v>
      </c>
      <c r="K30" s="13" t="s">
        <v>4</v>
      </c>
      <c r="L30" s="13"/>
      <c r="M30" s="13"/>
      <c r="N30" s="13"/>
      <c r="O30" s="13"/>
      <c r="P30" s="13"/>
      <c r="Q30" s="13"/>
      <c r="R30" s="14"/>
    </row>
    <row r="31" spans="2:18">
      <c r="H31" s="11"/>
      <c r="I31" s="12"/>
      <c r="J31" s="13"/>
      <c r="K31" s="13"/>
      <c r="L31" s="13"/>
      <c r="M31" s="13"/>
      <c r="N31" s="13"/>
      <c r="O31" s="13"/>
      <c r="P31" s="13"/>
      <c r="Q31" s="13"/>
      <c r="R31" s="14"/>
    </row>
    <row r="32" spans="2:18">
      <c r="B32" t="s">
        <v>43</v>
      </c>
      <c r="C32">
        <f>C29/C10</f>
        <v>0</v>
      </c>
      <c r="D32" t="s">
        <v>6</v>
      </c>
      <c r="H32" s="15"/>
      <c r="I32" s="16"/>
      <c r="J32" s="17"/>
      <c r="K32" s="17"/>
      <c r="L32" s="17"/>
      <c r="M32" s="17"/>
      <c r="N32" s="17"/>
      <c r="O32" s="17"/>
      <c r="P32" s="17"/>
      <c r="Q32" s="17"/>
      <c r="R32" s="18"/>
    </row>
    <row r="33" spans="2:18">
      <c r="B33" t="s">
        <v>44</v>
      </c>
      <c r="C33">
        <f>C30/C10</f>
        <v>-0.51200000000000001</v>
      </c>
      <c r="D33" t="s">
        <v>6</v>
      </c>
      <c r="H33" s="2" t="s">
        <v>38</v>
      </c>
      <c r="I33" s="2"/>
    </row>
    <row r="34" spans="2:18">
      <c r="H34" s="20" t="s">
        <v>31</v>
      </c>
      <c r="I34" s="9"/>
      <c r="J34" s="9">
        <f>C32-C33</f>
        <v>0.51200000000000001</v>
      </c>
      <c r="K34" s="9" t="s">
        <v>6</v>
      </c>
      <c r="L34" s="9"/>
      <c r="M34" s="9"/>
      <c r="N34" s="9"/>
      <c r="O34" s="9"/>
      <c r="P34" s="9"/>
      <c r="Q34" s="9"/>
      <c r="R34" s="10"/>
    </row>
    <row r="35" spans="2:18">
      <c r="H35" s="11"/>
      <c r="I35" s="12"/>
      <c r="J35" s="13">
        <f>(J34*1000)/C5</f>
        <v>0.5</v>
      </c>
      <c r="K35" s="13" t="s">
        <v>32</v>
      </c>
      <c r="L35" s="13"/>
      <c r="M35" s="13"/>
      <c r="N35" s="13"/>
      <c r="O35" s="13"/>
      <c r="P35" s="13"/>
      <c r="Q35" s="13"/>
      <c r="R35" s="14"/>
    </row>
    <row r="36" spans="2:18">
      <c r="B36" s="3" t="s">
        <v>45</v>
      </c>
      <c r="C36" s="4"/>
      <c r="D36" s="5"/>
      <c r="H36" s="11"/>
      <c r="I36" s="12"/>
      <c r="J36" s="13"/>
      <c r="K36" s="13"/>
      <c r="L36" s="13"/>
      <c r="M36" s="13"/>
      <c r="N36" s="13"/>
      <c r="O36" s="13"/>
      <c r="P36" s="13"/>
      <c r="Q36" s="13"/>
      <c r="R36" s="14"/>
    </row>
    <row r="37" spans="2:18">
      <c r="B37" s="23"/>
      <c r="C37" s="13"/>
      <c r="D37" s="14"/>
      <c r="H37" s="11"/>
      <c r="I37" s="12"/>
      <c r="J37" s="13"/>
      <c r="K37" s="13"/>
      <c r="L37" s="13"/>
      <c r="M37" s="13"/>
      <c r="N37" s="13"/>
      <c r="O37" s="13"/>
      <c r="P37" s="13"/>
      <c r="Q37" s="13"/>
      <c r="R37" s="14"/>
    </row>
    <row r="38" spans="2:18">
      <c r="B38" s="23" t="s">
        <v>34</v>
      </c>
      <c r="C38" s="25">
        <v>1185</v>
      </c>
      <c r="D38" s="14" t="s">
        <v>35</v>
      </c>
      <c r="H38" s="11" t="s">
        <v>33</v>
      </c>
      <c r="I38" s="12"/>
      <c r="J38" s="13">
        <f>C21*C25+C25</f>
        <v>0</v>
      </c>
      <c r="K38" s="13" t="s">
        <v>2</v>
      </c>
      <c r="L38" s="13"/>
      <c r="M38" s="13"/>
      <c r="N38" s="13"/>
      <c r="O38" s="13"/>
      <c r="P38" s="13"/>
      <c r="Q38" s="13"/>
      <c r="R38" s="14"/>
    </row>
    <row r="39" spans="2:18">
      <c r="B39" s="23"/>
      <c r="C39" s="13"/>
      <c r="D39" s="14"/>
      <c r="H39" s="11" t="s">
        <v>22</v>
      </c>
      <c r="I39" s="12"/>
      <c r="J39" s="13">
        <f>(J38/C4)*C5</f>
        <v>0</v>
      </c>
      <c r="K39" s="13" t="s">
        <v>4</v>
      </c>
      <c r="L39" s="13"/>
      <c r="M39" s="13"/>
      <c r="N39" s="13"/>
      <c r="O39" s="13"/>
      <c r="P39" s="13"/>
      <c r="Q39" s="13"/>
      <c r="R39" s="14"/>
    </row>
    <row r="40" spans="2:18">
      <c r="B40" s="23"/>
      <c r="C40" s="13"/>
      <c r="D40" s="14"/>
      <c r="H40" s="11"/>
      <c r="I40" s="12"/>
      <c r="J40" s="13"/>
      <c r="K40" s="13"/>
      <c r="L40" s="13"/>
      <c r="M40" s="13"/>
      <c r="N40" s="13"/>
      <c r="O40" s="13"/>
      <c r="P40" s="13"/>
      <c r="Q40" s="13"/>
      <c r="R40" s="14"/>
    </row>
    <row r="41" spans="2:18">
      <c r="B41" s="23" t="s">
        <v>46</v>
      </c>
      <c r="C41" s="13">
        <f>-(C19-C20)/(2*PI()*C38*C19*C20)</f>
        <v>8.8419412828830743E-8</v>
      </c>
      <c r="D41" s="14" t="s">
        <v>47</v>
      </c>
      <c r="H41" s="15"/>
      <c r="I41" s="16"/>
      <c r="J41" s="17"/>
      <c r="K41" s="17"/>
      <c r="L41" s="4" t="s">
        <v>25</v>
      </c>
      <c r="M41" s="4"/>
      <c r="N41" s="21" t="s">
        <v>24</v>
      </c>
      <c r="O41" s="21">
        <f>ROUND(J39,0)</f>
        <v>0</v>
      </c>
      <c r="P41" s="21" t="s">
        <v>23</v>
      </c>
      <c r="Q41" s="22">
        <f>J35</f>
        <v>0.5</v>
      </c>
      <c r="R41" s="18"/>
    </row>
    <row r="42" spans="2:18">
      <c r="B42" s="23"/>
      <c r="C42" s="13">
        <f>1000000*C41</f>
        <v>8.8419412828830743E-2</v>
      </c>
      <c r="D42" s="14" t="s">
        <v>48</v>
      </c>
      <c r="H42" s="2"/>
      <c r="I42" s="2"/>
    </row>
    <row r="43" spans="2:18">
      <c r="B43" s="23"/>
      <c r="C43" s="13">
        <f>1000*C42</f>
        <v>88.419412828830744</v>
      </c>
      <c r="D43" s="14" t="s">
        <v>49</v>
      </c>
    </row>
    <row r="44" spans="2:18">
      <c r="B44" s="23"/>
      <c r="C44" s="13">
        <f>1000*C43</f>
        <v>88419.41282883074</v>
      </c>
      <c r="D44" s="14" t="s">
        <v>50</v>
      </c>
    </row>
    <row r="45" spans="2:18">
      <c r="B45" s="23"/>
      <c r="C45" s="13"/>
      <c r="D45" s="14"/>
    </row>
    <row r="46" spans="2:18">
      <c r="B46" s="23"/>
      <c r="C46" s="13"/>
      <c r="D46" s="14"/>
    </row>
    <row r="47" spans="2:18">
      <c r="B47" s="23"/>
      <c r="C47" s="13"/>
      <c r="D47" s="14"/>
    </row>
    <row r="48" spans="2:18">
      <c r="B48" s="23"/>
      <c r="C48" s="13"/>
      <c r="D48" s="14"/>
    </row>
    <row r="49" spans="2:4">
      <c r="B49" s="23"/>
      <c r="C49" s="13"/>
      <c r="D49" s="14"/>
    </row>
    <row r="50" spans="2:4">
      <c r="B50" s="23"/>
      <c r="C50" s="13"/>
      <c r="D50" s="14"/>
    </row>
    <row r="51" spans="2:4">
      <c r="B51" s="24"/>
      <c r="C51" s="17"/>
      <c r="D51" s="18"/>
    </row>
  </sheetData>
  <mergeCells count="44">
    <mergeCell ref="H42:I42"/>
    <mergeCell ref="H37:I37"/>
    <mergeCell ref="H38:I38"/>
    <mergeCell ref="H39:I39"/>
    <mergeCell ref="H40:I40"/>
    <mergeCell ref="H41:I41"/>
    <mergeCell ref="L41:M41"/>
    <mergeCell ref="H30:I30"/>
    <mergeCell ref="H31:I31"/>
    <mergeCell ref="H32:I32"/>
    <mergeCell ref="H33:I33"/>
    <mergeCell ref="H35:I35"/>
    <mergeCell ref="B36:D36"/>
    <mergeCell ref="H36:I36"/>
    <mergeCell ref="H24:I24"/>
    <mergeCell ref="H25:I25"/>
    <mergeCell ref="H26:I26"/>
    <mergeCell ref="H27:I27"/>
    <mergeCell ref="H28:I28"/>
    <mergeCell ref="H29:I29"/>
    <mergeCell ref="H19:I19"/>
    <mergeCell ref="H20:I20"/>
    <mergeCell ref="L20:M20"/>
    <mergeCell ref="H21:I21"/>
    <mergeCell ref="H22:I22"/>
    <mergeCell ref="H23:I23"/>
    <mergeCell ref="H14:I14"/>
    <mergeCell ref="H15:I15"/>
    <mergeCell ref="H16:I16"/>
    <mergeCell ref="B17:D17"/>
    <mergeCell ref="H17:I17"/>
    <mergeCell ref="H18:I18"/>
    <mergeCell ref="H8:I8"/>
    <mergeCell ref="H9:I9"/>
    <mergeCell ref="H10:I10"/>
    <mergeCell ref="H11:I11"/>
    <mergeCell ref="H12:I12"/>
    <mergeCell ref="H13:I13"/>
    <mergeCell ref="J1:R1"/>
    <mergeCell ref="B2:F2"/>
    <mergeCell ref="H4:I4"/>
    <mergeCell ref="H5:I5"/>
    <mergeCell ref="H6:I6"/>
    <mergeCell ref="H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51"/>
  <sheetViews>
    <sheetView workbookViewId="0">
      <selection activeCell="C38" sqref="C38"/>
    </sheetView>
  </sheetViews>
  <sheetFormatPr defaultRowHeight="15"/>
  <cols>
    <col min="2" max="2" width="13.5703125" customWidth="1"/>
    <col min="10" max="10" width="16.5703125" customWidth="1"/>
    <col min="14" max="14" width="10.7109375" customWidth="1"/>
    <col min="15" max="15" width="4.140625" customWidth="1"/>
    <col min="16" max="16" width="3.28515625" customWidth="1"/>
    <col min="17" max="17" width="6.5703125" customWidth="1"/>
  </cols>
  <sheetData>
    <row r="1" spans="2:18">
      <c r="J1" s="26" t="s">
        <v>36</v>
      </c>
      <c r="K1" s="26"/>
      <c r="L1" s="26"/>
      <c r="M1" s="26"/>
      <c r="N1" s="26"/>
      <c r="O1" s="26"/>
      <c r="P1" s="26"/>
      <c r="Q1" s="26"/>
      <c r="R1" s="26"/>
    </row>
    <row r="2" spans="2:18">
      <c r="B2" s="3" t="s">
        <v>1</v>
      </c>
      <c r="C2" s="4"/>
      <c r="D2" s="4"/>
      <c r="E2" s="4"/>
      <c r="F2" s="5"/>
      <c r="J2" s="1"/>
    </row>
    <row r="4" spans="2:18">
      <c r="B4" t="s">
        <v>0</v>
      </c>
      <c r="C4" s="6">
        <v>4.0960000000000001</v>
      </c>
      <c r="D4" t="s">
        <v>2</v>
      </c>
      <c r="H4" s="2" t="s">
        <v>13</v>
      </c>
      <c r="I4" s="2"/>
      <c r="J4">
        <f>C7*$C$10</f>
        <v>2.0480000000000002E-2</v>
      </c>
      <c r="K4" t="s">
        <v>2</v>
      </c>
    </row>
    <row r="5" spans="2:18">
      <c r="B5" t="s">
        <v>3</v>
      </c>
      <c r="C5" s="6">
        <v>1024</v>
      </c>
      <c r="D5" t="s">
        <v>4</v>
      </c>
      <c r="H5" s="2" t="s">
        <v>14</v>
      </c>
      <c r="I5" s="2"/>
      <c r="J5">
        <f>C8*$C$10</f>
        <v>-6.1440000000000002E-2</v>
      </c>
      <c r="K5" t="s">
        <v>2</v>
      </c>
    </row>
    <row r="6" spans="2:18">
      <c r="H6" s="2"/>
      <c r="I6" s="2"/>
    </row>
    <row r="7" spans="2:18">
      <c r="B7" t="s">
        <v>5</v>
      </c>
      <c r="C7" s="6">
        <v>1.024</v>
      </c>
      <c r="D7" t="s">
        <v>6</v>
      </c>
      <c r="H7" s="2" t="s">
        <v>10</v>
      </c>
      <c r="I7" s="2"/>
      <c r="J7">
        <f>MAX(J4*C7,J5*C8)</f>
        <v>0.18874368</v>
      </c>
      <c r="K7" t="s">
        <v>11</v>
      </c>
    </row>
    <row r="8" spans="2:18">
      <c r="B8" t="s">
        <v>7</v>
      </c>
      <c r="C8" s="6">
        <v>-3.0720000000000001</v>
      </c>
      <c r="D8" t="s">
        <v>6</v>
      </c>
      <c r="H8" s="2"/>
      <c r="I8" s="2"/>
      <c r="J8">
        <f>J7*1000</f>
        <v>188.74367999999998</v>
      </c>
      <c r="K8" t="s">
        <v>16</v>
      </c>
    </row>
    <row r="9" spans="2:18">
      <c r="H9" s="2"/>
      <c r="I9" s="2"/>
    </row>
    <row r="10" spans="2:18">
      <c r="B10" t="s">
        <v>8</v>
      </c>
      <c r="C10" s="6">
        <v>0.02</v>
      </c>
      <c r="D10" t="s">
        <v>9</v>
      </c>
      <c r="H10" s="2" t="s">
        <v>17</v>
      </c>
      <c r="I10" s="2"/>
      <c r="J10">
        <f>C4/(J4-J5)</f>
        <v>50</v>
      </c>
    </row>
    <row r="11" spans="2:18">
      <c r="C11">
        <f>C10*1000</f>
        <v>20</v>
      </c>
      <c r="D11" t="s">
        <v>12</v>
      </c>
      <c r="H11" s="2"/>
      <c r="I11" s="2"/>
    </row>
    <row r="12" spans="2:18">
      <c r="H12" s="2" t="s">
        <v>18</v>
      </c>
      <c r="I12" s="2"/>
      <c r="J12">
        <f>1/(J10+1)</f>
        <v>1.9607843137254902E-2</v>
      </c>
    </row>
    <row r="13" spans="2:18">
      <c r="H13" s="2"/>
      <c r="I13" s="2"/>
    </row>
    <row r="14" spans="2:18">
      <c r="H14" s="2" t="s">
        <v>0</v>
      </c>
      <c r="I14" s="2"/>
      <c r="J14">
        <f>(J4*C4)/(J4-J5+C4)</f>
        <v>2.007843137254902E-2</v>
      </c>
      <c r="K14" t="s">
        <v>2</v>
      </c>
    </row>
    <row r="15" spans="2:18">
      <c r="H15" s="2"/>
      <c r="I15" s="2"/>
      <c r="J15">
        <f>J14*1000</f>
        <v>20.078431372549019</v>
      </c>
      <c r="K15" t="s">
        <v>15</v>
      </c>
    </row>
    <row r="16" spans="2:18">
      <c r="H16" s="2"/>
      <c r="I16" s="2"/>
    </row>
    <row r="17" spans="2:18">
      <c r="B17" s="3" t="s">
        <v>26</v>
      </c>
      <c r="C17" s="4"/>
      <c r="D17" s="5"/>
      <c r="H17" s="2" t="s">
        <v>19</v>
      </c>
      <c r="I17" s="2"/>
      <c r="J17">
        <f>J14/C4</f>
        <v>4.9019607843137254E-3</v>
      </c>
    </row>
    <row r="18" spans="2:18">
      <c r="H18" s="2"/>
      <c r="I18" s="2"/>
    </row>
    <row r="19" spans="2:18">
      <c r="B19" t="s">
        <v>27</v>
      </c>
      <c r="C19" s="6">
        <v>2000</v>
      </c>
      <c r="H19" s="2" t="s">
        <v>37</v>
      </c>
      <c r="I19" s="2"/>
    </row>
    <row r="20" spans="2:18">
      <c r="B20" t="s">
        <v>28</v>
      </c>
      <c r="C20" s="6">
        <v>100000</v>
      </c>
      <c r="H20" s="7"/>
      <c r="I20" s="8"/>
      <c r="J20" s="9"/>
      <c r="K20" s="9"/>
      <c r="L20" s="8" t="s">
        <v>25</v>
      </c>
      <c r="M20" s="8"/>
      <c r="N20" s="9" t="s">
        <v>24</v>
      </c>
      <c r="O20" s="9">
        <f>J30</f>
        <v>256</v>
      </c>
      <c r="P20" s="9" t="s">
        <v>23</v>
      </c>
      <c r="Q20" s="19">
        <f>J26</f>
        <v>4</v>
      </c>
      <c r="R20" s="10"/>
    </row>
    <row r="21" spans="2:18">
      <c r="B21" t="s">
        <v>39</v>
      </c>
      <c r="C21">
        <f>C20/C19</f>
        <v>50</v>
      </c>
      <c r="H21" s="11"/>
      <c r="I21" s="12"/>
      <c r="J21" s="13"/>
      <c r="K21" s="13"/>
      <c r="L21" s="13"/>
      <c r="M21" s="13"/>
      <c r="N21" s="13"/>
      <c r="O21" s="13"/>
      <c r="P21" s="13"/>
      <c r="Q21" s="13"/>
      <c r="R21" s="14"/>
    </row>
    <row r="22" spans="2:18">
      <c r="H22" s="11"/>
      <c r="I22" s="12"/>
      <c r="J22" s="13"/>
      <c r="K22" s="13"/>
      <c r="L22" s="13"/>
      <c r="M22" s="13"/>
      <c r="N22" s="13"/>
      <c r="O22" s="13"/>
      <c r="P22" s="13"/>
      <c r="Q22" s="13"/>
      <c r="R22" s="14"/>
    </row>
    <row r="23" spans="2:18">
      <c r="B23" t="s">
        <v>29</v>
      </c>
      <c r="C23" s="6">
        <v>1000</v>
      </c>
      <c r="H23" s="11"/>
      <c r="I23" s="12"/>
      <c r="J23" s="13"/>
      <c r="K23" s="13"/>
      <c r="L23" s="13"/>
      <c r="M23" s="13"/>
      <c r="N23" s="13"/>
      <c r="O23" s="13"/>
      <c r="P23" s="13"/>
      <c r="Q23" s="13"/>
      <c r="R23" s="14"/>
    </row>
    <row r="24" spans="2:18">
      <c r="B24" t="s">
        <v>30</v>
      </c>
      <c r="C24" s="6">
        <v>200000</v>
      </c>
      <c r="H24" s="11"/>
      <c r="I24" s="12"/>
      <c r="J24" s="13"/>
      <c r="K24" s="13"/>
      <c r="L24" s="13"/>
      <c r="M24" s="13"/>
      <c r="N24" s="13"/>
      <c r="O24" s="13"/>
      <c r="P24" s="13"/>
      <c r="Q24" s="13"/>
      <c r="R24" s="14"/>
    </row>
    <row r="25" spans="2:18">
      <c r="B25" t="s">
        <v>40</v>
      </c>
      <c r="C25">
        <f>(C23/(C24+C23))*C4</f>
        <v>2.0378109452736319E-2</v>
      </c>
      <c r="D25" t="s">
        <v>2</v>
      </c>
      <c r="H25" s="11" t="s">
        <v>20</v>
      </c>
      <c r="I25" s="12"/>
      <c r="J25" s="13">
        <f>C7-C8</f>
        <v>4.0960000000000001</v>
      </c>
      <c r="K25" s="13" t="s">
        <v>6</v>
      </c>
      <c r="L25" s="13"/>
      <c r="M25" s="13"/>
      <c r="N25" s="13"/>
      <c r="O25" s="13"/>
      <c r="P25" s="13"/>
      <c r="Q25" s="13"/>
      <c r="R25" s="14"/>
    </row>
    <row r="26" spans="2:18">
      <c r="H26" s="11"/>
      <c r="I26" s="12"/>
      <c r="J26" s="13">
        <f>(J25*1000)/C5</f>
        <v>4</v>
      </c>
      <c r="K26" s="13" t="s">
        <v>32</v>
      </c>
      <c r="L26" s="13"/>
      <c r="M26" s="13"/>
      <c r="N26" s="13"/>
      <c r="O26" s="13"/>
      <c r="P26" s="13"/>
      <c r="Q26" s="13"/>
      <c r="R26" s="14"/>
    </row>
    <row r="27" spans="2:18">
      <c r="H27" s="11"/>
      <c r="I27" s="12"/>
      <c r="J27" s="13"/>
      <c r="K27" s="13"/>
      <c r="L27" s="13"/>
      <c r="M27" s="13"/>
      <c r="N27" s="13"/>
      <c r="O27" s="13"/>
      <c r="P27" s="13"/>
      <c r="Q27" s="13"/>
      <c r="R27" s="14"/>
    </row>
    <row r="28" spans="2:18">
      <c r="H28" s="11"/>
      <c r="I28" s="12"/>
      <c r="J28" s="13"/>
      <c r="K28" s="13"/>
      <c r="L28" s="13"/>
      <c r="M28" s="13"/>
      <c r="N28" s="13"/>
      <c r="O28" s="13"/>
      <c r="P28" s="13"/>
      <c r="Q28" s="13"/>
      <c r="R28" s="14"/>
    </row>
    <row r="29" spans="2:18">
      <c r="B29" t="s">
        <v>41</v>
      </c>
      <c r="C29">
        <f>C25+(C25/C21)</f>
        <v>2.0785671641791046E-2</v>
      </c>
      <c r="D29" t="s">
        <v>2</v>
      </c>
      <c r="H29" s="11" t="s">
        <v>21</v>
      </c>
      <c r="I29" s="12"/>
      <c r="J29" s="13">
        <f>J14*J10+J14</f>
        <v>1.024</v>
      </c>
      <c r="K29" s="13" t="s">
        <v>2</v>
      </c>
      <c r="L29" s="13"/>
      <c r="M29" s="13"/>
      <c r="N29" s="13"/>
      <c r="O29" s="13"/>
      <c r="P29" s="13"/>
      <c r="Q29" s="13"/>
      <c r="R29" s="14"/>
    </row>
    <row r="30" spans="2:18">
      <c r="B30" t="s">
        <v>42</v>
      </c>
      <c r="C30">
        <f>C25-((C4-C25)/C20)*C19</f>
        <v>-6.1134328358208943E-2</v>
      </c>
      <c r="D30" t="s">
        <v>2</v>
      </c>
      <c r="H30" s="11" t="s">
        <v>22</v>
      </c>
      <c r="I30" s="12"/>
      <c r="J30" s="13">
        <f>(J29/C4)*C5</f>
        <v>256</v>
      </c>
      <c r="K30" s="13" t="s">
        <v>4</v>
      </c>
      <c r="L30" s="13"/>
      <c r="M30" s="13"/>
      <c r="N30" s="13"/>
      <c r="O30" s="13"/>
      <c r="P30" s="13"/>
      <c r="Q30" s="13"/>
      <c r="R30" s="14"/>
    </row>
    <row r="31" spans="2:18">
      <c r="H31" s="11"/>
      <c r="I31" s="12"/>
      <c r="J31" s="13"/>
      <c r="K31" s="13"/>
      <c r="L31" s="13"/>
      <c r="M31" s="13"/>
      <c r="N31" s="13"/>
      <c r="O31" s="13"/>
      <c r="P31" s="13"/>
      <c r="Q31" s="13"/>
      <c r="R31" s="14"/>
    </row>
    <row r="32" spans="2:18">
      <c r="B32" t="s">
        <v>43</v>
      </c>
      <c r="C32">
        <f>C29/C10</f>
        <v>1.0392835820895523</v>
      </c>
      <c r="D32" t="s">
        <v>6</v>
      </c>
      <c r="H32" s="15"/>
      <c r="I32" s="16"/>
      <c r="J32" s="17"/>
      <c r="K32" s="17"/>
      <c r="L32" s="17"/>
      <c r="M32" s="17"/>
      <c r="N32" s="17"/>
      <c r="O32" s="17"/>
      <c r="P32" s="17"/>
      <c r="Q32" s="17"/>
      <c r="R32" s="18"/>
    </row>
    <row r="33" spans="2:18">
      <c r="B33" t="s">
        <v>44</v>
      </c>
      <c r="C33">
        <f>C30/C10</f>
        <v>-3.0567164179104469</v>
      </c>
      <c r="D33" t="s">
        <v>6</v>
      </c>
      <c r="H33" s="2" t="s">
        <v>38</v>
      </c>
      <c r="I33" s="2"/>
    </row>
    <row r="34" spans="2:18">
      <c r="H34" s="20" t="s">
        <v>31</v>
      </c>
      <c r="I34" s="9"/>
      <c r="J34" s="9">
        <f>C32-C33</f>
        <v>4.0959999999999992</v>
      </c>
      <c r="K34" s="9" t="s">
        <v>6</v>
      </c>
      <c r="L34" s="9"/>
      <c r="M34" s="9"/>
      <c r="N34" s="9"/>
      <c r="O34" s="9"/>
      <c r="P34" s="9"/>
      <c r="Q34" s="9"/>
      <c r="R34" s="10"/>
    </row>
    <row r="35" spans="2:18">
      <c r="H35" s="11"/>
      <c r="I35" s="12"/>
      <c r="J35" s="13">
        <f>(J34*1000)/C5</f>
        <v>3.9999999999999991</v>
      </c>
      <c r="K35" s="13" t="s">
        <v>32</v>
      </c>
      <c r="L35" s="13"/>
      <c r="M35" s="13"/>
      <c r="N35" s="13"/>
      <c r="O35" s="13"/>
      <c r="P35" s="13"/>
      <c r="Q35" s="13"/>
      <c r="R35" s="14"/>
    </row>
    <row r="36" spans="2:18">
      <c r="B36" s="3" t="s">
        <v>45</v>
      </c>
      <c r="C36" s="4"/>
      <c r="D36" s="5"/>
      <c r="H36" s="11"/>
      <c r="I36" s="12"/>
      <c r="J36" s="13"/>
      <c r="K36" s="13"/>
      <c r="L36" s="13"/>
      <c r="M36" s="13"/>
      <c r="N36" s="13"/>
      <c r="O36" s="13"/>
      <c r="P36" s="13"/>
      <c r="Q36" s="13"/>
      <c r="R36" s="14"/>
    </row>
    <row r="37" spans="2:18">
      <c r="B37" s="23"/>
      <c r="C37" s="13"/>
      <c r="D37" s="14"/>
      <c r="H37" s="11"/>
      <c r="I37" s="12"/>
      <c r="J37" s="13"/>
      <c r="K37" s="13"/>
      <c r="L37" s="13"/>
      <c r="M37" s="13"/>
      <c r="N37" s="13"/>
      <c r="O37" s="13"/>
      <c r="P37" s="13"/>
      <c r="Q37" s="13"/>
      <c r="R37" s="14"/>
    </row>
    <row r="38" spans="2:18">
      <c r="B38" s="23" t="s">
        <v>34</v>
      </c>
      <c r="C38" s="25">
        <v>1185</v>
      </c>
      <c r="D38" s="14" t="s">
        <v>35</v>
      </c>
      <c r="H38" s="11" t="s">
        <v>33</v>
      </c>
      <c r="I38" s="12"/>
      <c r="J38" s="13">
        <f>C21*C25+C25</f>
        <v>1.0392835820895521</v>
      </c>
      <c r="K38" s="13" t="s">
        <v>2</v>
      </c>
      <c r="L38" s="13"/>
      <c r="M38" s="13"/>
      <c r="N38" s="13"/>
      <c r="O38" s="13"/>
      <c r="P38" s="13"/>
      <c r="Q38" s="13"/>
      <c r="R38" s="14"/>
    </row>
    <row r="39" spans="2:18">
      <c r="B39" s="23"/>
      <c r="C39" s="13"/>
      <c r="D39" s="14"/>
      <c r="H39" s="11" t="s">
        <v>22</v>
      </c>
      <c r="I39" s="12"/>
      <c r="J39" s="13">
        <f>(J38/C4)*C5</f>
        <v>259.82089552238801</v>
      </c>
      <c r="K39" s="13" t="s">
        <v>4</v>
      </c>
      <c r="L39" s="13"/>
      <c r="M39" s="13"/>
      <c r="N39" s="13"/>
      <c r="O39" s="13"/>
      <c r="P39" s="13"/>
      <c r="Q39" s="13"/>
      <c r="R39" s="14"/>
    </row>
    <row r="40" spans="2:18">
      <c r="B40" s="23"/>
      <c r="C40" s="13"/>
      <c r="D40" s="14"/>
      <c r="H40" s="11"/>
      <c r="I40" s="12"/>
      <c r="J40" s="13"/>
      <c r="K40" s="13"/>
      <c r="L40" s="13"/>
      <c r="M40" s="13"/>
      <c r="N40" s="13"/>
      <c r="O40" s="13"/>
      <c r="P40" s="13"/>
      <c r="Q40" s="13"/>
      <c r="R40" s="14"/>
    </row>
    <row r="41" spans="2:18">
      <c r="B41" s="23" t="s">
        <v>46</v>
      </c>
      <c r="C41" s="13">
        <f>-(C19-C20)/(2*PI()*C38*C19*C20)</f>
        <v>6.5810904738420853E-8</v>
      </c>
      <c r="D41" s="14" t="s">
        <v>47</v>
      </c>
      <c r="H41" s="15"/>
      <c r="I41" s="16"/>
      <c r="J41" s="17"/>
      <c r="K41" s="17"/>
      <c r="L41" s="4" t="s">
        <v>25</v>
      </c>
      <c r="M41" s="4"/>
      <c r="N41" s="21" t="s">
        <v>24</v>
      </c>
      <c r="O41" s="21">
        <f>ROUND(J39,0)</f>
        <v>260</v>
      </c>
      <c r="P41" s="21" t="s">
        <v>23</v>
      </c>
      <c r="Q41" s="22">
        <f>J35</f>
        <v>3.9999999999999991</v>
      </c>
      <c r="R41" s="18"/>
    </row>
    <row r="42" spans="2:18">
      <c r="B42" s="23"/>
      <c r="C42" s="13">
        <f>1000000*C41</f>
        <v>6.5810904738420856E-2</v>
      </c>
      <c r="D42" s="14" t="s">
        <v>48</v>
      </c>
      <c r="H42" s="2"/>
      <c r="I42" s="2"/>
    </row>
    <row r="43" spans="2:18">
      <c r="B43" s="23"/>
      <c r="C43" s="13">
        <f>1000*C42</f>
        <v>65.810904738420859</v>
      </c>
      <c r="D43" s="14" t="s">
        <v>49</v>
      </c>
    </row>
    <row r="44" spans="2:18">
      <c r="B44" s="23"/>
      <c r="C44" s="13">
        <f>1000*C43</f>
        <v>65810.904738420853</v>
      </c>
      <c r="D44" s="14" t="s">
        <v>50</v>
      </c>
    </row>
    <row r="45" spans="2:18">
      <c r="B45" s="23"/>
      <c r="C45" s="13"/>
      <c r="D45" s="14"/>
    </row>
    <row r="46" spans="2:18">
      <c r="B46" s="23"/>
      <c r="C46" s="13"/>
      <c r="D46" s="14"/>
    </row>
    <row r="47" spans="2:18">
      <c r="B47" s="23"/>
      <c r="C47" s="13"/>
      <c r="D47" s="14"/>
    </row>
    <row r="48" spans="2:18">
      <c r="B48" s="23"/>
      <c r="C48" s="13"/>
      <c r="D48" s="14"/>
    </row>
    <row r="49" spans="2:4">
      <c r="B49" s="23"/>
      <c r="C49" s="13"/>
      <c r="D49" s="14"/>
    </row>
    <row r="50" spans="2:4">
      <c r="B50" s="23"/>
      <c r="C50" s="13"/>
      <c r="D50" s="14"/>
    </row>
    <row r="51" spans="2:4">
      <c r="B51" s="24"/>
      <c r="C51" s="17"/>
      <c r="D51" s="18"/>
    </row>
  </sheetData>
  <mergeCells count="44">
    <mergeCell ref="H41:I41"/>
    <mergeCell ref="H42:I42"/>
    <mergeCell ref="L41:M41"/>
    <mergeCell ref="B36:D36"/>
    <mergeCell ref="J1:R1"/>
    <mergeCell ref="L20:M20"/>
    <mergeCell ref="B17:D17"/>
    <mergeCell ref="H37:I37"/>
    <mergeCell ref="H38:I38"/>
    <mergeCell ref="H39:I39"/>
    <mergeCell ref="H40:I40"/>
    <mergeCell ref="H31:I31"/>
    <mergeCell ref="H32:I32"/>
    <mergeCell ref="H33:I33"/>
    <mergeCell ref="H35:I35"/>
    <mergeCell ref="H36:I36"/>
    <mergeCell ref="H25:I25"/>
    <mergeCell ref="H26:I26"/>
    <mergeCell ref="H27:I27"/>
    <mergeCell ref="H28:I28"/>
    <mergeCell ref="H29:I29"/>
    <mergeCell ref="H30:I30"/>
    <mergeCell ref="H21:I21"/>
    <mergeCell ref="H4:I4"/>
    <mergeCell ref="H9:I9"/>
    <mergeCell ref="H22:I22"/>
    <mergeCell ref="H23:I23"/>
    <mergeCell ref="H24:I24"/>
    <mergeCell ref="H15:I15"/>
    <mergeCell ref="H16:I16"/>
    <mergeCell ref="H17:I17"/>
    <mergeCell ref="H18:I18"/>
    <mergeCell ref="H19:I19"/>
    <mergeCell ref="H20:I20"/>
    <mergeCell ref="H10:I10"/>
    <mergeCell ref="H11:I11"/>
    <mergeCell ref="H12:I12"/>
    <mergeCell ref="H13:I13"/>
    <mergeCell ref="H14:I14"/>
    <mergeCell ref="B2:F2"/>
    <mergeCell ref="H7:I7"/>
    <mergeCell ref="H5:I5"/>
    <mergeCell ref="H6:I6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PV_Current</vt:lpstr>
      <vt:lpstr>Batt_Current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hboyce4</dc:creator>
  <cp:lastModifiedBy>hboyce4</cp:lastModifiedBy>
  <dcterms:created xsi:type="dcterms:W3CDTF">2018-03-18T01:20:30Z</dcterms:created>
  <dcterms:modified xsi:type="dcterms:W3CDTF">2018-03-20T02:35:15Z</dcterms:modified>
</cp:coreProperties>
</file>