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llstein\SkyDrive\DEV\EM2016\bin\Debug\_Fasit\"/>
    </mc:Choice>
  </mc:AlternateContent>
  <bookViews>
    <workbookView xWindow="0" yWindow="0" windowWidth="28800" windowHeight="14540" firstSheet="1" activeTab="3"/>
  </bookViews>
  <sheets>
    <sheet name="T" sheetId="10" state="hidden" r:id="rId1"/>
    <sheet name="Settings" sheetId="9" r:id="rId2"/>
    <sheet name="3rd Places" sheetId="11" r:id="rId3"/>
    <sheet name="UEFA EURO 2016" sheetId="8" r:id="rId4"/>
  </sheets>
  <definedNames>
    <definedName name="db_fifarank">Settings!$B$15:$C$46</definedName>
    <definedName name="gmt_delta">Settings!$G$14</definedName>
    <definedName name="itype">Settings!$G$46</definedName>
    <definedName name="lang">Settings!$G$13</definedName>
    <definedName name="lang_list">T!$1:$1</definedName>
    <definedName name="lookup_3rd">'UEFA EURO 2016'!$AL$50</definedName>
    <definedName name="_xlnm.Print_Area" localSheetId="3">'UEFA EURO 2016'!$A$1:$DY$57</definedName>
    <definedName name="T">T!$1:$1048576</definedName>
    <definedName name="tbl_lookup_3rd">'UEFA EURO 2016'!$AN$53:$AR$67</definedName>
  </definedNames>
  <calcPr calcId="152511"/>
</workbook>
</file>

<file path=xl/calcChain.xml><?xml version="1.0" encoding="utf-8"?>
<calcChain xmlns="http://schemas.openxmlformats.org/spreadsheetml/2006/main">
  <c r="AF21" i="8" l="1"/>
  <c r="AG8" i="8"/>
  <c r="AF22" i="8"/>
  <c r="AG34" i="8"/>
  <c r="AI8" i="8"/>
  <c r="AJ8" i="8"/>
  <c r="AK20" i="8"/>
  <c r="AK8" i="8"/>
  <c r="AE8" i="8"/>
  <c r="AF8" i="8"/>
  <c r="AF7" i="8"/>
  <c r="AI20" i="8"/>
  <c r="AE7" i="8"/>
  <c r="AG7" i="8"/>
  <c r="AI7" i="8"/>
  <c r="AK7" i="8"/>
  <c r="AF34" i="8"/>
  <c r="AG19" i="8"/>
  <c r="AG22" i="8"/>
  <c r="AE34" i="8"/>
  <c r="AG14" i="8"/>
  <c r="AK22" i="8"/>
  <c r="AE10" i="8"/>
  <c r="AK34" i="8"/>
  <c r="AJ34" i="8"/>
  <c r="AI34" i="8"/>
  <c r="AJ22" i="8"/>
  <c r="AI22" i="8"/>
  <c r="AE22" i="8"/>
  <c r="AE31" i="8"/>
  <c r="AG32" i="8"/>
  <c r="AJ32" i="8"/>
  <c r="AE33" i="8"/>
  <c r="AK19" i="8"/>
  <c r="AG33" i="8"/>
  <c r="AI21" i="8"/>
  <c r="AG21" i="8"/>
  <c r="AE32" i="8"/>
  <c r="AJ21" i="8"/>
  <c r="AI19" i="8"/>
  <c r="AI31" i="8"/>
  <c r="AE21" i="8"/>
  <c r="AG20" i="8"/>
  <c r="AF32" i="8"/>
  <c r="AF31" i="8"/>
  <c r="AK21" i="8"/>
  <c r="AJ33" i="8"/>
  <c r="AK33" i="8"/>
  <c r="AF20" i="8"/>
  <c r="AG31" i="8"/>
  <c r="AI33" i="8"/>
  <c r="AF19" i="8"/>
  <c r="AJ20" i="8"/>
  <c r="AK31" i="8"/>
  <c r="AJ31" i="8"/>
  <c r="AK32" i="8"/>
  <c r="AJ19" i="8"/>
  <c r="AE20" i="8"/>
  <c r="AF33" i="8"/>
  <c r="AI32" i="8"/>
  <c r="AE19" i="8"/>
  <c r="AJ7" i="8"/>
  <c r="AF10" i="8"/>
  <c r="AG41" i="8"/>
  <c r="AJ30" i="8"/>
  <c r="AI38" i="8"/>
  <c r="AG42" i="8"/>
  <c r="AK9" i="8"/>
  <c r="AG10" i="8"/>
  <c r="AJ17" i="8"/>
  <c r="AF25" i="8"/>
  <c r="AE29" i="8"/>
  <c r="AI10" i="8"/>
  <c r="AF37" i="8"/>
  <c r="AE9" i="8"/>
  <c r="AI16" i="8"/>
  <c r="AE37" i="8"/>
  <c r="AK14" i="8"/>
  <c r="AF9" i="8"/>
  <c r="AG9" i="8"/>
  <c r="AJ9" i="8"/>
  <c r="AK38" i="8"/>
  <c r="AI9" i="8"/>
  <c r="AE13" i="8"/>
  <c r="AE18" i="8"/>
  <c r="AI26" i="8"/>
  <c r="AF30" i="8"/>
  <c r="AG38" i="8"/>
  <c r="AE42" i="8"/>
  <c r="AJ42" i="8"/>
  <c r="AJ38" i="8"/>
  <c r="AF42" i="8"/>
  <c r="AK10" i="8"/>
  <c r="AK35" i="8"/>
  <c r="AJ39" i="8"/>
  <c r="AF18" i="8"/>
  <c r="AJ10" i="8"/>
  <c r="AJ12" i="8"/>
  <c r="AF24" i="8"/>
  <c r="AF28" i="8"/>
  <c r="AG36" i="8"/>
  <c r="AG40" i="8"/>
  <c r="AI42" i="8"/>
  <c r="AK30" i="8"/>
  <c r="AG30" i="8"/>
  <c r="AI18" i="8"/>
  <c r="AF14" i="8"/>
  <c r="AJ18" i="8"/>
  <c r="AI14" i="8"/>
  <c r="AE26" i="8"/>
  <c r="AI30" i="8"/>
  <c r="AJ14" i="8"/>
  <c r="AG18" i="8"/>
  <c r="AJ26" i="8"/>
  <c r="AE30" i="8"/>
  <c r="AF38" i="8"/>
  <c r="AK42" i="8"/>
  <c r="AG26" i="8"/>
  <c r="AK18" i="8"/>
  <c r="AI24" i="8"/>
  <c r="AK29" i="8"/>
  <c r="AK13" i="8"/>
  <c r="AE14" i="8"/>
  <c r="AI36" i="8"/>
  <c r="AF26" i="8"/>
  <c r="AK26" i="8"/>
  <c r="AE38" i="8"/>
  <c r="AE25" i="8"/>
  <c r="AI17" i="8"/>
  <c r="AI25" i="8"/>
  <c r="AJ37" i="8"/>
  <c r="AI41" i="8"/>
  <c r="AJ41" i="8"/>
  <c r="AK40" i="8"/>
  <c r="AK24" i="8"/>
  <c r="AK36" i="8"/>
  <c r="AJ40" i="8"/>
  <c r="AJ29" i="8"/>
  <c r="AG25" i="8"/>
  <c r="AK25" i="8"/>
  <c r="AF40" i="8"/>
  <c r="AF29" i="8"/>
  <c r="AG35" i="8"/>
  <c r="AG24" i="8"/>
  <c r="AG12" i="8"/>
  <c r="AK37" i="8"/>
  <c r="AG13" i="8"/>
  <c r="AI37" i="8"/>
  <c r="AJ36" i="8"/>
  <c r="AJ25" i="8"/>
  <c r="AE17" i="8"/>
  <c r="AI29" i="8"/>
  <c r="AK41" i="8"/>
  <c r="AE40" i="8"/>
  <c r="AG11" i="8"/>
  <c r="AF15" i="8"/>
  <c r="AK23" i="8"/>
  <c r="AG27" i="8"/>
  <c r="AI35" i="8"/>
  <c r="AK39" i="8"/>
  <c r="AF39" i="8"/>
  <c r="AJ35" i="8"/>
  <c r="AJ16" i="8"/>
  <c r="AK28" i="8"/>
  <c r="AE36" i="8"/>
  <c r="AI40" i="8"/>
  <c r="AF36" i="8"/>
  <c r="AF17" i="8"/>
  <c r="AJ24" i="8"/>
  <c r="AG39" i="8"/>
  <c r="AE39" i="8"/>
  <c r="AK27" i="8"/>
  <c r="AE35" i="8"/>
  <c r="AI39" i="8"/>
  <c r="AF35" i="8"/>
  <c r="AE24" i="8"/>
  <c r="AF23" i="8"/>
  <c r="AF13" i="8"/>
  <c r="AG37" i="8"/>
  <c r="AG29" i="8"/>
  <c r="AE41" i="8"/>
  <c r="AF41" i="8"/>
  <c r="AF12" i="8"/>
  <c r="AG17" i="8"/>
  <c r="AI12" i="8"/>
  <c r="AK16" i="8"/>
  <c r="AE28" i="8"/>
  <c r="AI28" i="8"/>
  <c r="AF27" i="8"/>
  <c r="AJ28" i="8"/>
  <c r="AG28" i="8"/>
  <c r="AE23" i="8"/>
  <c r="AJ23" i="8"/>
  <c r="AG23" i="8"/>
  <c r="AJ15" i="8"/>
  <c r="AE27" i="8"/>
  <c r="AI27" i="8"/>
  <c r="AJ27" i="8"/>
  <c r="AI23" i="8"/>
  <c r="AE16" i="8"/>
  <c r="AK15" i="8"/>
  <c r="AE15" i="8"/>
  <c r="AE12" i="8"/>
  <c r="AI15" i="8"/>
  <c r="AJ13" i="8"/>
  <c r="AG16" i="8"/>
  <c r="AI13" i="8"/>
  <c r="AF16" i="8"/>
  <c r="AK17" i="8"/>
  <c r="AK12" i="8"/>
  <c r="AG15" i="8"/>
  <c r="AI11" i="8"/>
  <c r="AJ11" i="8"/>
  <c r="AK11" i="8"/>
  <c r="AE11" i="8"/>
  <c r="AF11" i="8"/>
  <c r="U73" i="8"/>
  <c r="U65" i="8"/>
  <c r="U64" i="8"/>
  <c r="U60" i="8"/>
  <c r="U59" i="8"/>
  <c r="U58" i="8"/>
  <c r="U57" i="8"/>
  <c r="U53" i="8"/>
  <c r="U52" i="8"/>
  <c r="U51" i="8"/>
  <c r="U50" i="8"/>
  <c r="U49" i="8"/>
  <c r="U48" i="8"/>
  <c r="U47" i="8"/>
  <c r="U46" i="8"/>
  <c r="R6" i="8" l="1"/>
  <c r="G14" i="9" l="1"/>
  <c r="U42" i="8" l="1"/>
  <c r="U34" i="8"/>
  <c r="U26" i="8"/>
  <c r="U18" i="8"/>
  <c r="U10" i="8"/>
  <c r="U19" i="8"/>
  <c r="U41" i="8"/>
  <c r="U33" i="8"/>
  <c r="U25" i="8"/>
  <c r="U17" i="8"/>
  <c r="U9" i="8"/>
  <c r="U40" i="8"/>
  <c r="U32" i="8"/>
  <c r="U24" i="8"/>
  <c r="U16" i="8"/>
  <c r="U8" i="8"/>
  <c r="U39" i="8"/>
  <c r="U31" i="8"/>
  <c r="U23" i="8"/>
  <c r="U15" i="8"/>
  <c r="U7" i="8"/>
  <c r="U36" i="8"/>
  <c r="U30" i="8"/>
  <c r="U22" i="8"/>
  <c r="U14" i="8"/>
  <c r="U35" i="8"/>
  <c r="U29" i="8"/>
  <c r="U21" i="8"/>
  <c r="U11" i="8"/>
  <c r="U69" i="8"/>
  <c r="U38" i="8"/>
  <c r="U28" i="8"/>
  <c r="U20" i="8"/>
  <c r="U12" i="8"/>
  <c r="U37" i="8"/>
  <c r="U27" i="8"/>
  <c r="U13" i="8"/>
  <c r="G13" i="9"/>
  <c r="G46" i="9"/>
  <c r="DJ35" i="8" l="1"/>
  <c r="DD33" i="8"/>
  <c r="DJ27" i="8"/>
  <c r="DD13" i="8"/>
  <c r="DD29" i="8"/>
  <c r="DD25" i="8"/>
  <c r="DJ19" i="8"/>
  <c r="DD17" i="8"/>
  <c r="DJ11" i="8"/>
  <c r="DD37" i="8"/>
  <c r="DD21" i="8"/>
  <c r="M44" i="8"/>
  <c r="B36" i="9"/>
  <c r="B26" i="9"/>
  <c r="B15" i="9"/>
  <c r="B35" i="9"/>
  <c r="B22" i="9"/>
  <c r="B23" i="9"/>
  <c r="B19" i="9"/>
  <c r="B29" i="9"/>
  <c r="B24" i="9"/>
  <c r="B17" i="9"/>
  <c r="B27" i="9"/>
  <c r="B16" i="9"/>
  <c r="B34" i="9"/>
  <c r="B21" i="9"/>
  <c r="B38" i="9"/>
  <c r="B33" i="9"/>
  <c r="B20" i="9"/>
  <c r="B32" i="9"/>
  <c r="B30" i="9"/>
  <c r="B31" i="9"/>
  <c r="B18" i="9"/>
  <c r="B28" i="9"/>
  <c r="B25" i="9"/>
  <c r="B37" i="9"/>
  <c r="I45" i="8"/>
  <c r="I37" i="8"/>
  <c r="I16" i="8"/>
  <c r="I24" i="8"/>
  <c r="I14" i="8"/>
  <c r="I38" i="8"/>
  <c r="I35" i="8"/>
  <c r="I27" i="8"/>
  <c r="I34" i="8"/>
  <c r="I26" i="8"/>
  <c r="I30" i="8"/>
  <c r="I22" i="8"/>
  <c r="I29" i="8"/>
  <c r="I21" i="8"/>
  <c r="I41" i="8"/>
  <c r="I33" i="8"/>
  <c r="I25" i="8"/>
  <c r="I20" i="8"/>
  <c r="I44" i="8"/>
  <c r="I40" i="8"/>
  <c r="I36" i="8"/>
  <c r="I32" i="8"/>
  <c r="I15" i="8"/>
  <c r="I43" i="8"/>
  <c r="I39" i="8"/>
  <c r="I28" i="8"/>
  <c r="I42" i="8"/>
  <c r="I23" i="8"/>
  <c r="I31" i="8"/>
  <c r="I18" i="8"/>
  <c r="DP31" i="8"/>
  <c r="DV22" i="8"/>
  <c r="DP15" i="8"/>
  <c r="DJ6" i="8"/>
  <c r="DD6" i="8"/>
  <c r="A1" i="8"/>
  <c r="DO41" i="8"/>
  <c r="DV6" i="8"/>
  <c r="DP6" i="8"/>
  <c r="M20" i="8"/>
  <c r="I19" i="8"/>
  <c r="I17" i="8"/>
  <c r="I12" i="8"/>
  <c r="I11" i="8"/>
  <c r="I13" i="8"/>
  <c r="I10" i="8"/>
  <c r="Q32" i="8"/>
  <c r="S38" i="8"/>
  <c r="P32" i="8"/>
  <c r="C36" i="8"/>
  <c r="B26" i="8"/>
  <c r="DD9" i="8"/>
  <c r="D44" i="8"/>
  <c r="D42" i="8"/>
  <c r="D37" i="8"/>
  <c r="C35" i="8"/>
  <c r="D29" i="8"/>
  <c r="B36" i="8"/>
  <c r="C17" i="8"/>
  <c r="C11" i="8"/>
  <c r="D36" i="8"/>
  <c r="D40" i="8"/>
  <c r="D10" i="8"/>
  <c r="C39" i="8"/>
  <c r="Q26" i="8"/>
  <c r="P8" i="8"/>
  <c r="B28" i="8"/>
  <c r="M26" i="8"/>
  <c r="R26" i="8"/>
  <c r="N32" i="8"/>
  <c r="S44" i="8"/>
  <c r="AN9" i="8"/>
  <c r="AN39" i="8"/>
  <c r="BI29" i="8" s="1"/>
  <c r="AN27" i="8"/>
  <c r="BI21" i="8" s="1"/>
  <c r="AN40" i="8"/>
  <c r="BI30" i="8" s="1"/>
  <c r="AN33" i="8"/>
  <c r="BI25" i="8" s="1"/>
  <c r="AN20" i="8"/>
  <c r="BI16" i="8" s="1"/>
  <c r="N20" i="8"/>
  <c r="S32" i="8"/>
  <c r="R8" i="8"/>
  <c r="O44" i="8"/>
  <c r="M14" i="8"/>
  <c r="AN41" i="8"/>
  <c r="BI31" i="8" s="1"/>
  <c r="AN35" i="8"/>
  <c r="BI27" i="8" s="1"/>
  <c r="AN32" i="8"/>
  <c r="BI24" i="8" s="1"/>
  <c r="AN28" i="8"/>
  <c r="BI22" i="8" s="1"/>
  <c r="AN23" i="8"/>
  <c r="BI19" i="8" s="1"/>
  <c r="AN21" i="8"/>
  <c r="BI17" i="8" s="1"/>
  <c r="AN16" i="8"/>
  <c r="BI14" i="8" s="1"/>
  <c r="AN14" i="8"/>
  <c r="BI12" i="8" s="1"/>
  <c r="AN38" i="8"/>
  <c r="BI28" i="8" s="1"/>
  <c r="AN34" i="8"/>
  <c r="AN29" i="8"/>
  <c r="BI23" i="8" s="1"/>
  <c r="AN26" i="8"/>
  <c r="BI20" i="8" s="1"/>
  <c r="AN22" i="8"/>
  <c r="BI18" i="8" s="1"/>
  <c r="AN17" i="8"/>
  <c r="AN15" i="8"/>
  <c r="BI13" i="8" s="1"/>
  <c r="N38" i="8"/>
  <c r="P14" i="8"/>
  <c r="O8" i="8"/>
  <c r="Q38" i="8"/>
  <c r="N44" i="8"/>
  <c r="M8" i="8"/>
  <c r="N26" i="8"/>
  <c r="Q14" i="8"/>
  <c r="R38" i="8"/>
  <c r="S14" i="8"/>
  <c r="P38" i="8"/>
  <c r="R14" i="8"/>
  <c r="Q8" i="8"/>
  <c r="M32" i="8"/>
  <c r="O26" i="8"/>
  <c r="R44" i="8"/>
  <c r="Q20" i="8"/>
  <c r="O32" i="8"/>
  <c r="P20" i="8"/>
  <c r="S8" i="8"/>
  <c r="S26" i="8"/>
  <c r="M38" i="8"/>
  <c r="P26" i="8"/>
  <c r="N14" i="8"/>
  <c r="N8" i="8"/>
  <c r="R20" i="8"/>
  <c r="A8" i="8"/>
  <c r="S20" i="8"/>
  <c r="O38" i="8"/>
  <c r="R32" i="8"/>
  <c r="P44" i="8"/>
  <c r="Q44" i="8"/>
  <c r="O20" i="8"/>
  <c r="O14" i="8"/>
  <c r="AN10" i="8"/>
  <c r="AN11" i="8"/>
  <c r="AN8" i="8"/>
  <c r="BI8" i="8" s="1"/>
  <c r="E37" i="8" l="1"/>
  <c r="BI15" i="8"/>
  <c r="BI9" i="8"/>
  <c r="BI10" i="8"/>
  <c r="H19" i="8"/>
  <c r="BI26" i="8"/>
  <c r="BI11" i="8"/>
  <c r="E24" i="8"/>
  <c r="E12" i="8"/>
  <c r="V9" i="8" s="1"/>
  <c r="H25" i="8"/>
  <c r="H36" i="8"/>
  <c r="H23" i="8"/>
  <c r="E35" i="8"/>
  <c r="E15" i="8"/>
  <c r="V12" i="8" s="1"/>
  <c r="H27" i="8"/>
  <c r="H38" i="8"/>
  <c r="H15" i="8"/>
  <c r="E39" i="8"/>
  <c r="H26" i="8"/>
  <c r="E17" i="8"/>
  <c r="E30" i="8"/>
  <c r="V27" i="8" s="1"/>
  <c r="H41" i="8"/>
  <c r="E19" i="8"/>
  <c r="V16" i="8" s="1"/>
  <c r="E31" i="8"/>
  <c r="H45" i="8"/>
  <c r="E44" i="8"/>
  <c r="E28" i="8"/>
  <c r="H18" i="8"/>
  <c r="E45" i="8"/>
  <c r="V42" i="8" s="1"/>
  <c r="W42" i="8" s="1"/>
  <c r="H28" i="8"/>
  <c r="H44" i="8"/>
  <c r="H31" i="8"/>
  <c r="H35" i="8"/>
  <c r="H16" i="8"/>
  <c r="E38" i="8"/>
  <c r="E26" i="8"/>
  <c r="E11" i="8"/>
  <c r="H34" i="8"/>
  <c r="H24" i="8"/>
  <c r="H40" i="8"/>
  <c r="H30" i="8"/>
  <c r="E33" i="8"/>
  <c r="H43" i="8"/>
  <c r="H20" i="8"/>
  <c r="E43" i="8"/>
  <c r="V40" i="8" s="1"/>
  <c r="W40" i="8" s="1"/>
  <c r="H32" i="8"/>
  <c r="E20" i="8"/>
  <c r="V17" i="8" s="1"/>
  <c r="H42" i="8"/>
  <c r="H33" i="8"/>
  <c r="E22" i="8"/>
  <c r="E36" i="8"/>
  <c r="E42" i="8"/>
  <c r="E32" i="8"/>
  <c r="V29" i="8" s="1"/>
  <c r="H10" i="8"/>
  <c r="E23" i="8"/>
  <c r="E34" i="8"/>
  <c r="E40" i="8"/>
  <c r="V37" i="8" s="1"/>
  <c r="E29" i="8"/>
  <c r="E16" i="8"/>
  <c r="V13" i="8" s="1"/>
  <c r="H39" i="8"/>
  <c r="E27" i="8"/>
  <c r="V24" i="8" s="1"/>
  <c r="H37" i="8"/>
  <c r="E25" i="8"/>
  <c r="V22" i="8" s="1"/>
  <c r="H29" i="8"/>
  <c r="E41" i="8"/>
  <c r="H21" i="8"/>
  <c r="V33" i="8"/>
  <c r="W33" i="8" s="1"/>
  <c r="E21" i="8"/>
  <c r="H12" i="8"/>
  <c r="H22" i="8"/>
  <c r="E18" i="8"/>
  <c r="V15" i="8" s="1"/>
  <c r="W15" i="8" s="1"/>
  <c r="H14" i="8"/>
  <c r="V14" i="8"/>
  <c r="E14" i="8"/>
  <c r="E13" i="8"/>
  <c r="H13" i="8"/>
  <c r="B35" i="8"/>
  <c r="H17" i="8"/>
  <c r="V30" i="8"/>
  <c r="BA20" i="8"/>
  <c r="BA40" i="8"/>
  <c r="BA34" i="8"/>
  <c r="BA23" i="8"/>
  <c r="BA41" i="8"/>
  <c r="BA35" i="8"/>
  <c r="BA21" i="8"/>
  <c r="BA28" i="8"/>
  <c r="BA15" i="8"/>
  <c r="BA10" i="8"/>
  <c r="BA29" i="8"/>
  <c r="BA8" i="8"/>
  <c r="V26" i="8"/>
  <c r="V36" i="8"/>
  <c r="V19" i="8"/>
  <c r="V38" i="8"/>
  <c r="V41" i="8"/>
  <c r="V25" i="8"/>
  <c r="V39" i="8"/>
  <c r="V28" i="8"/>
  <c r="V34" i="8"/>
  <c r="V35" i="8"/>
  <c r="V23" i="8"/>
  <c r="C42" i="8"/>
  <c r="D35" i="8"/>
  <c r="C29" i="8"/>
  <c r="B29" i="8"/>
  <c r="C26" i="8"/>
  <c r="D26" i="8"/>
  <c r="B44" i="8"/>
  <c r="C44" i="8"/>
  <c r="C40" i="8"/>
  <c r="B40" i="8"/>
  <c r="D33" i="8"/>
  <c r="B33" i="8"/>
  <c r="C33" i="8"/>
  <c r="D24" i="8"/>
  <c r="C24" i="8"/>
  <c r="B24" i="8"/>
  <c r="D22" i="8"/>
  <c r="B22" i="8"/>
  <c r="C22" i="8"/>
  <c r="B13" i="8"/>
  <c r="C13" i="8"/>
  <c r="D13" i="8"/>
  <c r="B10" i="8"/>
  <c r="C10" i="8"/>
  <c r="B42" i="8"/>
  <c r="B25" i="8"/>
  <c r="D25" i="8"/>
  <c r="C25" i="8"/>
  <c r="C20" i="8"/>
  <c r="D20" i="8"/>
  <c r="B20" i="8"/>
  <c r="B15" i="8"/>
  <c r="C15" i="8"/>
  <c r="D15" i="8"/>
  <c r="C43" i="8"/>
  <c r="B43" i="8"/>
  <c r="D43" i="8"/>
  <c r="C37" i="8"/>
  <c r="B37" i="8"/>
  <c r="D41" i="8"/>
  <c r="B41" i="8"/>
  <c r="C41" i="8"/>
  <c r="B27" i="8"/>
  <c r="C27" i="8"/>
  <c r="D27" i="8"/>
  <c r="B45" i="8"/>
  <c r="D45" i="8"/>
  <c r="C45" i="8"/>
  <c r="B14" i="8"/>
  <c r="D14" i="8"/>
  <c r="C14" i="8"/>
  <c r="B21" i="8"/>
  <c r="C21" i="8"/>
  <c r="D21" i="8"/>
  <c r="C30" i="8"/>
  <c r="D30" i="8"/>
  <c r="B30" i="8"/>
  <c r="D18" i="8"/>
  <c r="B18" i="8"/>
  <c r="C18" i="8"/>
  <c r="C23" i="8"/>
  <c r="D23" i="8"/>
  <c r="B23" i="8"/>
  <c r="B19" i="8"/>
  <c r="D19" i="8"/>
  <c r="C19" i="8"/>
  <c r="D39" i="8"/>
  <c r="B39" i="8"/>
  <c r="D11" i="8"/>
  <c r="B11" i="8"/>
  <c r="B32" i="8"/>
  <c r="C32" i="8"/>
  <c r="D32" i="8"/>
  <c r="C34" i="8"/>
  <c r="D34" i="8"/>
  <c r="B34" i="8"/>
  <c r="D31" i="8"/>
  <c r="B31" i="8"/>
  <c r="C31" i="8"/>
  <c r="C38" i="8"/>
  <c r="D38" i="8"/>
  <c r="B38" i="8"/>
  <c r="B16" i="8"/>
  <c r="C16" i="8"/>
  <c r="D16" i="8"/>
  <c r="D12" i="8"/>
  <c r="B12" i="8"/>
  <c r="C12" i="8"/>
  <c r="B17" i="8"/>
  <c r="D17" i="8"/>
  <c r="C28" i="8"/>
  <c r="D28" i="8"/>
  <c r="E10" i="8"/>
  <c r="BA9" i="8"/>
  <c r="BA38" i="8"/>
  <c r="BA39" i="8"/>
  <c r="BA22" i="8"/>
  <c r="BA32" i="8"/>
  <c r="BA33" i="8"/>
  <c r="BA17" i="8"/>
  <c r="BA14" i="8"/>
  <c r="BA26" i="8"/>
  <c r="H11" i="8"/>
  <c r="BA11" i="8"/>
  <c r="BA16" i="8"/>
  <c r="BA27" i="8"/>
  <c r="W9" i="8" l="1"/>
  <c r="AC36" i="8"/>
  <c r="AC20" i="8"/>
  <c r="AC23" i="8"/>
  <c r="AC21" i="8"/>
  <c r="AC15" i="8"/>
  <c r="AC22" i="8"/>
  <c r="AC8" i="8"/>
  <c r="AC32" i="8"/>
  <c r="AC17" i="8"/>
  <c r="AC33" i="8"/>
  <c r="AC13" i="8"/>
  <c r="AA23" i="8"/>
  <c r="AB23" i="8"/>
  <c r="AA14" i="8"/>
  <c r="AB14" i="8"/>
  <c r="AA33" i="8"/>
  <c r="AB33" i="8"/>
  <c r="AA35" i="8"/>
  <c r="AB35" i="8"/>
  <c r="AC16" i="8"/>
  <c r="V11" i="8"/>
  <c r="W11" i="8" s="1"/>
  <c r="AA11" i="8"/>
  <c r="AB11" i="8"/>
  <c r="AA41" i="8"/>
  <c r="AB41" i="8"/>
  <c r="AA38" i="8"/>
  <c r="AB38" i="8"/>
  <c r="AA37" i="8"/>
  <c r="AB37" i="8"/>
  <c r="AC30" i="8"/>
  <c r="AC27" i="8"/>
  <c r="AC42" i="8"/>
  <c r="AC12" i="8"/>
  <c r="AA9" i="8"/>
  <c r="AB9" i="8"/>
  <c r="AC11" i="8"/>
  <c r="AC26" i="8"/>
  <c r="AA31" i="8"/>
  <c r="AB31" i="8"/>
  <c r="AC39" i="8"/>
  <c r="AC37" i="8"/>
  <c r="AC28" i="8"/>
  <c r="AA28" i="8"/>
  <c r="AB28" i="8"/>
  <c r="AC35" i="8"/>
  <c r="V10" i="8"/>
  <c r="W10" i="8" s="1"/>
  <c r="AB10" i="8"/>
  <c r="AA10" i="8"/>
  <c r="V18" i="8"/>
  <c r="W18" i="8" s="1"/>
  <c r="AB18" i="8"/>
  <c r="AA18" i="8"/>
  <c r="AC40" i="8"/>
  <c r="AA25" i="8"/>
  <c r="AB25" i="8"/>
  <c r="AC18" i="8"/>
  <c r="AA19" i="8"/>
  <c r="AB19" i="8"/>
  <c r="AA30" i="8"/>
  <c r="AB30" i="8"/>
  <c r="AB36" i="8"/>
  <c r="AA36" i="8"/>
  <c r="AC14" i="8"/>
  <c r="AA22" i="8"/>
  <c r="AB22" i="8"/>
  <c r="AC24" i="8"/>
  <c r="V7" i="8"/>
  <c r="W7" i="8" s="1"/>
  <c r="AB7" i="8"/>
  <c r="AA7" i="8"/>
  <c r="AC19" i="8"/>
  <c r="AC34" i="8"/>
  <c r="AC7" i="8"/>
  <c r="AC29" i="8"/>
  <c r="AC31" i="8"/>
  <c r="AC25" i="8"/>
  <c r="AC38" i="8"/>
  <c r="AB12" i="8"/>
  <c r="AA12" i="8"/>
  <c r="AA39" i="8"/>
  <c r="AB39" i="8"/>
  <c r="AA13" i="8"/>
  <c r="AB13" i="8"/>
  <c r="AB26" i="8"/>
  <c r="AA26" i="8"/>
  <c r="AA15" i="8"/>
  <c r="AB15" i="8"/>
  <c r="V20" i="8"/>
  <c r="W20" i="8" s="1"/>
  <c r="AB20" i="8"/>
  <c r="AA20" i="8"/>
  <c r="AA17" i="8"/>
  <c r="AB17" i="8"/>
  <c r="AC41" i="8"/>
  <c r="AA16" i="8"/>
  <c r="AB16" i="8"/>
  <c r="V21" i="8"/>
  <c r="W21" i="8" s="1"/>
  <c r="AA21" i="8"/>
  <c r="AB21" i="8"/>
  <c r="V31" i="8"/>
  <c r="W31" i="8" s="1"/>
  <c r="AC10" i="8"/>
  <c r="AC9" i="8"/>
  <c r="AA24" i="8"/>
  <c r="AB24" i="8"/>
  <c r="AA29" i="8"/>
  <c r="AB29" i="8"/>
  <c r="AA40" i="8"/>
  <c r="AB40" i="8"/>
  <c r="V8" i="8"/>
  <c r="W8" i="8" s="1"/>
  <c r="AB8" i="8"/>
  <c r="AA8" i="8"/>
  <c r="AB42" i="8"/>
  <c r="AA42" i="8"/>
  <c r="AA27" i="8"/>
  <c r="AB27" i="8"/>
  <c r="V32" i="8"/>
  <c r="W32" i="8" s="1"/>
  <c r="AA32" i="8"/>
  <c r="AB32" i="8"/>
  <c r="AB34" i="8"/>
  <c r="AA34" i="8"/>
  <c r="W14" i="8"/>
  <c r="W16" i="8"/>
  <c r="W17" i="8"/>
  <c r="W29" i="8"/>
  <c r="W13" i="8"/>
  <c r="W23" i="8"/>
  <c r="W24" i="8"/>
  <c r="W12" i="8"/>
  <c r="W30" i="8"/>
  <c r="W39" i="8"/>
  <c r="W27" i="8"/>
  <c r="W28" i="8"/>
  <c r="W34" i="8"/>
  <c r="W25" i="8"/>
  <c r="AS8" i="8"/>
  <c r="AS15" i="8"/>
  <c r="AR40" i="8"/>
  <c r="W26" i="8"/>
  <c r="W37" i="8"/>
  <c r="W35" i="8"/>
  <c r="W19" i="8"/>
  <c r="W38" i="8"/>
  <c r="W22" i="8"/>
  <c r="W36" i="8"/>
  <c r="AS39" i="8"/>
  <c r="AR15" i="8"/>
  <c r="AR21" i="8"/>
  <c r="AR8" i="8"/>
  <c r="AR14" i="8"/>
  <c r="AS20" i="8"/>
  <c r="AS27" i="8"/>
  <c r="AS16" i="8"/>
  <c r="AS10" i="8"/>
  <c r="AS28" i="8"/>
  <c r="AR28" i="8"/>
  <c r="AR11" i="8"/>
  <c r="AS32" i="8"/>
  <c r="AR9" i="8"/>
  <c r="AS23" i="8"/>
  <c r="AR10" i="8"/>
  <c r="AS29" i="8"/>
  <c r="AS11" i="8"/>
  <c r="AS21" i="8"/>
  <c r="AR27" i="8"/>
  <c r="AS40" i="8"/>
  <c r="AR17" i="8"/>
  <c r="AS14" i="8"/>
  <c r="AR41" i="8"/>
  <c r="AR16" i="8"/>
  <c r="AR20" i="8"/>
  <c r="AS9" i="8"/>
  <c r="AS17" i="8"/>
  <c r="AR33" i="8"/>
  <c r="AR23" i="8"/>
  <c r="AS35" i="8"/>
  <c r="AR39" i="8"/>
  <c r="AS33" i="8"/>
  <c r="AS34" i="8"/>
  <c r="AR34" i="8"/>
  <c r="AS26" i="8"/>
  <c r="AR29" i="8"/>
  <c r="AR32" i="8"/>
  <c r="AS41" i="8"/>
  <c r="AR26" i="8"/>
  <c r="W41" i="8"/>
  <c r="AR35" i="8"/>
  <c r="AS22" i="8"/>
  <c r="AR38" i="8"/>
  <c r="AR22" i="8"/>
  <c r="AS38" i="8"/>
  <c r="AH10" i="8" l="1"/>
  <c r="AH19" i="8"/>
  <c r="AH33" i="8"/>
  <c r="AH13" i="8"/>
  <c r="AH12" i="8"/>
  <c r="AH40" i="8"/>
  <c r="AH41" i="8"/>
  <c r="AH28" i="8"/>
  <c r="AH21" i="8"/>
  <c r="AH11" i="8"/>
  <c r="AH14" i="8"/>
  <c r="AH34" i="8"/>
  <c r="AH8" i="8"/>
  <c r="AH24" i="8"/>
  <c r="AH16" i="8"/>
  <c r="AH15" i="8"/>
  <c r="AH7" i="8"/>
  <c r="AH37" i="8"/>
  <c r="AH23" i="8"/>
  <c r="AD20" i="8"/>
  <c r="AH20" i="8"/>
  <c r="AH29" i="8"/>
  <c r="AH25" i="8"/>
  <c r="AH26" i="8"/>
  <c r="AH18" i="8"/>
  <c r="AH27" i="8"/>
  <c r="AH22" i="8"/>
  <c r="AH42" i="8"/>
  <c r="AH39" i="8"/>
  <c r="AH32" i="8"/>
  <c r="AH30" i="8"/>
  <c r="AH9" i="8"/>
  <c r="AH38" i="8"/>
  <c r="AH35" i="8"/>
  <c r="AH31" i="8"/>
  <c r="AD36" i="8"/>
  <c r="AH36" i="8"/>
  <c r="AH17" i="8"/>
  <c r="AD26" i="8"/>
  <c r="AD17" i="8"/>
  <c r="AD28" i="8"/>
  <c r="AD10" i="8"/>
  <c r="AD18" i="8"/>
  <c r="AD32" i="8"/>
  <c r="AD30" i="8"/>
  <c r="AD9" i="8"/>
  <c r="AD38" i="8"/>
  <c r="AD35" i="8"/>
  <c r="AD40" i="8"/>
  <c r="AD13" i="8"/>
  <c r="AD33" i="8"/>
  <c r="AD27" i="8"/>
  <c r="AD21" i="8"/>
  <c r="AD22" i="8"/>
  <c r="AD42" i="8"/>
  <c r="AD29" i="8"/>
  <c r="AD14" i="8"/>
  <c r="AD34" i="8"/>
  <c r="AD12" i="8"/>
  <c r="AD25" i="8"/>
  <c r="AD19" i="8"/>
  <c r="AD41" i="8"/>
  <c r="AD39" i="8"/>
  <c r="AD31" i="8"/>
  <c r="AD11" i="8"/>
  <c r="AD8" i="8"/>
  <c r="AD24" i="8"/>
  <c r="AD16" i="8"/>
  <c r="AD15" i="8"/>
  <c r="AD7" i="8"/>
  <c r="AD37" i="8"/>
  <c r="AD23" i="8"/>
  <c r="AU23" i="8"/>
  <c r="AU27" i="8"/>
  <c r="AQ35" i="8"/>
  <c r="AS12" i="8"/>
  <c r="AU32" i="8"/>
  <c r="AU21" i="8"/>
  <c r="AU41" i="8"/>
  <c r="AS30" i="8"/>
  <c r="AU26" i="8"/>
  <c r="AU15" i="8"/>
  <c r="AP29" i="8"/>
  <c r="AU22" i="8"/>
  <c r="AO20" i="8"/>
  <c r="AQ14" i="8"/>
  <c r="AP27" i="8"/>
  <c r="AU35" i="8"/>
  <c r="AO23" i="8"/>
  <c r="AP33" i="8"/>
  <c r="AP38" i="8"/>
  <c r="AO22" i="8"/>
  <c r="AU40" i="8"/>
  <c r="AO15" i="8"/>
  <c r="AP20" i="8"/>
  <c r="AP15" i="8"/>
  <c r="AP34" i="8"/>
  <c r="AP26" i="8"/>
  <c r="AO17" i="8"/>
  <c r="AP35" i="8"/>
  <c r="AQ38" i="8"/>
  <c r="AU10" i="8"/>
  <c r="AU39" i="8"/>
  <c r="AU20" i="8"/>
  <c r="AQ11" i="8"/>
  <c r="AQ29" i="8"/>
  <c r="AQ39" i="8"/>
  <c r="AO28" i="8"/>
  <c r="AP32" i="8"/>
  <c r="AO29" i="8"/>
  <c r="AO32" i="8"/>
  <c r="AQ41" i="8"/>
  <c r="AP9" i="8"/>
  <c r="AO8" i="8"/>
  <c r="AO9" i="8"/>
  <c r="AQ32" i="8"/>
  <c r="AQ15" i="8"/>
  <c r="AP11" i="8"/>
  <c r="AP21" i="8"/>
  <c r="AQ33" i="8"/>
  <c r="AU14" i="8"/>
  <c r="AU8" i="8"/>
  <c r="AS18" i="8"/>
  <c r="AU28" i="8"/>
  <c r="AU11" i="8"/>
  <c r="AU34" i="8"/>
  <c r="AR12" i="8"/>
  <c r="AQ27" i="8"/>
  <c r="AR36" i="8"/>
  <c r="AS42" i="8"/>
  <c r="AS24" i="8"/>
  <c r="AU17" i="8"/>
  <c r="AR18" i="8"/>
  <c r="AU16" i="8"/>
  <c r="AR24" i="8"/>
  <c r="AR42" i="8"/>
  <c r="AR30" i="8"/>
  <c r="AS36" i="8"/>
  <c r="AP17" i="8"/>
  <c r="AO39" i="8"/>
  <c r="AU9" i="8"/>
  <c r="AU29" i="8"/>
  <c r="AO35" i="8"/>
  <c r="AQ8" i="8"/>
  <c r="AO40" i="8"/>
  <c r="AO11" i="8"/>
  <c r="AO27" i="8"/>
  <c r="AO16" i="8"/>
  <c r="AQ20" i="8"/>
  <c r="AQ34" i="8"/>
  <c r="AO10" i="8"/>
  <c r="AP40" i="8"/>
  <c r="AP28" i="8"/>
  <c r="AP39" i="8"/>
  <c r="AO41" i="8"/>
  <c r="AO26" i="8"/>
  <c r="AQ9" i="8"/>
  <c r="AQ28" i="8"/>
  <c r="AQ40" i="8"/>
  <c r="AO33" i="8"/>
  <c r="AO14" i="8"/>
  <c r="AQ21" i="8"/>
  <c r="AP22" i="8"/>
  <c r="AQ17" i="8"/>
  <c r="AQ23" i="8"/>
  <c r="AP10" i="8"/>
  <c r="AQ16" i="8"/>
  <c r="AO34" i="8"/>
  <c r="AO38" i="8"/>
  <c r="AP16" i="8"/>
  <c r="AP8" i="8"/>
  <c r="AQ22" i="8"/>
  <c r="AP23" i="8"/>
  <c r="AP14" i="8"/>
  <c r="AQ10" i="8"/>
  <c r="AP41" i="8"/>
  <c r="AO21" i="8"/>
  <c r="AQ26" i="8"/>
  <c r="AU33" i="8"/>
  <c r="AU38" i="8"/>
  <c r="BY8" i="8" l="1"/>
  <c r="BO8" i="8"/>
  <c r="BT17" i="8"/>
  <c r="BN11" i="8"/>
  <c r="BS16" i="8"/>
  <c r="BR10" i="8"/>
  <c r="BP10" i="8"/>
  <c r="BX9" i="8"/>
  <c r="BZ9" i="8"/>
  <c r="BZ8" i="8"/>
  <c r="CA16" i="8"/>
  <c r="BU9" i="8"/>
  <c r="BM9" i="8"/>
  <c r="BU16" i="8"/>
  <c r="BS10" i="8"/>
  <c r="BR11" i="8"/>
  <c r="BY11" i="8"/>
  <c r="BO9" i="8"/>
  <c r="BM17" i="8"/>
  <c r="BT11" i="8"/>
  <c r="BN16" i="8"/>
  <c r="BR9" i="8"/>
  <c r="BX17" i="8"/>
  <c r="BR17" i="8"/>
  <c r="BT9" i="8"/>
  <c r="BR15" i="8"/>
  <c r="BN14" i="8"/>
  <c r="BX11" i="8"/>
  <c r="BO15" i="8"/>
  <c r="BT15" i="8"/>
  <c r="BP9" i="8"/>
  <c r="BP16" i="8"/>
  <c r="BU8" i="8"/>
  <c r="BY10" i="8"/>
  <c r="BM10" i="8"/>
  <c r="BY14" i="8"/>
  <c r="BU14" i="8"/>
  <c r="CA26" i="8"/>
  <c r="BN10" i="8"/>
  <c r="BU10" i="8"/>
  <c r="CA9" i="8"/>
  <c r="BM15" i="8"/>
  <c r="BM11" i="8"/>
  <c r="BZ15" i="8"/>
  <c r="BS8" i="8"/>
  <c r="CA8" i="8"/>
  <c r="BO17" i="8"/>
  <c r="BS14" i="8"/>
  <c r="BS11" i="8"/>
  <c r="BZ11" i="8"/>
  <c r="CA10" i="8"/>
  <c r="BY16" i="8"/>
  <c r="BX15" i="8"/>
  <c r="BN8" i="8"/>
  <c r="BO14" i="8"/>
  <c r="BT8" i="8"/>
  <c r="BO11" i="8"/>
  <c r="BP8" i="8"/>
  <c r="BZ17" i="8"/>
  <c r="BX10" i="8"/>
  <c r="BP14" i="8"/>
  <c r="CA14" i="8"/>
  <c r="BZ41" i="8"/>
  <c r="BX22" i="8"/>
  <c r="BP33" i="8"/>
  <c r="BS41" i="8"/>
  <c r="BT29" i="8"/>
  <c r="BP34" i="8"/>
  <c r="BZ27" i="8"/>
  <c r="BN34" i="8"/>
  <c r="CA32" i="8"/>
  <c r="BR22" i="8"/>
  <c r="BX40" i="8"/>
  <c r="BP27" i="8"/>
  <c r="BZ35" i="8"/>
  <c r="BM34" i="8"/>
  <c r="BM16" i="8"/>
  <c r="BN23" i="8"/>
  <c r="BR28" i="8"/>
  <c r="BP22" i="8"/>
  <c r="CA34" i="8"/>
  <c r="BP15" i="8"/>
  <c r="BS20" i="8"/>
  <c r="BU22" i="8"/>
  <c r="BS17" i="8"/>
  <c r="BU21" i="8"/>
  <c r="BZ29" i="8"/>
  <c r="BZ39" i="8"/>
  <c r="BU20" i="8"/>
  <c r="BZ33" i="8"/>
  <c r="BT23" i="8"/>
  <c r="BO20" i="8"/>
  <c r="BM40" i="8"/>
  <c r="BU32" i="8"/>
  <c r="BZ14" i="8"/>
  <c r="BX27" i="8"/>
  <c r="BT39" i="8"/>
  <c r="BS40" i="8"/>
  <c r="CA21" i="8"/>
  <c r="BO35" i="8"/>
  <c r="BN26" i="8"/>
  <c r="BS38" i="8"/>
  <c r="BP38" i="8"/>
  <c r="BO21" i="8"/>
  <c r="BM29" i="8"/>
  <c r="CA22" i="8"/>
  <c r="CA15" i="8"/>
  <c r="BO27" i="8"/>
  <c r="BO33" i="8"/>
  <c r="BY17" i="8"/>
  <c r="BS28" i="8"/>
  <c r="BT21" i="8"/>
  <c r="BN40" i="8"/>
  <c r="BS35" i="8"/>
  <c r="BU28" i="8"/>
  <c r="BX35" i="8"/>
  <c r="CA40" i="8"/>
  <c r="BU38" i="8"/>
  <c r="BY23" i="8"/>
  <c r="BZ32" i="8"/>
  <c r="BR27" i="8"/>
  <c r="BZ21" i="8"/>
  <c r="BO38" i="8"/>
  <c r="BU39" i="8"/>
  <c r="BR16" i="8"/>
  <c r="BT27" i="8"/>
  <c r="BO32" i="8"/>
  <c r="BR39" i="8"/>
  <c r="BX39" i="8"/>
  <c r="BO39" i="8"/>
  <c r="BX41" i="8"/>
  <c r="BM27" i="8"/>
  <c r="BO29" i="8"/>
  <c r="BX33" i="8"/>
  <c r="BR29" i="8"/>
  <c r="BR34" i="8"/>
  <c r="BY32" i="8"/>
  <c r="BT32" i="8"/>
  <c r="BM28" i="8"/>
  <c r="CA38" i="8"/>
  <c r="BR35" i="8"/>
  <c r="BN35" i="8"/>
  <c r="BS26" i="8"/>
  <c r="BY38" i="8"/>
  <c r="BU15" i="8"/>
  <c r="BX34" i="8"/>
  <c r="BX21" i="8"/>
  <c r="BO23" i="8"/>
  <c r="BN28" i="8"/>
  <c r="BY29" i="8"/>
  <c r="BM23" i="8"/>
  <c r="BX23" i="8"/>
  <c r="BY41" i="8"/>
  <c r="BM21" i="8"/>
  <c r="BO26" i="8"/>
  <c r="BP20" i="8"/>
  <c r="BY35" i="8"/>
  <c r="BP21" i="8"/>
  <c r="BP40" i="8"/>
  <c r="BT35" i="8"/>
  <c r="BN32" i="8"/>
  <c r="BP26" i="8"/>
  <c r="BS34" i="8"/>
  <c r="BU26" i="8"/>
  <c r="BS22" i="8"/>
  <c r="BR41" i="8"/>
  <c r="BS32" i="8"/>
  <c r="BT20" i="8"/>
  <c r="CA39" i="8"/>
  <c r="BT33" i="8"/>
  <c r="BZ38" i="8"/>
  <c r="BR23" i="8"/>
  <c r="BZ23" i="8"/>
  <c r="CA28" i="8"/>
  <c r="BY26" i="8"/>
  <c r="BU40" i="8"/>
  <c r="BU34" i="8"/>
  <c r="BT26" i="8"/>
  <c r="BS29" i="8"/>
  <c r="BS23" i="8"/>
  <c r="BM22" i="8"/>
  <c r="BN29" i="8"/>
  <c r="BP28" i="8"/>
  <c r="BN20" i="8"/>
  <c r="BM35" i="8"/>
  <c r="BP39" i="8"/>
  <c r="BT14" i="8"/>
  <c r="CA33" i="8"/>
  <c r="BY20" i="8"/>
  <c r="BN17" i="8"/>
  <c r="BR33" i="8"/>
  <c r="BU27" i="8"/>
  <c r="BT41" i="8"/>
  <c r="BX16" i="8"/>
  <c r="BM33" i="8"/>
  <c r="BY40" i="8"/>
  <c r="CA27" i="8"/>
  <c r="CA20" i="8"/>
  <c r="BM39" i="8"/>
  <c r="BN22" i="8"/>
  <c r="BN38" i="8"/>
  <c r="BX28" i="8"/>
  <c r="BZ20" i="8"/>
  <c r="BY22" i="8"/>
  <c r="BY34" i="8"/>
  <c r="BR40" i="8"/>
  <c r="BR21" i="8"/>
  <c r="BZ26" i="8"/>
  <c r="BO41" i="8"/>
  <c r="BX29" i="8"/>
  <c r="BM41" i="8"/>
  <c r="BP32" i="8"/>
  <c r="BN41" i="8"/>
  <c r="BU33" i="8"/>
  <c r="BT38" i="8"/>
  <c r="BY28" i="8"/>
  <c r="AW34" i="8"/>
  <c r="AW15" i="8"/>
  <c r="AU25" i="8"/>
  <c r="AU24" i="8" s="1"/>
  <c r="AV22" i="8" s="1"/>
  <c r="AW26" i="8"/>
  <c r="AT26" i="8" s="1"/>
  <c r="AW22" i="8"/>
  <c r="AW38" i="8"/>
  <c r="AP30" i="8"/>
  <c r="AW27" i="8"/>
  <c r="AT27" i="8" s="1"/>
  <c r="AW35" i="8"/>
  <c r="AW29" i="8"/>
  <c r="AT29" i="8" s="1"/>
  <c r="AW20" i="8"/>
  <c r="AW23" i="8"/>
  <c r="AW33" i="8"/>
  <c r="AP36" i="8"/>
  <c r="AU37" i="8"/>
  <c r="AU36" i="8" s="1"/>
  <c r="AV35" i="8" s="1"/>
  <c r="AW8" i="8"/>
  <c r="AO18" i="8"/>
  <c r="AW17" i="8"/>
  <c r="AU43" i="8"/>
  <c r="AU42" i="8" s="1"/>
  <c r="AV38" i="8" s="1"/>
  <c r="AW11" i="8"/>
  <c r="AU13" i="8"/>
  <c r="AU12" i="8" s="1"/>
  <c r="AW21" i="8"/>
  <c r="AQ42" i="8"/>
  <c r="AW9" i="8"/>
  <c r="AW32" i="8"/>
  <c r="AQ36" i="8"/>
  <c r="AU31" i="8"/>
  <c r="AU30" i="8" s="1"/>
  <c r="AV29" i="8" s="1"/>
  <c r="AP42" i="8"/>
  <c r="AQ18" i="8"/>
  <c r="AP18" i="8"/>
  <c r="AU19" i="8"/>
  <c r="AU18" i="8" s="1"/>
  <c r="AV15" i="8" s="1"/>
  <c r="AQ12" i="8"/>
  <c r="AW28" i="8"/>
  <c r="AT28" i="8" s="1"/>
  <c r="AO24" i="8"/>
  <c r="AQ30" i="8"/>
  <c r="AW16" i="8"/>
  <c r="AQ24" i="8"/>
  <c r="AP24" i="8"/>
  <c r="AO42" i="8"/>
  <c r="AP12" i="8"/>
  <c r="AW10" i="8"/>
  <c r="AW40" i="8"/>
  <c r="AW39" i="8"/>
  <c r="AO30" i="8"/>
  <c r="AO12" i="8"/>
  <c r="AO36" i="8"/>
  <c r="AW14" i="8"/>
  <c r="AW41" i="8"/>
  <c r="BQ39" i="8" l="1"/>
  <c r="BQ27" i="8"/>
  <c r="BV33" i="8"/>
  <c r="BV32" i="8"/>
  <c r="BV29" i="8"/>
  <c r="CB34" i="8"/>
  <c r="BQ26" i="8"/>
  <c r="BM30" i="8" s="1"/>
  <c r="BQ20" i="8"/>
  <c r="BV34" i="8"/>
  <c r="BV39" i="8"/>
  <c r="CB39" i="8"/>
  <c r="BV14" i="8"/>
  <c r="BQ40" i="8"/>
  <c r="BO42" i="8" s="1"/>
  <c r="BQ34" i="8"/>
  <c r="BV17" i="8"/>
  <c r="BV16" i="8"/>
  <c r="BQ16" i="8"/>
  <c r="BO18" i="8" s="1"/>
  <c r="BV15" i="8"/>
  <c r="BV22" i="8"/>
  <c r="BV21" i="8"/>
  <c r="BQ23" i="8"/>
  <c r="BP24" i="8" s="1"/>
  <c r="BV26" i="8"/>
  <c r="BV28" i="8"/>
  <c r="BV40" i="8"/>
  <c r="BQ17" i="8"/>
  <c r="BV41" i="8"/>
  <c r="BV38" i="8"/>
  <c r="BQ22" i="8"/>
  <c r="BQ28" i="8"/>
  <c r="BO30" i="8" s="1"/>
  <c r="BV20" i="8"/>
  <c r="BQ14" i="8"/>
  <c r="BV35" i="8"/>
  <c r="BQ41" i="8"/>
  <c r="BQ15" i="8"/>
  <c r="BV23" i="8"/>
  <c r="BQ33" i="8"/>
  <c r="BN36" i="8" s="1"/>
  <c r="BQ21" i="8"/>
  <c r="BQ38" i="8"/>
  <c r="BQ35" i="8"/>
  <c r="BP36" i="8" s="1"/>
  <c r="BQ32" i="8"/>
  <c r="BV27" i="8"/>
  <c r="BQ29" i="8"/>
  <c r="CB21" i="8"/>
  <c r="CB29" i="8"/>
  <c r="CB27" i="8"/>
  <c r="CB16" i="8"/>
  <c r="CB15" i="8"/>
  <c r="CB11" i="8"/>
  <c r="CB41" i="8"/>
  <c r="CB20" i="8"/>
  <c r="CB40" i="8"/>
  <c r="CB14" i="8"/>
  <c r="CB33" i="8"/>
  <c r="CB35" i="8"/>
  <c r="CB22" i="8"/>
  <c r="CB17" i="8"/>
  <c r="CB32" i="8"/>
  <c r="CB28" i="8"/>
  <c r="CB23" i="8"/>
  <c r="CB38" i="8"/>
  <c r="CB26" i="8"/>
  <c r="CB8" i="8"/>
  <c r="BV11" i="8"/>
  <c r="BV10" i="8"/>
  <c r="BV9" i="8"/>
  <c r="BV8" i="8"/>
  <c r="CB9" i="8"/>
  <c r="CB10" i="8"/>
  <c r="BQ11" i="8"/>
  <c r="BQ10" i="8"/>
  <c r="BQ8" i="8"/>
  <c r="BQ9" i="8"/>
  <c r="AT33" i="8"/>
  <c r="AT22" i="8"/>
  <c r="AT32" i="8"/>
  <c r="AT17" i="8"/>
  <c r="AT9" i="8"/>
  <c r="AT15" i="8"/>
  <c r="AT39" i="8"/>
  <c r="AT40" i="8"/>
  <c r="AT23" i="8"/>
  <c r="AT41" i="8"/>
  <c r="AT14" i="8"/>
  <c r="AT8" i="8"/>
  <c r="AT35" i="8"/>
  <c r="AT34" i="8"/>
  <c r="AT11" i="8"/>
  <c r="AT38" i="8"/>
  <c r="X30" i="8" s="1"/>
  <c r="Z30" i="8" s="1"/>
  <c r="AT10" i="8"/>
  <c r="AT20" i="8"/>
  <c r="X24" i="8" s="1"/>
  <c r="Z24" i="8" s="1"/>
  <c r="AT16" i="8"/>
  <c r="AT21" i="8"/>
  <c r="AV20" i="8"/>
  <c r="AV23" i="8"/>
  <c r="AV21" i="8"/>
  <c r="AW24" i="8"/>
  <c r="AV33" i="8"/>
  <c r="AT31" i="8"/>
  <c r="AT30" i="8" s="1"/>
  <c r="AV11" i="8"/>
  <c r="AV10" i="8"/>
  <c r="AV34" i="8"/>
  <c r="AV32" i="8"/>
  <c r="AV9" i="8"/>
  <c r="AW12" i="8"/>
  <c r="AV8" i="8"/>
  <c r="AW36" i="8"/>
  <c r="AV27" i="8"/>
  <c r="AV28" i="8"/>
  <c r="AV26" i="8"/>
  <c r="X37" i="8"/>
  <c r="Y37" i="8" s="1"/>
  <c r="X27" i="8"/>
  <c r="Z27" i="8" s="1"/>
  <c r="AV17" i="8"/>
  <c r="AV41" i="8"/>
  <c r="AW30" i="8"/>
  <c r="AV40" i="8"/>
  <c r="AV39" i="8"/>
  <c r="X14" i="8"/>
  <c r="AW18" i="8"/>
  <c r="AW42" i="8"/>
  <c r="AV14" i="8"/>
  <c r="AV16" i="8"/>
  <c r="X11" i="8"/>
  <c r="BW27" i="8" l="1"/>
  <c r="CC27" i="8"/>
  <c r="BW8" i="8"/>
  <c r="BW15" i="8"/>
  <c r="BW23" i="8"/>
  <c r="BW41" i="8"/>
  <c r="BW34" i="8"/>
  <c r="BW39" i="8"/>
  <c r="BW9" i="8"/>
  <c r="BW10" i="8"/>
  <c r="BW35" i="8"/>
  <c r="BW40" i="8"/>
  <c r="BW16" i="8"/>
  <c r="BW11" i="8"/>
  <c r="BW28" i="8"/>
  <c r="BW17" i="8"/>
  <c r="BW20" i="8"/>
  <c r="BW26" i="8"/>
  <c r="BW29" i="8"/>
  <c r="BW21" i="8"/>
  <c r="BW14" i="8"/>
  <c r="BW32" i="8"/>
  <c r="BW38" i="8"/>
  <c r="BW22" i="8"/>
  <c r="BW33" i="8"/>
  <c r="BM18" i="8"/>
  <c r="CN15" i="8" s="1"/>
  <c r="BP30" i="8"/>
  <c r="CK26" i="8" s="1"/>
  <c r="BP42" i="8"/>
  <c r="CF40" i="8" s="1"/>
  <c r="BP18" i="8"/>
  <c r="CF14" i="8" s="1"/>
  <c r="BN18" i="8"/>
  <c r="CI16" i="8" s="1"/>
  <c r="BM36" i="8"/>
  <c r="CN35" i="8" s="1"/>
  <c r="CK20" i="8"/>
  <c r="CQ21" i="8"/>
  <c r="CC28" i="8"/>
  <c r="CK21" i="8"/>
  <c r="CK22" i="8"/>
  <c r="CF21" i="8"/>
  <c r="CH28" i="8"/>
  <c r="CN29" i="8"/>
  <c r="CF20" i="8"/>
  <c r="CQ20" i="8"/>
  <c r="CQ22" i="8"/>
  <c r="CQ33" i="8"/>
  <c r="CK32" i="8"/>
  <c r="CQ34" i="8"/>
  <c r="CF34" i="8"/>
  <c r="CF33" i="8"/>
  <c r="CQ32" i="8"/>
  <c r="CF32" i="8"/>
  <c r="CK33" i="8"/>
  <c r="CK34" i="8"/>
  <c r="CC29" i="8"/>
  <c r="BO24" i="8"/>
  <c r="CH27" i="8"/>
  <c r="CJ41" i="8"/>
  <c r="CE38" i="8"/>
  <c r="CP39" i="8"/>
  <c r="CJ39" i="8"/>
  <c r="CP38" i="8"/>
  <c r="CJ38" i="8"/>
  <c r="CP41" i="8"/>
  <c r="CE41" i="8"/>
  <c r="CE39" i="8"/>
  <c r="CJ27" i="8"/>
  <c r="CJ29" i="8"/>
  <c r="CP29" i="8"/>
  <c r="CE26" i="8"/>
  <c r="CE29" i="8"/>
  <c r="CJ26" i="8"/>
  <c r="CP27" i="8"/>
  <c r="CE27" i="8"/>
  <c r="CP26" i="8"/>
  <c r="BN42" i="8"/>
  <c r="BO36" i="8"/>
  <c r="CO32" i="8"/>
  <c r="CO35" i="8"/>
  <c r="CO34" i="8"/>
  <c r="CD32" i="8"/>
  <c r="CI34" i="8"/>
  <c r="CI35" i="8"/>
  <c r="CI32" i="8"/>
  <c r="CD34" i="8"/>
  <c r="CD35" i="8"/>
  <c r="CN28" i="8"/>
  <c r="CJ17" i="8"/>
  <c r="CJ14" i="8"/>
  <c r="CP15" i="8"/>
  <c r="CP14" i="8"/>
  <c r="CJ15" i="8"/>
  <c r="CE17" i="8"/>
  <c r="CP17" i="8"/>
  <c r="CE15" i="8"/>
  <c r="CE14" i="8"/>
  <c r="BN30" i="8"/>
  <c r="BM24" i="8"/>
  <c r="CH29" i="8"/>
  <c r="BM42" i="8"/>
  <c r="CF22" i="8"/>
  <c r="BN24" i="8"/>
  <c r="CN27" i="8"/>
  <c r="BM12" i="8"/>
  <c r="BO12" i="8"/>
  <c r="BP12" i="8"/>
  <c r="BN12" i="8"/>
  <c r="X32" i="8"/>
  <c r="Z32" i="8" s="1"/>
  <c r="X25" i="8"/>
  <c r="Z25" i="8" s="1"/>
  <c r="X15" i="8"/>
  <c r="Y15" i="8" s="1"/>
  <c r="X12" i="8"/>
  <c r="Z12" i="8" s="1"/>
  <c r="X16" i="8"/>
  <c r="Y16" i="8" s="1"/>
  <c r="X36" i="8"/>
  <c r="Z36" i="8" s="1"/>
  <c r="AT25" i="8"/>
  <c r="AT24" i="8" s="1"/>
  <c r="X19" i="8"/>
  <c r="Y19" i="8" s="1"/>
  <c r="X10" i="8"/>
  <c r="Z10" i="8" s="1"/>
  <c r="X23" i="8"/>
  <c r="Z23" i="8" s="1"/>
  <c r="X20" i="8"/>
  <c r="Z20" i="8" s="1"/>
  <c r="AT37" i="8"/>
  <c r="AT36" i="8" s="1"/>
  <c r="X31" i="8"/>
  <c r="Y31" i="8" s="1"/>
  <c r="X40" i="8"/>
  <c r="Y40" i="8" s="1"/>
  <c r="X13" i="8"/>
  <c r="Y13" i="8" s="1"/>
  <c r="X28" i="8"/>
  <c r="Z28" i="8" s="1"/>
  <c r="X7" i="8"/>
  <c r="AT13" i="8"/>
  <c r="AT12" i="8" s="1"/>
  <c r="X18" i="8"/>
  <c r="Z18" i="8" s="1"/>
  <c r="X21" i="8"/>
  <c r="Y21" i="8" s="1"/>
  <c r="X8" i="8"/>
  <c r="X29" i="8"/>
  <c r="Y29" i="8" s="1"/>
  <c r="Y24" i="8"/>
  <c r="Y30" i="8"/>
  <c r="X34" i="8"/>
  <c r="Z34" i="8" s="1"/>
  <c r="X35" i="8"/>
  <c r="X41" i="8"/>
  <c r="Z41" i="8" s="1"/>
  <c r="X39" i="8"/>
  <c r="Y27" i="8"/>
  <c r="Z37" i="8"/>
  <c r="Z14" i="8"/>
  <c r="Y14" i="8"/>
  <c r="AT43" i="8"/>
  <c r="AT42" i="8" s="1"/>
  <c r="X33" i="8"/>
  <c r="X17" i="8"/>
  <c r="AT19" i="8"/>
  <c r="AT18" i="8" s="1"/>
  <c r="X26" i="8"/>
  <c r="X38" i="8"/>
  <c r="X22" i="8"/>
  <c r="X9" i="8"/>
  <c r="X42" i="8"/>
  <c r="Z11" i="8"/>
  <c r="Y11" i="8"/>
  <c r="CI17" i="8" l="1"/>
  <c r="CF16" i="8"/>
  <c r="CQ16" i="8"/>
  <c r="CK16" i="8"/>
  <c r="CC33" i="8"/>
  <c r="CF26" i="8"/>
  <c r="CK14" i="8"/>
  <c r="CC34" i="8"/>
  <c r="CG34" i="8" s="1"/>
  <c r="CQ14" i="8"/>
  <c r="CK15" i="8"/>
  <c r="CQ26" i="8"/>
  <c r="CK27" i="8"/>
  <c r="CL27" i="8" s="1"/>
  <c r="CQ27" i="8"/>
  <c r="CR27" i="8" s="1"/>
  <c r="CF27" i="8"/>
  <c r="CG27" i="8" s="1"/>
  <c r="CC16" i="8"/>
  <c r="CN34" i="8"/>
  <c r="CR34" i="8" s="1"/>
  <c r="CN33" i="8"/>
  <c r="CH34" i="8"/>
  <c r="CL34" i="8" s="1"/>
  <c r="CH33" i="8"/>
  <c r="CO17" i="8"/>
  <c r="CH35" i="8"/>
  <c r="CC35" i="8"/>
  <c r="CK39" i="8"/>
  <c r="CQ39" i="8"/>
  <c r="CH17" i="8"/>
  <c r="CL17" i="8" s="1"/>
  <c r="CD17" i="8"/>
  <c r="CK40" i="8"/>
  <c r="CQ40" i="8"/>
  <c r="CH15" i="8"/>
  <c r="CI14" i="8"/>
  <c r="CO16" i="8"/>
  <c r="CF28" i="8"/>
  <c r="CF39" i="8"/>
  <c r="CQ15" i="8"/>
  <c r="CR15" i="8" s="1"/>
  <c r="CN16" i="8"/>
  <c r="CC17" i="8"/>
  <c r="CK38" i="8"/>
  <c r="CN17" i="8"/>
  <c r="CD14" i="8"/>
  <c r="CG14" i="8" s="1"/>
  <c r="CF38" i="8"/>
  <c r="CH16" i="8"/>
  <c r="CO14" i="8"/>
  <c r="CQ28" i="8"/>
  <c r="CK28" i="8"/>
  <c r="CQ38" i="8"/>
  <c r="CF15" i="8"/>
  <c r="CC15" i="8"/>
  <c r="CD16" i="8"/>
  <c r="CI40" i="8"/>
  <c r="CD40" i="8"/>
  <c r="CI38" i="8"/>
  <c r="CO38" i="8"/>
  <c r="CD41" i="8"/>
  <c r="CD38" i="8"/>
  <c r="CI41" i="8"/>
  <c r="CO41" i="8"/>
  <c r="CO40" i="8"/>
  <c r="CE23" i="8"/>
  <c r="CP20" i="8"/>
  <c r="CP21" i="8"/>
  <c r="CJ21" i="8"/>
  <c r="CJ20" i="8"/>
  <c r="CP23" i="8"/>
  <c r="CE21" i="8"/>
  <c r="CJ23" i="8"/>
  <c r="CE20" i="8"/>
  <c r="CH21" i="8"/>
  <c r="CC22" i="8"/>
  <c r="CN23" i="8"/>
  <c r="CH23" i="8"/>
  <c r="CC23" i="8"/>
  <c r="CC21" i="8"/>
  <c r="CN22" i="8"/>
  <c r="CN21" i="8"/>
  <c r="CH22" i="8"/>
  <c r="CI26" i="8"/>
  <c r="CL26" i="8" s="1"/>
  <c r="CI28" i="8"/>
  <c r="CD28" i="8"/>
  <c r="CO26" i="8"/>
  <c r="CO29" i="8"/>
  <c r="CR29" i="8" s="1"/>
  <c r="CO28" i="8"/>
  <c r="CD26" i="8"/>
  <c r="CD29" i="8"/>
  <c r="CG29" i="8" s="1"/>
  <c r="CI29" i="8"/>
  <c r="CL29" i="8" s="1"/>
  <c r="CE33" i="8"/>
  <c r="CP32" i="8"/>
  <c r="CR32" i="8" s="1"/>
  <c r="CJ35" i="8"/>
  <c r="CE35" i="8"/>
  <c r="CJ32" i="8"/>
  <c r="CL32" i="8" s="1"/>
  <c r="CP33" i="8"/>
  <c r="CP35" i="8"/>
  <c r="CR35" i="8" s="1"/>
  <c r="CE32" i="8"/>
  <c r="CG32" i="8" s="1"/>
  <c r="CJ33" i="8"/>
  <c r="CD23" i="8"/>
  <c r="CI22" i="8"/>
  <c r="CO23" i="8"/>
  <c r="CO22" i="8"/>
  <c r="CD20" i="8"/>
  <c r="CD22" i="8"/>
  <c r="CI23" i="8"/>
  <c r="CI20" i="8"/>
  <c r="CO20" i="8"/>
  <c r="CH40" i="8"/>
  <c r="CN41" i="8"/>
  <c r="CN39" i="8"/>
  <c r="CC39" i="8"/>
  <c r="CN40" i="8"/>
  <c r="CH39" i="8"/>
  <c r="CC41" i="8"/>
  <c r="CC40" i="8"/>
  <c r="CH41" i="8"/>
  <c r="CO10" i="8"/>
  <c r="CO11" i="8"/>
  <c r="CO8" i="8"/>
  <c r="CQ10" i="8"/>
  <c r="CQ9" i="8"/>
  <c r="CQ8" i="8"/>
  <c r="CE9" i="8"/>
  <c r="CP9" i="8"/>
  <c r="CP8" i="8"/>
  <c r="CP11" i="8"/>
  <c r="CC10" i="8"/>
  <c r="CN11" i="8"/>
  <c r="CN10" i="8"/>
  <c r="CN9" i="8"/>
  <c r="CE8" i="8"/>
  <c r="CE11" i="8"/>
  <c r="CC9" i="8"/>
  <c r="CC11" i="8"/>
  <c r="CD8" i="8"/>
  <c r="CI8" i="8"/>
  <c r="CI10" i="8"/>
  <c r="CI11" i="8"/>
  <c r="CD10" i="8"/>
  <c r="CF10" i="8"/>
  <c r="CK10" i="8"/>
  <c r="CK9" i="8"/>
  <c r="CK8" i="8"/>
  <c r="CJ9" i="8"/>
  <c r="CJ8" i="8"/>
  <c r="CJ11" i="8"/>
  <c r="CH11" i="8"/>
  <c r="CH10" i="8"/>
  <c r="CH9" i="8"/>
  <c r="CF8" i="8"/>
  <c r="CF9" i="8"/>
  <c r="CD11" i="8"/>
  <c r="Y32" i="8"/>
  <c r="Y12" i="8"/>
  <c r="Y25" i="8"/>
  <c r="Z15" i="8"/>
  <c r="Z16" i="8"/>
  <c r="Y36" i="8"/>
  <c r="Y10" i="8"/>
  <c r="Y28" i="8"/>
  <c r="Z31" i="8"/>
  <c r="Z21" i="8"/>
  <c r="Y23" i="8"/>
  <c r="Z19" i="8"/>
  <c r="Y20" i="8"/>
  <c r="Z40" i="8"/>
  <c r="Y8" i="8"/>
  <c r="Z8" i="8"/>
  <c r="Z13" i="8"/>
  <c r="Z7" i="8"/>
  <c r="Y7" i="8"/>
  <c r="Y18" i="8"/>
  <c r="BD26" i="8"/>
  <c r="Z29" i="8"/>
  <c r="Y41" i="8"/>
  <c r="Y34" i="8"/>
  <c r="Y39" i="8"/>
  <c r="Z39" i="8"/>
  <c r="Z35" i="8"/>
  <c r="Y35" i="8"/>
  <c r="BF10" i="8"/>
  <c r="BE20" i="8"/>
  <c r="BG17" i="8"/>
  <c r="BD35" i="8"/>
  <c r="BD27" i="8"/>
  <c r="BF35" i="8"/>
  <c r="BD33" i="8"/>
  <c r="BG28" i="8"/>
  <c r="BD15" i="8"/>
  <c r="BG9" i="8"/>
  <c r="BG27" i="8"/>
  <c r="BE23" i="8"/>
  <c r="BG40" i="8"/>
  <c r="BF17" i="8"/>
  <c r="BG32" i="8"/>
  <c r="BE32" i="8"/>
  <c r="BF33" i="8"/>
  <c r="BD41" i="8"/>
  <c r="BF22" i="8"/>
  <c r="BD14" i="8"/>
  <c r="BE39" i="8"/>
  <c r="BD28" i="8"/>
  <c r="BD16" i="8"/>
  <c r="BF20" i="8"/>
  <c r="BG41" i="8"/>
  <c r="BG22" i="8"/>
  <c r="BG34" i="8"/>
  <c r="BE8" i="8"/>
  <c r="BF9" i="8"/>
  <c r="BG38" i="8"/>
  <c r="BG15" i="8"/>
  <c r="BF40" i="8"/>
  <c r="BE11" i="8"/>
  <c r="BD32" i="8"/>
  <c r="BE22" i="8"/>
  <c r="BE26" i="8"/>
  <c r="BE17" i="8"/>
  <c r="BD10" i="8"/>
  <c r="BF41" i="8"/>
  <c r="BE21" i="8"/>
  <c r="BF27" i="8"/>
  <c r="BE28" i="8"/>
  <c r="BD9" i="8"/>
  <c r="BF29" i="8"/>
  <c r="BE27" i="8"/>
  <c r="BF11" i="8"/>
  <c r="BD20" i="8"/>
  <c r="BE15" i="8"/>
  <c r="BG10" i="8"/>
  <c r="BG35" i="8"/>
  <c r="BE35" i="8"/>
  <c r="BD34" i="8"/>
  <c r="BG20" i="8"/>
  <c r="BG21" i="8"/>
  <c r="BF15" i="8"/>
  <c r="BF21" i="8"/>
  <c r="BD21" i="8"/>
  <c r="BD11" i="8"/>
  <c r="BG26" i="8"/>
  <c r="BD29" i="8"/>
  <c r="BF14" i="8"/>
  <c r="BE10" i="8"/>
  <c r="BG33" i="8"/>
  <c r="BD23" i="8"/>
  <c r="BF38" i="8"/>
  <c r="BF39" i="8"/>
  <c r="BD38" i="8"/>
  <c r="BF26" i="8"/>
  <c r="BE34" i="8"/>
  <c r="BE16" i="8"/>
  <c r="BE29" i="8"/>
  <c r="BD17" i="8"/>
  <c r="BF8" i="8"/>
  <c r="BE33" i="8"/>
  <c r="BG29" i="8"/>
  <c r="BE41" i="8"/>
  <c r="BE9" i="8"/>
  <c r="BF16" i="8"/>
  <c r="BE40" i="8"/>
  <c r="BD22" i="8"/>
  <c r="BD39" i="8"/>
  <c r="BD40" i="8"/>
  <c r="BD8" i="8"/>
  <c r="BG23" i="8"/>
  <c r="BF23" i="8"/>
  <c r="BG8" i="8"/>
  <c r="BG14" i="8"/>
  <c r="BG39" i="8"/>
  <c r="BF32" i="8"/>
  <c r="BE14" i="8"/>
  <c r="BE38" i="8"/>
  <c r="BF28" i="8"/>
  <c r="BG11" i="8"/>
  <c r="Z9" i="8"/>
  <c r="BG16" i="8"/>
  <c r="Y9" i="8"/>
  <c r="BF34" i="8"/>
  <c r="Y38" i="8"/>
  <c r="Z38" i="8"/>
  <c r="Y33" i="8"/>
  <c r="Z33" i="8"/>
  <c r="Z42" i="8"/>
  <c r="Y42" i="8"/>
  <c r="Y22" i="8"/>
  <c r="Z22" i="8"/>
  <c r="Y26" i="8"/>
  <c r="Z26" i="8"/>
  <c r="Y17" i="8"/>
  <c r="Z17" i="8"/>
  <c r="CR14" i="8" l="1"/>
  <c r="CG26" i="8"/>
  <c r="CL16" i="8"/>
  <c r="CR26" i="8"/>
  <c r="CG33" i="8"/>
  <c r="CL14" i="8"/>
  <c r="CG39" i="8"/>
  <c r="CR39" i="8"/>
  <c r="CG15" i="8"/>
  <c r="CL33" i="8"/>
  <c r="CL28" i="8"/>
  <c r="CM28" i="8" s="1"/>
  <c r="CL15" i="8"/>
  <c r="CR33" i="8"/>
  <c r="CG17" i="8"/>
  <c r="CR17" i="8"/>
  <c r="CG16" i="8"/>
  <c r="CL39" i="8"/>
  <c r="CG35" i="8"/>
  <c r="CL38" i="8"/>
  <c r="CL35" i="8"/>
  <c r="CR16" i="8"/>
  <c r="CR28" i="8"/>
  <c r="CR38" i="8"/>
  <c r="CG38" i="8"/>
  <c r="CG28" i="8"/>
  <c r="CL41" i="8"/>
  <c r="CR40" i="8"/>
  <c r="CR41" i="8"/>
  <c r="CL20" i="8"/>
  <c r="CG22" i="8"/>
  <c r="CR20" i="8"/>
  <c r="CL22" i="8"/>
  <c r="CR10" i="8"/>
  <c r="CG40" i="8"/>
  <c r="CG23" i="8"/>
  <c r="CG41" i="8"/>
  <c r="CL23" i="8"/>
  <c r="CR23" i="8"/>
  <c r="CL21" i="8"/>
  <c r="CR22" i="8"/>
  <c r="CR21" i="8"/>
  <c r="CL40" i="8"/>
  <c r="CG20" i="8"/>
  <c r="CG21" i="8"/>
  <c r="CR11" i="8"/>
  <c r="CR9" i="8"/>
  <c r="CG9" i="8"/>
  <c r="CG11" i="8"/>
  <c r="CR8" i="8"/>
  <c r="CG8" i="8"/>
  <c r="CL10" i="8"/>
  <c r="CL9" i="8"/>
  <c r="CL11" i="8"/>
  <c r="CG10" i="8"/>
  <c r="CL8" i="8"/>
  <c r="BH27" i="8"/>
  <c r="BH28" i="8"/>
  <c r="BF18" i="8"/>
  <c r="BD12" i="8"/>
  <c r="BH9" i="8"/>
  <c r="BG42" i="8"/>
  <c r="BH21" i="8"/>
  <c r="BH41" i="8"/>
  <c r="BH15" i="8"/>
  <c r="BH10" i="8"/>
  <c r="BE24" i="8"/>
  <c r="BH23" i="8"/>
  <c r="BH33" i="8"/>
  <c r="BH34" i="8"/>
  <c r="BH35" i="8"/>
  <c r="BF42" i="8"/>
  <c r="BH32" i="8"/>
  <c r="BD18" i="8"/>
  <c r="BG36" i="8"/>
  <c r="BH26" i="8"/>
  <c r="BD36" i="8"/>
  <c r="BH11" i="8"/>
  <c r="BE12" i="8"/>
  <c r="BG30" i="8"/>
  <c r="BF12" i="8"/>
  <c r="BD30" i="8"/>
  <c r="BH20" i="8"/>
  <c r="BG24" i="8"/>
  <c r="BE36" i="8"/>
  <c r="BE30" i="8"/>
  <c r="BH38" i="8"/>
  <c r="BH40" i="8"/>
  <c r="BH17" i="8"/>
  <c r="BE18" i="8"/>
  <c r="BD42" i="8"/>
  <c r="BG12" i="8"/>
  <c r="BH22" i="8"/>
  <c r="BH29" i="8"/>
  <c r="BG18" i="8"/>
  <c r="BE42" i="8"/>
  <c r="BH14" i="8"/>
  <c r="BD24" i="8"/>
  <c r="BF24" i="8"/>
  <c r="BH16" i="8"/>
  <c r="BF30" i="8"/>
  <c r="BH8" i="8"/>
  <c r="BH39" i="8"/>
  <c r="BF36" i="8"/>
  <c r="CM14" i="8" l="1"/>
  <c r="CS14" i="8" s="1"/>
  <c r="CM17" i="8"/>
  <c r="CS17" i="8" s="1"/>
  <c r="CM15" i="8"/>
  <c r="CS15" i="8" s="1"/>
  <c r="CM16" i="8"/>
  <c r="CS16" i="8" s="1"/>
  <c r="CM27" i="8"/>
  <c r="CS27" i="8" s="1"/>
  <c r="CM29" i="8"/>
  <c r="CS29" i="8" s="1"/>
  <c r="CM35" i="8"/>
  <c r="CS35" i="8" s="1"/>
  <c r="CM26" i="8"/>
  <c r="CS26" i="8" s="1"/>
  <c r="CM33" i="8"/>
  <c r="CS33" i="8" s="1"/>
  <c r="CM34" i="8"/>
  <c r="CS34" i="8" s="1"/>
  <c r="CM32" i="8"/>
  <c r="CS32" i="8" s="1"/>
  <c r="CM40" i="8"/>
  <c r="CS40" i="8" s="1"/>
  <c r="CM8" i="8"/>
  <c r="CS8" i="8" s="1"/>
  <c r="CM21" i="8"/>
  <c r="CS21" i="8" s="1"/>
  <c r="CS28" i="8"/>
  <c r="CM11" i="8"/>
  <c r="CS11" i="8" s="1"/>
  <c r="CM20" i="8"/>
  <c r="CS20" i="8" s="1"/>
  <c r="CM9" i="8"/>
  <c r="CS9" i="8" s="1"/>
  <c r="CM39" i="8"/>
  <c r="CS39" i="8" s="1"/>
  <c r="CM10" i="8"/>
  <c r="CS10" i="8" s="1"/>
  <c r="CM38" i="8"/>
  <c r="CS38" i="8" s="1"/>
  <c r="CM23" i="8"/>
  <c r="CS23" i="8" s="1"/>
  <c r="CM41" i="8"/>
  <c r="CS41" i="8" s="1"/>
  <c r="CM22" i="8"/>
  <c r="CS22" i="8" s="1"/>
  <c r="BH30" i="8"/>
  <c r="AX29" i="8" s="1"/>
  <c r="BH24" i="8"/>
  <c r="AX21" i="8" s="1"/>
  <c r="BH36" i="8"/>
  <c r="AX35" i="8" s="1"/>
  <c r="BH42" i="8"/>
  <c r="AX40" i="8" s="1"/>
  <c r="BH12" i="8"/>
  <c r="BH18" i="8"/>
  <c r="AX17" i="8" s="1"/>
  <c r="CT17" i="8" l="1"/>
  <c r="CT14" i="8"/>
  <c r="CT35" i="8"/>
  <c r="CT26" i="8"/>
  <c r="CT15" i="8"/>
  <c r="CT32" i="8"/>
  <c r="CT16" i="8"/>
  <c r="CT28" i="8"/>
  <c r="CT27" i="8"/>
  <c r="CT34" i="8"/>
  <c r="CT33" i="8"/>
  <c r="CT29" i="8"/>
  <c r="CT39" i="8"/>
  <c r="CT41" i="8"/>
  <c r="CT21" i="8"/>
  <c r="CT20" i="8"/>
  <c r="CT22" i="8"/>
  <c r="CT23" i="8"/>
  <c r="CT8" i="8"/>
  <c r="CT40" i="8"/>
  <c r="CT38" i="8"/>
  <c r="CT10" i="8"/>
  <c r="CT11" i="8"/>
  <c r="CT9" i="8"/>
  <c r="AX10" i="8"/>
  <c r="AX41" i="8"/>
  <c r="AX39" i="8"/>
  <c r="AX34" i="8"/>
  <c r="AX38" i="8"/>
  <c r="AX33" i="8"/>
  <c r="AX32" i="8"/>
  <c r="AX27" i="8"/>
  <c r="AX28" i="8"/>
  <c r="AX26" i="8"/>
  <c r="AX23" i="8"/>
  <c r="AX22" i="8"/>
  <c r="AX20" i="8"/>
  <c r="AX16" i="8"/>
  <c r="AX15" i="8"/>
  <c r="AX14" i="8"/>
  <c r="AX11" i="8"/>
  <c r="AX9" i="8"/>
  <c r="AX8" i="8"/>
  <c r="CU30" i="8" l="1"/>
  <c r="CU29" i="8" s="1"/>
  <c r="CU24" i="8"/>
  <c r="CU23" i="8" s="1"/>
  <c r="CW30" i="8"/>
  <c r="CW27" i="8" s="1"/>
  <c r="CV18" i="8"/>
  <c r="CV17" i="8" s="1"/>
  <c r="CV24" i="8"/>
  <c r="CV23" i="8" s="1"/>
  <c r="CW18" i="8"/>
  <c r="CW15" i="8" s="1"/>
  <c r="CW12" i="8"/>
  <c r="CW9" i="8" s="1"/>
  <c r="CX42" i="8"/>
  <c r="CX38" i="8" s="1"/>
  <c r="CU36" i="8"/>
  <c r="CU34" i="8" s="1"/>
  <c r="CV42" i="8"/>
  <c r="CV40" i="8" s="1"/>
  <c r="CX30" i="8"/>
  <c r="CX27" i="8" s="1"/>
  <c r="CU12" i="8"/>
  <c r="CU9" i="8" s="1"/>
  <c r="CV36" i="8"/>
  <c r="CV35" i="8" s="1"/>
  <c r="CX36" i="8"/>
  <c r="CX33" i="8" s="1"/>
  <c r="CX24" i="8"/>
  <c r="CX22" i="8" s="1"/>
  <c r="CW36" i="8"/>
  <c r="CW33" i="8" s="1"/>
  <c r="CU18" i="8"/>
  <c r="CU16" i="8" s="1"/>
  <c r="CW24" i="8"/>
  <c r="CW20" i="8" s="1"/>
  <c r="CV30" i="8"/>
  <c r="CV29" i="8" s="1"/>
  <c r="CX18" i="8"/>
  <c r="CX15" i="8" s="1"/>
  <c r="CV12" i="8"/>
  <c r="CV10" i="8" s="1"/>
  <c r="CU42" i="8"/>
  <c r="CX12" i="8"/>
  <c r="CX8" i="8" s="1"/>
  <c r="CW42" i="8"/>
  <c r="AY11" i="8"/>
  <c r="AY8" i="8"/>
  <c r="AY10" i="8"/>
  <c r="AY9" i="8"/>
  <c r="AX30" i="8"/>
  <c r="BB27" i="8" s="1"/>
  <c r="AX24" i="8"/>
  <c r="BB21" i="8" s="1"/>
  <c r="AX36" i="8"/>
  <c r="BB34" i="8" s="1"/>
  <c r="AX12" i="8"/>
  <c r="BB10" i="8" s="1"/>
  <c r="AX18" i="8"/>
  <c r="BB17" i="8" s="1"/>
  <c r="AX42" i="8"/>
  <c r="BB41" i="8" s="1"/>
  <c r="CV14" i="8" l="1"/>
  <c r="CU22" i="8"/>
  <c r="CU11" i="8"/>
  <c r="CU33" i="8"/>
  <c r="CY33" i="8" s="1"/>
  <c r="CZ33" i="8" s="1"/>
  <c r="CV16" i="8"/>
  <c r="CX14" i="8"/>
  <c r="CX16" i="8"/>
  <c r="CU17" i="8"/>
  <c r="CU27" i="8"/>
  <c r="CY27" i="8" s="1"/>
  <c r="CZ27" i="8" s="1"/>
  <c r="CU15" i="8"/>
  <c r="CY15" i="8" s="1"/>
  <c r="CZ15" i="8" s="1"/>
  <c r="CU28" i="8"/>
  <c r="CU35" i="8"/>
  <c r="CW32" i="8"/>
  <c r="CU10" i="8"/>
  <c r="CX39" i="8"/>
  <c r="CV32" i="8"/>
  <c r="CV22" i="8"/>
  <c r="CV20" i="8"/>
  <c r="CX40" i="8"/>
  <c r="CX21" i="8"/>
  <c r="CV26" i="8"/>
  <c r="CU21" i="8"/>
  <c r="CX28" i="8"/>
  <c r="CV28" i="8"/>
  <c r="CW14" i="8"/>
  <c r="CX20" i="8"/>
  <c r="CW8" i="8"/>
  <c r="CY18" i="8"/>
  <c r="CY24" i="8"/>
  <c r="CW35" i="8"/>
  <c r="CY36" i="8"/>
  <c r="CV41" i="8"/>
  <c r="CW21" i="8"/>
  <c r="CW17" i="8"/>
  <c r="CW29" i="8"/>
  <c r="CY29" i="8" s="1"/>
  <c r="CZ29" i="8" s="1"/>
  <c r="CY30" i="8"/>
  <c r="CW23" i="8"/>
  <c r="CY23" i="8" s="1"/>
  <c r="CZ23" i="8" s="1"/>
  <c r="CX26" i="8"/>
  <c r="CV34" i="8"/>
  <c r="CW26" i="8"/>
  <c r="CV38" i="8"/>
  <c r="CX32" i="8"/>
  <c r="CW11" i="8"/>
  <c r="CX34" i="8"/>
  <c r="CV8" i="8"/>
  <c r="CX10" i="8"/>
  <c r="CX9" i="8"/>
  <c r="CY9" i="8" s="1"/>
  <c r="CZ9" i="8" s="1"/>
  <c r="CV11" i="8"/>
  <c r="CW38" i="8"/>
  <c r="CW41" i="8"/>
  <c r="CW39" i="8"/>
  <c r="CY12" i="8"/>
  <c r="CY42" i="8"/>
  <c r="CU39" i="8"/>
  <c r="CU41" i="8"/>
  <c r="CU40" i="8"/>
  <c r="BB39" i="8"/>
  <c r="BB40" i="8"/>
  <c r="BB38" i="8"/>
  <c r="BB35" i="8"/>
  <c r="BB32" i="8"/>
  <c r="BB33" i="8"/>
  <c r="BB26" i="8"/>
  <c r="BB28" i="8"/>
  <c r="BB29" i="8"/>
  <c r="BB23" i="8"/>
  <c r="BB20" i="8"/>
  <c r="BB22" i="8"/>
  <c r="BB16" i="8"/>
  <c r="BB15" i="8"/>
  <c r="BB11" i="8"/>
  <c r="BB14" i="8"/>
  <c r="BB9" i="8"/>
  <c r="BB8" i="8"/>
  <c r="CY20" i="8" l="1"/>
  <c r="CZ20" i="8" s="1"/>
  <c r="CY22" i="8"/>
  <c r="CZ22" i="8" s="1"/>
  <c r="CY16" i="8"/>
  <c r="CZ16" i="8" s="1"/>
  <c r="CY17" i="8"/>
  <c r="CZ17" i="8" s="1"/>
  <c r="CY14" i="8"/>
  <c r="CZ14" i="8" s="1"/>
  <c r="CY40" i="8"/>
  <c r="CZ40" i="8" s="1"/>
  <c r="CY10" i="8"/>
  <c r="CZ10" i="8" s="1"/>
  <c r="CY35" i="8"/>
  <c r="CZ35" i="8" s="1"/>
  <c r="CY26" i="8"/>
  <c r="CZ26" i="8" s="1"/>
  <c r="CY28" i="8"/>
  <c r="CZ28" i="8" s="1"/>
  <c r="CY32" i="8"/>
  <c r="CZ32" i="8" s="1"/>
  <c r="CY8" i="8"/>
  <c r="CZ8" i="8" s="1"/>
  <c r="CY21" i="8"/>
  <c r="CZ21" i="8" s="1"/>
  <c r="CY11" i="8"/>
  <c r="CZ11" i="8" s="1"/>
  <c r="CY38" i="8"/>
  <c r="CZ38" i="8" s="1"/>
  <c r="CY34" i="8"/>
  <c r="CZ34" i="8" s="1"/>
  <c r="CY39" i="8"/>
  <c r="CZ39" i="8" s="1"/>
  <c r="CY41" i="8"/>
  <c r="CZ41" i="8" s="1"/>
  <c r="DA20" i="8" l="1"/>
  <c r="AM20" i="8" s="1"/>
  <c r="DA17" i="8"/>
  <c r="AM17" i="8" s="1"/>
  <c r="DA16" i="8"/>
  <c r="AM16" i="8" s="1"/>
  <c r="DA32" i="8"/>
  <c r="AM32" i="8" s="1"/>
  <c r="DA15" i="8"/>
  <c r="AM15" i="8" s="1"/>
  <c r="DA14" i="8"/>
  <c r="AM14" i="8" s="1"/>
  <c r="DA35" i="8"/>
  <c r="AM35" i="8" s="1"/>
  <c r="DA29" i="8"/>
  <c r="AM29" i="8" s="1"/>
  <c r="DA33" i="8"/>
  <c r="AM33" i="8" s="1"/>
  <c r="DA28" i="8"/>
  <c r="AM28" i="8" s="1"/>
  <c r="DA9" i="8"/>
  <c r="AM9" i="8" s="1"/>
  <c r="DA21" i="8"/>
  <c r="AM21" i="8" s="1"/>
  <c r="DA26" i="8"/>
  <c r="AM26" i="8" s="1"/>
  <c r="DA27" i="8"/>
  <c r="AM27" i="8" s="1"/>
  <c r="DA22" i="8"/>
  <c r="AM22" i="8" s="1"/>
  <c r="DA23" i="8"/>
  <c r="AM23" i="8" s="1"/>
  <c r="DA34" i="8"/>
  <c r="AM34" i="8" s="1"/>
  <c r="DA40" i="8"/>
  <c r="AM40" i="8" s="1"/>
  <c r="DA38" i="8"/>
  <c r="AM38" i="8" s="1"/>
  <c r="DA39" i="8"/>
  <c r="AM39" i="8" s="1"/>
  <c r="DA41" i="8"/>
  <c r="AM41" i="8" s="1"/>
  <c r="DA11" i="8"/>
  <c r="AM11" i="8" s="1"/>
  <c r="DA8" i="8"/>
  <c r="AM8" i="8" s="1"/>
  <c r="DA10" i="8"/>
  <c r="AM10" i="8" s="1"/>
  <c r="V51" i="8"/>
  <c r="W51" i="8" s="1"/>
  <c r="DK21" i="8" s="1"/>
  <c r="V58" i="8"/>
  <c r="W58" i="8" s="1"/>
  <c r="DQ17" i="8" s="1"/>
  <c r="V53" i="8"/>
  <c r="W53" i="8" s="1"/>
  <c r="DK37" i="8" s="1"/>
  <c r="M15" i="8" l="1"/>
  <c r="BC14" i="8" s="1"/>
  <c r="R21" i="8"/>
  <c r="Q15" i="8"/>
  <c r="P21" i="8"/>
  <c r="Q21" i="8"/>
  <c r="O21" i="8"/>
  <c r="O35" i="8"/>
  <c r="M21" i="8"/>
  <c r="BC20" i="8" s="1"/>
  <c r="DE26" i="8" s="1"/>
  <c r="Q35" i="8"/>
  <c r="M35" i="8"/>
  <c r="BC34" i="8" s="1"/>
  <c r="AN48" i="8" s="1"/>
  <c r="P33" i="8"/>
  <c r="P36" i="8"/>
  <c r="P35" i="8"/>
  <c r="R35" i="8"/>
  <c r="R16" i="8"/>
  <c r="P16" i="8"/>
  <c r="P17" i="8"/>
  <c r="R18" i="8"/>
  <c r="R15" i="8"/>
  <c r="O18" i="8"/>
  <c r="M17" i="8"/>
  <c r="BC16" i="8" s="1"/>
  <c r="AN45" i="8" s="1"/>
  <c r="P18" i="8"/>
  <c r="O16" i="8"/>
  <c r="O17" i="8"/>
  <c r="P15" i="8"/>
  <c r="O15" i="8"/>
  <c r="Q18" i="8"/>
  <c r="M18" i="8"/>
  <c r="R22" i="8"/>
  <c r="Q17" i="8"/>
  <c r="M16" i="8"/>
  <c r="BC15" i="8" s="1"/>
  <c r="DE38" i="8" s="1"/>
  <c r="Q16" i="8"/>
  <c r="R17" i="8"/>
  <c r="M36" i="8"/>
  <c r="P34" i="8"/>
  <c r="M29" i="8"/>
  <c r="BC28" i="8" s="1"/>
  <c r="AN47" i="8" s="1"/>
  <c r="Q24" i="8"/>
  <c r="R36" i="8"/>
  <c r="R34" i="8"/>
  <c r="O28" i="8"/>
  <c r="R24" i="8"/>
  <c r="O36" i="8"/>
  <c r="Q36" i="8"/>
  <c r="R33" i="8"/>
  <c r="M27" i="8"/>
  <c r="BC26" i="8" s="1"/>
  <c r="DE14" i="8" s="1"/>
  <c r="P23" i="8"/>
  <c r="P28" i="8"/>
  <c r="O22" i="8"/>
  <c r="Q29" i="8"/>
  <c r="Q27" i="8"/>
  <c r="Q28" i="8"/>
  <c r="R28" i="8"/>
  <c r="O29" i="8"/>
  <c r="M28" i="8"/>
  <c r="BC27" i="8" s="1"/>
  <c r="DE31" i="8" s="1"/>
  <c r="O24" i="8"/>
  <c r="M22" i="8"/>
  <c r="BC21" i="8" s="1"/>
  <c r="DE11" i="8" s="1"/>
  <c r="R27" i="8"/>
  <c r="O27" i="8"/>
  <c r="Q23" i="8"/>
  <c r="Q34" i="8"/>
  <c r="Q30" i="8"/>
  <c r="M23" i="8"/>
  <c r="BC22" i="8" s="1"/>
  <c r="AN46" i="8" s="1"/>
  <c r="O34" i="8"/>
  <c r="P29" i="8"/>
  <c r="P27" i="8"/>
  <c r="O33" i="8"/>
  <c r="M24" i="8"/>
  <c r="R23" i="8"/>
  <c r="M33" i="8"/>
  <c r="BC32" i="8" s="1"/>
  <c r="DE30" i="8" s="1"/>
  <c r="R29" i="8"/>
  <c r="R30" i="8"/>
  <c r="M30" i="8"/>
  <c r="Q33" i="8"/>
  <c r="M34" i="8"/>
  <c r="BC33" i="8" s="1"/>
  <c r="DE23" i="8" s="1"/>
  <c r="O23" i="8"/>
  <c r="P24" i="8"/>
  <c r="O30" i="8"/>
  <c r="P30" i="8"/>
  <c r="P22" i="8"/>
  <c r="Q22" i="8"/>
  <c r="R11" i="8"/>
  <c r="R39" i="8"/>
  <c r="R40" i="8"/>
  <c r="Q42" i="8"/>
  <c r="O40" i="8"/>
  <c r="O41" i="8"/>
  <c r="O42" i="8"/>
  <c r="Q41" i="8"/>
  <c r="O39" i="8"/>
  <c r="P39" i="8"/>
  <c r="M40" i="8"/>
  <c r="BC39" i="8" s="1"/>
  <c r="DE39" i="8" s="1"/>
  <c r="M39" i="8"/>
  <c r="BC38" i="8" s="1"/>
  <c r="DE22" i="8" s="1"/>
  <c r="R41" i="8"/>
  <c r="M42" i="8"/>
  <c r="Q40" i="8"/>
  <c r="R42" i="8"/>
  <c r="P41" i="8"/>
  <c r="P40" i="8"/>
  <c r="P42" i="8"/>
  <c r="M41" i="8"/>
  <c r="BC40" i="8" s="1"/>
  <c r="AN49" i="8" s="1"/>
  <c r="Q39" i="8"/>
  <c r="O9" i="8"/>
  <c r="O12" i="8"/>
  <c r="Q10" i="8"/>
  <c r="Q12" i="8"/>
  <c r="P9" i="8"/>
  <c r="O10" i="8"/>
  <c r="M12" i="8"/>
  <c r="R12" i="8"/>
  <c r="P10" i="8"/>
  <c r="P11" i="8"/>
  <c r="P12" i="8"/>
  <c r="M9" i="8"/>
  <c r="BC8" i="8" s="1"/>
  <c r="DE34" i="8" s="1"/>
  <c r="R9" i="8"/>
  <c r="M11" i="8"/>
  <c r="BC10" i="8" s="1"/>
  <c r="AN44" i="8" s="1"/>
  <c r="R10" i="8"/>
  <c r="Q9" i="8"/>
  <c r="Q11" i="8"/>
  <c r="O11" i="8"/>
  <c r="M10" i="8"/>
  <c r="BC9" i="8" s="1"/>
  <c r="DE10" i="8" s="1"/>
  <c r="V48" i="8"/>
  <c r="W48" i="8" s="1"/>
  <c r="DK28" i="8" s="1"/>
  <c r="DE18" i="8"/>
  <c r="V47" i="8"/>
  <c r="W47" i="8" s="1"/>
  <c r="DK13" i="8" s="1"/>
  <c r="V57" i="8" s="1"/>
  <c r="W57" i="8" s="1"/>
  <c r="DQ16" i="8" s="1"/>
  <c r="V64" i="8" s="1"/>
  <c r="W64" i="8" s="1"/>
  <c r="DW23" i="8" s="1"/>
  <c r="V50" i="8"/>
  <c r="W50" i="8" s="1"/>
  <c r="DK20" i="8" s="1"/>
  <c r="V49" i="8"/>
  <c r="W49" i="8" s="1"/>
  <c r="DK29" i="8" s="1"/>
  <c r="V52" i="8"/>
  <c r="W52" i="8" s="1"/>
  <c r="DK36" i="8" s="1"/>
  <c r="V46" i="8"/>
  <c r="W46" i="8" s="1"/>
  <c r="DK12" i="8" s="1"/>
  <c r="V60" i="8"/>
  <c r="W60" i="8" s="1"/>
  <c r="DQ33" i="8" s="1"/>
  <c r="V59" i="8"/>
  <c r="W59" i="8" s="1"/>
  <c r="DQ32" i="8" s="1"/>
  <c r="X64" i="8" l="1"/>
  <c r="AL76" i="8" s="1"/>
  <c r="N21" i="8"/>
  <c r="S21" i="8"/>
  <c r="S35" i="8"/>
  <c r="S33" i="8"/>
  <c r="S36" i="8"/>
  <c r="S17" i="8"/>
  <c r="N35" i="8"/>
  <c r="N18" i="8"/>
  <c r="N15" i="8"/>
  <c r="N17" i="8"/>
  <c r="S18" i="8"/>
  <c r="N16" i="8"/>
  <c r="S16" i="8"/>
  <c r="S15" i="8"/>
  <c r="N27" i="8"/>
  <c r="S28" i="8"/>
  <c r="S34" i="8"/>
  <c r="S24" i="8"/>
  <c r="N28" i="8"/>
  <c r="N33" i="8"/>
  <c r="S30" i="8"/>
  <c r="N36" i="8"/>
  <c r="N23" i="8"/>
  <c r="N29" i="8"/>
  <c r="N24" i="8"/>
  <c r="S29" i="8"/>
  <c r="N30" i="8"/>
  <c r="S22" i="8"/>
  <c r="N22" i="8"/>
  <c r="S23" i="8"/>
  <c r="S27" i="8"/>
  <c r="N34" i="8"/>
  <c r="N41" i="8"/>
  <c r="S39" i="8"/>
  <c r="N42" i="8"/>
  <c r="S42" i="8"/>
  <c r="S40" i="8"/>
  <c r="N39" i="8"/>
  <c r="S41" i="8"/>
  <c r="N40" i="8"/>
  <c r="S9" i="8"/>
  <c r="N9" i="8"/>
  <c r="N12" i="8"/>
  <c r="N10" i="8"/>
  <c r="N11" i="8"/>
  <c r="S11" i="8"/>
  <c r="S10" i="8"/>
  <c r="S12" i="8"/>
  <c r="AS49" i="8"/>
  <c r="BA49" i="8"/>
  <c r="AS46" i="8"/>
  <c r="BA46" i="8"/>
  <c r="AS47" i="8"/>
  <c r="BA47" i="8"/>
  <c r="AS48" i="8"/>
  <c r="BA48" i="8"/>
  <c r="AS45" i="8"/>
  <c r="BA45" i="8"/>
  <c r="AS44" i="8"/>
  <c r="BA44" i="8"/>
  <c r="AQ49" i="8"/>
  <c r="AR49" i="8"/>
  <c r="AQ48" i="8"/>
  <c r="AR48" i="8"/>
  <c r="AQ47" i="8"/>
  <c r="AR47" i="8"/>
  <c r="AQ46" i="8"/>
  <c r="AR46" i="8"/>
  <c r="AQ45" i="8"/>
  <c r="AR45" i="8"/>
  <c r="AQ44" i="8"/>
  <c r="AR44" i="8"/>
  <c r="AO49" i="8"/>
  <c r="AP49" i="8"/>
  <c r="AO48" i="8"/>
  <c r="AP48" i="8"/>
  <c r="AO47" i="8"/>
  <c r="AP47" i="8"/>
  <c r="AO46" i="8"/>
  <c r="AP46" i="8"/>
  <c r="AO45" i="8"/>
  <c r="AP45" i="8"/>
  <c r="AO44" i="8"/>
  <c r="AP44" i="8"/>
  <c r="AR63" i="8"/>
  <c r="K16" i="11" s="1"/>
  <c r="AR54" i="8"/>
  <c r="K7" i="11" s="1"/>
  <c r="AO65" i="8"/>
  <c r="H18" i="11" s="1"/>
  <c r="AR67" i="8"/>
  <c r="K20" i="11" s="1"/>
  <c r="AO66" i="8"/>
  <c r="H19" i="11" s="1"/>
  <c r="AR56" i="8"/>
  <c r="K9" i="11" s="1"/>
  <c r="AO58" i="8"/>
  <c r="H11" i="11" s="1"/>
  <c r="AR59" i="8"/>
  <c r="K12" i="11" s="1"/>
  <c r="AR61" i="8"/>
  <c r="K14" i="11" s="1"/>
  <c r="AR62" i="8"/>
  <c r="K15" i="11" s="1"/>
  <c r="AR65" i="8"/>
  <c r="K18" i="11" s="1"/>
  <c r="AQ61" i="8"/>
  <c r="J14" i="11" s="1"/>
  <c r="AR55" i="8"/>
  <c r="K8" i="11" s="1"/>
  <c r="AR64" i="8"/>
  <c r="K17" i="11" s="1"/>
  <c r="AQ62" i="8"/>
  <c r="J15" i="11" s="1"/>
  <c r="AR60" i="8"/>
  <c r="K13" i="11" s="1"/>
  <c r="AR58" i="8"/>
  <c r="K11" i="11" s="1"/>
  <c r="AQ67" i="8"/>
  <c r="J20" i="11" s="1"/>
  <c r="AR57" i="8"/>
  <c r="K10" i="11" s="1"/>
  <c r="AR66" i="8"/>
  <c r="K19" i="11" s="1"/>
  <c r="AQ53" i="8"/>
  <c r="J6" i="11" s="1"/>
  <c r="AP61" i="8"/>
  <c r="I14" i="11" s="1"/>
  <c r="AP56" i="8"/>
  <c r="I9" i="11" s="1"/>
  <c r="AP62" i="8"/>
  <c r="I15" i="11" s="1"/>
  <c r="AP58" i="8"/>
  <c r="I11" i="11" s="1"/>
  <c r="AP57" i="8"/>
  <c r="I10" i="11" s="1"/>
  <c r="AP55" i="8"/>
  <c r="I8" i="11" s="1"/>
  <c r="AQ60" i="8"/>
  <c r="J13" i="11" s="1"/>
  <c r="AP54" i="8"/>
  <c r="I7" i="11" s="1"/>
  <c r="AQ59" i="8"/>
  <c r="J12" i="11" s="1"/>
  <c r="AQ66" i="8"/>
  <c r="J19" i="11" s="1"/>
  <c r="AQ54" i="8"/>
  <c r="J7" i="11" s="1"/>
  <c r="AQ57" i="8"/>
  <c r="J10" i="11" s="1"/>
  <c r="AR53" i="8"/>
  <c r="K6" i="11" s="1"/>
  <c r="AQ65" i="8"/>
  <c r="J18" i="11" s="1"/>
  <c r="AQ64" i="8"/>
  <c r="J17" i="11" s="1"/>
  <c r="AQ63" i="8"/>
  <c r="J16" i="11" s="1"/>
  <c r="AQ58" i="8"/>
  <c r="J11" i="11" s="1"/>
  <c r="AQ56" i="8"/>
  <c r="J9" i="11" s="1"/>
  <c r="AQ55" i="8"/>
  <c r="J8" i="11" s="1"/>
  <c r="AP59" i="8"/>
  <c r="I12" i="11" s="1"/>
  <c r="AO56" i="8"/>
  <c r="H9" i="11" s="1"/>
  <c r="AP60" i="8"/>
  <c r="I13" i="11" s="1"/>
  <c r="AP63" i="8"/>
  <c r="I16" i="11" s="1"/>
  <c r="AP64" i="8"/>
  <c r="I17" i="11" s="1"/>
  <c r="AP67" i="8"/>
  <c r="I20" i="11" s="1"/>
  <c r="AO62" i="8"/>
  <c r="H15" i="11" s="1"/>
  <c r="AP53" i="8"/>
  <c r="I6" i="11" s="1"/>
  <c r="AO57" i="8"/>
  <c r="H10" i="11" s="1"/>
  <c r="AP66" i="8"/>
  <c r="I19" i="11" s="1"/>
  <c r="AO53" i="8"/>
  <c r="H6" i="11" s="1"/>
  <c r="AO64" i="8"/>
  <c r="H17" i="11" s="1"/>
  <c r="AO63" i="8"/>
  <c r="H16" i="11" s="1"/>
  <c r="AO61" i="8"/>
  <c r="H14" i="11" s="1"/>
  <c r="AO60" i="8"/>
  <c r="H13" i="11" s="1"/>
  <c r="AO59" i="8"/>
  <c r="H12" i="11" s="1"/>
  <c r="AO55" i="8"/>
  <c r="H8" i="11" s="1"/>
  <c r="AP65" i="8"/>
  <c r="I18" i="11" s="1"/>
  <c r="AO54" i="8"/>
  <c r="H7" i="11" s="1"/>
  <c r="AO67" i="8"/>
  <c r="H20" i="11" s="1"/>
  <c r="V65" i="8"/>
  <c r="W65" i="8" s="1"/>
  <c r="DW24" i="8" s="1"/>
  <c r="V73" i="8" s="1"/>
  <c r="DT41" i="8" s="1"/>
  <c r="X65" i="8"/>
  <c r="AL77" i="8" s="1"/>
  <c r="W69" i="8" s="1"/>
  <c r="AW47" i="8" l="1"/>
  <c r="AU48" i="8"/>
  <c r="AW49" i="8"/>
  <c r="AU47" i="8"/>
  <c r="AU49" i="8"/>
  <c r="AW48" i="8"/>
  <c r="AW45" i="8"/>
  <c r="AW46" i="8"/>
  <c r="AS50" i="8"/>
  <c r="AU46" i="8"/>
  <c r="AU44" i="8"/>
  <c r="AQ50" i="8"/>
  <c r="AP50" i="8"/>
  <c r="AU45" i="8"/>
  <c r="AO50" i="8"/>
  <c r="AR50" i="8"/>
  <c r="AW44" i="8"/>
  <c r="W73" i="8"/>
  <c r="AW50" i="8" l="1"/>
  <c r="AU51" i="8"/>
  <c r="AU50" i="8" s="1"/>
  <c r="AV46" i="8" s="1"/>
  <c r="BB46" i="8" l="1"/>
  <c r="AV44" i="8"/>
  <c r="BB44" i="8" s="1"/>
  <c r="AV45" i="8"/>
  <c r="BB45" i="8" s="1"/>
  <c r="AV49" i="8"/>
  <c r="BB49" i="8" s="1"/>
  <c r="AV47" i="8"/>
  <c r="BB47" i="8" s="1"/>
  <c r="AV48" i="8"/>
  <c r="BB48" i="8" s="1"/>
  <c r="AM44" i="8" l="1"/>
  <c r="AM47" i="8"/>
  <c r="AL47" i="8" s="1"/>
  <c r="AM45" i="8"/>
  <c r="AL45" i="8" s="1"/>
  <c r="AM46" i="8"/>
  <c r="AL46" i="8" s="1"/>
  <c r="AM49" i="8"/>
  <c r="AL49" i="8" s="1"/>
  <c r="AM48" i="8"/>
  <c r="AL48" i="8" s="1"/>
  <c r="O46" i="8" l="1"/>
  <c r="M46" i="8"/>
  <c r="AL44" i="8"/>
  <c r="AL50" i="8" s="1"/>
  <c r="C3" i="11" s="1"/>
  <c r="R47" i="8"/>
  <c r="P47" i="8"/>
  <c r="Q47" i="8"/>
  <c r="Q48" i="8"/>
  <c r="Q49" i="8"/>
  <c r="R46" i="8"/>
  <c r="O49" i="8"/>
  <c r="R48" i="8"/>
  <c r="M49" i="8"/>
  <c r="P45" i="8"/>
  <c r="M48" i="8"/>
  <c r="Q46" i="8"/>
  <c r="Q45" i="8"/>
  <c r="P50" i="8"/>
  <c r="R49" i="8"/>
  <c r="M47" i="8"/>
  <c r="M50" i="8"/>
  <c r="P46" i="8"/>
  <c r="O45" i="8"/>
  <c r="R45" i="8"/>
  <c r="R50" i="8"/>
  <c r="P49" i="8"/>
  <c r="Q50" i="8"/>
  <c r="O48" i="8"/>
  <c r="M45" i="8"/>
  <c r="P48" i="8"/>
  <c r="O50" i="8"/>
  <c r="O47" i="8"/>
  <c r="DE15" i="8" l="1"/>
  <c r="DE27" i="8"/>
  <c r="DE19" i="8"/>
  <c r="DE35" i="8"/>
  <c r="S49" i="8"/>
  <c r="N47" i="8"/>
  <c r="S46" i="8"/>
  <c r="S50" i="8"/>
  <c r="N50" i="8"/>
  <c r="S47" i="8"/>
  <c r="S48" i="8"/>
  <c r="N45" i="8"/>
  <c r="S45" i="8"/>
  <c r="N48" i="8"/>
  <c r="N46" i="8"/>
  <c r="N49" i="8"/>
</calcChain>
</file>

<file path=xl/sharedStrings.xml><?xml version="1.0" encoding="utf-8"?>
<sst xmlns="http://schemas.openxmlformats.org/spreadsheetml/2006/main" count="4636" uniqueCount="2483">
  <si>
    <t>Za treće mjesto</t>
  </si>
  <si>
    <t>UT</t>
  </si>
  <si>
    <t>NER.</t>
  </si>
  <si>
    <t>GD - GP</t>
  </si>
  <si>
    <t>BOD</t>
  </si>
  <si>
    <t>Ned</t>
  </si>
  <si>
    <t>Pon</t>
  </si>
  <si>
    <t>Uto</t>
  </si>
  <si>
    <t>Sre</t>
  </si>
  <si>
    <t>Čet</t>
  </si>
  <si>
    <t>Pet</t>
  </si>
  <si>
    <t>Sub</t>
  </si>
  <si>
    <t>Avg</t>
  </si>
  <si>
    <t>Reprezentacija</t>
  </si>
  <si>
    <t>Francuska</t>
  </si>
  <si>
    <t>Engleska</t>
  </si>
  <si>
    <t>Njemačka</t>
  </si>
  <si>
    <t>Italija</t>
  </si>
  <si>
    <t>Španija</t>
  </si>
  <si>
    <t>P49</t>
  </si>
  <si>
    <t>P50</t>
  </si>
  <si>
    <t>I61</t>
  </si>
  <si>
    <t>I62</t>
  </si>
  <si>
    <t>Swedish</t>
  </si>
  <si>
    <t>Gruppspel</t>
  </si>
  <si>
    <t>Kvartsfinal</t>
  </si>
  <si>
    <t>Semifinal</t>
  </si>
  <si>
    <t>Grupp</t>
  </si>
  <si>
    <t>Sp</t>
  </si>
  <si>
    <t>F</t>
  </si>
  <si>
    <t>GM – IM</t>
  </si>
  <si>
    <t>Sön</t>
  </si>
  <si>
    <t>Mån</t>
  </si>
  <si>
    <t>Tis</t>
  </si>
  <si>
    <t>Lör</t>
  </si>
  <si>
    <t>jan</t>
  </si>
  <si>
    <t>mar</t>
  </si>
  <si>
    <t>apr</t>
  </si>
  <si>
    <t>maj</t>
  </si>
  <si>
    <t>jun</t>
  </si>
  <si>
    <t>jul</t>
  </si>
  <si>
    <t>sep</t>
  </si>
  <si>
    <t>okt</t>
  </si>
  <si>
    <t>nov</t>
  </si>
  <si>
    <t>dec</t>
  </si>
  <si>
    <t>Lag</t>
  </si>
  <si>
    <t>Frankrike</t>
  </si>
  <si>
    <t>Chinese (Traditional)</t>
  </si>
  <si>
    <t>Chinese (Simplified)</t>
  </si>
  <si>
    <t>小组赛阶段</t>
  </si>
  <si>
    <t>16强赛</t>
  </si>
  <si>
    <t>8强赛</t>
  </si>
  <si>
    <t>半决赛</t>
  </si>
  <si>
    <t>季军赛</t>
  </si>
  <si>
    <t>总决赛</t>
  </si>
  <si>
    <t>小组</t>
  </si>
  <si>
    <t>场次</t>
  </si>
  <si>
    <t>胜</t>
  </si>
  <si>
    <t>平</t>
  </si>
  <si>
    <t>负</t>
  </si>
  <si>
    <t>得失球</t>
  </si>
  <si>
    <t>积分</t>
  </si>
  <si>
    <t>周日</t>
  </si>
  <si>
    <t>周一</t>
  </si>
  <si>
    <t>周二</t>
  </si>
  <si>
    <t>周三</t>
  </si>
  <si>
    <t>周四</t>
  </si>
  <si>
    <t>周五</t>
  </si>
  <si>
    <t>周六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</si>
  <si>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</si>
  <si>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</si>
  <si>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</si>
  <si>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</si>
  <si>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</si>
  <si>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</si>
  <si>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</si>
  <si>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</si>
  <si>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</si>
  <si>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</si>
  <si>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</si>
  <si>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</si>
  <si>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球队</t>
  </si>
  <si>
    <t>法国</t>
  </si>
  <si>
    <t>德国</t>
  </si>
  <si>
    <t>49胜者</t>
  </si>
  <si>
    <t>50胜者</t>
  </si>
  <si>
    <t>61负者</t>
  </si>
  <si>
    <t>62负者</t>
  </si>
  <si>
    <t>Polish</t>
  </si>
  <si>
    <t>Faza Grupowa</t>
  </si>
  <si>
    <t>1/8 Finału</t>
  </si>
  <si>
    <t>Ćwierćfinały</t>
  </si>
  <si>
    <t>Półfinały</t>
  </si>
  <si>
    <t>Mecz o trzecie miejsce</t>
  </si>
  <si>
    <t>Finał</t>
  </si>
  <si>
    <t>Z - S</t>
  </si>
  <si>
    <t>Pkt</t>
  </si>
  <si>
    <t>Nd</t>
  </si>
  <si>
    <t>Pn</t>
  </si>
  <si>
    <t>Wt</t>
  </si>
  <si>
    <t>Śr</t>
  </si>
  <si>
    <t>Cz</t>
  </si>
  <si>
    <t>Pt</t>
  </si>
  <si>
    <t>Sty</t>
  </si>
  <si>
    <t>Lut</t>
  </si>
  <si>
    <t>Kwi</t>
  </si>
  <si>
    <t>Cze</t>
  </si>
  <si>
    <t>Lip</t>
  </si>
  <si>
    <t>Się</t>
  </si>
  <si>
    <t>Wrz</t>
  </si>
  <si>
    <t>Paź</t>
  </si>
  <si>
    <t>Lis</t>
  </si>
  <si>
    <t>Gru</t>
  </si>
  <si>
    <t>Drużyna</t>
  </si>
  <si>
    <t>Francja</t>
  </si>
  <si>
    <t>Niemcy</t>
  </si>
  <si>
    <t>Włochy</t>
  </si>
  <si>
    <t>Hiszpania</t>
  </si>
  <si>
    <t>Szwajcaria</t>
  </si>
  <si>
    <t>Itali</t>
  </si>
  <si>
    <t>รอบแรก</t>
  </si>
  <si>
    <t>รอบสอง</t>
  </si>
  <si>
    <t>รอบก่อนรองชนะเลิศ</t>
  </si>
  <si>
    <t>รอบรองชนะเลิศ</t>
  </si>
  <si>
    <t>รอบชิงที่ 3</t>
  </si>
  <si>
    <t>รอบชิงชนะเลิศ</t>
  </si>
  <si>
    <t>สาย</t>
  </si>
  <si>
    <t>แข่ง</t>
  </si>
  <si>
    <t>ชนะ</t>
  </si>
  <si>
    <t>เสมอ</t>
  </si>
  <si>
    <t>แพ้</t>
  </si>
  <si>
    <t>ได้ - เสีย</t>
  </si>
  <si>
    <t>คะแนน</t>
  </si>
  <si>
    <t>อาทิตย์</t>
  </si>
  <si>
    <t>จันทร์</t>
  </si>
  <si>
    <t>อังคาร</t>
  </si>
  <si>
    <t>พุธ</t>
  </si>
  <si>
    <t>พฤหัส</t>
  </si>
  <si>
    <t>ศุกร์</t>
  </si>
  <si>
    <t>เสาร์</t>
  </si>
  <si>
    <t>มกราคม</t>
  </si>
  <si>
    <t>กุมภาพันธ์</t>
  </si>
  <si>
    <t>มีนาคม</t>
  </si>
  <si>
    <t>เมษายน</t>
  </si>
  <si>
    <t>พฤษภาคม</t>
  </si>
  <si>
    <t>มิถุนายน</t>
  </si>
  <si>
    <t>กรกฎาคม</t>
  </si>
  <si>
    <t>สิงหาคม</t>
  </si>
  <si>
    <t>กันยายน</t>
  </si>
  <si>
    <t>ตุลาคม</t>
  </si>
  <si>
    <t>พฤศจิกายน</t>
  </si>
  <si>
    <t>ธันวาคม</t>
  </si>
  <si>
    <t>ทึม</t>
  </si>
  <si>
    <t>ฝรั่งเศส</t>
  </si>
  <si>
    <t>อังกฤษ</t>
  </si>
  <si>
    <t>อิตาลี</t>
  </si>
  <si>
    <t>โปรตุเกส</t>
  </si>
  <si>
    <t>สเปน</t>
  </si>
  <si>
    <t>ที่ 1 สาย A</t>
  </si>
  <si>
    <t>ที่ 2 สาย A</t>
  </si>
  <si>
    <t>ที่ 1 สาย B</t>
  </si>
  <si>
    <t>ที่ 2 สาย B</t>
  </si>
  <si>
    <t>ที่ 1 สาย C</t>
  </si>
  <si>
    <t>ที่ 2 สาย C</t>
  </si>
  <si>
    <t>ที่ 1 สาย D</t>
  </si>
  <si>
    <t>ที่ 2 สาย D</t>
  </si>
  <si>
    <t>ที่ 1 สาย E</t>
  </si>
  <si>
    <t>ที่ 2 สาย E</t>
  </si>
  <si>
    <t>ที่ 1 สาย F</t>
  </si>
  <si>
    <t>ที่ 2 สาย F</t>
  </si>
  <si>
    <t>ที่ 1 สาย G</t>
  </si>
  <si>
    <t>ที่ 2 สาย G</t>
  </si>
  <si>
    <t>ที่ 1 สาย H</t>
  </si>
  <si>
    <t>ที่ 2 สาย H</t>
  </si>
  <si>
    <t>ผู้ชนะนัดที่ 49</t>
  </si>
  <si>
    <t>ผู้ชนะนัดที่ 50</t>
  </si>
  <si>
    <t>ผู้แพ้นัดที่ 61</t>
  </si>
  <si>
    <t>ผู้แพ้นัดที่ 62</t>
  </si>
  <si>
    <t>Thai</t>
  </si>
  <si>
    <t>Slovak</t>
  </si>
  <si>
    <t>Skupinová fáza</t>
  </si>
  <si>
    <t>Osemfinále</t>
  </si>
  <si>
    <t>Štvrťfinále</t>
  </si>
  <si>
    <t xml:space="preserve">Zápas o 3. miesto </t>
  </si>
  <si>
    <t>GS-GI</t>
  </si>
  <si>
    <t>Ut</t>
  </si>
  <si>
    <t>Št</t>
  </si>
  <si>
    <t>Pi</t>
  </si>
  <si>
    <t>Mužstvo</t>
  </si>
  <si>
    <t>Anglicko</t>
  </si>
  <si>
    <t>Gruppespill</t>
  </si>
  <si>
    <t>8-dels finale</t>
  </si>
  <si>
    <t>Bronsefinale</t>
  </si>
  <si>
    <t>U</t>
  </si>
  <si>
    <t>Mål</t>
  </si>
  <si>
    <t>Tirs</t>
  </si>
  <si>
    <t>Tors</t>
  </si>
  <si>
    <t>Sveits</t>
  </si>
  <si>
    <t>Norwegian</t>
  </si>
  <si>
    <t>Hebrew</t>
  </si>
  <si>
    <t>שלב הבתים</t>
  </si>
  <si>
    <t>שמינית גמר</t>
  </si>
  <si>
    <t>רבע גמר</t>
  </si>
  <si>
    <t>חצי גמר</t>
  </si>
  <si>
    <t>מקום 3-4</t>
  </si>
  <si>
    <t>גמר</t>
  </si>
  <si>
    <t>בית</t>
  </si>
  <si>
    <t>משחקים</t>
  </si>
  <si>
    <t>נצחונות</t>
  </si>
  <si>
    <t>תיקו</t>
  </si>
  <si>
    <t>הפסדים</t>
  </si>
  <si>
    <t>יחס שערים</t>
  </si>
  <si>
    <t>נקודות</t>
  </si>
  <si>
    <t>ראשון</t>
  </si>
  <si>
    <t>שני</t>
  </si>
  <si>
    <t>שלישי</t>
  </si>
  <si>
    <t>רביעי</t>
  </si>
  <si>
    <t>חמישי</t>
  </si>
  <si>
    <t>שישי</t>
  </si>
  <si>
    <t>שבת</t>
  </si>
  <si>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</si>
  <si>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</si>
  <si>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</si>
  <si>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</si>
  <si>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</si>
  <si>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</si>
  <si>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</si>
  <si>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</si>
  <si>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</si>
  <si>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</si>
  <si>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</si>
  <si>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</si>
  <si>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קבוצה</t>
  </si>
  <si>
    <t>צרפת</t>
  </si>
  <si>
    <t>אנגליה</t>
  </si>
  <si>
    <t>גרמניה</t>
  </si>
  <si>
    <t>איטליה</t>
  </si>
  <si>
    <t>פורטוגל</t>
  </si>
  <si>
    <t>ספרד</t>
  </si>
  <si>
    <t>Finalas</t>
  </si>
  <si>
    <t>Prancūzija</t>
  </si>
  <si>
    <t>Anglija</t>
  </si>
  <si>
    <t>Vokietija</t>
  </si>
  <si>
    <t>Portugalija</t>
  </si>
  <si>
    <t>Ispanija</t>
  </si>
  <si>
    <t>Šveicarija</t>
  </si>
  <si>
    <t>Lithuanian</t>
  </si>
  <si>
    <t>Grupės Etapas</t>
  </si>
  <si>
    <t>16-tuko Raundas</t>
  </si>
  <si>
    <t>Ketvirtfinaliai</t>
  </si>
  <si>
    <t>Pusfinaliai</t>
  </si>
  <si>
    <t>Rungtynės dėl Trečios Vietos</t>
  </si>
  <si>
    <t>Grupė</t>
  </si>
  <si>
    <t>Žst</t>
  </si>
  <si>
    <t>Lyg</t>
  </si>
  <si>
    <t>Įm - Pr</t>
  </si>
  <si>
    <t>Tšk</t>
  </si>
  <si>
    <t>Sekm</t>
  </si>
  <si>
    <t>Pirm</t>
  </si>
  <si>
    <t>Antr</t>
  </si>
  <si>
    <t>Treč</t>
  </si>
  <si>
    <t>Ketv</t>
  </si>
  <si>
    <t>Penk</t>
  </si>
  <si>
    <t>Šešt</t>
  </si>
  <si>
    <t>Saus</t>
  </si>
  <si>
    <t>Kov</t>
  </si>
  <si>
    <t>Bal</t>
  </si>
  <si>
    <t>Geg</t>
  </si>
  <si>
    <t>Birž</t>
  </si>
  <si>
    <t>Lie</t>
  </si>
  <si>
    <t>Rugp</t>
  </si>
  <si>
    <t>Rugs</t>
  </si>
  <si>
    <t>Spa</t>
  </si>
  <si>
    <t>Lapk</t>
  </si>
  <si>
    <t>Gruo</t>
  </si>
  <si>
    <t>L49</t>
  </si>
  <si>
    <t>L50</t>
  </si>
  <si>
    <t>الدور الأول</t>
  </si>
  <si>
    <t>دور الستة عشر</t>
  </si>
  <si>
    <t>دور الربع نهائي</t>
  </si>
  <si>
    <t>دور النصف نهائي</t>
  </si>
  <si>
    <t>تحديد المركزين الثالث والرابع</t>
  </si>
  <si>
    <t>المباراة النهائية</t>
  </si>
  <si>
    <t>عليه - له</t>
  </si>
  <si>
    <t>الأربعاء</t>
  </si>
  <si>
    <t>كانون ثاني</t>
  </si>
  <si>
    <t>شباط</t>
  </si>
  <si>
    <t>آذار</t>
  </si>
  <si>
    <t>نيسان</t>
  </si>
  <si>
    <t>أياد</t>
  </si>
  <si>
    <t>حزيران</t>
  </si>
  <si>
    <t>تموز</t>
  </si>
  <si>
    <t>آب</t>
  </si>
  <si>
    <t>أيلول</t>
  </si>
  <si>
    <t>تشرين أول</t>
  </si>
  <si>
    <t>تشرين ثاني</t>
  </si>
  <si>
    <t>كانون أول</t>
  </si>
  <si>
    <t>المنتخب</t>
  </si>
  <si>
    <t>إيطاليا</t>
  </si>
  <si>
    <t>Fase a gironi</t>
  </si>
  <si>
    <t>Ottavi di finale</t>
  </si>
  <si>
    <t>Quarti di finale</t>
  </si>
  <si>
    <t>Finale 3°- 4° posto</t>
  </si>
  <si>
    <t>GF - GS</t>
  </si>
  <si>
    <t>Slovenian</t>
  </si>
  <si>
    <t>Skupinski del</t>
  </si>
  <si>
    <t>Osminafinala</t>
  </si>
  <si>
    <t>Četrtfinale</t>
  </si>
  <si>
    <t>Polfinale</t>
  </si>
  <si>
    <t>Za tretje mesto</t>
  </si>
  <si>
    <t>Sob</t>
  </si>
  <si>
    <t>Moštvo</t>
  </si>
  <si>
    <t>Nemčija</t>
  </si>
  <si>
    <t>Portugalska</t>
  </si>
  <si>
    <t>Švica</t>
  </si>
  <si>
    <t>Itália</t>
  </si>
  <si>
    <t>Maltese</t>
  </si>
  <si>
    <t>Fażi tal-Gruppi</t>
  </si>
  <si>
    <t>L-Aħħar Sittax</t>
  </si>
  <si>
    <t>Kwarti-Finali</t>
  </si>
  <si>
    <t>Semi-Finali</t>
  </si>
  <si>
    <t>Final għat-Tielet u r-Raba' Post</t>
  </si>
  <si>
    <t>Finali</t>
  </si>
  <si>
    <t>Ħad</t>
  </si>
  <si>
    <t>Tne</t>
  </si>
  <si>
    <t>Tli</t>
  </si>
  <si>
    <t>Erb</t>
  </si>
  <si>
    <t>Ħam</t>
  </si>
  <si>
    <t>Ġim</t>
  </si>
  <si>
    <t>Sib</t>
  </si>
  <si>
    <t>Fra</t>
  </si>
  <si>
    <t>Mej</t>
  </si>
  <si>
    <t>Ġun</t>
  </si>
  <si>
    <t>Lul</t>
  </si>
  <si>
    <t>Aww</t>
  </si>
  <si>
    <t>Deċ</t>
  </si>
  <si>
    <t>Franza</t>
  </si>
  <si>
    <t>Ingilterra</t>
  </si>
  <si>
    <t>Ġermanja</t>
  </si>
  <si>
    <t>Italja</t>
  </si>
  <si>
    <t>1Ċ</t>
  </si>
  <si>
    <t>2Ċ</t>
  </si>
  <si>
    <t>1Ġ</t>
  </si>
  <si>
    <t>2Ġ</t>
  </si>
  <si>
    <t>1Ħ</t>
  </si>
  <si>
    <t>R49</t>
  </si>
  <si>
    <t>R50</t>
  </si>
  <si>
    <t>Urdu</t>
  </si>
  <si>
    <t>گروپ بندی</t>
  </si>
  <si>
    <t>سولھواں دور</t>
  </si>
  <si>
    <t>کواٹر فائنل</t>
  </si>
  <si>
    <t>سیمی فائنل</t>
  </si>
  <si>
    <t>تیسرے مقام کے لئے کھیل</t>
  </si>
  <si>
    <t>فائنل</t>
  </si>
  <si>
    <t>کھیلے گئے مقابلے</t>
  </si>
  <si>
    <t>جیت</t>
  </si>
  <si>
    <t>برابر</t>
  </si>
  <si>
    <t>ہارے گئے مقابلے</t>
  </si>
  <si>
    <t>گول کئے- انکے خلاف گول کئے گئے</t>
  </si>
  <si>
    <t>نشان</t>
  </si>
  <si>
    <t>اتوار</t>
  </si>
  <si>
    <t>پیر</t>
  </si>
  <si>
    <t>منگل</t>
  </si>
  <si>
    <t>بدھ</t>
  </si>
  <si>
    <t>جمعرات</t>
  </si>
  <si>
    <t>جمعہ</t>
  </si>
  <si>
    <t>سنیچر</t>
  </si>
  <si>
    <t>جنوری</t>
  </si>
  <si>
    <t>فروری</t>
  </si>
  <si>
    <t>مارچ</t>
  </si>
  <si>
    <t>اپریل</t>
  </si>
  <si>
    <t>مئی</t>
  </si>
  <si>
    <t>جون</t>
  </si>
  <si>
    <t>جولائی</t>
  </si>
  <si>
    <t>اگست</t>
  </si>
  <si>
    <t>ستمبر</t>
  </si>
  <si>
    <t>اکتوبر</t>
  </si>
  <si>
    <t>نومبر</t>
  </si>
  <si>
    <t>دسمبر</t>
  </si>
  <si>
    <t>ٹیم</t>
  </si>
  <si>
    <t>فرانس</t>
  </si>
  <si>
    <t>انگلستان</t>
  </si>
  <si>
    <t>جرمنی</t>
  </si>
  <si>
    <t>پرتگال</t>
  </si>
  <si>
    <t>۱الف</t>
  </si>
  <si>
    <t>۲الف</t>
  </si>
  <si>
    <t>۱ب</t>
  </si>
  <si>
    <t>۲ب</t>
  </si>
  <si>
    <t>۱ج</t>
  </si>
  <si>
    <t>۲ج</t>
  </si>
  <si>
    <t>۱د</t>
  </si>
  <si>
    <t>۲د</t>
  </si>
  <si>
    <t>۱ھ</t>
  </si>
  <si>
    <t>۲ھ</t>
  </si>
  <si>
    <t>۱و</t>
  </si>
  <si>
    <t>۲و</t>
  </si>
  <si>
    <t>۱ز</t>
  </si>
  <si>
    <t>۲ز</t>
  </si>
  <si>
    <t>۱ح</t>
  </si>
  <si>
    <t>۲ح</t>
  </si>
  <si>
    <t>۴۹ جیت</t>
  </si>
  <si>
    <t>۵۰ جیت</t>
  </si>
  <si>
    <t>۵۱ جیت</t>
  </si>
  <si>
    <t>۵۲ جیت</t>
  </si>
  <si>
    <t>۵۳ جیت</t>
  </si>
  <si>
    <t>۵۴ جیت</t>
  </si>
  <si>
    <t>۵۵ جیت</t>
  </si>
  <si>
    <t>۵۶ جیت</t>
  </si>
  <si>
    <t>۵۷ جیت</t>
  </si>
  <si>
    <t>۵۸ جیت</t>
  </si>
  <si>
    <t>۵۹ جیت</t>
  </si>
  <si>
    <t>۶۰ جیت</t>
  </si>
  <si>
    <t>۶۱ جیت</t>
  </si>
  <si>
    <t>۶۲ جیت</t>
  </si>
  <si>
    <t>۶۱ ہار</t>
  </si>
  <si>
    <t>۶۲ ہار</t>
  </si>
  <si>
    <t>F-A</t>
  </si>
  <si>
    <t>FIFA</t>
  </si>
  <si>
    <t>Group Round Sorting</t>
  </si>
  <si>
    <t>Goal Difference</t>
  </si>
  <si>
    <t>Goals Scored</t>
  </si>
  <si>
    <t>Concerned teams (Pnt, GF-GA, GF)</t>
  </si>
  <si>
    <t>Icelandic</t>
  </si>
  <si>
    <t>Riðlakeppnin</t>
  </si>
  <si>
    <t>16 liða úrslit</t>
  </si>
  <si>
    <t>8 liða úrslit</t>
  </si>
  <si>
    <t>Undanúrslit</t>
  </si>
  <si>
    <t>Leikur um 3.sæti</t>
  </si>
  <si>
    <t>Úrslit</t>
  </si>
  <si>
    <t>Riðill</t>
  </si>
  <si>
    <t>Jafnt</t>
  </si>
  <si>
    <t>S - F</t>
  </si>
  <si>
    <t>Stig</t>
  </si>
  <si>
    <t>Mán</t>
  </si>
  <si>
    <t>Þri</t>
  </si>
  <si>
    <t>Mið</t>
  </si>
  <si>
    <t>Fim</t>
  </si>
  <si>
    <t>Fös</t>
  </si>
  <si>
    <t>Lau</t>
  </si>
  <si>
    <t>Maí</t>
  </si>
  <si>
    <t>Ágú</t>
  </si>
  <si>
    <t>Nóv</t>
  </si>
  <si>
    <t>Lið</t>
  </si>
  <si>
    <t>Þýskaland</t>
  </si>
  <si>
    <t>Sviss</t>
  </si>
  <si>
    <t>Portuguese</t>
  </si>
  <si>
    <t>Oitavos de Final</t>
  </si>
  <si>
    <t>Quartos de Final</t>
  </si>
  <si>
    <t>Semi-final</t>
  </si>
  <si>
    <t>3º/4º lugar</t>
  </si>
  <si>
    <t>GM - GS</t>
  </si>
  <si>
    <t>Equipa</t>
  </si>
  <si>
    <t>Albanian</t>
  </si>
  <si>
    <t>Grupet</t>
  </si>
  <si>
    <t>Rundi I 16</t>
  </si>
  <si>
    <t>Qerekfinalja</t>
  </si>
  <si>
    <t>Gjysmëfinalja</t>
  </si>
  <si>
    <t>Takimi për vendin e tretë</t>
  </si>
  <si>
    <t>Finalja</t>
  </si>
  <si>
    <t>Grupi</t>
  </si>
  <si>
    <t>BAR</t>
  </si>
  <si>
    <t>GSH-GP</t>
  </si>
  <si>
    <t>PIK</t>
  </si>
  <si>
    <t>Diel</t>
  </si>
  <si>
    <t>Hënë</t>
  </si>
  <si>
    <t>Mër</t>
  </si>
  <si>
    <t>Enjt</t>
  </si>
  <si>
    <t>Pre</t>
  </si>
  <si>
    <t>Sht</t>
  </si>
  <si>
    <t>Shk</t>
  </si>
  <si>
    <t>Pri</t>
  </si>
  <si>
    <t>Qer</t>
  </si>
  <si>
    <t>Kor</t>
  </si>
  <si>
    <t>Gus</t>
  </si>
  <si>
    <t>Shta</t>
  </si>
  <si>
    <t>Tet</t>
  </si>
  <si>
    <t>Nën</t>
  </si>
  <si>
    <t>Dhj</t>
  </si>
  <si>
    <t>Ekipi</t>
  </si>
  <si>
    <t>Spanja</t>
  </si>
  <si>
    <t>F49</t>
  </si>
  <si>
    <t>F50</t>
  </si>
  <si>
    <t>H61</t>
  </si>
  <si>
    <t>H62</t>
  </si>
  <si>
    <t>Armenian</t>
  </si>
  <si>
    <t>Խմբային փուլ</t>
  </si>
  <si>
    <t>1/8 Եզրափակիչ</t>
  </si>
  <si>
    <t>1/4 Եզրափակիչ</t>
  </si>
  <si>
    <t>Կիսաեզրափակիչ</t>
  </si>
  <si>
    <t>3-րդ տեղի համար եզրափակիչ</t>
  </si>
  <si>
    <t>Եզրափակիչ</t>
  </si>
  <si>
    <t>Խումբ</t>
  </si>
  <si>
    <t>Խ</t>
  </si>
  <si>
    <t>Հ</t>
  </si>
  <si>
    <t>Ո</t>
  </si>
  <si>
    <t>Պ</t>
  </si>
  <si>
    <t>ԽԳ-ԲԳ</t>
  </si>
  <si>
    <t>Մ</t>
  </si>
  <si>
    <t>Կիր.</t>
  </si>
  <si>
    <t>Երկ.</t>
  </si>
  <si>
    <t>Երեք.</t>
  </si>
  <si>
    <t>Չոր.</t>
  </si>
  <si>
    <t>Հինգ.</t>
  </si>
  <si>
    <t>Ուրբ.</t>
  </si>
  <si>
    <t>Շաբ.</t>
  </si>
  <si>
    <t>Հունվ.</t>
  </si>
  <si>
    <t>Փետր.</t>
  </si>
  <si>
    <t>Մարտ</t>
  </si>
  <si>
    <t>Ապրիլ</t>
  </si>
  <si>
    <t>Մայիս</t>
  </si>
  <si>
    <t>Հունիս</t>
  </si>
  <si>
    <t>Հուլիս</t>
  </si>
  <si>
    <t>Օգոս.</t>
  </si>
  <si>
    <t>Սեպտ.</t>
  </si>
  <si>
    <t>Հոկտ.</t>
  </si>
  <si>
    <t>Նոյեմ.</t>
  </si>
  <si>
    <t>Դեկտ.</t>
  </si>
  <si>
    <t>Հավաքական</t>
  </si>
  <si>
    <t>Անգլիա</t>
  </si>
  <si>
    <t>Գերմանիա</t>
  </si>
  <si>
    <t>Իտալիա</t>
  </si>
  <si>
    <t>Պորտուգալիա</t>
  </si>
  <si>
    <t>Իսպանիա</t>
  </si>
  <si>
    <t>Շվեյցարիա</t>
  </si>
  <si>
    <t>Babak Kualifikasi</t>
  </si>
  <si>
    <t>Per Delapan Final</t>
  </si>
  <si>
    <t>Perebutan Tempat Ketiga</t>
  </si>
  <si>
    <t>Kelompok</t>
  </si>
  <si>
    <t>Seri</t>
  </si>
  <si>
    <t xml:space="preserve">Skor </t>
  </si>
  <si>
    <t>Nilai</t>
  </si>
  <si>
    <t>Min</t>
  </si>
  <si>
    <t>Peb</t>
  </si>
  <si>
    <t>Agu</t>
  </si>
  <si>
    <t>Nop</t>
  </si>
  <si>
    <t>Tim</t>
  </si>
  <si>
    <t>Croatian</t>
  </si>
  <si>
    <t>Prvi krug</t>
  </si>
  <si>
    <t>Drugi krug</t>
  </si>
  <si>
    <t>Sri</t>
  </si>
  <si>
    <t>Sij</t>
  </si>
  <si>
    <t>Vel</t>
  </si>
  <si>
    <t>Ožu</t>
  </si>
  <si>
    <t>Tra</t>
  </si>
  <si>
    <t>Svi</t>
  </si>
  <si>
    <t>Srp</t>
  </si>
  <si>
    <t>Kol</t>
  </si>
  <si>
    <t>Ruj</t>
  </si>
  <si>
    <t>Stu</t>
  </si>
  <si>
    <t>Pro</t>
  </si>
  <si>
    <t>Španjolska</t>
  </si>
  <si>
    <t>Груповий етап</t>
  </si>
  <si>
    <t>1/8 фіналу</t>
  </si>
  <si>
    <t>Чвертьфінал</t>
  </si>
  <si>
    <t>Півфінал</t>
  </si>
  <si>
    <t>Матч за третє місце</t>
  </si>
  <si>
    <t>Фінал</t>
  </si>
  <si>
    <t>І</t>
  </si>
  <si>
    <t xml:space="preserve">М </t>
  </si>
  <si>
    <t>Нд</t>
  </si>
  <si>
    <t>Січ</t>
  </si>
  <si>
    <t>Лют</t>
  </si>
  <si>
    <t>Бер</t>
  </si>
  <si>
    <t>Квіт</t>
  </si>
  <si>
    <t>Трав</t>
  </si>
  <si>
    <t>Черв</t>
  </si>
  <si>
    <t>Лип</t>
  </si>
  <si>
    <t>Серп</t>
  </si>
  <si>
    <t>Вер</t>
  </si>
  <si>
    <t>Жовт</t>
  </si>
  <si>
    <t>Лист</t>
  </si>
  <si>
    <t>Груд</t>
  </si>
  <si>
    <t>Франція</t>
  </si>
  <si>
    <t>Англія</t>
  </si>
  <si>
    <t>Німеччина</t>
  </si>
  <si>
    <t>Італія</t>
  </si>
  <si>
    <t>Португалія</t>
  </si>
  <si>
    <t>Іспанія</t>
  </si>
  <si>
    <t>Швейцарія</t>
  </si>
  <si>
    <t>Переможець 49</t>
  </si>
  <si>
    <t>Переможець 50</t>
  </si>
  <si>
    <t>Переможений 61</t>
  </si>
  <si>
    <t>Переможений 62</t>
  </si>
  <si>
    <t>Ukrainian</t>
  </si>
  <si>
    <t>GF - GK</t>
  </si>
  <si>
    <t>Åttondelsfinal</t>
  </si>
  <si>
    <t>Match om tredje pris</t>
  </si>
  <si>
    <t>Group Stage</t>
  </si>
  <si>
    <t>Групповой Раунд</t>
  </si>
  <si>
    <t>Gruppenphase</t>
  </si>
  <si>
    <t>Phase de groupes</t>
  </si>
  <si>
    <t>Fase de grupos</t>
  </si>
  <si>
    <t>W</t>
  </si>
  <si>
    <t>D</t>
  </si>
  <si>
    <t>L</t>
  </si>
  <si>
    <t>Pnt</t>
  </si>
  <si>
    <t>Rank</t>
  </si>
  <si>
    <t>Team</t>
  </si>
  <si>
    <t>Place</t>
  </si>
  <si>
    <t>GF</t>
  </si>
  <si>
    <t>GA</t>
  </si>
  <si>
    <t>Final</t>
  </si>
  <si>
    <t>Quarterfinals</t>
  </si>
  <si>
    <t>Semi-Finals</t>
  </si>
  <si>
    <t>GF - GA</t>
  </si>
  <si>
    <t>English</t>
  </si>
  <si>
    <t>Russian</t>
  </si>
  <si>
    <t>Group</t>
  </si>
  <si>
    <t>Четвертьфиналы</t>
  </si>
  <si>
    <t>Полуфиналы</t>
  </si>
  <si>
    <t>Матч за Третье Место</t>
  </si>
  <si>
    <t>Финал</t>
  </si>
  <si>
    <t>Группа</t>
  </si>
  <si>
    <t>И</t>
  </si>
  <si>
    <t>П</t>
  </si>
  <si>
    <t>В</t>
  </si>
  <si>
    <t>З - П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</si>
  <si>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</si>
  <si>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</si>
  <si>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</si>
  <si>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</si>
  <si>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</si>
  <si>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</si>
  <si>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</si>
  <si>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</si>
  <si>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</si>
  <si>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</si>
  <si>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</si>
  <si>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</si>
  <si>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Команда</t>
  </si>
  <si>
    <t>Date + Time + GMT</t>
  </si>
  <si>
    <t>Switzerland</t>
  </si>
  <si>
    <t>France</t>
  </si>
  <si>
    <t>Germany</t>
  </si>
  <si>
    <t>Third-Place Play-Off</t>
  </si>
  <si>
    <t>German</t>
  </si>
  <si>
    <t>French</t>
  </si>
  <si>
    <t>Spanish</t>
  </si>
  <si>
    <t>GMT</t>
  </si>
  <si>
    <t>Language</t>
  </si>
  <si>
    <t>Viertelfinale</t>
  </si>
  <si>
    <t>Cuartos de Final</t>
  </si>
  <si>
    <t>Halbfinale</t>
  </si>
  <si>
    <t>Semifinales</t>
  </si>
  <si>
    <t>Match pour la troisième place</t>
  </si>
  <si>
    <t>Tercer puesto</t>
  </si>
  <si>
    <t>Finale</t>
  </si>
  <si>
    <t>Gruppe</t>
  </si>
  <si>
    <t>Groupe</t>
  </si>
  <si>
    <t>Grupo</t>
  </si>
  <si>
    <t>G</t>
  </si>
  <si>
    <t>V</t>
  </si>
  <si>
    <t>P</t>
  </si>
  <si>
    <t>Jan</t>
  </si>
  <si>
    <t>Feb</t>
  </si>
  <si>
    <t>Apr</t>
  </si>
  <si>
    <t>Mai</t>
  </si>
  <si>
    <t>Jun</t>
  </si>
  <si>
    <t>Jul</t>
  </si>
  <si>
    <t>Aug</t>
  </si>
  <si>
    <t>Sep</t>
  </si>
  <si>
    <t>Oct</t>
  </si>
  <si>
    <t>Nov</t>
  </si>
  <si>
    <t>Dez</t>
  </si>
  <si>
    <t>Juin</t>
  </si>
  <si>
    <t>Juil</t>
  </si>
  <si>
    <t>Summer Time</t>
  </si>
  <si>
    <t>GTM-Time</t>
  </si>
  <si>
    <t>GMT + 1:00</t>
  </si>
  <si>
    <t>Minutes</t>
  </si>
  <si>
    <t>+0 min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</si>
  <si>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</si>
  <si>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</si>
  <si>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</si>
  <si>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</si>
  <si>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</si>
  <si>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</si>
  <si>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</si>
  <si>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</si>
  <si>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</si>
  <si>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</si>
  <si>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</si>
  <si>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</si>
  <si>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</si>
  <si>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</si>
  <si>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</si>
  <si>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</si>
  <si>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</si>
  <si>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</si>
  <si>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</si>
  <si>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</si>
  <si>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</si>
  <si>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</si>
  <si>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</si>
  <si>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</si>
  <si>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</si>
  <si>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Settings</t>
  </si>
  <si>
    <t>Language ID</t>
  </si>
  <si>
    <t>GMT Delta</t>
  </si>
  <si>
    <t>Вс</t>
  </si>
  <si>
    <t>Пн</t>
  </si>
  <si>
    <t>Вт</t>
  </si>
  <si>
    <t>Ср</t>
  </si>
  <si>
    <t>Чт</t>
  </si>
  <si>
    <t>Пт</t>
  </si>
  <si>
    <t>Сб</t>
  </si>
  <si>
    <t>Sun</t>
  </si>
  <si>
    <t>Mon</t>
  </si>
  <si>
    <t>Tue</t>
  </si>
  <si>
    <t>Wed</t>
  </si>
  <si>
    <t>Thu</t>
  </si>
  <si>
    <t>Fri</t>
  </si>
  <si>
    <t>Sat</t>
  </si>
  <si>
    <t>Mar</t>
  </si>
  <si>
    <t>May</t>
  </si>
  <si>
    <t>Dec</t>
  </si>
  <si>
    <t>S</t>
  </si>
  <si>
    <t>N</t>
  </si>
  <si>
    <t>ET - KT</t>
  </si>
  <si>
    <t>BP - BC</t>
  </si>
  <si>
    <t>GF - GC</t>
  </si>
  <si>
    <t>Janv</t>
  </si>
  <si>
    <t>Ene</t>
  </si>
  <si>
    <t>Févr</t>
  </si>
  <si>
    <t>Mrz</t>
  </si>
  <si>
    <t>Mars</t>
  </si>
  <si>
    <t>Avr</t>
  </si>
  <si>
    <t>Abr</t>
  </si>
  <si>
    <t>Août</t>
  </si>
  <si>
    <t>Ago</t>
  </si>
  <si>
    <t>Sept</t>
  </si>
  <si>
    <t>Okt</t>
  </si>
  <si>
    <t>Déc</t>
  </si>
  <si>
    <t>Dic</t>
  </si>
  <si>
    <t>PNT</t>
  </si>
  <si>
    <t>PKT</t>
  </si>
  <si>
    <t>PTS</t>
  </si>
  <si>
    <t>ОЧКИ</t>
  </si>
  <si>
    <t>PL</t>
  </si>
  <si>
    <t>SP</t>
  </si>
  <si>
    <t>J</t>
  </si>
  <si>
    <t>Équipe</t>
  </si>
  <si>
    <t>Equipo</t>
  </si>
  <si>
    <t>DRAW</t>
  </si>
  <si>
    <t>Н</t>
  </si>
  <si>
    <t>England</t>
  </si>
  <si>
    <t>Italy</t>
  </si>
  <si>
    <t>Portugal</t>
  </si>
  <si>
    <t>Spain</t>
  </si>
  <si>
    <t>R</t>
  </si>
  <si>
    <t>Delta</t>
  </si>
  <si>
    <t>Round of 16</t>
  </si>
  <si>
    <t>1/8 Финала</t>
  </si>
  <si>
    <t>W49</t>
  </si>
  <si>
    <t>W50</t>
  </si>
  <si>
    <t>Points</t>
  </si>
  <si>
    <t>itype</t>
  </si>
  <si>
    <t>Step #1</t>
  </si>
  <si>
    <t>Step #2</t>
  </si>
  <si>
    <t>Step #3</t>
  </si>
  <si>
    <t>Step #4</t>
  </si>
  <si>
    <t>Step #5</t>
  </si>
  <si>
    <t>Achtelfinale</t>
  </si>
  <si>
    <t>Spiel um den dritten Platz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</si>
  <si>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</si>
  <si>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</si>
  <si>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</si>
  <si>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</si>
  <si>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</si>
  <si>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</si>
  <si>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</si>
  <si>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</si>
  <si>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</si>
  <si>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</si>
  <si>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</si>
  <si>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</si>
  <si>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</si>
  <si>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</si>
  <si>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</si>
  <si>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</si>
  <si>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Octavos de final</t>
  </si>
  <si>
    <t>Francia</t>
  </si>
  <si>
    <t>Inglaterra</t>
  </si>
  <si>
    <t>Alemania</t>
  </si>
  <si>
    <t>Italia</t>
  </si>
  <si>
    <t>España</t>
  </si>
  <si>
    <t>Suiza</t>
  </si>
  <si>
    <t>Angleterre</t>
  </si>
  <si>
    <t>Allemagne</t>
  </si>
  <si>
    <t>Italie</t>
  </si>
  <si>
    <t>Espagne</t>
  </si>
  <si>
    <t>Suisse</t>
  </si>
  <si>
    <t>Frankreich</t>
  </si>
  <si>
    <t>Deutschland</t>
  </si>
  <si>
    <t>Italien</t>
  </si>
  <si>
    <t>Spanien</t>
  </si>
  <si>
    <t>Schweiz</t>
  </si>
  <si>
    <t>L61</t>
  </si>
  <si>
    <t>L62</t>
  </si>
  <si>
    <t>Франция</t>
  </si>
  <si>
    <t>Англия</t>
  </si>
  <si>
    <t>Германия</t>
  </si>
  <si>
    <t>Италия</t>
  </si>
  <si>
    <t>Португалия</t>
  </si>
  <si>
    <t>Испания</t>
  </si>
  <si>
    <t>Швейцария</t>
  </si>
  <si>
    <t>Home Page: www.excely.com</t>
  </si>
  <si>
    <t>Dutch</t>
  </si>
  <si>
    <t>Groepsfase</t>
  </si>
  <si>
    <t>Achtste finales</t>
  </si>
  <si>
    <t>Kwartfinales</t>
  </si>
  <si>
    <t>Halve finales</t>
  </si>
  <si>
    <t>Derde en vierde plaats</t>
  </si>
  <si>
    <t>Groep</t>
  </si>
  <si>
    <t>WG</t>
  </si>
  <si>
    <t>DV-DT</t>
  </si>
  <si>
    <t>Zo</t>
  </si>
  <si>
    <t>Ma</t>
  </si>
  <si>
    <t>Di</t>
  </si>
  <si>
    <t>Wo</t>
  </si>
  <si>
    <t>Do</t>
  </si>
  <si>
    <t>Vr</t>
  </si>
  <si>
    <t>Za</t>
  </si>
  <si>
    <t>Mrt</t>
  </si>
  <si>
    <t>Mei</t>
  </si>
  <si>
    <t>Frankrijk</t>
  </si>
  <si>
    <t>Engeland</t>
  </si>
  <si>
    <t>Duitsland</t>
  </si>
  <si>
    <t>Italië</t>
  </si>
  <si>
    <t>Spanje</t>
  </si>
  <si>
    <t>Zwitserland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</si>
  <si>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</si>
  <si>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</si>
  <si>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</si>
  <si>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</si>
  <si>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</si>
  <si>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</si>
  <si>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</si>
  <si>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</si>
  <si>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</si>
  <si>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</si>
  <si>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</si>
  <si>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</si>
  <si>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</si>
  <si>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</si>
  <si>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</si>
  <si>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</si>
  <si>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V61</t>
  </si>
  <si>
    <t>V62</t>
  </si>
  <si>
    <t>مرحله گروهی</t>
  </si>
  <si>
    <t>یک چهارم نهائی</t>
  </si>
  <si>
    <t>نیمه نهائی</t>
  </si>
  <si>
    <t>رده بندی</t>
  </si>
  <si>
    <t>فینال</t>
  </si>
  <si>
    <t>گروه</t>
  </si>
  <si>
    <t>بازی</t>
  </si>
  <si>
    <t>برد</t>
  </si>
  <si>
    <t>مساوی</t>
  </si>
  <si>
    <t>باخت</t>
  </si>
  <si>
    <t>خورده-زده</t>
  </si>
  <si>
    <t>امتیاز</t>
  </si>
  <si>
    <t>یکشنبه</t>
  </si>
  <si>
    <t>دوشنبه</t>
  </si>
  <si>
    <t>سه شنبه</t>
  </si>
  <si>
    <t>چهارشنبه</t>
  </si>
  <si>
    <t>پنجشنبه</t>
  </si>
  <si>
    <t>جمعه</t>
  </si>
  <si>
    <t>شنبه</t>
  </si>
  <si>
    <t>زانویه</t>
  </si>
  <si>
    <t>فوریه</t>
  </si>
  <si>
    <t>مارس</t>
  </si>
  <si>
    <t>آوریل</t>
  </si>
  <si>
    <t>می</t>
  </si>
  <si>
    <t>ژوئن</t>
  </si>
  <si>
    <t>ژولای</t>
  </si>
  <si>
    <t>اگوست</t>
  </si>
  <si>
    <t>سپتامبر</t>
  </si>
  <si>
    <t>اکتبر</t>
  </si>
  <si>
    <t>نوامبر</t>
  </si>
  <si>
    <t>دسامبر</t>
  </si>
  <si>
    <t>تیم</t>
  </si>
  <si>
    <t>فرانسه</t>
  </si>
  <si>
    <t>آلمان</t>
  </si>
  <si>
    <t>ایتالیا</t>
  </si>
  <si>
    <t>Grup Aşaması</t>
  </si>
  <si>
    <t>Son 16</t>
  </si>
  <si>
    <t>Çeyrek Final</t>
  </si>
  <si>
    <t>Yarı Final</t>
  </si>
  <si>
    <t>Üçüncülük Maçı</t>
  </si>
  <si>
    <t>Grup</t>
  </si>
  <si>
    <t>O</t>
  </si>
  <si>
    <t>B</t>
  </si>
  <si>
    <t>M</t>
  </si>
  <si>
    <t>A - Y</t>
  </si>
  <si>
    <t>Paz</t>
  </si>
  <si>
    <t>Pzt</t>
  </si>
  <si>
    <t>Sal</t>
  </si>
  <si>
    <t>Çar</t>
  </si>
  <si>
    <t>Per</t>
  </si>
  <si>
    <t>Cum</t>
  </si>
  <si>
    <t>Cmt</t>
  </si>
  <si>
    <t>Oca</t>
  </si>
  <si>
    <t>Şub</t>
  </si>
  <si>
    <t>Nis</t>
  </si>
  <si>
    <t>Haz</t>
  </si>
  <si>
    <t>Tem</t>
  </si>
  <si>
    <t>Ağu</t>
  </si>
  <si>
    <t>Eyl</t>
  </si>
  <si>
    <t>Eki</t>
  </si>
  <si>
    <t>Kas</t>
  </si>
  <si>
    <t>Ara</t>
  </si>
  <si>
    <t>Takım</t>
  </si>
  <si>
    <t>Fransa</t>
  </si>
  <si>
    <t>İngiltere</t>
  </si>
  <si>
    <t>Almanya</t>
  </si>
  <si>
    <t>İtalya</t>
  </si>
  <si>
    <t>Portekiz</t>
  </si>
  <si>
    <t>İspanya</t>
  </si>
  <si>
    <t>İsviçre</t>
  </si>
  <si>
    <t>G49</t>
  </si>
  <si>
    <t>G50</t>
  </si>
  <si>
    <t>M61</t>
  </si>
  <si>
    <t>M62</t>
  </si>
  <si>
    <t>Turkish</t>
  </si>
  <si>
    <t>Arabic</t>
  </si>
  <si>
    <t>المجموعة</t>
  </si>
  <si>
    <t>لعب</t>
  </si>
  <si>
    <t>فاز</t>
  </si>
  <si>
    <t>تعادل</t>
  </si>
  <si>
    <t>خسر</t>
  </si>
  <si>
    <t>النقاط</t>
  </si>
  <si>
    <t>الأحد</t>
  </si>
  <si>
    <t>الاثنين</t>
  </si>
  <si>
    <t>الثلاثاء</t>
  </si>
  <si>
    <t>الخميس</t>
  </si>
  <si>
    <t>الجمعة</t>
  </si>
  <si>
    <t>السبت</t>
  </si>
  <si>
    <t>فرنسا</t>
  </si>
  <si>
    <t>ألمانيا</t>
  </si>
  <si>
    <t>البرتغال</t>
  </si>
  <si>
    <t>سويسرا</t>
  </si>
  <si>
    <t xml:space="preserve"> یک هشتم نهائی</t>
  </si>
  <si>
    <t>Persian</t>
  </si>
  <si>
    <t>اول گروه A</t>
  </si>
  <si>
    <t>دوم گروه A</t>
  </si>
  <si>
    <t>اول گروه B</t>
  </si>
  <si>
    <t>دوم گروهB</t>
  </si>
  <si>
    <t>اول گروه C</t>
  </si>
  <si>
    <t>دوم گروه C</t>
  </si>
  <si>
    <t>اول گروه D</t>
  </si>
  <si>
    <t>دوم گروه D</t>
  </si>
  <si>
    <t>اول گروه E</t>
  </si>
  <si>
    <t>دوم گروه E</t>
  </si>
  <si>
    <t>اول گروه F</t>
  </si>
  <si>
    <t>دوم گروه F</t>
  </si>
  <si>
    <t>اول گروه G</t>
  </si>
  <si>
    <t>دوم گروه G</t>
  </si>
  <si>
    <t>اول گروه H</t>
  </si>
  <si>
    <t>دوم گروه H</t>
  </si>
  <si>
    <t>برنده بازی 49</t>
  </si>
  <si>
    <t>برنده بازی 50</t>
  </si>
  <si>
    <t>بازنده بازی 61</t>
  </si>
  <si>
    <t>بازنده بازی 62</t>
  </si>
  <si>
    <t>Indonesia</t>
  </si>
  <si>
    <t>Perempat Final</t>
  </si>
  <si>
    <t>Semi Final</t>
  </si>
  <si>
    <t>Main</t>
  </si>
  <si>
    <t>Menang</t>
  </si>
  <si>
    <t>Kalah</t>
  </si>
  <si>
    <t>Sen</t>
  </si>
  <si>
    <t>Sel</t>
  </si>
  <si>
    <t>Rab</t>
  </si>
  <si>
    <t>Kam</t>
  </si>
  <si>
    <t>Jum</t>
  </si>
  <si>
    <t>Sab</t>
  </si>
  <si>
    <t>Perancis</t>
  </si>
  <si>
    <t>Inggris</t>
  </si>
  <si>
    <t>Jerman</t>
  </si>
  <si>
    <t>Spanyol</t>
  </si>
  <si>
    <t>Swiss</t>
  </si>
  <si>
    <t>Català</t>
  </si>
  <si>
    <t>Fase de grups</t>
  </si>
  <si>
    <t>Vuitens de final</t>
  </si>
  <si>
    <t>Quarts de final</t>
  </si>
  <si>
    <t>Semifinals</t>
  </si>
  <si>
    <t>3r i 4t lloc</t>
  </si>
  <si>
    <t>E</t>
  </si>
  <si>
    <t>Punts</t>
  </si>
  <si>
    <t>Diu</t>
  </si>
  <si>
    <t>Dil</t>
  </si>
  <si>
    <t>Dim</t>
  </si>
  <si>
    <t>Dix</t>
  </si>
  <si>
    <t>Dij</t>
  </si>
  <si>
    <t>Div</t>
  </si>
  <si>
    <t>Dis</t>
  </si>
  <si>
    <t>Gen</t>
  </si>
  <si>
    <t>Set</t>
  </si>
  <si>
    <t>Des</t>
  </si>
  <si>
    <t>Equip</t>
  </si>
  <si>
    <t>França</t>
  </si>
  <si>
    <t>Anglaterra</t>
  </si>
  <si>
    <t>Alemanya</t>
  </si>
  <si>
    <t>Itàlia</t>
  </si>
  <si>
    <t>Espanya</t>
  </si>
  <si>
    <t>Suïssa</t>
  </si>
  <si>
    <t>P61</t>
  </si>
  <si>
    <t>P62</t>
  </si>
  <si>
    <t>Φάση Ομίλων</t>
  </si>
  <si>
    <t>Φάση των 16</t>
  </si>
  <si>
    <t>Προημιτελικοί</t>
  </si>
  <si>
    <t>Ημιτελικοί</t>
  </si>
  <si>
    <t>Μικρός Τελικός</t>
  </si>
  <si>
    <t>Τελικός</t>
  </si>
  <si>
    <t>Όμιλος</t>
  </si>
  <si>
    <t>ΑΓ</t>
  </si>
  <si>
    <t>Ν</t>
  </si>
  <si>
    <t>Ι</t>
  </si>
  <si>
    <t xml:space="preserve">Η </t>
  </si>
  <si>
    <t>Υ-Κ</t>
  </si>
  <si>
    <t>ΒΘ</t>
  </si>
  <si>
    <t>Κυρ</t>
  </si>
  <si>
    <t>Δευ</t>
  </si>
  <si>
    <t>Τρι</t>
  </si>
  <si>
    <t>Τετ</t>
  </si>
  <si>
    <t>Πεμ</t>
  </si>
  <si>
    <t>Παρ</t>
  </si>
  <si>
    <t>Σαβ</t>
  </si>
  <si>
    <t>Ιαν</t>
  </si>
  <si>
    <t>Φεβ</t>
  </si>
  <si>
    <t>Μαρ</t>
  </si>
  <si>
    <t>Απρ</t>
  </si>
  <si>
    <t>Μαϊ</t>
  </si>
  <si>
    <t>Ιουν</t>
  </si>
  <si>
    <t>Ιουλ</t>
  </si>
  <si>
    <t>Αυγ</t>
  </si>
  <si>
    <t>Σεπ</t>
  </si>
  <si>
    <t>Οκτ</t>
  </si>
  <si>
    <t>Νοε</t>
  </si>
  <si>
    <t>Δεκ</t>
  </si>
  <si>
    <t>Ομάδα</t>
  </si>
  <si>
    <t>Γαλλία</t>
  </si>
  <si>
    <t>Αγγλία</t>
  </si>
  <si>
    <t>Γερμανία</t>
  </si>
  <si>
    <t>Ιταλία</t>
  </si>
  <si>
    <t>Πορτογαλία</t>
  </si>
  <si>
    <t>Ισπανία</t>
  </si>
  <si>
    <t>Ελβετία</t>
  </si>
  <si>
    <t>1Γ</t>
  </si>
  <si>
    <t>2Γ</t>
  </si>
  <si>
    <t>1Δ</t>
  </si>
  <si>
    <t>2Δ</t>
  </si>
  <si>
    <t>1Ε</t>
  </si>
  <si>
    <t>2Ε</t>
  </si>
  <si>
    <t>1ΣΤ</t>
  </si>
  <si>
    <t>2ΣΤ</t>
  </si>
  <si>
    <t>1Ζ</t>
  </si>
  <si>
    <t>2Ζ</t>
  </si>
  <si>
    <t>Ν49</t>
  </si>
  <si>
    <t>Ν50</t>
  </si>
  <si>
    <t>Η61</t>
  </si>
  <si>
    <t>Η62</t>
  </si>
  <si>
    <t>Greek</t>
  </si>
  <si>
    <t>Semifinali</t>
  </si>
  <si>
    <t>Gruppo</t>
  </si>
  <si>
    <t>Punti</t>
  </si>
  <si>
    <t>Dom</t>
  </si>
  <si>
    <t>Lun</t>
  </si>
  <si>
    <t>Mer</t>
  </si>
  <si>
    <t>Gio</t>
  </si>
  <si>
    <t>Ven</t>
  </si>
  <si>
    <t>Mag</t>
  </si>
  <si>
    <t>Giu</t>
  </si>
  <si>
    <t>Lug</t>
  </si>
  <si>
    <t>Ott</t>
  </si>
  <si>
    <t>Squadra</t>
  </si>
  <si>
    <t>Inghilterra</t>
  </si>
  <si>
    <t>Germania</t>
  </si>
  <si>
    <t>Portogallo</t>
  </si>
  <si>
    <t>Spagna</t>
  </si>
  <si>
    <t>Svizzera</t>
  </si>
  <si>
    <t>V49</t>
  </si>
  <si>
    <t>V50</t>
  </si>
  <si>
    <t>Italian</t>
  </si>
  <si>
    <t>Azerbaijan</t>
  </si>
  <si>
    <t>Qrup Mərhələsi</t>
  </si>
  <si>
    <t>16-da bir raund</t>
  </si>
  <si>
    <t>Dörddə bir Final</t>
  </si>
  <si>
    <t>Yarım Final</t>
  </si>
  <si>
    <t>Üçüncü Yer Uğrunda</t>
  </si>
  <si>
    <t>Qrup</t>
  </si>
  <si>
    <t>Q</t>
  </si>
  <si>
    <t>H</t>
  </si>
  <si>
    <t>QV - QB</t>
  </si>
  <si>
    <t>Xal</t>
  </si>
  <si>
    <t>BE</t>
  </si>
  <si>
    <t>ÇA</t>
  </si>
  <si>
    <t>Ç</t>
  </si>
  <si>
    <t>CA</t>
  </si>
  <si>
    <t>C</t>
  </si>
  <si>
    <t>Ş</t>
  </si>
  <si>
    <t>Yan</t>
  </si>
  <si>
    <t>Fev</t>
  </si>
  <si>
    <t>İyn</t>
  </si>
  <si>
    <t>İyl</t>
  </si>
  <si>
    <t>Avq</t>
  </si>
  <si>
    <t>Noy</t>
  </si>
  <si>
    <t>Dek</t>
  </si>
  <si>
    <t>Komanda</t>
  </si>
  <si>
    <t>İngiltərə</t>
  </si>
  <si>
    <t>Almaniya</t>
  </si>
  <si>
    <t>İtaliya</t>
  </si>
  <si>
    <t>Portuqaliya</t>
  </si>
  <si>
    <t>İspaniya</t>
  </si>
  <si>
    <t>İsveçrə</t>
  </si>
  <si>
    <t>Q49</t>
  </si>
  <si>
    <t>Q50</t>
  </si>
  <si>
    <t>Bulgarian</t>
  </si>
  <si>
    <t>Групова фаза</t>
  </si>
  <si>
    <t>1/8 - финали</t>
  </si>
  <si>
    <t>1/4 - финали</t>
  </si>
  <si>
    <t>1/2 - финали</t>
  </si>
  <si>
    <t>Мач за трето място</t>
  </si>
  <si>
    <t>Група</t>
  </si>
  <si>
    <t>М</t>
  </si>
  <si>
    <t>Р</t>
  </si>
  <si>
    <t>З</t>
  </si>
  <si>
    <t>Гол. Разл.</t>
  </si>
  <si>
    <t>Т</t>
  </si>
  <si>
    <t>Нед</t>
  </si>
  <si>
    <t>Пон</t>
  </si>
  <si>
    <t>Сря</t>
  </si>
  <si>
    <t>Четв</t>
  </si>
  <si>
    <t>Пет</t>
  </si>
  <si>
    <t>Съб</t>
  </si>
  <si>
    <t>Януари</t>
  </si>
  <si>
    <t>Февруари</t>
  </si>
  <si>
    <t>Март</t>
  </si>
  <si>
    <t>Април</t>
  </si>
  <si>
    <t>Юни</t>
  </si>
  <si>
    <t>Юли</t>
  </si>
  <si>
    <t>Август</t>
  </si>
  <si>
    <t>Септември</t>
  </si>
  <si>
    <t>Октомври</t>
  </si>
  <si>
    <t>Ноември</t>
  </si>
  <si>
    <t>Декември</t>
  </si>
  <si>
    <t>Отбор</t>
  </si>
  <si>
    <t>分組賽</t>
  </si>
  <si>
    <t>十六強</t>
  </si>
  <si>
    <t>八強</t>
  </si>
  <si>
    <t>準決賽</t>
  </si>
  <si>
    <t>季軍賽</t>
  </si>
  <si>
    <t>總決賽</t>
  </si>
  <si>
    <t>小組</t>
  </si>
  <si>
    <t>賽</t>
  </si>
  <si>
    <t>勝</t>
  </si>
  <si>
    <t>和</t>
  </si>
  <si>
    <t>負</t>
  </si>
  <si>
    <t>得球 - 失球</t>
  </si>
  <si>
    <t>分數</t>
  </si>
  <si>
    <t>隊伍</t>
  </si>
  <si>
    <t>法國</t>
  </si>
  <si>
    <t>德國</t>
  </si>
  <si>
    <t>意大利</t>
  </si>
  <si>
    <t>葡萄牙</t>
  </si>
  <si>
    <t>西班牙</t>
  </si>
  <si>
    <t>瑞士</t>
  </si>
  <si>
    <t>Macedonian</t>
  </si>
  <si>
    <t>Фаза по групи</t>
  </si>
  <si>
    <t>1/8 финале</t>
  </si>
  <si>
    <t>1/4 финале</t>
  </si>
  <si>
    <t>1/2 финале</t>
  </si>
  <si>
    <t>Натпревар за трето место</t>
  </si>
  <si>
    <t>Финале</t>
  </si>
  <si>
    <t>Вто</t>
  </si>
  <si>
    <t>Сре</t>
  </si>
  <si>
    <t>Чет</t>
  </si>
  <si>
    <t>Саб</t>
  </si>
  <si>
    <t>Јан</t>
  </si>
  <si>
    <t>Мај</t>
  </si>
  <si>
    <t>Јун</t>
  </si>
  <si>
    <t>Јул</t>
  </si>
  <si>
    <t>Сеп</t>
  </si>
  <si>
    <t>Ное</t>
  </si>
  <si>
    <t>Тим</t>
  </si>
  <si>
    <t>Франција</t>
  </si>
  <si>
    <t>Англија</t>
  </si>
  <si>
    <t>Италија</t>
  </si>
  <si>
    <t>Португалија</t>
  </si>
  <si>
    <t>Шпанија</t>
  </si>
  <si>
    <t>Швајцарија</t>
  </si>
  <si>
    <t>П49</t>
  </si>
  <si>
    <t>П50</t>
  </si>
  <si>
    <t>И61</t>
  </si>
  <si>
    <t>И62</t>
  </si>
  <si>
    <t>Seg</t>
  </si>
  <si>
    <t>Ter</t>
  </si>
  <si>
    <t>Qua</t>
  </si>
  <si>
    <t>Qui</t>
  </si>
  <si>
    <t>Sex</t>
  </si>
  <si>
    <t>Out</t>
  </si>
  <si>
    <t>Alemanha</t>
  </si>
  <si>
    <t>Espanha</t>
  </si>
  <si>
    <t>Suíça</t>
  </si>
  <si>
    <t>О</t>
  </si>
  <si>
    <t>Разлика</t>
  </si>
  <si>
    <t>Б</t>
  </si>
  <si>
    <t>Danish</t>
  </si>
  <si>
    <t>Gruppespil</t>
  </si>
  <si>
    <t>Runde af 16</t>
  </si>
  <si>
    <t>Kvartfinale</t>
  </si>
  <si>
    <t>Semifinale</t>
  </si>
  <si>
    <t>Tredjeplads Kamp</t>
  </si>
  <si>
    <t>Uafgjort</t>
  </si>
  <si>
    <t>T</t>
  </si>
  <si>
    <t>MF - MI</t>
  </si>
  <si>
    <t>Søn</t>
  </si>
  <si>
    <t>Man</t>
  </si>
  <si>
    <t>Tir</t>
  </si>
  <si>
    <t>Ons</t>
  </si>
  <si>
    <t>Tor</t>
  </si>
  <si>
    <t>Fre</t>
  </si>
  <si>
    <t>Lør</t>
  </si>
  <si>
    <t>Maj</t>
  </si>
  <si>
    <t>Hold</t>
  </si>
  <si>
    <t>Frankrig</t>
  </si>
  <si>
    <t>Tyskland</t>
  </si>
  <si>
    <t>T61</t>
  </si>
  <si>
    <t>T62</t>
  </si>
  <si>
    <t>Georgian</t>
  </si>
  <si>
    <t>ჯგუფური ეტაპი</t>
  </si>
  <si>
    <t>მერვედფინალი</t>
  </si>
  <si>
    <t>მეოთხედფინალი</t>
  </si>
  <si>
    <t>ნახევარფინალი</t>
  </si>
  <si>
    <t>მესამე ადგილი</t>
  </si>
  <si>
    <t>ფინალი</t>
  </si>
  <si>
    <t>ჯგუფი</t>
  </si>
  <si>
    <t>თ</t>
  </si>
  <si>
    <t>მოგ</t>
  </si>
  <si>
    <t>ფრე</t>
  </si>
  <si>
    <t>წაგ</t>
  </si>
  <si>
    <t>გგ - მგ</t>
  </si>
  <si>
    <t>ქულა</t>
  </si>
  <si>
    <t>კვირა</t>
  </si>
  <si>
    <t>ორშ</t>
  </si>
  <si>
    <t>სამშ</t>
  </si>
  <si>
    <t>ოთხშ</t>
  </si>
  <si>
    <t>ხუთშ</t>
  </si>
  <si>
    <t>პარ</t>
  </si>
  <si>
    <t>შაბ</t>
  </si>
  <si>
    <t>იან</t>
  </si>
  <si>
    <t>თებ</t>
  </si>
  <si>
    <t>მარ</t>
  </si>
  <si>
    <t>აპრ</t>
  </si>
  <si>
    <t>მაი</t>
  </si>
  <si>
    <t>ივნ</t>
  </si>
  <si>
    <t>ივლ</t>
  </si>
  <si>
    <t>აგვ</t>
  </si>
  <si>
    <t>სექ</t>
  </si>
  <si>
    <t>ოქტ</t>
  </si>
  <si>
    <t>ნოე</t>
  </si>
  <si>
    <t>დეკ</t>
  </si>
  <si>
    <t>ნაკრები</t>
  </si>
  <si>
    <t>მ49</t>
  </si>
  <si>
    <t>მ50</t>
  </si>
  <si>
    <t>წ61</t>
  </si>
  <si>
    <t>წ62</t>
  </si>
  <si>
    <t>Hungarian</t>
  </si>
  <si>
    <t>Csoportkörök</t>
  </si>
  <si>
    <t>Nyolcaddöntők</t>
  </si>
  <si>
    <t>Negyeddöntők</t>
  </si>
  <si>
    <t>Elődöntők</t>
  </si>
  <si>
    <t>Bronzmeccs</t>
  </si>
  <si>
    <t>Döntő</t>
  </si>
  <si>
    <t>Csoport</t>
  </si>
  <si>
    <t>GY</t>
  </si>
  <si>
    <t>Gólkül.</t>
  </si>
  <si>
    <t>Vas</t>
  </si>
  <si>
    <t>Hét</t>
  </si>
  <si>
    <t>Ke</t>
  </si>
  <si>
    <t>Sze</t>
  </si>
  <si>
    <t>Csü</t>
  </si>
  <si>
    <t>Pé</t>
  </si>
  <si>
    <t>Szo</t>
  </si>
  <si>
    <t>Már</t>
  </si>
  <si>
    <t>Ápr</t>
  </si>
  <si>
    <t>Máj</t>
  </si>
  <si>
    <t>Jún</t>
  </si>
  <si>
    <t>Júl</t>
  </si>
  <si>
    <t>Szep</t>
  </si>
  <si>
    <t>Csapat</t>
  </si>
  <si>
    <t>Franciaország</t>
  </si>
  <si>
    <t>Anglia</t>
  </si>
  <si>
    <t>Németország</t>
  </si>
  <si>
    <t>Olaszország</t>
  </si>
  <si>
    <t>Portugália</t>
  </si>
  <si>
    <t>Spanyolország</t>
  </si>
  <si>
    <t>Svájc</t>
  </si>
  <si>
    <t>GY49</t>
  </si>
  <si>
    <t>GY50</t>
  </si>
  <si>
    <t>Czech</t>
  </si>
  <si>
    <t>Základní skupiny</t>
  </si>
  <si>
    <t>Osmifinále</t>
  </si>
  <si>
    <t>Čtvrtfinále</t>
  </si>
  <si>
    <t>Semifinále</t>
  </si>
  <si>
    <t>Zápas o 3.místo</t>
  </si>
  <si>
    <t>Finále</t>
  </si>
  <si>
    <t>Skupina</t>
  </si>
  <si>
    <t>Z</t>
  </si>
  <si>
    <t>GV - GI</t>
  </si>
  <si>
    <t>Body</t>
  </si>
  <si>
    <t>Ne</t>
  </si>
  <si>
    <t>Po</t>
  </si>
  <si>
    <t>Út</t>
  </si>
  <si>
    <t>St</t>
  </si>
  <si>
    <t>Čt</t>
  </si>
  <si>
    <t>Pá</t>
  </si>
  <si>
    <t>So</t>
  </si>
  <si>
    <t>Čer</t>
  </si>
  <si>
    <t>Čec</t>
  </si>
  <si>
    <t>Francie</t>
  </si>
  <si>
    <t>Anglie</t>
  </si>
  <si>
    <t>Německo</t>
  </si>
  <si>
    <t>Itálie</t>
  </si>
  <si>
    <t>Portugalsko</t>
  </si>
  <si>
    <t>Španělsko</t>
  </si>
  <si>
    <t>Švýcarsko</t>
  </si>
  <si>
    <t>Vietnamese</t>
  </si>
  <si>
    <t>Vòng Bảng</t>
  </si>
  <si>
    <t>Vòng 1/16</t>
  </si>
  <si>
    <t>Tứ kết</t>
  </si>
  <si>
    <t>Bán kết</t>
  </si>
  <si>
    <t>Tranh hạng 3</t>
  </si>
  <si>
    <t>Chung Kết</t>
  </si>
  <si>
    <t>Bảng</t>
  </si>
  <si>
    <t>Trận</t>
  </si>
  <si>
    <t>Hiệu số</t>
  </si>
  <si>
    <t>Điểm</t>
  </si>
  <si>
    <t>CN</t>
  </si>
  <si>
    <t>T2</t>
  </si>
  <si>
    <t>T3</t>
  </si>
  <si>
    <t>T4</t>
  </si>
  <si>
    <t>T5</t>
  </si>
  <si>
    <t>T6</t>
  </si>
  <si>
    <t>T7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</si>
  <si>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</si>
  <si>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</si>
  <si>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</si>
  <si>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</si>
  <si>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</si>
  <si>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</si>
  <si>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</si>
  <si>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</si>
  <si>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</si>
  <si>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</si>
  <si>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</si>
  <si>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</si>
  <si>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Đội</t>
  </si>
  <si>
    <t>Pháp</t>
  </si>
  <si>
    <t>Anh</t>
  </si>
  <si>
    <t>Đức</t>
  </si>
  <si>
    <t>Ý</t>
  </si>
  <si>
    <t>Bồ Đào Nha</t>
  </si>
  <si>
    <t>T49</t>
  </si>
  <si>
    <t>T50</t>
  </si>
  <si>
    <t>B61</t>
  </si>
  <si>
    <t>B62</t>
  </si>
  <si>
    <t>Korean</t>
  </si>
  <si>
    <t>조별 리그</t>
  </si>
  <si>
    <t>준결승전</t>
  </si>
  <si>
    <t>결승전</t>
  </si>
  <si>
    <t>그룹</t>
  </si>
  <si>
    <t>경기</t>
  </si>
  <si>
    <t>승</t>
  </si>
  <si>
    <t>무</t>
  </si>
  <si>
    <t>패</t>
  </si>
  <si>
    <t>골득실</t>
  </si>
  <si>
    <t>승점</t>
  </si>
  <si>
    <t>일</t>
  </si>
  <si>
    <t>월</t>
  </si>
  <si>
    <t>화</t>
  </si>
  <si>
    <t>수</t>
  </si>
  <si>
    <t>목</t>
  </si>
  <si>
    <t>금</t>
  </si>
  <si>
    <t>토</t>
  </si>
  <si>
    <t>팀</t>
  </si>
  <si>
    <t>프랑스</t>
  </si>
  <si>
    <t>독일</t>
  </si>
  <si>
    <t>이탈리아</t>
  </si>
  <si>
    <t>포르투갈</t>
  </si>
  <si>
    <t>스페인</t>
  </si>
  <si>
    <t>스위스</t>
  </si>
  <si>
    <t>준결승 경기1 승자</t>
  </si>
  <si>
    <t>Romanian</t>
  </si>
  <si>
    <t>Faza Grupelor</t>
  </si>
  <si>
    <t>Optimi</t>
  </si>
  <si>
    <t>Sferturi de finala</t>
  </si>
  <si>
    <t>Finala mica</t>
  </si>
  <si>
    <t>FINALA</t>
  </si>
  <si>
    <t>Grupa</t>
  </si>
  <si>
    <t>I</t>
  </si>
  <si>
    <t>GM - GP</t>
  </si>
  <si>
    <t>Dum</t>
  </si>
  <si>
    <t>Mie</t>
  </si>
  <si>
    <t>Joi</t>
  </si>
  <si>
    <t>Vin</t>
  </si>
  <si>
    <t>Sam</t>
  </si>
  <si>
    <t>Ian</t>
  </si>
  <si>
    <t>Iun</t>
  </si>
  <si>
    <t>Iul</t>
  </si>
  <si>
    <t>Noi</t>
  </si>
  <si>
    <t>Echipa</t>
  </si>
  <si>
    <t>Portugalia</t>
  </si>
  <si>
    <t>Spania</t>
  </si>
  <si>
    <t>C49</t>
  </si>
  <si>
    <t>C50</t>
  </si>
  <si>
    <t>Serbian</t>
  </si>
  <si>
    <t>Grupno takmičenje</t>
  </si>
  <si>
    <t>Šesnaestina finala</t>
  </si>
  <si>
    <t>Četvrtfinale</t>
  </si>
  <si>
    <t>Polufinale</t>
  </si>
  <si>
    <t>Croatia</t>
  </si>
  <si>
    <t>Croatie</t>
  </si>
  <si>
    <t>Kroatien</t>
  </si>
  <si>
    <t>Croacia</t>
  </si>
  <si>
    <t>Croazia</t>
  </si>
  <si>
    <t>Croácia</t>
  </si>
  <si>
    <t>Chorwacja</t>
  </si>
  <si>
    <t>Kroatija</t>
  </si>
  <si>
    <t>Croàcia</t>
  </si>
  <si>
    <t>Horvátország</t>
  </si>
  <si>
    <t>Kroatië</t>
  </si>
  <si>
    <t>Kroazja</t>
  </si>
  <si>
    <t>Chorvatsko</t>
  </si>
  <si>
    <t>Hrvaška</t>
  </si>
  <si>
    <t>Kroatia</t>
  </si>
  <si>
    <t>Hrvatska</t>
  </si>
  <si>
    <t>Хрватска</t>
  </si>
  <si>
    <t>Kroacia</t>
  </si>
  <si>
    <t>Хърватия</t>
  </si>
  <si>
    <t>Хорватия</t>
  </si>
  <si>
    <t>Хорватія</t>
  </si>
  <si>
    <t>Xorvatiya</t>
  </si>
  <si>
    <t>Hırvatistan</t>
  </si>
  <si>
    <t>Kroasia</t>
  </si>
  <si>
    <t>ხორვატია</t>
  </si>
  <si>
    <t>קרואטיה</t>
  </si>
  <si>
    <t>كرواتيا</t>
  </si>
  <si>
    <t>کرواسی</t>
  </si>
  <si>
    <t>克罗地亚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</si>
  <si>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</si>
  <si>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</si>
  <si>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</si>
  <si>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</si>
  <si>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</si>
  <si>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</si>
  <si>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</si>
  <si>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</si>
  <si>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</si>
  <si>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</si>
  <si>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</si>
  <si>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</si>
  <si>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</si>
  <si>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</si>
  <si>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</si>
  <si>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</si>
  <si>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</si>
  <si>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</si>
  <si>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</si>
  <si>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</si>
  <si>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</si>
  <si>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</si>
  <si>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</si>
  <si>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</si>
  <si>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</si>
  <si>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</si>
  <si>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</si>
  <si>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</si>
  <si>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</si>
  <si>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</si>
  <si>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</si>
  <si>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</si>
  <si>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</si>
  <si>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</si>
  <si>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</si>
  <si>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</si>
  <si>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</si>
  <si>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</si>
  <si>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</si>
  <si>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</si>
  <si>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</si>
  <si>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</si>
  <si>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</si>
  <si>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</si>
  <si>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</si>
  <si>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</si>
  <si>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</si>
  <si>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</si>
  <si>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</si>
  <si>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</si>
  <si>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</si>
  <si>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</si>
  <si>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</si>
  <si>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</si>
  <si>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</si>
  <si>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</si>
  <si>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</si>
  <si>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</si>
  <si>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</si>
  <si>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</si>
  <si>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russia</t>
  </si>
  <si>
    <t>Russia</t>
  </si>
  <si>
    <t>러시아</t>
  </si>
  <si>
    <t>Русија</t>
  </si>
  <si>
    <t>Russja</t>
  </si>
  <si>
    <t>روسیه،</t>
  </si>
  <si>
    <t>Rosja</t>
  </si>
  <si>
    <t>Россия</t>
  </si>
  <si>
    <t>rusko</t>
  </si>
  <si>
    <t>Ryssland</t>
  </si>
  <si>
    <t>ประเทศรัสเซีย</t>
  </si>
  <si>
    <t>Rusya</t>
  </si>
  <si>
    <t>Nga</t>
  </si>
  <si>
    <t>Росія</t>
  </si>
  <si>
    <t>روس</t>
  </si>
  <si>
    <t>Խորվաթիա</t>
  </si>
  <si>
    <t>克羅地亞</t>
  </si>
  <si>
    <t>Κροατία</t>
  </si>
  <si>
    <t>크로아티아</t>
  </si>
  <si>
    <t>хрватска</t>
  </si>
  <si>
    <t>Croația</t>
  </si>
  <si>
    <t>chorvátsko</t>
  </si>
  <si>
    <t>โครเอเชีย</t>
  </si>
  <si>
    <t>کروشیا</t>
  </si>
  <si>
    <t>Francë</t>
  </si>
  <si>
    <t>Franța</t>
  </si>
  <si>
    <t>Француска</t>
  </si>
  <si>
    <t>francúzsko</t>
  </si>
  <si>
    <t>Angli</t>
  </si>
  <si>
    <t>انجلترا</t>
  </si>
  <si>
    <t>英国</t>
  </si>
  <si>
    <t>英國</t>
  </si>
  <si>
    <t>영국</t>
  </si>
  <si>
    <t>Енглеска</t>
  </si>
  <si>
    <t>انگلینڈ</t>
  </si>
  <si>
    <t>Belgium</t>
  </si>
  <si>
    <t>Gjermani</t>
  </si>
  <si>
    <t>германија</t>
  </si>
  <si>
    <t>Немачка</t>
  </si>
  <si>
    <t>nemecko</t>
  </si>
  <si>
    <t>ประเทศเยอรมัน</t>
  </si>
  <si>
    <t>იტალიაში</t>
  </si>
  <si>
    <t>taliansko</t>
  </si>
  <si>
    <t>اٹلی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</si>
  <si>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</si>
  <si>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</si>
  <si>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</si>
  <si>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</si>
  <si>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</si>
  <si>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</si>
  <si>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</si>
  <si>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</si>
  <si>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</si>
  <si>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</si>
  <si>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</si>
  <si>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</si>
  <si>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</si>
  <si>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</si>
  <si>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</si>
  <si>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</si>
  <si>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</si>
  <si>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</si>
  <si>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</si>
  <si>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белгија</t>
  </si>
  <si>
    <t>Il-Belġju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</si>
  <si>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</si>
  <si>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</si>
  <si>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</si>
  <si>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</si>
  <si>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</si>
  <si>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</si>
  <si>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</si>
  <si>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</si>
  <si>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</si>
  <si>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Portugali</t>
  </si>
  <si>
    <t>პორტუგალიის</t>
  </si>
  <si>
    <t>Portugall</t>
  </si>
  <si>
    <t>پرتغال</t>
  </si>
  <si>
    <t>Spanjë</t>
  </si>
  <si>
    <t>إسبانيا</t>
  </si>
  <si>
    <t>ესპანეთში</t>
  </si>
  <si>
    <t>spain</t>
  </si>
  <si>
    <t>کشور اسپانیا</t>
  </si>
  <si>
    <t>španielsko</t>
  </si>
  <si>
    <t>Tây ban nha</t>
  </si>
  <si>
    <t>سپین</t>
  </si>
  <si>
    <t>Zvicër</t>
  </si>
  <si>
    <t>Švajcarska</t>
  </si>
  <si>
    <t>שוויץ</t>
  </si>
  <si>
    <t>Isvizzera</t>
  </si>
  <si>
    <t>سویس</t>
  </si>
  <si>
    <t>Elveția</t>
  </si>
  <si>
    <t>Швајцарска</t>
  </si>
  <si>
    <t>švajčiarsko</t>
  </si>
  <si>
    <t>ประเทศสวิสเซอร์แลนด์</t>
  </si>
  <si>
    <t>Thụy Sĩ</t>
  </si>
  <si>
    <t>سوئٹزرلینڈ</t>
  </si>
  <si>
    <t>16강전</t>
  </si>
  <si>
    <t>8강전</t>
  </si>
  <si>
    <t>3,4위전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</si>
  <si>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</si>
  <si>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</si>
  <si>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</si>
  <si>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</si>
  <si>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</si>
  <si>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</si>
  <si>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</si>
  <si>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</si>
  <si>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</si>
  <si>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</si>
  <si>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</si>
  <si>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</si>
  <si>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 그룹 1위</t>
  </si>
  <si>
    <t>A 그룹 2위</t>
  </si>
  <si>
    <t>B 그룹 1위</t>
  </si>
  <si>
    <t>B 그룹 2위</t>
  </si>
  <si>
    <t>C 그룹 1위</t>
  </si>
  <si>
    <t>C 그룹 2위</t>
  </si>
  <si>
    <t>D 그룹 1위</t>
  </si>
  <si>
    <t>D 그룹 2위</t>
  </si>
  <si>
    <t>E 그룹 1위</t>
  </si>
  <si>
    <t>E 그룹 2위</t>
  </si>
  <si>
    <t>F 그룹 1위</t>
  </si>
  <si>
    <t>F 그룹 2위</t>
  </si>
  <si>
    <t>G 그룹 1위</t>
  </si>
  <si>
    <t>G 그룹 2위</t>
  </si>
  <si>
    <t>H 그룹 1위</t>
  </si>
  <si>
    <t>H 그룹 2위</t>
  </si>
  <si>
    <t>16강전 경기1 승자</t>
  </si>
  <si>
    <t>16강전 경기2 승자</t>
  </si>
  <si>
    <t>16강전 경기3 승자</t>
  </si>
  <si>
    <t>16강전 경기4 승자</t>
  </si>
  <si>
    <t>16강전 경기5 승자</t>
  </si>
  <si>
    <t>16강전 경기6 승자</t>
  </si>
  <si>
    <t>16강전 경기7 승자</t>
  </si>
  <si>
    <t>16강전 경기8 승자</t>
  </si>
  <si>
    <t>8강전 경기1 승자</t>
  </si>
  <si>
    <t>8강전 경기2 승자</t>
  </si>
  <si>
    <t>8강전 경기3 승자</t>
  </si>
  <si>
    <t>8강전 경기4 승자</t>
  </si>
  <si>
    <t>준결승 경기2 승자</t>
  </si>
  <si>
    <t>준결승 경기1 패자</t>
  </si>
  <si>
    <t>준결승 경기2 패자</t>
  </si>
  <si>
    <t>Brasilia</t>
  </si>
  <si>
    <t>Cuiaba</t>
  </si>
  <si>
    <t>Yes</t>
  </si>
  <si>
    <t>Brazilias</t>
  </si>
  <si>
    <t>برازيليا</t>
  </si>
  <si>
    <t>Brasília</t>
  </si>
  <si>
    <t>巴西利亚</t>
  </si>
  <si>
    <t>巴西利亞</t>
  </si>
  <si>
    <t>Μπραζίλια</t>
  </si>
  <si>
    <t>ברזיליה</t>
  </si>
  <si>
    <t>브라질리아</t>
  </si>
  <si>
    <t>Бразилија</t>
  </si>
  <si>
    <t>برازیلیا</t>
  </si>
  <si>
    <t>Бразилиа</t>
  </si>
  <si>
    <t>บราซิเลีย</t>
  </si>
  <si>
    <t>Бразиліа</t>
  </si>
  <si>
    <t>براسیلیا</t>
  </si>
  <si>
    <t>كويابا</t>
  </si>
  <si>
    <t>库亚巴</t>
  </si>
  <si>
    <t>庫亞巴</t>
  </si>
  <si>
    <t>Cuiabá</t>
  </si>
  <si>
    <t>קויאבה</t>
  </si>
  <si>
    <t>쿠이 아바</t>
  </si>
  <si>
    <t>کویابا</t>
  </si>
  <si>
    <t>cuiaba</t>
  </si>
  <si>
    <t>Куяба</t>
  </si>
  <si>
    <t>Кујаба</t>
  </si>
  <si>
    <t>กูยาบา</t>
  </si>
  <si>
    <t>کیوبا</t>
  </si>
  <si>
    <t>Cut MP3 Files</t>
  </si>
  <si>
    <t>WAV to MP3 Converter</t>
  </si>
  <si>
    <t>Betfair Betting Exchange</t>
  </si>
  <si>
    <t>Stade de France, Saint-Denis</t>
  </si>
  <si>
    <t>Romania</t>
  </si>
  <si>
    <t>Albania</t>
  </si>
  <si>
    <t>Wales</t>
  </si>
  <si>
    <t>Slovakia</t>
  </si>
  <si>
    <t>Ukraine</t>
  </si>
  <si>
    <t>Poland</t>
  </si>
  <si>
    <t>Northern Ireland</t>
  </si>
  <si>
    <t>Czech Republic</t>
  </si>
  <si>
    <t>Turkey</t>
  </si>
  <si>
    <t>Republic of Ireland</t>
  </si>
  <si>
    <t>Sweden</t>
  </si>
  <si>
    <t>Iceland</t>
  </si>
  <si>
    <t>Austria</t>
  </si>
  <si>
    <t>Hungary</t>
  </si>
  <si>
    <t>Stade Bollaert-Delelis, Lens</t>
  </si>
  <si>
    <t>Nouveau Stade de Bordeaux, Bordeaux</t>
  </si>
  <si>
    <t>Stade Vélodrome, Marseille</t>
  </si>
  <si>
    <t>Allianz Riviera, Nice</t>
  </si>
  <si>
    <t>Stade Pierre-Mauroy, Lille</t>
  </si>
  <si>
    <t>Parc des Princes, Paris</t>
  </si>
  <si>
    <t>Stadium Municipal, Toulouse</t>
  </si>
  <si>
    <t>Parc Olympique Lyonnais, Lyon</t>
  </si>
  <si>
    <t>Stade Geoffroy-Guichard, Saint-Étienne</t>
  </si>
  <si>
    <t>ABCD</t>
  </si>
  <si>
    <t>ABCE</t>
  </si>
  <si>
    <t>ABCF</t>
  </si>
  <si>
    <t>ABDE</t>
  </si>
  <si>
    <t>ABDF</t>
  </si>
  <si>
    <t>ABEF</t>
  </si>
  <si>
    <t>ACDE</t>
  </si>
  <si>
    <t>ACDF</t>
  </si>
  <si>
    <t>ACEF</t>
  </si>
  <si>
    <t>ADEF</t>
  </si>
  <si>
    <t>BCDE</t>
  </si>
  <si>
    <t>BCDF</t>
  </si>
  <si>
    <t>BCEF</t>
  </si>
  <si>
    <t>BDEF</t>
  </si>
  <si>
    <t>CDEF</t>
  </si>
  <si>
    <t>A</t>
  </si>
  <si>
    <t>UEFA Rank</t>
  </si>
  <si>
    <t>Best 3rds:</t>
  </si>
  <si>
    <t xml:space="preserve">1B vs </t>
  </si>
  <si>
    <t>3C</t>
  </si>
  <si>
    <t>3A</t>
  </si>
  <si>
    <t>3B</t>
  </si>
  <si>
    <t>3D</t>
  </si>
  <si>
    <t>3E</t>
  </si>
  <si>
    <t>3F</t>
  </si>
  <si>
    <t>1D vs</t>
  </si>
  <si>
    <t>1A vs</t>
  </si>
  <si>
    <t>1C vs</t>
  </si>
  <si>
    <t>Group Round: 3rd Places Tiebreak</t>
  </si>
  <si>
    <t>W37</t>
  </si>
  <si>
    <t>F37</t>
  </si>
  <si>
    <t>Q37</t>
  </si>
  <si>
    <t>G37</t>
  </si>
  <si>
    <t>37胜者</t>
  </si>
  <si>
    <t>V37</t>
  </si>
  <si>
    <t>მ37</t>
  </si>
  <si>
    <t>Ν37</t>
  </si>
  <si>
    <t>GY37</t>
  </si>
  <si>
    <t>L37</t>
  </si>
  <si>
    <t>П37</t>
  </si>
  <si>
    <t>R37</t>
  </si>
  <si>
    <t>برنده بازی 37</t>
  </si>
  <si>
    <t>C37</t>
  </si>
  <si>
    <t>P37</t>
  </si>
  <si>
    <t>ผู้ชนะนัดที่ 37</t>
  </si>
  <si>
    <t>T37</t>
  </si>
  <si>
    <t>Переможець 37</t>
  </si>
  <si>
    <t>W39</t>
  </si>
  <si>
    <t>F39</t>
  </si>
  <si>
    <t>Q39</t>
  </si>
  <si>
    <t>G39</t>
  </si>
  <si>
    <t>39胜者</t>
  </si>
  <si>
    <t>V39</t>
  </si>
  <si>
    <t>მ39</t>
  </si>
  <si>
    <t>Ν39</t>
  </si>
  <si>
    <t>GY39</t>
  </si>
  <si>
    <t>L39</t>
  </si>
  <si>
    <t>П39</t>
  </si>
  <si>
    <t>R39</t>
  </si>
  <si>
    <t>برنده بازی 39</t>
  </si>
  <si>
    <t>C39</t>
  </si>
  <si>
    <t>P39</t>
  </si>
  <si>
    <t>ผู้ชนะนัดที่ 39</t>
  </si>
  <si>
    <t>T39</t>
  </si>
  <si>
    <t>Переможець 39</t>
  </si>
  <si>
    <t>W38</t>
  </si>
  <si>
    <t>F38</t>
  </si>
  <si>
    <t>Q38</t>
  </si>
  <si>
    <t>G38</t>
  </si>
  <si>
    <t>38胜者</t>
  </si>
  <si>
    <t>V38</t>
  </si>
  <si>
    <t>მ38</t>
  </si>
  <si>
    <t>Ν38</t>
  </si>
  <si>
    <t>GY38</t>
  </si>
  <si>
    <t>L38</t>
  </si>
  <si>
    <t>П38</t>
  </si>
  <si>
    <t>R38</t>
  </si>
  <si>
    <t>برنده بازی 38</t>
  </si>
  <si>
    <t>C38</t>
  </si>
  <si>
    <t>P38</t>
  </si>
  <si>
    <t>ผู้ชนะนัดที่ 38</t>
  </si>
  <si>
    <t>T38</t>
  </si>
  <si>
    <t>Переможець 38</t>
  </si>
  <si>
    <t>W42</t>
  </si>
  <si>
    <t>F42</t>
  </si>
  <si>
    <t>Q42</t>
  </si>
  <si>
    <t>G42</t>
  </si>
  <si>
    <t>42胜者</t>
  </si>
  <si>
    <t>V42</t>
  </si>
  <si>
    <t>მ42</t>
  </si>
  <si>
    <t>Ν42</t>
  </si>
  <si>
    <t>GY42</t>
  </si>
  <si>
    <t>L42</t>
  </si>
  <si>
    <t>П42</t>
  </si>
  <si>
    <t>R42</t>
  </si>
  <si>
    <t>برنده بازی 42</t>
  </si>
  <si>
    <t>C42</t>
  </si>
  <si>
    <t>P42</t>
  </si>
  <si>
    <t>ผู้ชนะนัดที่ 42</t>
  </si>
  <si>
    <t>T42</t>
  </si>
  <si>
    <t>Переможець 42</t>
  </si>
  <si>
    <t>W41</t>
  </si>
  <si>
    <t>F41</t>
  </si>
  <si>
    <t>Q41</t>
  </si>
  <si>
    <t>G41</t>
  </si>
  <si>
    <t>41胜者</t>
  </si>
  <si>
    <t>V41</t>
  </si>
  <si>
    <t>მ41</t>
  </si>
  <si>
    <t>Ν41</t>
  </si>
  <si>
    <t>GY41</t>
  </si>
  <si>
    <t>L41</t>
  </si>
  <si>
    <t>П41</t>
  </si>
  <si>
    <t>R41</t>
  </si>
  <si>
    <t>برنده بازی 41</t>
  </si>
  <si>
    <t>C41</t>
  </si>
  <si>
    <t>P41</t>
  </si>
  <si>
    <t>ผู้ชนะนัดที่ 41</t>
  </si>
  <si>
    <t>T41</t>
  </si>
  <si>
    <t>Переможець 41</t>
  </si>
  <si>
    <t>W43</t>
  </si>
  <si>
    <t>F43</t>
  </si>
  <si>
    <t>Q43</t>
  </si>
  <si>
    <t>G43</t>
  </si>
  <si>
    <t>43胜者</t>
  </si>
  <si>
    <t>V43</t>
  </si>
  <si>
    <t>მ43</t>
  </si>
  <si>
    <t>Ν43</t>
  </si>
  <si>
    <t>GY43</t>
  </si>
  <si>
    <t>L43</t>
  </si>
  <si>
    <t>П43</t>
  </si>
  <si>
    <t>R43</t>
  </si>
  <si>
    <t>برنده بازی 43</t>
  </si>
  <si>
    <t>C43</t>
  </si>
  <si>
    <t>P43</t>
  </si>
  <si>
    <t>ผู้ชนะนัดที่ 43</t>
  </si>
  <si>
    <t>T43</t>
  </si>
  <si>
    <t>Переможець 43</t>
  </si>
  <si>
    <t>W40</t>
  </si>
  <si>
    <t>F40</t>
  </si>
  <si>
    <t>Q40</t>
  </si>
  <si>
    <t>G40</t>
  </si>
  <si>
    <t>40胜者</t>
  </si>
  <si>
    <t>V40</t>
  </si>
  <si>
    <t>მ40</t>
  </si>
  <si>
    <t>Ν40</t>
  </si>
  <si>
    <t>GY40</t>
  </si>
  <si>
    <t>L40</t>
  </si>
  <si>
    <t>П40</t>
  </si>
  <si>
    <t>R40</t>
  </si>
  <si>
    <t>برنده بازی 40</t>
  </si>
  <si>
    <t>C40</t>
  </si>
  <si>
    <t>P40</t>
  </si>
  <si>
    <t>ผู้ชนะนัดที่ 40</t>
  </si>
  <si>
    <t>T40</t>
  </si>
  <si>
    <t>Переможець 40</t>
  </si>
  <si>
    <t>W44</t>
  </si>
  <si>
    <t>F44</t>
  </si>
  <si>
    <t>Q44</t>
  </si>
  <si>
    <t>G44</t>
  </si>
  <si>
    <t>44胜者</t>
  </si>
  <si>
    <t>V44</t>
  </si>
  <si>
    <t>მ44</t>
  </si>
  <si>
    <t>Ν44</t>
  </si>
  <si>
    <t>GY44</t>
  </si>
  <si>
    <t>L44</t>
  </si>
  <si>
    <t>П44</t>
  </si>
  <si>
    <t>R44</t>
  </si>
  <si>
    <t>برنده بازی 44</t>
  </si>
  <si>
    <t>C44</t>
  </si>
  <si>
    <t>P44</t>
  </si>
  <si>
    <t>ผู้ชนะนัดที่ 44</t>
  </si>
  <si>
    <t>T44</t>
  </si>
  <si>
    <t>Переможець 44</t>
  </si>
  <si>
    <t>W45</t>
  </si>
  <si>
    <t>F45</t>
  </si>
  <si>
    <t>Q45</t>
  </si>
  <si>
    <t>G45</t>
  </si>
  <si>
    <t>45胜者</t>
  </si>
  <si>
    <t>V45</t>
  </si>
  <si>
    <t>მ45</t>
  </si>
  <si>
    <t>Ν45</t>
  </si>
  <si>
    <t>GY45</t>
  </si>
  <si>
    <t>L45</t>
  </si>
  <si>
    <t>П45</t>
  </si>
  <si>
    <t>R45</t>
  </si>
  <si>
    <t>برنده بازی 45</t>
  </si>
  <si>
    <t>C45</t>
  </si>
  <si>
    <t>P45</t>
  </si>
  <si>
    <t>ผู้ชนะนัดที่ 45</t>
  </si>
  <si>
    <t>T45</t>
  </si>
  <si>
    <t>Переможець 45</t>
  </si>
  <si>
    <t>W46</t>
  </si>
  <si>
    <t>F46</t>
  </si>
  <si>
    <t>Q46</t>
  </si>
  <si>
    <t>G46</t>
  </si>
  <si>
    <t>46胜者</t>
  </si>
  <si>
    <t>V46</t>
  </si>
  <si>
    <t>მ46</t>
  </si>
  <si>
    <t>Ν46</t>
  </si>
  <si>
    <t>GY46</t>
  </si>
  <si>
    <t>L46</t>
  </si>
  <si>
    <t>П46</t>
  </si>
  <si>
    <t>R46</t>
  </si>
  <si>
    <t>برنده بازی 46</t>
  </si>
  <si>
    <t>C46</t>
  </si>
  <si>
    <t>P46</t>
  </si>
  <si>
    <t>ผู้ชนะนัดที่ 46</t>
  </si>
  <si>
    <t>T46</t>
  </si>
  <si>
    <t>Переможець 46</t>
  </si>
  <si>
    <t>W47</t>
  </si>
  <si>
    <t>F47</t>
  </si>
  <si>
    <t>Q47</t>
  </si>
  <si>
    <t>G47</t>
  </si>
  <si>
    <t>47胜者</t>
  </si>
  <si>
    <t>V47</t>
  </si>
  <si>
    <t>მ47</t>
  </si>
  <si>
    <t>Ν47</t>
  </si>
  <si>
    <t>GY47</t>
  </si>
  <si>
    <t>L47</t>
  </si>
  <si>
    <t>П47</t>
  </si>
  <si>
    <t>R47</t>
  </si>
  <si>
    <t>برنده بازی 47</t>
  </si>
  <si>
    <t>C47</t>
  </si>
  <si>
    <t>P47</t>
  </si>
  <si>
    <t>ผู้ชนะนัดที่ 47</t>
  </si>
  <si>
    <t>T47</t>
  </si>
  <si>
    <t>Переможець 47</t>
  </si>
  <si>
    <t>W48</t>
  </si>
  <si>
    <t>F48</t>
  </si>
  <si>
    <t>Q48</t>
  </si>
  <si>
    <t>G48</t>
  </si>
  <si>
    <t>48胜者</t>
  </si>
  <si>
    <t>V48</t>
  </si>
  <si>
    <t>მ48</t>
  </si>
  <si>
    <t>Ν48</t>
  </si>
  <si>
    <t>GY48</t>
  </si>
  <si>
    <t>L48</t>
  </si>
  <si>
    <t>П48</t>
  </si>
  <si>
    <t>R48</t>
  </si>
  <si>
    <t>برنده بازی 48</t>
  </si>
  <si>
    <t>C48</t>
  </si>
  <si>
    <t>P48</t>
  </si>
  <si>
    <t>ผู้ชนะนัดที่ 48</t>
  </si>
  <si>
    <t>T48</t>
  </si>
  <si>
    <t>Переможець 48</t>
  </si>
  <si>
    <t>Champion 2016</t>
  </si>
  <si>
    <t>UEFA EURO 2016 Tournament Schedule</t>
  </si>
  <si>
    <t>UEFA Euro 2016 Tournament Schedule</t>
  </si>
  <si>
    <t>كأس الأمم الأوروبية 2016 جدول البطولة</t>
  </si>
  <si>
    <t>UEFA EURO 2016-մրցաշար ժամանակացույց</t>
  </si>
  <si>
    <t>UEFA EURO 2016 Tournament cədvəli</t>
  </si>
  <si>
    <t>Европейско първенство по футбол 2016 График на турнира</t>
  </si>
  <si>
    <t>UEFA EURO 2016 calendari de tornejos</t>
  </si>
  <si>
    <t>2016年欧洲足球锦标赛锦标赛时间表</t>
  </si>
  <si>
    <t>2016年歐洲足球錦標賽錦標賽時間表</t>
  </si>
  <si>
    <t>UEFA EURO 2016 Raspored turnira</t>
  </si>
  <si>
    <t>UEFA EURO 2016 Plán turnajů</t>
  </si>
  <si>
    <t>UEFA EURO 2016 Toernooi schema</t>
  </si>
  <si>
    <t>UEFA EURO 2016 ტურნირი განრიგი</t>
  </si>
  <si>
    <t>UEFA EURO 2016 Turnierplan</t>
  </si>
  <si>
    <t>UEFA EURO 2016 Πρόγραμμα Τουρνουά</t>
  </si>
  <si>
    <t>EURO אופ"א לו"ז טורניר 2016</t>
  </si>
  <si>
    <t>UEFA EURO 2016 versenyek időbeosztása</t>
  </si>
  <si>
    <t>UEFA EURO 2016 Jadwal Turnamen</t>
  </si>
  <si>
    <t>UEFA EURO 2016 Tournament Dagskrá</t>
  </si>
  <si>
    <t>UEFA 유로​​ 2016 토너먼트 일정</t>
  </si>
  <si>
    <t>EURO 2016 turnyro tvarkaraštis</t>
  </si>
  <si>
    <t>УЕФА Евро 2016 Распоред турнир</t>
  </si>
  <si>
    <t>UEFA EURO 2016 Tournament Iskeda</t>
  </si>
  <si>
    <t>UEFA EURO 2016 Turneringsskjema</t>
  </si>
  <si>
    <t>UEFA EURO 2016 برنامه مسابقات</t>
  </si>
  <si>
    <t>UEFA EURO 2016 Harmonogram turnieju</t>
  </si>
  <si>
    <t>UEFA EURO 2016 Calendário de Torneios</t>
  </si>
  <si>
    <t>UEFA EURO 2016 Programul turneelor</t>
  </si>
  <si>
    <t>ЕВРО-2016 Расписание турниров</t>
  </si>
  <si>
    <t>ЕВРО 2016 Турнир Распоред</t>
  </si>
  <si>
    <t>UEFA EURO 2016 Plán turnajov</t>
  </si>
  <si>
    <t>UEFA EURO 2016 turnir Razpored</t>
  </si>
  <si>
    <t>UEFA EURO 2016 calendario de torneos</t>
  </si>
  <si>
    <t>UEFA EURO 2016 turneringsschemat</t>
  </si>
  <si>
    <t>ฟุตบอลชิงแชมป์แห่งชาติยุโรป 2016 ตารางการแข่งขัน</t>
  </si>
  <si>
    <t>2016 Avrupa Futbol Şampiyonası Turnuva Takvimi</t>
  </si>
  <si>
    <t>UEFA EURO 2016 Lịch trình giải đấu</t>
  </si>
  <si>
    <t>ЄВРО-2016 Розклад турнірів</t>
  </si>
  <si>
    <t>UEFA EURO 2016 ٹورنامنٹ کے شیڈول</t>
  </si>
  <si>
    <t>Shqipëri</t>
  </si>
  <si>
    <t>ألبانيا</t>
  </si>
  <si>
    <t>Ալբանիա</t>
  </si>
  <si>
    <t>Albaniya</t>
  </si>
  <si>
    <t>Албания</t>
  </si>
  <si>
    <t>Albània</t>
  </si>
  <si>
    <t>阿尔巴尼亚</t>
  </si>
  <si>
    <t>阿爾巴尼亞</t>
  </si>
  <si>
    <t>Albanija</t>
  </si>
  <si>
    <t>Albánie</t>
  </si>
  <si>
    <t>Albanien</t>
  </si>
  <si>
    <t>Albanië</t>
  </si>
  <si>
    <t>Albanie</t>
  </si>
  <si>
    <t>Αλβανία</t>
  </si>
  <si>
    <t>אלבניה</t>
  </si>
  <si>
    <t>Albánia</t>
  </si>
  <si>
    <t>Albanía</t>
  </si>
  <si>
    <t>알바니아</t>
  </si>
  <si>
    <t>Албанија</t>
  </si>
  <si>
    <t>آلبانی</t>
  </si>
  <si>
    <t>Albânia</t>
  </si>
  <si>
    <t>Albánsko</t>
  </si>
  <si>
    <t>albanien</t>
  </si>
  <si>
    <t>แอลเบเนีย</t>
  </si>
  <si>
    <t>Arnavutluk</t>
  </si>
  <si>
    <t>Албанія</t>
  </si>
  <si>
    <t>البانیا</t>
  </si>
  <si>
    <t>Rumani</t>
  </si>
  <si>
    <t>رومانيا</t>
  </si>
  <si>
    <t>Ռումինիա</t>
  </si>
  <si>
    <t>Rumıniya</t>
  </si>
  <si>
    <t>Румъния</t>
  </si>
  <si>
    <t>罗马尼亚</t>
  </si>
  <si>
    <t>羅馬尼亞</t>
  </si>
  <si>
    <t>Rumunija</t>
  </si>
  <si>
    <t>Rumunsko</t>
  </si>
  <si>
    <t>Rumænien</t>
  </si>
  <si>
    <t>Roemenië</t>
  </si>
  <si>
    <t>Roumanie</t>
  </si>
  <si>
    <t>რუმინეთი</t>
  </si>
  <si>
    <t>Rumänien</t>
  </si>
  <si>
    <t>Ρουμανία</t>
  </si>
  <si>
    <t>רומני</t>
  </si>
  <si>
    <t>Románia</t>
  </si>
  <si>
    <t>Rumania</t>
  </si>
  <si>
    <t>rúmenía</t>
  </si>
  <si>
    <t>루마니아</t>
  </si>
  <si>
    <t>Романија</t>
  </si>
  <si>
    <t>Ir-Rumanija</t>
  </si>
  <si>
    <t>رومانی</t>
  </si>
  <si>
    <t>Rumunia</t>
  </si>
  <si>
    <t>Romênia</t>
  </si>
  <si>
    <t>România</t>
  </si>
  <si>
    <t>Румыния</t>
  </si>
  <si>
    <t>Румунија</t>
  </si>
  <si>
    <t>Romunija</t>
  </si>
  <si>
    <t>rumänien</t>
  </si>
  <si>
    <t>โรมาเนีย</t>
  </si>
  <si>
    <t>Romanya</t>
  </si>
  <si>
    <t>Румунія</t>
  </si>
  <si>
    <t>رومانیہ</t>
  </si>
  <si>
    <t>Hungari</t>
  </si>
  <si>
    <t>هنغاريا</t>
  </si>
  <si>
    <t>Հունգարիա</t>
  </si>
  <si>
    <t>Macarıstan</t>
  </si>
  <si>
    <t>Унгария</t>
  </si>
  <si>
    <t>Hongria</t>
  </si>
  <si>
    <t>匈牙利</t>
  </si>
  <si>
    <t>Mađarska</t>
  </si>
  <si>
    <t>Maďarsko</t>
  </si>
  <si>
    <t>Ungarn</t>
  </si>
  <si>
    <t>Hongarije</t>
  </si>
  <si>
    <t>Hongrie</t>
  </si>
  <si>
    <t>უნგრეთი</t>
  </si>
  <si>
    <t>Ουγγαρία</t>
  </si>
  <si>
    <t>הונגריה</t>
  </si>
  <si>
    <t>Magyarország</t>
  </si>
  <si>
    <t>Hongaria</t>
  </si>
  <si>
    <t>Ungverjaland</t>
  </si>
  <si>
    <t>Ungheria</t>
  </si>
  <si>
    <t>헝가리</t>
  </si>
  <si>
    <t>Vengrija</t>
  </si>
  <si>
    <t>Унгарија</t>
  </si>
  <si>
    <t>L-Ungerija</t>
  </si>
  <si>
    <t>مجارستان</t>
  </si>
  <si>
    <t>Węgry</t>
  </si>
  <si>
    <t>Hungria</t>
  </si>
  <si>
    <t>Ungaria</t>
  </si>
  <si>
    <t>Венгрия</t>
  </si>
  <si>
    <t>Мађарска</t>
  </si>
  <si>
    <t>maďarsko</t>
  </si>
  <si>
    <t>Madžarska</t>
  </si>
  <si>
    <t>Hungría</t>
  </si>
  <si>
    <t>Ungern</t>
  </si>
  <si>
    <t>ฮังการี</t>
  </si>
  <si>
    <t>Macaristan</t>
  </si>
  <si>
    <t>Угорщина</t>
  </si>
  <si>
    <t>ہنگری</t>
  </si>
  <si>
    <t>Ukrainë</t>
  </si>
  <si>
    <t>أوكرانيا</t>
  </si>
  <si>
    <t>Ուկրաինան</t>
  </si>
  <si>
    <t>Ukrayna</t>
  </si>
  <si>
    <t>Украйна</t>
  </si>
  <si>
    <t>Ucraïna</t>
  </si>
  <si>
    <t>乌克兰</t>
  </si>
  <si>
    <t>烏克蘭</t>
  </si>
  <si>
    <t>Ukrajina</t>
  </si>
  <si>
    <t>Oekraïne</t>
  </si>
  <si>
    <t>უკრაინა</t>
  </si>
  <si>
    <t>Ουκρανία</t>
  </si>
  <si>
    <t>אוקראינה</t>
  </si>
  <si>
    <t>Ukrajna</t>
  </si>
  <si>
    <t>Ukraina</t>
  </si>
  <si>
    <t>Úkraína</t>
  </si>
  <si>
    <t>Ucraina</t>
  </si>
  <si>
    <t>우크라이나</t>
  </si>
  <si>
    <t>Украина</t>
  </si>
  <si>
    <t>اوکراین</t>
  </si>
  <si>
    <t>Ucrânia</t>
  </si>
  <si>
    <t>Украјина</t>
  </si>
  <si>
    <t>Ucrania</t>
  </si>
  <si>
    <t>ยูเครน</t>
  </si>
  <si>
    <t>Україна</t>
  </si>
  <si>
    <t>یوکرائن</t>
  </si>
  <si>
    <t>Turqi</t>
  </si>
  <si>
    <t>ديك رومي</t>
  </si>
  <si>
    <t>Турция</t>
  </si>
  <si>
    <t>Turquia</t>
  </si>
  <si>
    <t>火鸡</t>
  </si>
  <si>
    <t>火雞</t>
  </si>
  <si>
    <t>Turska</t>
  </si>
  <si>
    <t>Turkije</t>
  </si>
  <si>
    <t>თურქეთში</t>
  </si>
  <si>
    <t>טורקיה</t>
  </si>
  <si>
    <t>Törökország</t>
  </si>
  <si>
    <t>Turki</t>
  </si>
  <si>
    <t>Tyrkland</t>
  </si>
  <si>
    <t>la Turchia</t>
  </si>
  <si>
    <t>터키</t>
  </si>
  <si>
    <t>Turkija</t>
  </si>
  <si>
    <t>Турција</t>
  </si>
  <si>
    <t>بوقلمون</t>
  </si>
  <si>
    <t>Турска</t>
  </si>
  <si>
    <t>Turecko</t>
  </si>
  <si>
    <t>Turquía</t>
  </si>
  <si>
    <t>ตุรกี</t>
  </si>
  <si>
    <t>Türkiye</t>
  </si>
  <si>
    <t>Туреччина</t>
  </si>
  <si>
    <t>ترکی</t>
  </si>
  <si>
    <t>سلوفاكيا</t>
  </si>
  <si>
    <t>Սլովակիա</t>
  </si>
  <si>
    <t>Slovakiya</t>
  </si>
  <si>
    <t>Словакия</t>
  </si>
  <si>
    <t>Eslovàquia</t>
  </si>
  <si>
    <t>斯洛伐克</t>
  </si>
  <si>
    <t>Slovačka</t>
  </si>
  <si>
    <t>Slovensko</t>
  </si>
  <si>
    <t>Slovakiet</t>
  </si>
  <si>
    <t>Slowakije</t>
  </si>
  <si>
    <t>Slovaquie</t>
  </si>
  <si>
    <t>სლოვაკეთი</t>
  </si>
  <si>
    <t>Slowakei</t>
  </si>
  <si>
    <t>Σλοβακία</t>
  </si>
  <si>
    <t>סלובקיה</t>
  </si>
  <si>
    <t>Szlovákia</t>
  </si>
  <si>
    <t>Slovacchia</t>
  </si>
  <si>
    <t>슬로바키아</t>
  </si>
  <si>
    <t>Slovakija</t>
  </si>
  <si>
    <t>Словачка</t>
  </si>
  <si>
    <t>Slovakkja</t>
  </si>
  <si>
    <t>اسلواکی</t>
  </si>
  <si>
    <t>Słowacja</t>
  </si>
  <si>
    <t>Eslováquia</t>
  </si>
  <si>
    <t>Slovacia</t>
  </si>
  <si>
    <t>Slovaška</t>
  </si>
  <si>
    <t>Eslovaquia</t>
  </si>
  <si>
    <t>Slovakien</t>
  </si>
  <si>
    <t>สโลวะเกีย</t>
  </si>
  <si>
    <t>Slovakya</t>
  </si>
  <si>
    <t>Словаччина</t>
  </si>
  <si>
    <t>سلوواکیہ</t>
  </si>
  <si>
    <t>Uells</t>
  </si>
  <si>
    <t>ويلز</t>
  </si>
  <si>
    <t>Уелс</t>
  </si>
  <si>
    <t>Gal·les</t>
  </si>
  <si>
    <t>威尔士</t>
  </si>
  <si>
    <t>威爾士</t>
  </si>
  <si>
    <t>Vels</t>
  </si>
  <si>
    <t>Pays de Galles</t>
  </si>
  <si>
    <t>უელსი</t>
  </si>
  <si>
    <t>Ουαλία</t>
  </si>
  <si>
    <t>ויילס</t>
  </si>
  <si>
    <t>Galles</t>
  </si>
  <si>
    <t>웨일즈</t>
  </si>
  <si>
    <t>Velsas</t>
  </si>
  <si>
    <t>Велс</t>
  </si>
  <si>
    <t>wales</t>
  </si>
  <si>
    <t>ولز</t>
  </si>
  <si>
    <t>Walia</t>
  </si>
  <si>
    <t>país de Gales</t>
  </si>
  <si>
    <t>Țara Galilor</t>
  </si>
  <si>
    <t>Уэльс</t>
  </si>
  <si>
    <t>Gales</t>
  </si>
  <si>
    <t>เวลส์</t>
  </si>
  <si>
    <t>Galler</t>
  </si>
  <si>
    <t>xứ Wales</t>
  </si>
  <si>
    <t>Уельс</t>
  </si>
  <si>
    <t>ویلز</t>
  </si>
  <si>
    <t>Irlanada veriore</t>
  </si>
  <si>
    <t>إيرلندا الشمالية</t>
  </si>
  <si>
    <t>Հյուսիսային Իռլանդիա</t>
  </si>
  <si>
    <t>Şimali irlandiya</t>
  </si>
  <si>
    <t>Северна Ирландия</t>
  </si>
  <si>
    <t>Irlanda del Nord</t>
  </si>
  <si>
    <t>北爱尔兰</t>
  </si>
  <si>
    <t>北愛爾蘭</t>
  </si>
  <si>
    <t>Sjeverna Irska</t>
  </si>
  <si>
    <t>Severní Irsko</t>
  </si>
  <si>
    <t>Nordirland</t>
  </si>
  <si>
    <t>Noord-Ierland</t>
  </si>
  <si>
    <t>Irlande du nord</t>
  </si>
  <si>
    <t>ჩრდილოეთ ირლანდია</t>
  </si>
  <si>
    <t>Βόρεια Ιρλανδία</t>
  </si>
  <si>
    <t>אירלנד הצפונית</t>
  </si>
  <si>
    <t>Észak-Írország</t>
  </si>
  <si>
    <t>Irlandia Utara</t>
  </si>
  <si>
    <t>Norður Írland</t>
  </si>
  <si>
    <t>Irlanda del nord</t>
  </si>
  <si>
    <t>북 아일랜드</t>
  </si>
  <si>
    <t>Šiaurės Airija</t>
  </si>
  <si>
    <t>Северна Ирска</t>
  </si>
  <si>
    <t>Irlanda ta 'Fuq</t>
  </si>
  <si>
    <t>Nord-Irland</t>
  </si>
  <si>
    <t>ایرلند شمالی</t>
  </si>
  <si>
    <t>Irlandia Północna</t>
  </si>
  <si>
    <t>Irlanda do Norte</t>
  </si>
  <si>
    <t>Irlanda de Nord</t>
  </si>
  <si>
    <t>Северная Ирландия</t>
  </si>
  <si>
    <t>Severné Írsko</t>
  </si>
  <si>
    <t>Severna Irska</t>
  </si>
  <si>
    <t>Irlanda del Norte</t>
  </si>
  <si>
    <t>Norra Irland</t>
  </si>
  <si>
    <t>ไอร์แลนด์เหนือ</t>
  </si>
  <si>
    <t>Kuzey Irlanda</t>
  </si>
  <si>
    <t>Bắc Ireland</t>
  </si>
  <si>
    <t>Північна Ірландія</t>
  </si>
  <si>
    <t>شمالی آئر لینڈ</t>
  </si>
  <si>
    <t>Republika Çeke</t>
  </si>
  <si>
    <t>جمهورية التشيك</t>
  </si>
  <si>
    <t>Չեխիայի Հանրապետություն</t>
  </si>
  <si>
    <t>Çexiya Respublikası</t>
  </si>
  <si>
    <t>Чехия</t>
  </si>
  <si>
    <t>República Txeca</t>
  </si>
  <si>
    <t>捷克共和国</t>
  </si>
  <si>
    <t>捷克共和國</t>
  </si>
  <si>
    <t>Češka Republika</t>
  </si>
  <si>
    <t>Česká republika</t>
  </si>
  <si>
    <t>Tjekkiet</t>
  </si>
  <si>
    <t>Tsjechische Republiek</t>
  </si>
  <si>
    <t>ჩეხეთის რესპუბლიკა</t>
  </si>
  <si>
    <t>Tschechien</t>
  </si>
  <si>
    <t>Τσεχική Δημοκρατία</t>
  </si>
  <si>
    <t>הרפובליקה הצ'כית</t>
  </si>
  <si>
    <t>Cseh Köztársaság</t>
  </si>
  <si>
    <t>Republik Ceko</t>
  </si>
  <si>
    <t>Tékkland</t>
  </si>
  <si>
    <t>Repubblica Ceca</t>
  </si>
  <si>
    <t>체코 공화국</t>
  </si>
  <si>
    <t>Čekijos Respublika</t>
  </si>
  <si>
    <t>Република Чешка</t>
  </si>
  <si>
    <t>Repubblika Ċeka</t>
  </si>
  <si>
    <t>Tsjekkisk Republikk</t>
  </si>
  <si>
    <t>جمهوری چک</t>
  </si>
  <si>
    <t>República Checa</t>
  </si>
  <si>
    <t>Republica Cehă</t>
  </si>
  <si>
    <t>Чешская Республика</t>
  </si>
  <si>
    <t>Чешка</t>
  </si>
  <si>
    <t>Češka</t>
  </si>
  <si>
    <t>Tjeckien</t>
  </si>
  <si>
    <t>สาธารณรัฐเช็ก</t>
  </si>
  <si>
    <t>Çek Cumhuriyeti</t>
  </si>
  <si>
    <t>Cộng hòa Séc</t>
  </si>
  <si>
    <t>Чеська Республіка</t>
  </si>
  <si>
    <t>جمہوریہ چیک</t>
  </si>
  <si>
    <t>Republika e Irlandës</t>
  </si>
  <si>
    <t>جمهورية ايرلندا</t>
  </si>
  <si>
    <t>Իռլանդիա</t>
  </si>
  <si>
    <t>İrlandiya Respublikası</t>
  </si>
  <si>
    <t>Република Ирландия</t>
  </si>
  <si>
    <t>República d'Irlanda</t>
  </si>
  <si>
    <t>爱尔兰</t>
  </si>
  <si>
    <t>愛爾蘭</t>
  </si>
  <si>
    <t>Republika Irska</t>
  </si>
  <si>
    <t>Irland</t>
  </si>
  <si>
    <t>republiek Ierland</t>
  </si>
  <si>
    <t>ირლანდიის რესპუბლიკა</t>
  </si>
  <si>
    <t>Irische Republik</t>
  </si>
  <si>
    <t>Δημοκρατία της Ιρλανδίας</t>
  </si>
  <si>
    <t>רפובליקת אירלנד</t>
  </si>
  <si>
    <t>Ír Köztársaság</t>
  </si>
  <si>
    <t>Republik Irlandia</t>
  </si>
  <si>
    <t>Írland</t>
  </si>
  <si>
    <t>repubblica d'Irlanda</t>
  </si>
  <si>
    <t>아일랜드</t>
  </si>
  <si>
    <t>Airijos Respublika</t>
  </si>
  <si>
    <t>Република Ирска</t>
  </si>
  <si>
    <t>Repubblika tal-Irlanda</t>
  </si>
  <si>
    <t>Republikken Irland</t>
  </si>
  <si>
    <t>جمهوری ایرلند</t>
  </si>
  <si>
    <t>República da Irlanda</t>
  </si>
  <si>
    <t>Republica Irlanda</t>
  </si>
  <si>
    <t>Ирландская республика</t>
  </si>
  <si>
    <t>Írsko</t>
  </si>
  <si>
    <t>Republica de Irlanda</t>
  </si>
  <si>
    <t>republiken Irland</t>
  </si>
  <si>
    <t>สาธารณรัฐไอร์แลนด์</t>
  </si>
  <si>
    <t>irlanda Cumhuriyeti</t>
  </si>
  <si>
    <t>Cộng hòa Ireland</t>
  </si>
  <si>
    <t>Ірландія</t>
  </si>
  <si>
    <t>جمہوریہ آئرلینڈ</t>
  </si>
  <si>
    <t>Islandë</t>
  </si>
  <si>
    <t>أيسلندا</t>
  </si>
  <si>
    <t>Իսլանդիան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</si>
  <si>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</si>
  <si>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</si>
  <si>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</si>
  <si>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</si>
  <si>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</si>
  <si>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</si>
  <si>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</si>
  <si>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</si>
  <si>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ისლანდიის</t>
  </si>
  <si>
    <t>Ισλανδία</t>
  </si>
  <si>
    <t>אִיסלַנד</t>
  </si>
  <si>
    <t>Izland</t>
  </si>
  <si>
    <t>Islandia</t>
  </si>
  <si>
    <t>Ísland</t>
  </si>
  <si>
    <t>Islanda</t>
  </si>
  <si>
    <t>아이슬란드</t>
  </si>
  <si>
    <t>Islandija</t>
  </si>
  <si>
    <t>Исланд</t>
  </si>
  <si>
    <t>ایسلند</t>
  </si>
  <si>
    <t>Islândia</t>
  </si>
  <si>
    <t>island</t>
  </si>
  <si>
    <t>ประเทศไอซ์แลนด์</t>
  </si>
  <si>
    <t>İzlanda</t>
  </si>
  <si>
    <t>Ісландія</t>
  </si>
  <si>
    <t>آئس لینڈ</t>
  </si>
  <si>
    <t>Austri</t>
  </si>
  <si>
    <t>النمسا</t>
  </si>
  <si>
    <t>austria</t>
  </si>
  <si>
    <t>Avstriya</t>
  </si>
  <si>
    <t>Австрия</t>
  </si>
  <si>
    <t>Àustria</t>
  </si>
  <si>
    <t>奥地利</t>
  </si>
  <si>
    <t>奧地利</t>
  </si>
  <si>
    <t>Austrija</t>
  </si>
  <si>
    <t>Rakousko</t>
  </si>
  <si>
    <t>Østrig</t>
  </si>
  <si>
    <t>Oostenrijk</t>
  </si>
  <si>
    <t>Autriche</t>
  </si>
  <si>
    <t>ავსტრიაში</t>
  </si>
  <si>
    <t>Österreich</t>
  </si>
  <si>
    <t>Αυστρία</t>
  </si>
  <si>
    <t>אוֹסְטְרֵיָה</t>
  </si>
  <si>
    <t>Ausztria</t>
  </si>
  <si>
    <t>Austurríki</t>
  </si>
  <si>
    <t>오스트리아</t>
  </si>
  <si>
    <t>Австрија</t>
  </si>
  <si>
    <t>awstrija</t>
  </si>
  <si>
    <t>Østerrike</t>
  </si>
  <si>
    <t>اتریش</t>
  </si>
  <si>
    <t>Áustria</t>
  </si>
  <si>
    <t>Аустрија</t>
  </si>
  <si>
    <t>Rakúsko</t>
  </si>
  <si>
    <t>Avstrija</t>
  </si>
  <si>
    <t>österrike</t>
  </si>
  <si>
    <t>ออสเตรีย</t>
  </si>
  <si>
    <t>Avusturya</t>
  </si>
  <si>
    <t>Áo</t>
  </si>
  <si>
    <t>Австрія</t>
  </si>
  <si>
    <t>آسٹریا</t>
  </si>
  <si>
    <t>Poloni</t>
  </si>
  <si>
    <t>بولندا</t>
  </si>
  <si>
    <t>poland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</si>
  <si>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</si>
  <si>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</si>
  <si>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</si>
  <si>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</si>
  <si>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</si>
  <si>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</si>
  <si>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</si>
  <si>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</si>
  <si>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</si>
  <si>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</si>
  <si>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</si>
  <si>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פולין</t>
  </si>
  <si>
    <t>Lengyelország</t>
  </si>
  <si>
    <t>Polandia</t>
  </si>
  <si>
    <t>Polonia</t>
  </si>
  <si>
    <t>폴란드</t>
  </si>
  <si>
    <t>Lenkija</t>
  </si>
  <si>
    <t>Полска</t>
  </si>
  <si>
    <t>Il-Polonja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</si>
  <si>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</si>
  <si>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</si>
  <si>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</si>
  <si>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</si>
  <si>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</si>
  <si>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</si>
  <si>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</si>
  <si>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</si>
  <si>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</si>
  <si>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</si>
  <si>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</si>
  <si>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</si>
  <si>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Suedi</t>
  </si>
  <si>
    <t>السويد</t>
  </si>
  <si>
    <t>sweden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</si>
  <si>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</si>
  <si>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</si>
  <si>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</si>
  <si>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</si>
  <si>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</si>
  <si>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</si>
  <si>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</si>
  <si>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</si>
  <si>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</si>
  <si>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</si>
  <si>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</si>
  <si>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</si>
  <si>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</si>
  <si>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</si>
  <si>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</si>
  <si>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</si>
  <si>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</si>
  <si>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</si>
  <si>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</si>
  <si>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</si>
  <si>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l-Isvezja</t>
  </si>
  <si>
    <t>سوئد</t>
  </si>
  <si>
    <t>Szwecja</t>
  </si>
  <si>
    <t>Suécia</t>
  </si>
  <si>
    <t>Suedia</t>
  </si>
  <si>
    <t>Suecia</t>
  </si>
  <si>
    <t>sverige</t>
  </si>
  <si>
    <t>สวีเดน</t>
  </si>
  <si>
    <t>Thụy Điển</t>
  </si>
  <si>
    <t>Швеція</t>
  </si>
  <si>
    <t>سویڈن</t>
  </si>
  <si>
    <t>بطل 2016</t>
  </si>
  <si>
    <t>Champion 2016-</t>
  </si>
  <si>
    <t>Шампион 2016</t>
  </si>
  <si>
    <t>Campió 2016</t>
  </si>
  <si>
    <t>2016年冠军</t>
  </si>
  <si>
    <t>2016年冠軍</t>
  </si>
  <si>
    <t>Prvak 2016</t>
  </si>
  <si>
    <t>ჩემპიონი 2016</t>
  </si>
  <si>
    <t>Meister 2016</t>
  </si>
  <si>
    <t>Πρωταθλητής 2016</t>
  </si>
  <si>
    <t>אלוף 2016</t>
  </si>
  <si>
    <t>Juara 2016</t>
  </si>
  <si>
    <t>Meistari 2016</t>
  </si>
  <si>
    <t>Campione 2016</t>
  </si>
  <si>
    <t>챔피언 2016</t>
  </si>
  <si>
    <t>Čempionas 2016</t>
  </si>
  <si>
    <t>قهرمان 2016</t>
  </si>
  <si>
    <t>Campionul 2016</t>
  </si>
  <si>
    <t>Чемпион 2016</t>
  </si>
  <si>
    <t>Цхампион 2016</t>
  </si>
  <si>
    <t>Campeón 2016</t>
  </si>
  <si>
    <t>แชมป์ 2016</t>
  </si>
  <si>
    <t>Şampiyon 2016</t>
  </si>
  <si>
    <t>Чемпіон 2016</t>
  </si>
  <si>
    <t>چیمپیئن 2016</t>
  </si>
  <si>
    <t>Tyrkia</t>
  </si>
  <si>
    <t>Türkei</t>
  </si>
  <si>
    <t>Czechy</t>
  </si>
  <si>
    <t>Turcja</t>
  </si>
  <si>
    <t>Irlandia</t>
  </si>
  <si>
    <t>Irsko</t>
  </si>
  <si>
    <t>Česko</t>
  </si>
  <si>
    <t>UEFA EURO 2016</t>
  </si>
  <si>
    <t>1/8e de finales</t>
  </si>
  <si>
    <t>1/4 de finales</t>
  </si>
  <si>
    <t>1/2 finales</t>
  </si>
  <si>
    <t>Jeu</t>
  </si>
  <si>
    <t>Turquie</t>
  </si>
  <si>
    <t>Rép. Tchèque</t>
  </si>
  <si>
    <t>Rép.d'Irlande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</si>
</sst>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;;;"/>
    <numFmt numFmtId="166" formatCode="m/d/yy\ h:mm;@"/>
  </numFmts>
  <fonts count="19" x14ac:knownFonts="1">
    <font>
      <sz val="10"/>
      <name val="Calibri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6"/>
      <name val="Calibri"/>
      <family val="2"/>
      <charset val="204"/>
    </font>
    <font>
      <sz val="10"/>
      <color indexed="12"/>
      <name val="Calibri"/>
      <family val="2"/>
      <charset val="204"/>
    </font>
    <font>
      <sz val="10"/>
      <name val="Calibri"/>
      <family val="2"/>
      <charset val="204"/>
    </font>
    <font>
      <sz val="8"/>
      <name val="Calibri"/>
      <family val="2"/>
      <charset val="204"/>
    </font>
    <font>
      <b/>
      <sz val="12"/>
      <name val="Calibri"/>
      <family val="2"/>
      <charset val="204"/>
    </font>
    <font>
      <sz val="36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8"/>
      <color indexed="12"/>
      <name val="Calibri"/>
      <family val="2"/>
      <charset val="204"/>
    </font>
    <font>
      <b/>
      <sz val="16"/>
      <color indexed="12"/>
      <name val="Calibri"/>
      <family val="2"/>
      <charset val="204"/>
    </font>
    <font>
      <b/>
      <sz val="10"/>
      <name val="Calibri"/>
      <family val="2"/>
      <charset val="204"/>
    </font>
    <font>
      <sz val="16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28"/>
      <name val="Calibri"/>
      <family val="2"/>
      <charset val="204"/>
    </font>
    <font>
      <sz val="10"/>
      <color theme="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hair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thin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indexed="12"/>
      </bottom>
      <diagonal/>
    </border>
    <border>
      <left style="hair">
        <color indexed="12"/>
      </left>
      <right style="thin">
        <color indexed="12"/>
      </right>
      <top style="hair">
        <color indexed="12"/>
      </top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/>
      <top style="hair">
        <color indexed="48"/>
      </top>
      <bottom style="hair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/>
      <top style="hair">
        <color indexed="48"/>
      </top>
      <bottom style="thin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hair">
        <color indexed="48"/>
      </bottom>
      <diagonal/>
    </border>
    <border>
      <left/>
      <right style="hair">
        <color indexed="48"/>
      </right>
      <top/>
      <bottom style="hair">
        <color indexed="48"/>
      </bottom>
      <diagonal/>
    </border>
    <border>
      <left style="hair">
        <color indexed="48"/>
      </left>
      <right/>
      <top/>
      <bottom style="hair">
        <color indexed="48"/>
      </bottom>
      <diagonal/>
    </border>
    <border>
      <left/>
      <right style="thin">
        <color indexed="48"/>
      </right>
      <top/>
      <bottom style="hair">
        <color indexed="48"/>
      </bottom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88402966399123"/>
      </left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88402966399123"/>
      </left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 style="thin">
        <color theme="3" tint="0.39994506668294322"/>
      </left>
      <right/>
      <top/>
      <bottom/>
      <diagonal/>
    </border>
    <border>
      <left/>
      <right/>
      <top/>
      <bottom style="thin">
        <color indexed="48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/>
      <bottom style="thin">
        <color theme="4" tint="0.39991454817346722"/>
      </bottom>
      <diagonal/>
    </border>
    <border>
      <left/>
      <right/>
      <top/>
      <bottom style="thin">
        <color theme="4" tint="0.39991454817346722"/>
      </bottom>
      <diagonal/>
    </border>
    <border>
      <left/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81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left"/>
      <protection hidden="1"/>
    </xf>
    <xf numFmtId="0" fontId="7" fillId="2" borderId="1" xfId="0" applyFont="1" applyFill="1" applyBorder="1" applyAlignment="1" applyProtection="1">
      <alignment horizontal="left" indent="1"/>
      <protection hidden="1"/>
    </xf>
    <xf numFmtId="0" fontId="5" fillId="2" borderId="2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Protection="1">
      <protection hidden="1"/>
    </xf>
    <xf numFmtId="0" fontId="5" fillId="2" borderId="4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 vertical="center"/>
      <protection hidden="1"/>
    </xf>
    <xf numFmtId="0" fontId="5" fillId="3" borderId="6" xfId="0" applyFont="1" applyFill="1" applyBorder="1" applyAlignment="1" applyProtection="1">
      <alignment horizontal="left" vertical="center" indent="1"/>
      <protection locked="0"/>
    </xf>
    <xf numFmtId="0" fontId="5" fillId="2" borderId="7" xfId="0" applyFont="1" applyFill="1" applyBorder="1" applyProtection="1">
      <protection hidden="1"/>
    </xf>
    <xf numFmtId="0" fontId="5" fillId="2" borderId="8" xfId="0" applyFont="1" applyFill="1" applyBorder="1" applyAlignment="1" applyProtection="1">
      <alignment horizontal="left"/>
      <protection hidden="1"/>
    </xf>
    <xf numFmtId="0" fontId="5" fillId="2" borderId="9" xfId="0" applyFont="1" applyFill="1" applyBorder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5" fillId="3" borderId="6" xfId="0" applyFont="1" applyFill="1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vertical="center" shrinkToFit="1"/>
      <protection hidden="1"/>
    </xf>
    <xf numFmtId="0" fontId="0" fillId="0" borderId="13" xfId="0" applyBorder="1" applyAlignment="1" applyProtection="1">
      <alignment vertical="center" shrinkToFit="1"/>
      <protection hidden="1"/>
    </xf>
    <xf numFmtId="0" fontId="0" fillId="0" borderId="14" xfId="0" applyBorder="1" applyAlignment="1" applyProtection="1">
      <alignment vertical="center" shrinkToFit="1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15" xfId="0" applyBorder="1" applyAlignment="1" applyProtection="1">
      <alignment horizontal="center" vertical="center" shrinkToFit="1"/>
      <protection hidden="1"/>
    </xf>
    <xf numFmtId="0" fontId="0" fillId="0" borderId="16" xfId="0" applyBorder="1" applyAlignment="1" applyProtection="1">
      <alignment horizontal="center" vertical="center" shrinkToFit="1"/>
      <protection hidden="1"/>
    </xf>
    <xf numFmtId="0" fontId="0" fillId="0" borderId="17" xfId="0" applyBorder="1" applyAlignment="1" applyProtection="1">
      <alignment horizontal="center" vertical="center" shrinkToFit="1"/>
      <protection hidden="1"/>
    </xf>
    <xf numFmtId="0" fontId="0" fillId="0" borderId="18" xfId="0" applyBorder="1" applyAlignment="1" applyProtection="1">
      <alignment horizontal="center" vertical="center" shrinkToFit="1"/>
      <protection hidden="1"/>
    </xf>
    <xf numFmtId="0" fontId="0" fillId="0" borderId="19" xfId="0" applyBorder="1" applyAlignment="1" applyProtection="1">
      <alignment horizontal="center" vertical="center" shrinkToFit="1"/>
      <protection hidden="1"/>
    </xf>
    <xf numFmtId="0" fontId="0" fillId="0" borderId="20" xfId="0" applyBorder="1" applyAlignment="1" applyProtection="1">
      <alignment horizontal="center" vertical="center" shrinkToFit="1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6" fillId="2" borderId="21" xfId="0" applyFont="1" applyFill="1" applyBorder="1" applyAlignment="1" applyProtection="1">
      <alignment horizontal="left" vertical="center"/>
      <protection hidden="1"/>
    </xf>
    <xf numFmtId="0" fontId="6" fillId="2" borderId="22" xfId="0" applyFont="1" applyFill="1" applyBorder="1" applyAlignment="1" applyProtection="1">
      <alignment horizontal="left" vertical="center"/>
      <protection hidden="1"/>
    </xf>
    <xf numFmtId="0" fontId="5" fillId="2" borderId="23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left" indent="1"/>
      <protection hidden="1"/>
    </xf>
    <xf numFmtId="0" fontId="7" fillId="2" borderId="24" xfId="0" applyFont="1" applyFill="1" applyBorder="1" applyAlignment="1" applyProtection="1">
      <alignment horizontal="center"/>
      <protection hidden="1"/>
    </xf>
    <xf numFmtId="0" fontId="5" fillId="4" borderId="26" xfId="0" applyFont="1" applyFill="1" applyBorder="1" applyAlignment="1" applyProtection="1">
      <alignment horizontal="center"/>
      <protection hidden="1"/>
    </xf>
    <xf numFmtId="0" fontId="5" fillId="4" borderId="27" xfId="0" applyFont="1" applyFill="1" applyBorder="1" applyAlignment="1" applyProtection="1">
      <alignment horizontal="center"/>
      <protection hidden="1"/>
    </xf>
    <xf numFmtId="0" fontId="5" fillId="0" borderId="0" xfId="0" applyNumberFormat="1" applyFont="1" applyProtection="1">
      <protection hidden="1"/>
    </xf>
    <xf numFmtId="0" fontId="5" fillId="2" borderId="22" xfId="0" applyFont="1" applyFill="1" applyBorder="1" applyProtection="1">
      <protection hidden="1"/>
    </xf>
    <xf numFmtId="0" fontId="5" fillId="2" borderId="4" xfId="0" applyFont="1" applyFill="1" applyBorder="1" applyAlignment="1" applyProtection="1">
      <alignment horizontal="right"/>
      <protection hidden="1"/>
    </xf>
    <xf numFmtId="0" fontId="5" fillId="4" borderId="28" xfId="0" applyFont="1" applyFill="1" applyBorder="1" applyProtection="1">
      <protection hidden="1"/>
    </xf>
    <xf numFmtId="0" fontId="5" fillId="4" borderId="26" xfId="0" applyFont="1" applyFill="1" applyBorder="1" applyProtection="1">
      <protection hidden="1"/>
    </xf>
    <xf numFmtId="0" fontId="5" fillId="4" borderId="27" xfId="0" applyFont="1" applyFill="1" applyBorder="1" applyProtection="1">
      <protection hidden="1"/>
    </xf>
    <xf numFmtId="165" fontId="6" fillId="0" borderId="0" xfId="0" applyNumberFormat="1" applyFont="1" applyFill="1" applyAlignment="1" applyProtection="1">
      <alignment horizontal="left" vertical="center"/>
      <protection hidden="1"/>
    </xf>
    <xf numFmtId="165" fontId="5" fillId="0" borderId="0" xfId="0" applyNumberFormat="1" applyFont="1" applyFill="1" applyProtection="1">
      <protection hidden="1"/>
    </xf>
    <xf numFmtId="165" fontId="5" fillId="0" borderId="0" xfId="0" applyNumberFormat="1" applyFont="1" applyFill="1" applyAlignment="1" applyProtection="1">
      <alignment horizontal="left"/>
      <protection hidden="1"/>
    </xf>
    <xf numFmtId="165" fontId="6" fillId="0" borderId="0" xfId="0" quotePrefix="1" applyNumberFormat="1" applyFont="1" applyFill="1" applyAlignment="1" applyProtection="1">
      <alignment horizontal="left" vertical="center"/>
      <protection hidden="1"/>
    </xf>
    <xf numFmtId="0" fontId="5" fillId="2" borderId="0" xfId="0" applyFont="1" applyFill="1" applyBorder="1" applyProtection="1">
      <protection hidden="1"/>
    </xf>
    <xf numFmtId="0" fontId="1" fillId="0" borderId="0" xfId="0" applyFont="1"/>
    <xf numFmtId="0" fontId="1" fillId="3" borderId="6" xfId="0" applyFont="1" applyFill="1" applyBorder="1" applyAlignment="1" applyProtection="1">
      <alignment horizontal="left" vertical="center" indent="1"/>
      <protection locked="0"/>
    </xf>
    <xf numFmtId="0" fontId="12" fillId="5" borderId="10" xfId="0" applyFont="1" applyFill="1" applyBorder="1" applyAlignment="1" applyProtection="1">
      <alignment horizontal="center" vertical="center" shrinkToFit="1"/>
      <protection hidden="1"/>
    </xf>
    <xf numFmtId="0" fontId="12" fillId="5" borderId="11" xfId="0" applyFont="1" applyFill="1" applyBorder="1" applyAlignment="1" applyProtection="1">
      <alignment horizontal="center" vertical="center" shrinkToFit="1"/>
      <protection hidden="1"/>
    </xf>
    <xf numFmtId="0" fontId="5" fillId="6" borderId="41" xfId="0" applyFont="1" applyFill="1" applyBorder="1" applyAlignment="1" applyProtection="1">
      <alignment horizontal="center" vertical="center"/>
      <protection locked="0"/>
    </xf>
    <xf numFmtId="0" fontId="5" fillId="6" borderId="42" xfId="0" applyFont="1" applyFill="1" applyBorder="1" applyAlignment="1" applyProtection="1">
      <alignment horizontal="center" vertical="center"/>
      <protection locked="0"/>
    </xf>
    <xf numFmtId="0" fontId="5" fillId="6" borderId="43" xfId="0" applyFont="1" applyFill="1" applyBorder="1" applyAlignment="1" applyProtection="1">
      <alignment horizontal="center" vertical="center"/>
      <protection locked="0"/>
    </xf>
    <xf numFmtId="0" fontId="5" fillId="6" borderId="44" xfId="0" applyFont="1" applyFill="1" applyBorder="1" applyAlignment="1" applyProtection="1">
      <alignment horizontal="center" vertical="center"/>
      <protection locked="0"/>
    </xf>
    <xf numFmtId="0" fontId="5" fillId="6" borderId="40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left" indent="1"/>
      <protection locked="0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0" fillId="8" borderId="57" xfId="0" applyFill="1" applyBorder="1" applyAlignment="1" applyProtection="1">
      <alignment horizontal="center" vertical="center" shrinkToFit="1"/>
      <protection hidden="1"/>
    </xf>
    <xf numFmtId="0" fontId="1" fillId="8" borderId="58" xfId="0" applyFont="1" applyFill="1" applyBorder="1" applyAlignment="1" applyProtection="1">
      <alignment horizontal="center" vertical="center" shrinkToFit="1"/>
      <protection hidden="1"/>
    </xf>
    <xf numFmtId="0" fontId="0" fillId="8" borderId="58" xfId="0" applyFill="1" applyBorder="1" applyAlignment="1" applyProtection="1">
      <alignment horizontal="center" vertical="center" shrinkToFit="1"/>
      <protection hidden="1"/>
    </xf>
    <xf numFmtId="164" fontId="0" fillId="8" borderId="59" xfId="0" applyNumberFormat="1" applyFill="1" applyBorder="1" applyAlignment="1" applyProtection="1">
      <alignment horizontal="center" vertical="center" shrinkToFit="1"/>
      <protection hidden="1"/>
    </xf>
    <xf numFmtId="0" fontId="0" fillId="8" borderId="56" xfId="0" applyFill="1" applyBorder="1" applyAlignment="1" applyProtection="1">
      <alignment horizontal="right" vertical="center" indent="3" shrinkToFit="1"/>
      <protection hidden="1"/>
    </xf>
    <xf numFmtId="0" fontId="0" fillId="8" borderId="30" xfId="0" applyFill="1" applyBorder="1" applyAlignment="1" applyProtection="1">
      <alignment horizontal="center" vertical="center" shrinkToFit="1"/>
      <protection hidden="1"/>
    </xf>
    <xf numFmtId="0" fontId="1" fillId="8" borderId="31" xfId="0" applyFont="1" applyFill="1" applyBorder="1" applyAlignment="1" applyProtection="1">
      <alignment horizontal="center" vertical="center" shrinkToFit="1"/>
      <protection hidden="1"/>
    </xf>
    <xf numFmtId="0" fontId="0" fillId="8" borderId="31" xfId="0" applyFill="1" applyBorder="1" applyAlignment="1" applyProtection="1">
      <alignment horizontal="center" vertical="center" shrinkToFit="1"/>
      <protection hidden="1"/>
    </xf>
    <xf numFmtId="164" fontId="0" fillId="8" borderId="32" xfId="0" applyNumberFormat="1" applyFill="1" applyBorder="1" applyAlignment="1" applyProtection="1">
      <alignment horizontal="center" vertical="center" shrinkToFit="1"/>
      <protection hidden="1"/>
    </xf>
    <xf numFmtId="0" fontId="0" fillId="8" borderId="42" xfId="0" applyFill="1" applyBorder="1" applyAlignment="1" applyProtection="1">
      <alignment horizontal="right" vertical="center" indent="3" shrinkToFit="1"/>
      <protection hidden="1"/>
    </xf>
    <xf numFmtId="0" fontId="0" fillId="8" borderId="34" xfId="0" applyFill="1" applyBorder="1" applyAlignment="1" applyProtection="1">
      <alignment horizontal="center" vertical="center" shrinkToFit="1"/>
      <protection hidden="1"/>
    </xf>
    <xf numFmtId="0" fontId="1" fillId="8" borderId="35" xfId="0" applyFont="1" applyFill="1" applyBorder="1" applyAlignment="1" applyProtection="1">
      <alignment horizontal="center" vertical="center" shrinkToFit="1"/>
      <protection hidden="1"/>
    </xf>
    <xf numFmtId="0" fontId="0" fillId="8" borderId="35" xfId="0" applyFill="1" applyBorder="1" applyAlignment="1" applyProtection="1">
      <alignment horizontal="center" vertical="center" shrinkToFit="1"/>
      <protection hidden="1"/>
    </xf>
    <xf numFmtId="164" fontId="0" fillId="8" borderId="36" xfId="0" applyNumberFormat="1" applyFill="1" applyBorder="1" applyAlignment="1" applyProtection="1">
      <alignment horizontal="center" vertical="center" shrinkToFit="1"/>
      <protection hidden="1"/>
    </xf>
    <xf numFmtId="0" fontId="0" fillId="8" borderId="44" xfId="0" applyFill="1" applyBorder="1" applyAlignment="1" applyProtection="1">
      <alignment horizontal="right" vertical="center" indent="3" shrinkToFit="1"/>
      <protection hidden="1"/>
    </xf>
    <xf numFmtId="0" fontId="0" fillId="8" borderId="47" xfId="0" applyFill="1" applyBorder="1" applyAlignment="1" applyProtection="1">
      <alignment horizontal="left" vertical="center" indent="3" shrinkToFit="1"/>
      <protection hidden="1"/>
    </xf>
    <xf numFmtId="0" fontId="0" fillId="8" borderId="32" xfId="0" applyFill="1" applyBorder="1" applyAlignment="1" applyProtection="1">
      <alignment horizontal="left" vertical="center" indent="3" shrinkToFit="1"/>
      <protection hidden="1"/>
    </xf>
    <xf numFmtId="0" fontId="0" fillId="8" borderId="36" xfId="0" applyFill="1" applyBorder="1" applyAlignment="1" applyProtection="1">
      <alignment horizontal="left" vertical="center" indent="3" shrinkToFit="1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8" borderId="69" xfId="0" applyFill="1" applyBorder="1" applyAlignment="1" applyProtection="1">
      <alignment vertical="center"/>
      <protection hidden="1"/>
    </xf>
    <xf numFmtId="0" fontId="0" fillId="8" borderId="71" xfId="0" applyFill="1" applyBorder="1" applyAlignment="1" applyProtection="1">
      <alignment vertical="center"/>
      <protection hidden="1"/>
    </xf>
    <xf numFmtId="0" fontId="0" fillId="8" borderId="68" xfId="0" applyFill="1" applyBorder="1" applyAlignment="1" applyProtection="1">
      <alignment vertical="center"/>
      <protection hidden="1"/>
    </xf>
    <xf numFmtId="0" fontId="0" fillId="8" borderId="70" xfId="0" applyFill="1" applyBorder="1" applyAlignment="1" applyProtection="1">
      <alignment vertical="center"/>
      <protection hidden="1"/>
    </xf>
    <xf numFmtId="0" fontId="0" fillId="8" borderId="0" xfId="0" applyFill="1" applyBorder="1" applyAlignment="1" applyProtection="1">
      <alignment vertical="center"/>
      <protection hidden="1"/>
    </xf>
    <xf numFmtId="0" fontId="0" fillId="8" borderId="72" xfId="0" applyFill="1" applyBorder="1" applyAlignment="1" applyProtection="1">
      <alignment vertical="center"/>
      <protection hidden="1"/>
    </xf>
    <xf numFmtId="0" fontId="0" fillId="8" borderId="29" xfId="0" applyFill="1" applyBorder="1" applyAlignment="1" applyProtection="1">
      <alignment horizontal="left" vertical="center" shrinkToFit="1"/>
      <protection hidden="1"/>
    </xf>
    <xf numFmtId="0" fontId="0" fillId="8" borderId="34" xfId="0" applyFill="1" applyBorder="1" applyAlignment="1" applyProtection="1">
      <alignment horizontal="left" vertical="center" shrinkToFit="1"/>
      <protection hidden="1"/>
    </xf>
    <xf numFmtId="0" fontId="1" fillId="8" borderId="73" xfId="0" applyFont="1" applyFill="1" applyBorder="1" applyAlignment="1" applyProtection="1">
      <alignment horizontal="right" vertical="center"/>
      <protection hidden="1"/>
    </xf>
    <xf numFmtId="0" fontId="1" fillId="8" borderId="0" xfId="0" applyFont="1" applyFill="1" applyBorder="1" applyAlignment="1" applyProtection="1">
      <alignment horizontal="right" vertical="center"/>
      <protection hidden="1"/>
    </xf>
    <xf numFmtId="0" fontId="0" fillId="8" borderId="0" xfId="0" applyFill="1" applyAlignment="1" applyProtection="1">
      <alignment horizontal="right" vertical="center"/>
      <protection hidden="1"/>
    </xf>
    <xf numFmtId="166" fontId="0" fillId="0" borderId="12" xfId="0" applyNumberFormat="1" applyBorder="1" applyAlignment="1" applyProtection="1">
      <alignment vertical="center" shrinkToFit="1"/>
      <protection hidden="1"/>
    </xf>
    <xf numFmtId="3" fontId="5" fillId="4" borderId="25" xfId="0" applyNumberFormat="1" applyFont="1" applyFill="1" applyBorder="1" applyAlignment="1" applyProtection="1">
      <alignment horizontal="center"/>
      <protection hidden="1"/>
    </xf>
    <xf numFmtId="3" fontId="5" fillId="4" borderId="26" xfId="0" applyNumberFormat="1" applyFont="1" applyFill="1" applyBorder="1" applyAlignment="1" applyProtection="1">
      <alignment horizontal="center"/>
      <protection hidden="1"/>
    </xf>
    <xf numFmtId="3" fontId="5" fillId="4" borderId="27" xfId="0" applyNumberFormat="1" applyFont="1" applyFill="1" applyBorder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0" fillId="0" borderId="81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0" fillId="0" borderId="80" xfId="0" applyBorder="1" applyAlignment="1">
      <alignment horizontal="center"/>
    </xf>
    <xf numFmtId="0" fontId="0" fillId="0" borderId="83" xfId="0" applyBorder="1" applyAlignment="1">
      <alignment horizontal="center"/>
    </xf>
    <xf numFmtId="0" fontId="0" fillId="0" borderId="86" xfId="0" applyBorder="1" applyAlignment="1">
      <alignment horizontal="center"/>
    </xf>
    <xf numFmtId="0" fontId="1" fillId="0" borderId="0" xfId="0" applyFont="1" applyAlignment="1">
      <alignment horizontal="center"/>
    </xf>
    <xf numFmtId="165" fontId="18" fillId="0" borderId="0" xfId="0" applyNumberFormat="1" applyFont="1" applyFill="1" applyBorder="1" applyAlignment="1" applyProtection="1">
      <alignment horizontal="center" vertical="center"/>
      <protection hidden="1"/>
    </xf>
    <xf numFmtId="165" fontId="18" fillId="0" borderId="0" xfId="0" applyNumberFormat="1" applyFont="1" applyFill="1" applyBorder="1" applyAlignment="1" applyProtection="1">
      <alignment vertical="center"/>
      <protection hidden="1"/>
    </xf>
    <xf numFmtId="165" fontId="18" fillId="0" borderId="0" xfId="0" applyNumberFormat="1" applyFont="1" applyFill="1" applyBorder="1" applyAlignment="1" applyProtection="1">
      <alignment horizontal="left" vertical="center"/>
      <protection hidden="1"/>
    </xf>
    <xf numFmtId="0" fontId="1" fillId="0" borderId="0" xfId="0" applyNumberFormat="1" applyFont="1" applyAlignment="1" applyProtection="1">
      <alignment vertical="center"/>
      <protection hidden="1"/>
    </xf>
    <xf numFmtId="0" fontId="1" fillId="8" borderId="0" xfId="0" applyNumberFormat="1" applyFont="1" applyFill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/>
      <protection hidden="1"/>
    </xf>
    <xf numFmtId="165" fontId="18" fillId="0" borderId="0" xfId="0" applyNumberFormat="1" applyFont="1" applyBorder="1" applyAlignment="1" applyProtection="1">
      <alignment vertical="center"/>
      <protection hidden="1"/>
    </xf>
    <xf numFmtId="165" fontId="18" fillId="0" borderId="0" xfId="0" applyNumberFormat="1" applyFont="1" applyBorder="1" applyAlignment="1" applyProtection="1">
      <alignment horizontal="center" vertical="center" textRotation="90"/>
      <protection hidden="1"/>
    </xf>
    <xf numFmtId="165" fontId="18" fillId="0" borderId="0" xfId="0" applyNumberFormat="1" applyFont="1" applyBorder="1"/>
    <xf numFmtId="165" fontId="18" fillId="0" borderId="0" xfId="0" applyNumberFormat="1" applyFont="1" applyAlignment="1" applyProtection="1">
      <alignment vertical="center"/>
      <protection hidden="1"/>
    </xf>
    <xf numFmtId="0" fontId="1" fillId="6" borderId="95" xfId="0" applyFont="1" applyFill="1" applyBorder="1" applyAlignment="1" applyProtection="1">
      <alignment horizontal="center" vertical="center"/>
      <protection locked="0"/>
    </xf>
    <xf numFmtId="0" fontId="1" fillId="6" borderId="39" xfId="0" applyFont="1" applyFill="1" applyBorder="1" applyAlignment="1" applyProtection="1">
      <alignment horizontal="center" vertical="center"/>
      <protection locked="0"/>
    </xf>
    <xf numFmtId="0" fontId="0" fillId="9" borderId="0" xfId="0" applyFill="1" applyAlignment="1">
      <alignment horizontal="center"/>
    </xf>
    <xf numFmtId="0" fontId="17" fillId="0" borderId="0" xfId="0" applyFont="1" applyAlignment="1">
      <alignment horizontal="left" vertical="center"/>
    </xf>
    <xf numFmtId="0" fontId="8" fillId="0" borderId="0" xfId="0" applyFont="1" applyFill="1" applyAlignment="1" applyProtection="1">
      <alignment horizontal="center" vertical="center" shrinkToFit="1"/>
      <protection hidden="1"/>
    </xf>
    <xf numFmtId="0" fontId="14" fillId="7" borderId="50" xfId="1" applyFont="1" applyFill="1" applyBorder="1" applyAlignment="1" applyProtection="1">
      <alignment horizontal="center" vertical="center"/>
      <protection hidden="1"/>
    </xf>
    <xf numFmtId="0" fontId="14" fillId="7" borderId="51" xfId="1" applyFont="1" applyFill="1" applyBorder="1" applyAlignment="1" applyProtection="1">
      <alignment horizontal="center" vertical="center"/>
      <protection hidden="1"/>
    </xf>
    <xf numFmtId="0" fontId="14" fillId="7" borderId="52" xfId="1" applyFont="1" applyFill="1" applyBorder="1" applyAlignment="1" applyProtection="1">
      <alignment horizontal="center" vertical="center"/>
      <protection hidden="1"/>
    </xf>
    <xf numFmtId="0" fontId="14" fillId="7" borderId="53" xfId="1" applyFont="1" applyFill="1" applyBorder="1" applyAlignment="1" applyProtection="1">
      <alignment horizontal="center" vertical="center"/>
      <protection hidden="1"/>
    </xf>
    <xf numFmtId="0" fontId="14" fillId="7" borderId="54" xfId="1" applyFont="1" applyFill="1" applyBorder="1" applyAlignment="1" applyProtection="1">
      <alignment horizontal="center" vertical="center"/>
      <protection hidden="1"/>
    </xf>
    <xf numFmtId="0" fontId="14" fillId="7" borderId="55" xfId="1" applyFont="1" applyFill="1" applyBorder="1" applyAlignment="1" applyProtection="1">
      <alignment horizontal="center" vertical="center"/>
      <protection hidden="1"/>
    </xf>
    <xf numFmtId="0" fontId="10" fillId="0" borderId="0" xfId="1" applyFont="1" applyAlignment="1" applyProtection="1">
      <alignment horizontal="right"/>
      <protection hidden="1"/>
    </xf>
    <xf numFmtId="0" fontId="13" fillId="5" borderId="50" xfId="0" applyFont="1" applyFill="1" applyBorder="1" applyAlignment="1" applyProtection="1">
      <alignment horizontal="center" vertical="center"/>
      <protection hidden="1"/>
    </xf>
    <xf numFmtId="0" fontId="13" fillId="5" borderId="51" xfId="0" applyFont="1" applyFill="1" applyBorder="1" applyAlignment="1" applyProtection="1">
      <alignment horizontal="center" vertical="center"/>
      <protection hidden="1"/>
    </xf>
    <xf numFmtId="0" fontId="13" fillId="5" borderId="52" xfId="0" applyFont="1" applyFill="1" applyBorder="1" applyAlignment="1" applyProtection="1">
      <alignment horizontal="center" vertical="center"/>
      <protection hidden="1"/>
    </xf>
    <xf numFmtId="0" fontId="13" fillId="5" borderId="53" xfId="0" applyFont="1" applyFill="1" applyBorder="1" applyAlignment="1" applyProtection="1">
      <alignment horizontal="center" vertical="center"/>
      <protection hidden="1"/>
    </xf>
    <xf numFmtId="0" fontId="13" fillId="5" borderId="54" xfId="0" applyFont="1" applyFill="1" applyBorder="1" applyAlignment="1" applyProtection="1">
      <alignment horizontal="center" vertical="center"/>
      <protection hidden="1"/>
    </xf>
    <xf numFmtId="0" fontId="13" fillId="5" borderId="55" xfId="0" applyFont="1" applyFill="1" applyBorder="1" applyAlignment="1" applyProtection="1">
      <alignment horizontal="center" vertical="center"/>
      <protection hidden="1"/>
    </xf>
    <xf numFmtId="0" fontId="1" fillId="8" borderId="33" xfId="0" applyFont="1" applyFill="1" applyBorder="1" applyAlignment="1" applyProtection="1">
      <alignment horizontal="right" vertical="center" shrinkToFit="1"/>
      <protection hidden="1"/>
    </xf>
    <xf numFmtId="0" fontId="0" fillId="8" borderId="31" xfId="0" applyFill="1" applyBorder="1" applyAlignment="1" applyProtection="1">
      <alignment horizontal="right" vertical="center" shrinkToFit="1"/>
      <protection hidden="1"/>
    </xf>
    <xf numFmtId="0" fontId="0" fillId="8" borderId="38" xfId="0" applyFill="1" applyBorder="1" applyAlignment="1" applyProtection="1">
      <alignment horizontal="right" vertical="center" shrinkToFit="1"/>
      <protection hidden="1"/>
    </xf>
    <xf numFmtId="0" fontId="1" fillId="8" borderId="37" xfId="0" applyFont="1" applyFill="1" applyBorder="1" applyAlignment="1" applyProtection="1">
      <alignment horizontal="right" vertical="center" shrinkToFit="1"/>
      <protection hidden="1"/>
    </xf>
    <xf numFmtId="0" fontId="1" fillId="8" borderId="35" xfId="0" applyFont="1" applyFill="1" applyBorder="1" applyAlignment="1" applyProtection="1">
      <alignment horizontal="right" vertical="center" shrinkToFit="1"/>
      <protection hidden="1"/>
    </xf>
    <xf numFmtId="0" fontId="1" fillId="8" borderId="39" xfId="0" applyFont="1" applyFill="1" applyBorder="1" applyAlignment="1" applyProtection="1">
      <alignment horizontal="right" vertical="center" shrinkToFit="1"/>
      <protection hidden="1"/>
    </xf>
    <xf numFmtId="0" fontId="14" fillId="7" borderId="96" xfId="0" applyFont="1" applyFill="1" applyBorder="1" applyAlignment="1" applyProtection="1">
      <alignment horizontal="center" vertical="center"/>
      <protection hidden="1"/>
    </xf>
    <xf numFmtId="0" fontId="14" fillId="7" borderId="97" xfId="0" applyFont="1" applyFill="1" applyBorder="1" applyAlignment="1" applyProtection="1">
      <alignment horizontal="center" vertical="center"/>
      <protection hidden="1"/>
    </xf>
    <xf numFmtId="0" fontId="14" fillId="7" borderId="98" xfId="0" applyFont="1" applyFill="1" applyBorder="1" applyAlignment="1" applyProtection="1">
      <alignment horizontal="center" vertical="center"/>
      <protection hidden="1"/>
    </xf>
    <xf numFmtId="0" fontId="14" fillId="7" borderId="99" xfId="0" applyFont="1" applyFill="1" applyBorder="1" applyAlignment="1" applyProtection="1">
      <alignment horizontal="center" vertical="center"/>
      <protection hidden="1"/>
    </xf>
    <xf numFmtId="0" fontId="14" fillId="7" borderId="100" xfId="0" applyFont="1" applyFill="1" applyBorder="1" applyAlignment="1" applyProtection="1">
      <alignment horizontal="center" vertical="center"/>
      <protection hidden="1"/>
    </xf>
    <xf numFmtId="0" fontId="14" fillId="7" borderId="101" xfId="0" applyFont="1" applyFill="1" applyBorder="1" applyAlignment="1" applyProtection="1">
      <alignment horizontal="center" vertical="center"/>
      <protection hidden="1"/>
    </xf>
    <xf numFmtId="0" fontId="1" fillId="8" borderId="31" xfId="0" applyFont="1" applyFill="1" applyBorder="1" applyAlignment="1" applyProtection="1">
      <alignment horizontal="right" vertical="center" shrinkToFit="1"/>
      <protection hidden="1"/>
    </xf>
    <xf numFmtId="0" fontId="1" fillId="8" borderId="38" xfId="0" applyFont="1" applyFill="1" applyBorder="1" applyAlignment="1" applyProtection="1">
      <alignment horizontal="right" vertical="center" shrinkToFit="1"/>
      <protection hidden="1"/>
    </xf>
    <xf numFmtId="0" fontId="15" fillId="7" borderId="60" xfId="0" applyFont="1" applyFill="1" applyBorder="1" applyAlignment="1" applyProtection="1">
      <alignment horizontal="center" vertical="center"/>
      <protection hidden="1"/>
    </xf>
    <xf numFmtId="0" fontId="15" fillId="7" borderId="61" xfId="0" applyFont="1" applyFill="1" applyBorder="1" applyAlignment="1" applyProtection="1">
      <alignment horizontal="center" vertical="center"/>
      <protection hidden="1"/>
    </xf>
    <xf numFmtId="0" fontId="15" fillId="7" borderId="63" xfId="0" applyFont="1" applyFill="1" applyBorder="1" applyAlignment="1" applyProtection="1">
      <alignment horizontal="center" vertical="center"/>
      <protection hidden="1"/>
    </xf>
    <xf numFmtId="0" fontId="15" fillId="7" borderId="64" xfId="0" applyFont="1" applyFill="1" applyBorder="1" applyAlignment="1" applyProtection="1">
      <alignment horizontal="center" vertical="center"/>
      <protection hidden="1"/>
    </xf>
    <xf numFmtId="0" fontId="15" fillId="7" borderId="62" xfId="0" applyFont="1" applyFill="1" applyBorder="1" applyAlignment="1" applyProtection="1">
      <alignment horizontal="center" vertical="center"/>
      <protection hidden="1"/>
    </xf>
    <xf numFmtId="0" fontId="15" fillId="7" borderId="65" xfId="0" applyFont="1" applyFill="1" applyBorder="1" applyAlignment="1" applyProtection="1">
      <alignment horizontal="center" vertical="center"/>
      <protection hidden="1"/>
    </xf>
    <xf numFmtId="0" fontId="3" fillId="0" borderId="45" xfId="0" applyFont="1" applyBorder="1" applyAlignment="1" applyProtection="1">
      <alignment horizontal="center" vertical="center" shrinkToFit="1"/>
      <protection hidden="1"/>
    </xf>
    <xf numFmtId="0" fontId="3" fillId="0" borderId="0" xfId="0" applyFont="1" applyBorder="1" applyAlignment="1" applyProtection="1">
      <alignment horizontal="center" vertical="center" shrinkToFit="1"/>
      <protection hidden="1"/>
    </xf>
    <xf numFmtId="0" fontId="11" fillId="0" borderId="45" xfId="0" applyFont="1" applyBorder="1" applyAlignment="1" applyProtection="1">
      <alignment horizontal="center" vertical="center" shrinkToFit="1"/>
      <protection hidden="1"/>
    </xf>
    <xf numFmtId="0" fontId="11" fillId="0" borderId="0" xfId="0" applyFont="1" applyBorder="1" applyAlignment="1" applyProtection="1">
      <alignment horizontal="center" vertical="center" shrinkToFit="1"/>
      <protection hidden="1"/>
    </xf>
    <xf numFmtId="0" fontId="1" fillId="8" borderId="66" xfId="0" applyNumberFormat="1" applyFont="1" applyFill="1" applyBorder="1" applyAlignment="1" applyProtection="1">
      <alignment horizontal="center" vertical="center"/>
      <protection hidden="1"/>
    </xf>
    <xf numFmtId="0" fontId="1" fillId="8" borderId="67" xfId="0" applyNumberFormat="1" applyFont="1" applyFill="1" applyBorder="1" applyAlignment="1" applyProtection="1">
      <alignment horizontal="center" vertical="center"/>
      <protection hidden="1"/>
    </xf>
    <xf numFmtId="0" fontId="0" fillId="8" borderId="66" xfId="0" applyFill="1" applyBorder="1" applyAlignment="1" applyProtection="1">
      <alignment horizontal="center" vertical="center"/>
      <protection hidden="1"/>
    </xf>
    <xf numFmtId="0" fontId="0" fillId="8" borderId="67" xfId="0" applyFill="1" applyBorder="1" applyAlignment="1" applyProtection="1">
      <alignment horizontal="center" vertical="center"/>
      <protection hidden="1"/>
    </xf>
    <xf numFmtId="0" fontId="1" fillId="8" borderId="48" xfId="0" applyFont="1" applyFill="1" applyBorder="1" applyAlignment="1" applyProtection="1">
      <alignment horizontal="right" vertical="center" shrinkToFit="1"/>
      <protection hidden="1"/>
    </xf>
    <xf numFmtId="0" fontId="0" fillId="8" borderId="46" xfId="0" applyFill="1" applyBorder="1" applyAlignment="1" applyProtection="1">
      <alignment horizontal="right" vertical="center" shrinkToFit="1"/>
      <protection hidden="1"/>
    </xf>
    <xf numFmtId="0" fontId="0" fillId="8" borderId="49" xfId="0" applyFill="1" applyBorder="1" applyAlignment="1" applyProtection="1">
      <alignment horizontal="right" vertical="center" shrinkToFit="1"/>
      <protection hidden="1"/>
    </xf>
    <xf numFmtId="0" fontId="16" fillId="5" borderId="74" xfId="0" applyFont="1" applyFill="1" applyBorder="1" applyAlignment="1" applyProtection="1">
      <alignment horizontal="center" vertical="center"/>
      <protection hidden="1"/>
    </xf>
    <xf numFmtId="0" fontId="16" fillId="5" borderId="75" xfId="0" applyFont="1" applyFill="1" applyBorder="1" applyAlignment="1" applyProtection="1">
      <alignment horizontal="center" vertical="center"/>
      <protection hidden="1"/>
    </xf>
    <xf numFmtId="0" fontId="16" fillId="5" borderId="76" xfId="0" applyFont="1" applyFill="1" applyBorder="1" applyAlignment="1" applyProtection="1">
      <alignment horizontal="center" vertical="center"/>
      <protection hidden="1"/>
    </xf>
    <xf numFmtId="0" fontId="16" fillId="5" borderId="77" xfId="0" applyFont="1" applyFill="1" applyBorder="1" applyAlignment="1" applyProtection="1">
      <alignment horizontal="center" vertical="center"/>
      <protection hidden="1"/>
    </xf>
    <xf numFmtId="0" fontId="16" fillId="5" borderId="78" xfId="0" applyFont="1" applyFill="1" applyBorder="1" applyAlignment="1" applyProtection="1">
      <alignment horizontal="center" vertical="center"/>
      <protection hidden="1"/>
    </xf>
    <xf numFmtId="0" fontId="16" fillId="5" borderId="79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167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 val="0"/>
        <i/>
        <condense val="0"/>
        <extend val="0"/>
        <color indexed="21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1266092</xdr:colOff>
      <xdr:row>8</xdr:row>
      <xdr:rowOff>152400</xdr:rowOff>
    </xdr:from>
    <xdr:to>
      <xdr:col>5</xdr:col>
      <xdr:colOff>2442</xdr:colOff>
      <xdr:row>10</xdr:row>
      <xdr:rowOff>19050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7034" y="1478573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22</xdr:row>
      <xdr:rowOff>153866</xdr:rowOff>
    </xdr:from>
    <xdr:to>
      <xdr:col>4</xdr:col>
      <xdr:colOff>1432658</xdr:colOff>
      <xdr:row>24</xdr:row>
      <xdr:rowOff>20516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736731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33</xdr:row>
      <xdr:rowOff>153865</xdr:rowOff>
    </xdr:from>
    <xdr:to>
      <xdr:col>7</xdr:col>
      <xdr:colOff>234462</xdr:colOff>
      <xdr:row>35</xdr:row>
      <xdr:rowOff>20516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509846"/>
          <a:ext cx="190500" cy="189035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8</xdr:row>
      <xdr:rowOff>153865</xdr:rowOff>
    </xdr:from>
    <xdr:to>
      <xdr:col>7</xdr:col>
      <xdr:colOff>243313</xdr:colOff>
      <xdr:row>10</xdr:row>
      <xdr:rowOff>23504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4800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21</xdr:row>
      <xdr:rowOff>146538</xdr:rowOff>
    </xdr:from>
    <xdr:to>
      <xdr:col>4</xdr:col>
      <xdr:colOff>1434182</xdr:colOff>
      <xdr:row>23</xdr:row>
      <xdr:rowOff>16177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5682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32</xdr:row>
      <xdr:rowOff>153866</xdr:rowOff>
    </xdr:from>
    <xdr:to>
      <xdr:col>4</xdr:col>
      <xdr:colOff>1434182</xdr:colOff>
      <xdr:row>34</xdr:row>
      <xdr:rowOff>23505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9</xdr:row>
      <xdr:rowOff>146539</xdr:rowOff>
    </xdr:from>
    <xdr:to>
      <xdr:col>4</xdr:col>
      <xdr:colOff>1434182</xdr:colOff>
      <xdr:row>11</xdr:row>
      <xdr:rowOff>16178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633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22</xdr:row>
      <xdr:rowOff>153866</xdr:rowOff>
    </xdr:from>
    <xdr:to>
      <xdr:col>7</xdr:col>
      <xdr:colOff>235986</xdr:colOff>
      <xdr:row>24</xdr:row>
      <xdr:rowOff>23505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7367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</xdr:colOff>
      <xdr:row>32</xdr:row>
      <xdr:rowOff>153866</xdr:rowOff>
    </xdr:from>
    <xdr:to>
      <xdr:col>7</xdr:col>
      <xdr:colOff>235985</xdr:colOff>
      <xdr:row>34</xdr:row>
      <xdr:rowOff>23505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3" y="53486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9</xdr:row>
      <xdr:rowOff>153866</xdr:rowOff>
    </xdr:from>
    <xdr:to>
      <xdr:col>7</xdr:col>
      <xdr:colOff>243312</xdr:colOff>
      <xdr:row>11</xdr:row>
      <xdr:rowOff>23505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641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21</xdr:row>
      <xdr:rowOff>153865</xdr:rowOff>
    </xdr:from>
    <xdr:to>
      <xdr:col>7</xdr:col>
      <xdr:colOff>235986</xdr:colOff>
      <xdr:row>23</xdr:row>
      <xdr:rowOff>23504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57553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33</xdr:row>
      <xdr:rowOff>146538</xdr:rowOff>
    </xdr:from>
    <xdr:to>
      <xdr:col>4</xdr:col>
      <xdr:colOff>1434182</xdr:colOff>
      <xdr:row>35</xdr:row>
      <xdr:rowOff>16178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502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1267559</xdr:colOff>
      <xdr:row>10</xdr:row>
      <xdr:rowOff>153865</xdr:rowOff>
    </xdr:from>
    <xdr:to>
      <xdr:col>4</xdr:col>
      <xdr:colOff>1434183</xdr:colOff>
      <xdr:row>12</xdr:row>
      <xdr:rowOff>23505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23</xdr:row>
      <xdr:rowOff>153865</xdr:rowOff>
    </xdr:from>
    <xdr:to>
      <xdr:col>7</xdr:col>
      <xdr:colOff>235986</xdr:colOff>
      <xdr:row>25</xdr:row>
      <xdr:rowOff>23505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34</xdr:row>
      <xdr:rowOff>153866</xdr:rowOff>
    </xdr:from>
    <xdr:to>
      <xdr:col>7</xdr:col>
      <xdr:colOff>243312</xdr:colOff>
      <xdr:row>36</xdr:row>
      <xdr:rowOff>23505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67103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10</xdr:row>
      <xdr:rowOff>153865</xdr:rowOff>
    </xdr:from>
    <xdr:to>
      <xdr:col>7</xdr:col>
      <xdr:colOff>243313</xdr:colOff>
      <xdr:row>12</xdr:row>
      <xdr:rowOff>23505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1802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20</xdr:row>
      <xdr:rowOff>146538</xdr:rowOff>
    </xdr:from>
    <xdr:to>
      <xdr:col>7</xdr:col>
      <xdr:colOff>243313</xdr:colOff>
      <xdr:row>22</xdr:row>
      <xdr:rowOff>16178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35</xdr:row>
      <xdr:rowOff>153866</xdr:rowOff>
    </xdr:from>
    <xdr:to>
      <xdr:col>4</xdr:col>
      <xdr:colOff>1433205</xdr:colOff>
      <xdr:row>37</xdr:row>
      <xdr:rowOff>23505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11</xdr:row>
      <xdr:rowOff>153865</xdr:rowOff>
    </xdr:from>
    <xdr:to>
      <xdr:col>4</xdr:col>
      <xdr:colOff>1434182</xdr:colOff>
      <xdr:row>13</xdr:row>
      <xdr:rowOff>23504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23</xdr:row>
      <xdr:rowOff>153865</xdr:rowOff>
    </xdr:from>
    <xdr:to>
      <xdr:col>4</xdr:col>
      <xdr:colOff>1434182</xdr:colOff>
      <xdr:row>25</xdr:row>
      <xdr:rowOff>23505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8979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</xdr:colOff>
      <xdr:row>35</xdr:row>
      <xdr:rowOff>153866</xdr:rowOff>
    </xdr:from>
    <xdr:to>
      <xdr:col>7</xdr:col>
      <xdr:colOff>243312</xdr:colOff>
      <xdr:row>37</xdr:row>
      <xdr:rowOff>23505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83223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11</xdr:row>
      <xdr:rowOff>153865</xdr:rowOff>
    </xdr:from>
    <xdr:to>
      <xdr:col>7</xdr:col>
      <xdr:colOff>235986</xdr:colOff>
      <xdr:row>13</xdr:row>
      <xdr:rowOff>23504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19636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20</xdr:row>
      <xdr:rowOff>146538</xdr:rowOff>
    </xdr:from>
    <xdr:to>
      <xdr:col>4</xdr:col>
      <xdr:colOff>1434182</xdr:colOff>
      <xdr:row>22</xdr:row>
      <xdr:rowOff>16178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4070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34</xdr:row>
      <xdr:rowOff>146538</xdr:rowOff>
    </xdr:from>
    <xdr:to>
      <xdr:col>4</xdr:col>
      <xdr:colOff>1434182</xdr:colOff>
      <xdr:row>36</xdr:row>
      <xdr:rowOff>16177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663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12</xdr:row>
      <xdr:rowOff>153866</xdr:rowOff>
    </xdr:from>
    <xdr:to>
      <xdr:col>4</xdr:col>
      <xdr:colOff>1434182</xdr:colOff>
      <xdr:row>14</xdr:row>
      <xdr:rowOff>23505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28</xdr:row>
      <xdr:rowOff>153866</xdr:rowOff>
    </xdr:from>
    <xdr:to>
      <xdr:col>7</xdr:col>
      <xdr:colOff>235986</xdr:colOff>
      <xdr:row>30</xdr:row>
      <xdr:rowOff>23505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38</xdr:row>
      <xdr:rowOff>153866</xdr:rowOff>
    </xdr:from>
    <xdr:to>
      <xdr:col>7</xdr:col>
      <xdr:colOff>235986</xdr:colOff>
      <xdr:row>40</xdr:row>
      <xdr:rowOff>16178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315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12</xdr:row>
      <xdr:rowOff>153866</xdr:rowOff>
    </xdr:from>
    <xdr:to>
      <xdr:col>7</xdr:col>
      <xdr:colOff>235986</xdr:colOff>
      <xdr:row>14</xdr:row>
      <xdr:rowOff>23505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1248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27</xdr:row>
      <xdr:rowOff>153865</xdr:rowOff>
    </xdr:from>
    <xdr:to>
      <xdr:col>7</xdr:col>
      <xdr:colOff>235986</xdr:colOff>
      <xdr:row>29</xdr:row>
      <xdr:rowOff>23504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542692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39</xdr:row>
      <xdr:rowOff>153865</xdr:rowOff>
    </xdr:from>
    <xdr:to>
      <xdr:col>4</xdr:col>
      <xdr:colOff>1434182</xdr:colOff>
      <xdr:row>41</xdr:row>
      <xdr:rowOff>16178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477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13</xdr:row>
      <xdr:rowOff>153865</xdr:rowOff>
    </xdr:from>
    <xdr:to>
      <xdr:col>4</xdr:col>
      <xdr:colOff>1434182</xdr:colOff>
      <xdr:row>15</xdr:row>
      <xdr:rowOff>23505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25</xdr:row>
      <xdr:rowOff>153866</xdr:rowOff>
    </xdr:from>
    <xdr:to>
      <xdr:col>7</xdr:col>
      <xdr:colOff>228659</xdr:colOff>
      <xdr:row>27</xdr:row>
      <xdr:rowOff>23505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22030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36</xdr:row>
      <xdr:rowOff>153865</xdr:rowOff>
    </xdr:from>
    <xdr:to>
      <xdr:col>7</xdr:col>
      <xdr:colOff>243313</xdr:colOff>
      <xdr:row>38</xdr:row>
      <xdr:rowOff>23505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599342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13</xdr:row>
      <xdr:rowOff>153865</xdr:rowOff>
    </xdr:from>
    <xdr:to>
      <xdr:col>7</xdr:col>
      <xdr:colOff>235986</xdr:colOff>
      <xdr:row>15</xdr:row>
      <xdr:rowOff>23505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2860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24</xdr:row>
      <xdr:rowOff>153865</xdr:rowOff>
    </xdr:from>
    <xdr:to>
      <xdr:col>7</xdr:col>
      <xdr:colOff>228659</xdr:colOff>
      <xdr:row>26</xdr:row>
      <xdr:rowOff>23504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405911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37</xdr:row>
      <xdr:rowOff>146539</xdr:rowOff>
    </xdr:from>
    <xdr:to>
      <xdr:col>4</xdr:col>
      <xdr:colOff>1434182</xdr:colOff>
      <xdr:row>39</xdr:row>
      <xdr:rowOff>16178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61472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14</xdr:row>
      <xdr:rowOff>153866</xdr:rowOff>
    </xdr:from>
    <xdr:to>
      <xdr:col>4</xdr:col>
      <xdr:colOff>1434182</xdr:colOff>
      <xdr:row>16</xdr:row>
      <xdr:rowOff>23505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44719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25</xdr:row>
      <xdr:rowOff>146539</xdr:rowOff>
    </xdr:from>
    <xdr:to>
      <xdr:col>4</xdr:col>
      <xdr:colOff>1433205</xdr:colOff>
      <xdr:row>27</xdr:row>
      <xdr:rowOff>16178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421298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51289</xdr:colOff>
      <xdr:row>37</xdr:row>
      <xdr:rowOff>146538</xdr:rowOff>
    </xdr:from>
    <xdr:to>
      <xdr:col>7</xdr:col>
      <xdr:colOff>243313</xdr:colOff>
      <xdr:row>39</xdr:row>
      <xdr:rowOff>16177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1" y="614728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14</xdr:row>
      <xdr:rowOff>146539</xdr:rowOff>
    </xdr:from>
    <xdr:to>
      <xdr:col>7</xdr:col>
      <xdr:colOff>235986</xdr:colOff>
      <xdr:row>16</xdr:row>
      <xdr:rowOff>16178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24398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24</xdr:row>
      <xdr:rowOff>146539</xdr:rowOff>
    </xdr:from>
    <xdr:to>
      <xdr:col>4</xdr:col>
      <xdr:colOff>1434181</xdr:colOff>
      <xdr:row>26</xdr:row>
      <xdr:rowOff>16178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405178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1260231</xdr:colOff>
      <xdr:row>36</xdr:row>
      <xdr:rowOff>146538</xdr:rowOff>
    </xdr:from>
    <xdr:to>
      <xdr:col>4</xdr:col>
      <xdr:colOff>1433205</xdr:colOff>
      <xdr:row>38</xdr:row>
      <xdr:rowOff>16178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1173" y="5986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15</xdr:row>
      <xdr:rowOff>153866</xdr:rowOff>
    </xdr:from>
    <xdr:to>
      <xdr:col>4</xdr:col>
      <xdr:colOff>1434182</xdr:colOff>
      <xdr:row>17</xdr:row>
      <xdr:rowOff>23505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28</xdr:row>
      <xdr:rowOff>153866</xdr:rowOff>
    </xdr:from>
    <xdr:to>
      <xdr:col>4</xdr:col>
      <xdr:colOff>1434182</xdr:colOff>
      <xdr:row>30</xdr:row>
      <xdr:rowOff>23505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7038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39</xdr:row>
      <xdr:rowOff>161192</xdr:rowOff>
    </xdr:from>
    <xdr:to>
      <xdr:col>7</xdr:col>
      <xdr:colOff>235986</xdr:colOff>
      <xdr:row>41</xdr:row>
      <xdr:rowOff>23505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648432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15</xdr:row>
      <xdr:rowOff>153866</xdr:rowOff>
    </xdr:from>
    <xdr:to>
      <xdr:col>7</xdr:col>
      <xdr:colOff>228659</xdr:colOff>
      <xdr:row>17</xdr:row>
      <xdr:rowOff>23505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60838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27</xdr:row>
      <xdr:rowOff>146539</xdr:rowOff>
    </xdr:from>
    <xdr:to>
      <xdr:col>4</xdr:col>
      <xdr:colOff>1434182</xdr:colOff>
      <xdr:row>29</xdr:row>
      <xdr:rowOff>16178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53536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39</xdr:row>
      <xdr:rowOff>0</xdr:rowOff>
    </xdr:from>
    <xdr:to>
      <xdr:col>4</xdr:col>
      <xdr:colOff>1434181</xdr:colOff>
      <xdr:row>40</xdr:row>
      <xdr:rowOff>23505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6323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16</xdr:row>
      <xdr:rowOff>153865</xdr:rowOff>
    </xdr:from>
    <xdr:to>
      <xdr:col>4</xdr:col>
      <xdr:colOff>1434182</xdr:colOff>
      <xdr:row>18</xdr:row>
      <xdr:rowOff>23505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29</xdr:row>
      <xdr:rowOff>153865</xdr:rowOff>
    </xdr:from>
    <xdr:to>
      <xdr:col>7</xdr:col>
      <xdr:colOff>235986</xdr:colOff>
      <xdr:row>31</xdr:row>
      <xdr:rowOff>23505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42</xdr:row>
      <xdr:rowOff>153866</xdr:rowOff>
    </xdr:from>
    <xdr:to>
      <xdr:col>7</xdr:col>
      <xdr:colOff>228659</xdr:colOff>
      <xdr:row>44</xdr:row>
      <xdr:rowOff>23505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96790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16</xdr:row>
      <xdr:rowOff>153865</xdr:rowOff>
    </xdr:from>
    <xdr:to>
      <xdr:col>7</xdr:col>
      <xdr:colOff>228659</xdr:colOff>
      <xdr:row>18</xdr:row>
      <xdr:rowOff>23505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769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26</xdr:row>
      <xdr:rowOff>153865</xdr:rowOff>
    </xdr:from>
    <xdr:to>
      <xdr:col>7</xdr:col>
      <xdr:colOff>235986</xdr:colOff>
      <xdr:row>28</xdr:row>
      <xdr:rowOff>23505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438150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43</xdr:row>
      <xdr:rowOff>146537</xdr:rowOff>
    </xdr:from>
    <xdr:to>
      <xdr:col>5</xdr:col>
      <xdr:colOff>59</xdr:colOff>
      <xdr:row>45</xdr:row>
      <xdr:rowOff>16177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7121768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17</xdr:row>
      <xdr:rowOff>153866</xdr:rowOff>
    </xdr:from>
    <xdr:to>
      <xdr:col>4</xdr:col>
      <xdr:colOff>1434182</xdr:colOff>
      <xdr:row>19</xdr:row>
      <xdr:rowOff>23506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2930770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29</xdr:row>
      <xdr:rowOff>153865</xdr:rowOff>
    </xdr:from>
    <xdr:to>
      <xdr:col>4</xdr:col>
      <xdr:colOff>1434182</xdr:colOff>
      <xdr:row>31</xdr:row>
      <xdr:rowOff>23505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8650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43</xdr:row>
      <xdr:rowOff>153865</xdr:rowOff>
    </xdr:from>
    <xdr:to>
      <xdr:col>7</xdr:col>
      <xdr:colOff>228659</xdr:colOff>
      <xdr:row>45</xdr:row>
      <xdr:rowOff>23505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7129096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17</xdr:row>
      <xdr:rowOff>153865</xdr:rowOff>
    </xdr:from>
    <xdr:to>
      <xdr:col>7</xdr:col>
      <xdr:colOff>228659</xdr:colOff>
      <xdr:row>19</xdr:row>
      <xdr:rowOff>23505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29307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26</xdr:row>
      <xdr:rowOff>146538</xdr:rowOff>
    </xdr:from>
    <xdr:to>
      <xdr:col>4</xdr:col>
      <xdr:colOff>1434182</xdr:colOff>
      <xdr:row>28</xdr:row>
      <xdr:rowOff>16178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4374173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42</xdr:row>
      <xdr:rowOff>146539</xdr:rowOff>
    </xdr:from>
    <xdr:to>
      <xdr:col>5</xdr:col>
      <xdr:colOff>59</xdr:colOff>
      <xdr:row>44</xdr:row>
      <xdr:rowOff>16178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960577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1267557</xdr:colOff>
      <xdr:row>18</xdr:row>
      <xdr:rowOff>153865</xdr:rowOff>
    </xdr:from>
    <xdr:to>
      <xdr:col>4</xdr:col>
      <xdr:colOff>1434181</xdr:colOff>
      <xdr:row>20</xdr:row>
      <xdr:rowOff>23504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499" y="30919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43962</xdr:colOff>
      <xdr:row>31</xdr:row>
      <xdr:rowOff>153865</xdr:rowOff>
    </xdr:from>
    <xdr:to>
      <xdr:col>7</xdr:col>
      <xdr:colOff>235986</xdr:colOff>
      <xdr:row>33</xdr:row>
      <xdr:rowOff>23504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8424" y="518746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</xdr:colOff>
      <xdr:row>40</xdr:row>
      <xdr:rowOff>153865</xdr:rowOff>
    </xdr:from>
    <xdr:to>
      <xdr:col>7</xdr:col>
      <xdr:colOff>228658</xdr:colOff>
      <xdr:row>42</xdr:row>
      <xdr:rowOff>23505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6" y="664551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29307</xdr:colOff>
      <xdr:row>18</xdr:row>
      <xdr:rowOff>146538</xdr:rowOff>
    </xdr:from>
    <xdr:to>
      <xdr:col>7</xdr:col>
      <xdr:colOff>221331</xdr:colOff>
      <xdr:row>20</xdr:row>
      <xdr:rowOff>16177</xdr:rowOff>
    </xdr:to>
    <xdr:pic>
      <xdr:nvPicPr>
        <xdr:cNvPr id="23808" name="Picture 23807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3769" y="308463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30</xdr:row>
      <xdr:rowOff>153865</xdr:rowOff>
    </xdr:from>
    <xdr:to>
      <xdr:col>7</xdr:col>
      <xdr:colOff>228659</xdr:colOff>
      <xdr:row>32</xdr:row>
      <xdr:rowOff>23505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1274885</xdr:colOff>
      <xdr:row>41</xdr:row>
      <xdr:rowOff>146538</xdr:rowOff>
    </xdr:from>
    <xdr:to>
      <xdr:col>5</xdr:col>
      <xdr:colOff>59</xdr:colOff>
      <xdr:row>43</xdr:row>
      <xdr:rowOff>16177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7" y="679938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19</xdr:row>
      <xdr:rowOff>153866</xdr:rowOff>
    </xdr:from>
    <xdr:to>
      <xdr:col>4</xdr:col>
      <xdr:colOff>1434182</xdr:colOff>
      <xdr:row>21</xdr:row>
      <xdr:rowOff>23505</xdr:rowOff>
    </xdr:to>
    <xdr:pic>
      <xdr:nvPicPr>
        <xdr:cNvPr id="23809" name="Picture 23808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31</xdr:row>
      <xdr:rowOff>146539</xdr:rowOff>
    </xdr:from>
    <xdr:to>
      <xdr:col>4</xdr:col>
      <xdr:colOff>1434182</xdr:colOff>
      <xdr:row>33</xdr:row>
      <xdr:rowOff>16178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180135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41</xdr:row>
      <xdr:rowOff>153865</xdr:rowOff>
    </xdr:from>
    <xdr:to>
      <xdr:col>7</xdr:col>
      <xdr:colOff>228659</xdr:colOff>
      <xdr:row>43</xdr:row>
      <xdr:rowOff>23504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6806711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7</xdr:col>
      <xdr:colOff>36635</xdr:colOff>
      <xdr:row>19</xdr:row>
      <xdr:rowOff>153866</xdr:rowOff>
    </xdr:from>
    <xdr:to>
      <xdr:col>7</xdr:col>
      <xdr:colOff>228659</xdr:colOff>
      <xdr:row>21</xdr:row>
      <xdr:rowOff>23505</xdr:rowOff>
    </xdr:to>
    <xdr:pic>
      <xdr:nvPicPr>
        <xdr:cNvPr id="23810" name="Picture 23809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097" y="3253154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1267558</xdr:colOff>
      <xdr:row>30</xdr:row>
      <xdr:rowOff>153865</xdr:rowOff>
    </xdr:from>
    <xdr:to>
      <xdr:col>4</xdr:col>
      <xdr:colOff>1434182</xdr:colOff>
      <xdr:row>32</xdr:row>
      <xdr:rowOff>23505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0" y="5026269"/>
          <a:ext cx="192024" cy="192024"/>
        </a:xfrm>
        <a:prstGeom prst="rect">
          <a:avLst/>
        </a:prstGeom>
      </xdr:spPr>
    </xdr:pic>
    <xdr:clientData/>
  </xdr:twoCellAnchor>
  <xdr:twoCellAnchor editAs="oneCell">
    <xdr:from>
      <xdr:col>4</xdr:col>
      <xdr:colOff>1274884</xdr:colOff>
      <xdr:row>40</xdr:row>
      <xdr:rowOff>146538</xdr:rowOff>
    </xdr:from>
    <xdr:to>
      <xdr:col>5</xdr:col>
      <xdr:colOff>58</xdr:colOff>
      <xdr:row>42</xdr:row>
      <xdr:rowOff>16178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5826" y="6638192"/>
          <a:ext cx="192024" cy="1920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fanschedule.com/football-livescore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www.excely.com/football/2016-uefa-euro-2016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hyperlink" Target="http://ads.betfair.com/redirect.aspx?pid=603790&amp;bid=8703" TargetMode="External"/><Relationship Id="rId5" Type="http://schemas.openxmlformats.org/officeDocument/2006/relationships/hyperlink" Target="http://www.xtau.com/" TargetMode="External"/><Relationship Id="rId4" Type="http://schemas.openxmlformats.org/officeDocument/2006/relationships/hyperlink" Target="http://cutmp3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3" x14ac:dyDescent="0.3"/>
  <sheetData>
    <row r="1" spans="1:42" x14ac:dyDescent="0.3">
      <c r="A1" s="53" t="s">
        <v>605</v>
      </c>
      <c r="B1" t="s">
        <v>452</v>
      </c>
      <c r="C1" t="s">
        <v>924</v>
      </c>
      <c r="D1" t="s">
        <v>484</v>
      </c>
      <c r="E1" t="s">
        <v>1083</v>
      </c>
      <c r="F1" t="s">
        <v>1116</v>
      </c>
      <c r="G1" t="s">
        <v>980</v>
      </c>
      <c r="H1" t="s">
        <v>48</v>
      </c>
      <c r="I1" t="s">
        <v>47</v>
      </c>
      <c r="J1" t="s">
        <v>536</v>
      </c>
      <c r="K1" t="s">
        <v>1299</v>
      </c>
      <c r="L1" t="s">
        <v>1206</v>
      </c>
      <c r="M1" t="s">
        <v>807</v>
      </c>
      <c r="N1" t="s">
        <v>636</v>
      </c>
      <c r="O1" t="s">
        <v>1228</v>
      </c>
      <c r="P1" t="s">
        <v>635</v>
      </c>
      <c r="Q1" t="s">
        <v>1061</v>
      </c>
      <c r="R1" t="s">
        <v>199</v>
      </c>
      <c r="S1" t="s">
        <v>1266</v>
      </c>
      <c r="T1" t="s">
        <v>963</v>
      </c>
      <c r="U1" t="s">
        <v>422</v>
      </c>
      <c r="V1" t="s">
        <v>1082</v>
      </c>
      <c r="W1" t="s">
        <v>1366</v>
      </c>
      <c r="X1" t="s">
        <v>246</v>
      </c>
      <c r="Y1" t="s">
        <v>1166</v>
      </c>
      <c r="Z1" t="s">
        <v>316</v>
      </c>
      <c r="AA1" t="s">
        <v>198</v>
      </c>
      <c r="AB1" t="s">
        <v>942</v>
      </c>
      <c r="AC1" t="s">
        <v>88</v>
      </c>
      <c r="AD1" t="s">
        <v>445</v>
      </c>
      <c r="AE1" t="s">
        <v>1392</v>
      </c>
      <c r="AF1" t="s">
        <v>606</v>
      </c>
      <c r="AG1" t="s">
        <v>1415</v>
      </c>
      <c r="AH1" t="s">
        <v>179</v>
      </c>
      <c r="AI1" t="s">
        <v>304</v>
      </c>
      <c r="AJ1" t="s">
        <v>637</v>
      </c>
      <c r="AK1" t="s">
        <v>23</v>
      </c>
      <c r="AL1" t="s">
        <v>178</v>
      </c>
      <c r="AM1" t="s">
        <v>923</v>
      </c>
      <c r="AN1" t="s">
        <v>1326</v>
      </c>
      <c r="AO1" t="s">
        <v>583</v>
      </c>
      <c r="AP1" t="s">
        <v>347</v>
      </c>
    </row>
    <row r="2" spans="1:42" x14ac:dyDescent="0.3">
      <c r="A2" s="53" t="s">
        <v>1954</v>
      </c>
      <c r="B2" t="s">
        <v>1955</v>
      </c>
      <c r="C2" t="s">
        <v>1956</v>
      </c>
      <c r="D2" t="s">
        <v>1957</v>
      </c>
      <c r="E2" t="s">
        <v>1958</v>
      </c>
      <c r="F2" t="s">
        <v>1959</v>
      </c>
      <c r="G2" t="s">
        <v>1960</v>
      </c>
      <c r="H2" t="s">
        <v>1961</v>
      </c>
      <c r="I2" t="s">
        <v>1962</v>
      </c>
      <c r="J2" t="s">
        <v>1963</v>
      </c>
      <c r="K2" t="s">
        <v>1964</v>
      </c>
      <c r="L2" t="s">
        <v>1954</v>
      </c>
      <c r="M2" t="s">
        <v>1965</v>
      </c>
      <c r="N2" t="s">
        <v>2475</v>
      </c>
      <c r="O2" t="s">
        <v>1966</v>
      </c>
      <c r="P2" t="s">
        <v>1967</v>
      </c>
      <c r="Q2" t="s">
        <v>1968</v>
      </c>
      <c r="R2" t="s">
        <v>1969</v>
      </c>
      <c r="S2" t="s">
        <v>1970</v>
      </c>
      <c r="T2" t="s">
        <v>1971</v>
      </c>
      <c r="U2" t="s">
        <v>1972</v>
      </c>
      <c r="V2" t="s">
        <v>1954</v>
      </c>
      <c r="W2" t="s">
        <v>1973</v>
      </c>
      <c r="X2" t="s">
        <v>1974</v>
      </c>
      <c r="Y2" t="s">
        <v>1975</v>
      </c>
      <c r="Z2" t="s">
        <v>1976</v>
      </c>
      <c r="AA2" t="s">
        <v>1977</v>
      </c>
      <c r="AB2" t="s">
        <v>1978</v>
      </c>
      <c r="AC2" t="s">
        <v>1979</v>
      </c>
      <c r="AD2" t="s">
        <v>1980</v>
      </c>
      <c r="AE2" t="s">
        <v>1981</v>
      </c>
      <c r="AF2" t="s">
        <v>1982</v>
      </c>
      <c r="AG2" t="s">
        <v>1983</v>
      </c>
      <c r="AH2" t="s">
        <v>1984</v>
      </c>
      <c r="AI2" t="s">
        <v>1985</v>
      </c>
      <c r="AJ2" t="s">
        <v>1986</v>
      </c>
      <c r="AK2" t="s">
        <v>1987</v>
      </c>
      <c r="AL2" t="s">
        <v>1988</v>
      </c>
      <c r="AM2" t="s">
        <v>1989</v>
      </c>
      <c r="AN2" t="s">
        <v>1990</v>
      </c>
      <c r="AO2" s="53" t="s">
        <v>1991</v>
      </c>
      <c r="AP2" t="s">
        <v>1992</v>
      </c>
    </row>
    <row r="3" spans="1:42" x14ac:dyDescent="0.3">
      <c r="A3" t="s">
        <v>587</v>
      </c>
      <c r="B3" t="s">
        <v>453</v>
      </c>
      <c r="C3" t="s">
        <v>277</v>
      </c>
      <c r="D3" t="s">
        <v>485</v>
      </c>
      <c r="E3" t="s">
        <v>1084</v>
      </c>
      <c r="F3" t="s">
        <v>1117</v>
      </c>
      <c r="G3" t="s">
        <v>981</v>
      </c>
      <c r="H3" t="s">
        <v>49</v>
      </c>
      <c r="I3" t="s">
        <v>1146</v>
      </c>
      <c r="J3" t="s">
        <v>537</v>
      </c>
      <c r="K3" t="s">
        <v>1300</v>
      </c>
      <c r="L3" t="s">
        <v>1207</v>
      </c>
      <c r="M3" t="s">
        <v>808</v>
      </c>
      <c r="N3" t="s">
        <v>590</v>
      </c>
      <c r="O3" t="s">
        <v>1229</v>
      </c>
      <c r="P3" t="s">
        <v>589</v>
      </c>
      <c r="Q3" t="s">
        <v>1007</v>
      </c>
      <c r="R3" t="s">
        <v>200</v>
      </c>
      <c r="S3" t="s">
        <v>1267</v>
      </c>
      <c r="T3" t="s">
        <v>524</v>
      </c>
      <c r="U3" t="s">
        <v>423</v>
      </c>
      <c r="V3" t="s">
        <v>299</v>
      </c>
      <c r="W3" t="s">
        <v>1367</v>
      </c>
      <c r="X3" t="s">
        <v>247</v>
      </c>
      <c r="Y3" t="s">
        <v>1167</v>
      </c>
      <c r="Z3" t="s">
        <v>317</v>
      </c>
      <c r="AA3" t="s">
        <v>190</v>
      </c>
      <c r="AB3" t="s">
        <v>849</v>
      </c>
      <c r="AC3" t="s">
        <v>89</v>
      </c>
      <c r="AD3" t="s">
        <v>591</v>
      </c>
      <c r="AE3" t="s">
        <v>1393</v>
      </c>
      <c r="AF3" t="s">
        <v>588</v>
      </c>
      <c r="AG3" t="s">
        <v>1416</v>
      </c>
      <c r="AH3" t="s">
        <v>180</v>
      </c>
      <c r="AI3" t="s">
        <v>305</v>
      </c>
      <c r="AJ3" t="s">
        <v>591</v>
      </c>
      <c r="AK3" t="s">
        <v>24</v>
      </c>
      <c r="AL3" t="s">
        <v>120</v>
      </c>
      <c r="AM3" t="s">
        <v>884</v>
      </c>
      <c r="AN3" t="s">
        <v>1327</v>
      </c>
      <c r="AO3" t="s">
        <v>551</v>
      </c>
      <c r="AP3" t="s">
        <v>348</v>
      </c>
    </row>
    <row r="4" spans="1:42" x14ac:dyDescent="0.3">
      <c r="A4" t="s">
        <v>751</v>
      </c>
      <c r="B4" t="s">
        <v>454</v>
      </c>
      <c r="C4" t="s">
        <v>278</v>
      </c>
      <c r="D4" t="s">
        <v>486</v>
      </c>
      <c r="E4" t="s">
        <v>1085</v>
      </c>
      <c r="F4" t="s">
        <v>1118</v>
      </c>
      <c r="G4" t="s">
        <v>982</v>
      </c>
      <c r="H4" t="s">
        <v>50</v>
      </c>
      <c r="I4" t="s">
        <v>1147</v>
      </c>
      <c r="J4" t="s">
        <v>538</v>
      </c>
      <c r="K4" t="s">
        <v>1301</v>
      </c>
      <c r="L4" t="s">
        <v>1208</v>
      </c>
      <c r="M4" t="s">
        <v>809</v>
      </c>
      <c r="N4" t="s">
        <v>2476</v>
      </c>
      <c r="O4" t="s">
        <v>1230</v>
      </c>
      <c r="P4" t="s">
        <v>762</v>
      </c>
      <c r="Q4" t="s">
        <v>1008</v>
      </c>
      <c r="R4" t="s">
        <v>201</v>
      </c>
      <c r="S4" t="s">
        <v>1268</v>
      </c>
      <c r="T4" t="s">
        <v>525</v>
      </c>
      <c r="U4" t="s">
        <v>424</v>
      </c>
      <c r="V4" t="s">
        <v>300</v>
      </c>
      <c r="W4" t="s">
        <v>1606</v>
      </c>
      <c r="X4" t="s">
        <v>248</v>
      </c>
      <c r="Y4" t="s">
        <v>1168</v>
      </c>
      <c r="Z4" t="s">
        <v>318</v>
      </c>
      <c r="AA4" t="s">
        <v>191</v>
      </c>
      <c r="AB4" t="s">
        <v>941</v>
      </c>
      <c r="AC4" t="s">
        <v>90</v>
      </c>
      <c r="AD4" t="s">
        <v>446</v>
      </c>
      <c r="AE4" t="s">
        <v>1394</v>
      </c>
      <c r="AF4" t="s">
        <v>752</v>
      </c>
      <c r="AG4" t="s">
        <v>1417</v>
      </c>
      <c r="AH4" t="s">
        <v>181</v>
      </c>
      <c r="AI4" t="s">
        <v>306</v>
      </c>
      <c r="AJ4" t="s">
        <v>780</v>
      </c>
      <c r="AK4" t="s">
        <v>585</v>
      </c>
      <c r="AL4" t="s">
        <v>121</v>
      </c>
      <c r="AM4" t="s">
        <v>885</v>
      </c>
      <c r="AN4" t="s">
        <v>1328</v>
      </c>
      <c r="AO4" t="s">
        <v>552</v>
      </c>
      <c r="AP4" t="s">
        <v>349</v>
      </c>
    </row>
    <row r="5" spans="1:42" x14ac:dyDescent="0.3">
      <c r="A5" t="s">
        <v>602</v>
      </c>
      <c r="B5" t="s">
        <v>455</v>
      </c>
      <c r="C5" t="s">
        <v>279</v>
      </c>
      <c r="D5" t="s">
        <v>487</v>
      </c>
      <c r="E5" t="s">
        <v>1086</v>
      </c>
      <c r="F5" t="s">
        <v>1119</v>
      </c>
      <c r="G5" t="s">
        <v>983</v>
      </c>
      <c r="H5" t="s">
        <v>51</v>
      </c>
      <c r="I5" t="s">
        <v>1148</v>
      </c>
      <c r="J5" t="s">
        <v>1418</v>
      </c>
      <c r="K5" t="s">
        <v>1302</v>
      </c>
      <c r="L5" t="s">
        <v>1209</v>
      </c>
      <c r="M5" t="s">
        <v>810</v>
      </c>
      <c r="N5" t="s">
        <v>2477</v>
      </c>
      <c r="O5" t="s">
        <v>1231</v>
      </c>
      <c r="P5" t="s">
        <v>640</v>
      </c>
      <c r="Q5" t="s">
        <v>1009</v>
      </c>
      <c r="R5" t="s">
        <v>202</v>
      </c>
      <c r="S5" t="s">
        <v>1269</v>
      </c>
      <c r="T5" t="s">
        <v>964</v>
      </c>
      <c r="U5" t="s">
        <v>425</v>
      </c>
      <c r="V5" t="s">
        <v>301</v>
      </c>
      <c r="W5" t="s">
        <v>1607</v>
      </c>
      <c r="X5" t="s">
        <v>249</v>
      </c>
      <c r="Y5" t="s">
        <v>1169</v>
      </c>
      <c r="Z5" t="s">
        <v>319</v>
      </c>
      <c r="AA5" t="s">
        <v>1209</v>
      </c>
      <c r="AB5" t="s">
        <v>850</v>
      </c>
      <c r="AC5" t="s">
        <v>91</v>
      </c>
      <c r="AD5" t="s">
        <v>447</v>
      </c>
      <c r="AE5" t="s">
        <v>1395</v>
      </c>
      <c r="AF5" t="s">
        <v>608</v>
      </c>
      <c r="AG5" t="s">
        <v>1418</v>
      </c>
      <c r="AH5" t="s">
        <v>182</v>
      </c>
      <c r="AI5" t="s">
        <v>307</v>
      </c>
      <c r="AJ5" t="s">
        <v>641</v>
      </c>
      <c r="AK5" t="s">
        <v>25</v>
      </c>
      <c r="AL5" t="s">
        <v>122</v>
      </c>
      <c r="AM5" t="s">
        <v>886</v>
      </c>
      <c r="AN5" t="s">
        <v>1329</v>
      </c>
      <c r="AO5" t="s">
        <v>553</v>
      </c>
      <c r="AP5" t="s">
        <v>350</v>
      </c>
    </row>
    <row r="6" spans="1:42" x14ac:dyDescent="0.3">
      <c r="A6" t="s">
        <v>603</v>
      </c>
      <c r="B6" t="s">
        <v>456</v>
      </c>
      <c r="C6" t="s">
        <v>280</v>
      </c>
      <c r="D6" t="s">
        <v>488</v>
      </c>
      <c r="E6" t="s">
        <v>1087</v>
      </c>
      <c r="F6" t="s">
        <v>1120</v>
      </c>
      <c r="G6" t="s">
        <v>984</v>
      </c>
      <c r="H6" t="s">
        <v>52</v>
      </c>
      <c r="I6" t="s">
        <v>1149</v>
      </c>
      <c r="J6" t="s">
        <v>1419</v>
      </c>
      <c r="K6" t="s">
        <v>1303</v>
      </c>
      <c r="L6" t="s">
        <v>1210</v>
      </c>
      <c r="M6" t="s">
        <v>811</v>
      </c>
      <c r="N6" t="s">
        <v>2478</v>
      </c>
      <c r="O6" t="s">
        <v>1232</v>
      </c>
      <c r="P6" t="s">
        <v>642</v>
      </c>
      <c r="Q6" t="s">
        <v>1010</v>
      </c>
      <c r="R6" t="s">
        <v>203</v>
      </c>
      <c r="S6" t="s">
        <v>1270</v>
      </c>
      <c r="T6" t="s">
        <v>965</v>
      </c>
      <c r="U6" t="s">
        <v>426</v>
      </c>
      <c r="V6" t="s">
        <v>1062</v>
      </c>
      <c r="W6" t="s">
        <v>1368</v>
      </c>
      <c r="X6" t="s">
        <v>250</v>
      </c>
      <c r="Y6" t="s">
        <v>1170</v>
      </c>
      <c r="Z6" t="s">
        <v>320</v>
      </c>
      <c r="AA6" t="s">
        <v>1210</v>
      </c>
      <c r="AB6" t="s">
        <v>851</v>
      </c>
      <c r="AC6" t="s">
        <v>92</v>
      </c>
      <c r="AD6" t="s">
        <v>448</v>
      </c>
      <c r="AE6" t="s">
        <v>1210</v>
      </c>
      <c r="AF6" t="s">
        <v>609</v>
      </c>
      <c r="AG6" t="s">
        <v>1419</v>
      </c>
      <c r="AH6" t="s">
        <v>1303</v>
      </c>
      <c r="AI6" t="s">
        <v>308</v>
      </c>
      <c r="AJ6" t="s">
        <v>643</v>
      </c>
      <c r="AK6" t="s">
        <v>26</v>
      </c>
      <c r="AL6" t="s">
        <v>123</v>
      </c>
      <c r="AM6" t="s">
        <v>887</v>
      </c>
      <c r="AN6" t="s">
        <v>1330</v>
      </c>
      <c r="AO6" t="s">
        <v>554</v>
      </c>
      <c r="AP6" t="s">
        <v>351</v>
      </c>
    </row>
    <row r="7" spans="1:42" x14ac:dyDescent="0.3">
      <c r="A7" t="s">
        <v>634</v>
      </c>
      <c r="B7" t="s">
        <v>457</v>
      </c>
      <c r="C7" t="s">
        <v>281</v>
      </c>
      <c r="D7" t="s">
        <v>489</v>
      </c>
      <c r="E7" t="s">
        <v>1088</v>
      </c>
      <c r="F7" t="s">
        <v>1121</v>
      </c>
      <c r="G7" t="s">
        <v>985</v>
      </c>
      <c r="H7" t="s">
        <v>53</v>
      </c>
      <c r="I7" t="s">
        <v>1150</v>
      </c>
      <c r="J7" t="s">
        <v>0</v>
      </c>
      <c r="K7" t="s">
        <v>1304</v>
      </c>
      <c r="L7" t="s">
        <v>1211</v>
      </c>
      <c r="M7" t="s">
        <v>812</v>
      </c>
      <c r="N7" t="s">
        <v>644</v>
      </c>
      <c r="O7" t="s">
        <v>1233</v>
      </c>
      <c r="P7" t="s">
        <v>763</v>
      </c>
      <c r="Q7" t="s">
        <v>1011</v>
      </c>
      <c r="R7" t="s">
        <v>204</v>
      </c>
      <c r="S7" t="s">
        <v>1271</v>
      </c>
      <c r="T7" t="s">
        <v>526</v>
      </c>
      <c r="U7" t="s">
        <v>427</v>
      </c>
      <c r="V7" t="s">
        <v>302</v>
      </c>
      <c r="W7" t="s">
        <v>1608</v>
      </c>
      <c r="X7" t="s">
        <v>251</v>
      </c>
      <c r="Y7" t="s">
        <v>1171</v>
      </c>
      <c r="Z7" t="s">
        <v>321</v>
      </c>
      <c r="AA7" t="s">
        <v>192</v>
      </c>
      <c r="AB7" t="s">
        <v>852</v>
      </c>
      <c r="AC7" t="s">
        <v>93</v>
      </c>
      <c r="AD7" t="s">
        <v>449</v>
      </c>
      <c r="AE7" t="s">
        <v>1396</v>
      </c>
      <c r="AF7" t="s">
        <v>610</v>
      </c>
      <c r="AG7" t="s">
        <v>0</v>
      </c>
      <c r="AH7" t="s">
        <v>183</v>
      </c>
      <c r="AI7" t="s">
        <v>309</v>
      </c>
      <c r="AJ7" t="s">
        <v>645</v>
      </c>
      <c r="AK7" t="s">
        <v>586</v>
      </c>
      <c r="AL7" t="s">
        <v>124</v>
      </c>
      <c r="AM7" t="s">
        <v>888</v>
      </c>
      <c r="AN7" t="s">
        <v>1331</v>
      </c>
      <c r="AO7" t="s">
        <v>555</v>
      </c>
      <c r="AP7" t="s">
        <v>352</v>
      </c>
    </row>
    <row r="8" spans="1:42" x14ac:dyDescent="0.3">
      <c r="A8" t="s">
        <v>601</v>
      </c>
      <c r="B8" t="s">
        <v>458</v>
      </c>
      <c r="C8" t="s">
        <v>282</v>
      </c>
      <c r="D8" t="s">
        <v>490</v>
      </c>
      <c r="E8" t="s">
        <v>601</v>
      </c>
      <c r="F8" t="s">
        <v>611</v>
      </c>
      <c r="G8" t="s">
        <v>601</v>
      </c>
      <c r="H8" t="s">
        <v>54</v>
      </c>
      <c r="I8" t="s">
        <v>1151</v>
      </c>
      <c r="J8" t="s">
        <v>646</v>
      </c>
      <c r="K8" t="s">
        <v>1305</v>
      </c>
      <c r="L8" t="s">
        <v>646</v>
      </c>
      <c r="M8" t="s">
        <v>646</v>
      </c>
      <c r="N8" t="s">
        <v>646</v>
      </c>
      <c r="O8" t="s">
        <v>1234</v>
      </c>
      <c r="P8" t="s">
        <v>646</v>
      </c>
      <c r="Q8" t="s">
        <v>1012</v>
      </c>
      <c r="R8" t="s">
        <v>205</v>
      </c>
      <c r="S8" t="s">
        <v>1272</v>
      </c>
      <c r="T8" t="s">
        <v>601</v>
      </c>
      <c r="U8" t="s">
        <v>428</v>
      </c>
      <c r="V8" t="s">
        <v>646</v>
      </c>
      <c r="W8" t="s">
        <v>1369</v>
      </c>
      <c r="X8" t="s">
        <v>239</v>
      </c>
      <c r="Y8" t="s">
        <v>1172</v>
      </c>
      <c r="Z8" t="s">
        <v>322</v>
      </c>
      <c r="AA8" t="s">
        <v>646</v>
      </c>
      <c r="AB8" t="s">
        <v>853</v>
      </c>
      <c r="AC8" t="s">
        <v>94</v>
      </c>
      <c r="AD8" t="s">
        <v>601</v>
      </c>
      <c r="AE8" t="s">
        <v>1397</v>
      </c>
      <c r="AF8" t="s">
        <v>611</v>
      </c>
      <c r="AG8" t="s">
        <v>646</v>
      </c>
      <c r="AH8" t="s">
        <v>1305</v>
      </c>
      <c r="AI8" t="s">
        <v>646</v>
      </c>
      <c r="AJ8" t="s">
        <v>601</v>
      </c>
      <c r="AK8" t="s">
        <v>601</v>
      </c>
      <c r="AL8" t="s">
        <v>125</v>
      </c>
      <c r="AM8" t="s">
        <v>601</v>
      </c>
      <c r="AN8" t="s">
        <v>1332</v>
      </c>
      <c r="AO8" t="s">
        <v>556</v>
      </c>
      <c r="AP8" t="s">
        <v>353</v>
      </c>
    </row>
    <row r="9" spans="1:42" x14ac:dyDescent="0.3">
      <c r="A9" t="s">
        <v>607</v>
      </c>
      <c r="B9" t="s">
        <v>459</v>
      </c>
      <c r="C9" t="s">
        <v>925</v>
      </c>
      <c r="D9" t="s">
        <v>491</v>
      </c>
      <c r="E9" t="s">
        <v>1089</v>
      </c>
      <c r="F9" t="s">
        <v>1122</v>
      </c>
      <c r="G9" t="s">
        <v>889</v>
      </c>
      <c r="H9" t="s">
        <v>55</v>
      </c>
      <c r="I9" t="s">
        <v>1152</v>
      </c>
      <c r="J9" t="s">
        <v>1398</v>
      </c>
      <c r="K9" t="s">
        <v>1306</v>
      </c>
      <c r="L9" t="s">
        <v>647</v>
      </c>
      <c r="M9" t="s">
        <v>813</v>
      </c>
      <c r="N9" t="s">
        <v>648</v>
      </c>
      <c r="O9" t="s">
        <v>1235</v>
      </c>
      <c r="P9" t="s">
        <v>647</v>
      </c>
      <c r="Q9" t="s">
        <v>1013</v>
      </c>
      <c r="R9" t="s">
        <v>206</v>
      </c>
      <c r="S9" t="s">
        <v>1273</v>
      </c>
      <c r="T9" t="s">
        <v>527</v>
      </c>
      <c r="U9" t="s">
        <v>429</v>
      </c>
      <c r="V9" t="s">
        <v>1063</v>
      </c>
      <c r="W9" t="s">
        <v>1370</v>
      </c>
      <c r="X9" t="s">
        <v>252</v>
      </c>
      <c r="Y9" t="s">
        <v>1122</v>
      </c>
      <c r="Z9" t="s">
        <v>27</v>
      </c>
      <c r="AA9" t="s">
        <v>647</v>
      </c>
      <c r="AB9" t="s">
        <v>854</v>
      </c>
      <c r="AC9" t="s">
        <v>1398</v>
      </c>
      <c r="AD9" t="s">
        <v>649</v>
      </c>
      <c r="AE9" t="s">
        <v>1398</v>
      </c>
      <c r="AF9" t="s">
        <v>612</v>
      </c>
      <c r="AG9" t="s">
        <v>1398</v>
      </c>
      <c r="AH9" t="s">
        <v>1306</v>
      </c>
      <c r="AI9" t="s">
        <v>1306</v>
      </c>
      <c r="AJ9" t="s">
        <v>649</v>
      </c>
      <c r="AK9" t="s">
        <v>27</v>
      </c>
      <c r="AL9" t="s">
        <v>126</v>
      </c>
      <c r="AM9" t="s">
        <v>889</v>
      </c>
      <c r="AN9" t="s">
        <v>1333</v>
      </c>
      <c r="AO9" t="s">
        <v>1122</v>
      </c>
      <c r="AP9" t="s">
        <v>348</v>
      </c>
    </row>
    <row r="10" spans="1:42" x14ac:dyDescent="0.3">
      <c r="A10" t="s">
        <v>738</v>
      </c>
      <c r="B10" t="s">
        <v>594</v>
      </c>
      <c r="C10" t="s">
        <v>926</v>
      </c>
      <c r="D10" t="s">
        <v>492</v>
      </c>
      <c r="E10" t="s">
        <v>890</v>
      </c>
      <c r="F10" t="s">
        <v>1123</v>
      </c>
      <c r="G10" t="s">
        <v>740</v>
      </c>
      <c r="H10" t="s">
        <v>56</v>
      </c>
      <c r="I10" t="s">
        <v>1153</v>
      </c>
      <c r="J10" t="s">
        <v>738</v>
      </c>
      <c r="K10" t="s">
        <v>1307</v>
      </c>
      <c r="L10" t="s">
        <v>739</v>
      </c>
      <c r="M10" t="s">
        <v>814</v>
      </c>
      <c r="N10" t="s">
        <v>740</v>
      </c>
      <c r="O10" t="s">
        <v>1236</v>
      </c>
      <c r="P10" t="s">
        <v>739</v>
      </c>
      <c r="Q10" t="s">
        <v>1014</v>
      </c>
      <c r="R10" t="s">
        <v>207</v>
      </c>
      <c r="S10" t="s">
        <v>892</v>
      </c>
      <c r="T10" t="s">
        <v>966</v>
      </c>
      <c r="U10" t="s">
        <v>594</v>
      </c>
      <c r="V10" t="s">
        <v>650</v>
      </c>
      <c r="W10" t="s">
        <v>1371</v>
      </c>
      <c r="X10" t="s">
        <v>253</v>
      </c>
      <c r="Y10" t="s">
        <v>1203</v>
      </c>
      <c r="Z10" t="s">
        <v>594</v>
      </c>
      <c r="AA10" t="s">
        <v>716</v>
      </c>
      <c r="AB10" t="s">
        <v>855</v>
      </c>
      <c r="AC10" t="s">
        <v>892</v>
      </c>
      <c r="AD10" t="s">
        <v>740</v>
      </c>
      <c r="AE10" t="s">
        <v>740</v>
      </c>
      <c r="AF10" t="s">
        <v>613</v>
      </c>
      <c r="AG10" t="s">
        <v>1</v>
      </c>
      <c r="AH10" t="s">
        <v>1307</v>
      </c>
      <c r="AI10" t="s">
        <v>738</v>
      </c>
      <c r="AJ10" t="s">
        <v>740</v>
      </c>
      <c r="AK10" t="s">
        <v>28</v>
      </c>
      <c r="AL10" t="s">
        <v>127</v>
      </c>
      <c r="AM10" t="s">
        <v>890</v>
      </c>
      <c r="AN10" t="s">
        <v>1334</v>
      </c>
      <c r="AO10" t="s">
        <v>557</v>
      </c>
      <c r="AP10" t="s">
        <v>354</v>
      </c>
    </row>
    <row r="11" spans="1:42" x14ac:dyDescent="0.3">
      <c r="A11" t="s">
        <v>592</v>
      </c>
      <c r="B11" t="s">
        <v>29</v>
      </c>
      <c r="C11" t="s">
        <v>927</v>
      </c>
      <c r="D11" t="s">
        <v>493</v>
      </c>
      <c r="E11" t="s">
        <v>1090</v>
      </c>
      <c r="F11" t="s">
        <v>614</v>
      </c>
      <c r="G11" t="s">
        <v>650</v>
      </c>
      <c r="H11" t="s">
        <v>57</v>
      </c>
      <c r="I11" t="s">
        <v>1154</v>
      </c>
      <c r="J11" t="s">
        <v>592</v>
      </c>
      <c r="K11" t="s">
        <v>651</v>
      </c>
      <c r="L11" t="s">
        <v>651</v>
      </c>
      <c r="M11" t="s">
        <v>592</v>
      </c>
      <c r="N11" t="s">
        <v>651</v>
      </c>
      <c r="O11" t="s">
        <v>1237</v>
      </c>
      <c r="P11" t="s">
        <v>716</v>
      </c>
      <c r="Q11" t="s">
        <v>1015</v>
      </c>
      <c r="R11" t="s">
        <v>208</v>
      </c>
      <c r="S11" t="s">
        <v>1274</v>
      </c>
      <c r="T11" t="s">
        <v>967</v>
      </c>
      <c r="U11" t="s">
        <v>193</v>
      </c>
      <c r="V11" t="s">
        <v>651</v>
      </c>
      <c r="W11" t="s">
        <v>1372</v>
      </c>
      <c r="X11" t="s">
        <v>594</v>
      </c>
      <c r="Y11" t="s">
        <v>614</v>
      </c>
      <c r="Z11" t="s">
        <v>749</v>
      </c>
      <c r="AA11" t="s">
        <v>651</v>
      </c>
      <c r="AB11" t="s">
        <v>856</v>
      </c>
      <c r="AC11" t="s">
        <v>1307</v>
      </c>
      <c r="AD11" t="s">
        <v>651</v>
      </c>
      <c r="AE11" t="s">
        <v>651</v>
      </c>
      <c r="AF11" t="s">
        <v>615</v>
      </c>
      <c r="AG11" t="s">
        <v>652</v>
      </c>
      <c r="AH11" t="s">
        <v>651</v>
      </c>
      <c r="AI11" t="s">
        <v>592</v>
      </c>
      <c r="AJ11" t="s">
        <v>650</v>
      </c>
      <c r="AK11" t="s">
        <v>651</v>
      </c>
      <c r="AL11" t="s">
        <v>128</v>
      </c>
      <c r="AM11" t="s">
        <v>650</v>
      </c>
      <c r="AN11" t="s">
        <v>1213</v>
      </c>
      <c r="AO11" t="s">
        <v>615</v>
      </c>
      <c r="AP11" t="s">
        <v>355</v>
      </c>
    </row>
    <row r="12" spans="1:42" x14ac:dyDescent="0.3">
      <c r="A12" t="s">
        <v>743</v>
      </c>
      <c r="B12" t="s">
        <v>460</v>
      </c>
      <c r="C12" t="s">
        <v>928</v>
      </c>
      <c r="D12" t="s">
        <v>494</v>
      </c>
      <c r="E12" t="s">
        <v>1091</v>
      </c>
      <c r="F12" t="s">
        <v>1124</v>
      </c>
      <c r="G12" t="s">
        <v>986</v>
      </c>
      <c r="H12" t="s">
        <v>58</v>
      </c>
      <c r="I12" t="s">
        <v>1155</v>
      </c>
      <c r="J12" t="s">
        <v>743</v>
      </c>
      <c r="K12" t="s">
        <v>749</v>
      </c>
      <c r="L12" t="s">
        <v>1212</v>
      </c>
      <c r="M12" t="s">
        <v>650</v>
      </c>
      <c r="N12" t="s">
        <v>717</v>
      </c>
      <c r="O12" t="s">
        <v>1238</v>
      </c>
      <c r="P12" t="s">
        <v>743</v>
      </c>
      <c r="Q12" t="s">
        <v>1016</v>
      </c>
      <c r="R12" t="s">
        <v>209</v>
      </c>
      <c r="S12" t="s">
        <v>593</v>
      </c>
      <c r="T12" t="s">
        <v>528</v>
      </c>
      <c r="U12" t="s">
        <v>430</v>
      </c>
      <c r="V12" t="s">
        <v>652</v>
      </c>
      <c r="W12" t="s">
        <v>1373</v>
      </c>
      <c r="X12" t="s">
        <v>254</v>
      </c>
      <c r="Y12" t="s">
        <v>744</v>
      </c>
      <c r="Z12" t="s">
        <v>1399</v>
      </c>
      <c r="AA12" t="s">
        <v>1213</v>
      </c>
      <c r="AB12" t="s">
        <v>857</v>
      </c>
      <c r="AC12" t="s">
        <v>749</v>
      </c>
      <c r="AD12" t="s">
        <v>986</v>
      </c>
      <c r="AE12" t="s">
        <v>986</v>
      </c>
      <c r="AF12" t="s">
        <v>744</v>
      </c>
      <c r="AG12" t="s">
        <v>2</v>
      </c>
      <c r="AH12" t="s">
        <v>749</v>
      </c>
      <c r="AI12" t="s">
        <v>743</v>
      </c>
      <c r="AJ12" t="s">
        <v>743</v>
      </c>
      <c r="AK12" t="s">
        <v>890</v>
      </c>
      <c r="AL12" t="s">
        <v>129</v>
      </c>
      <c r="AM12" t="s">
        <v>891</v>
      </c>
      <c r="AN12" t="s">
        <v>1091</v>
      </c>
      <c r="AO12" t="s">
        <v>744</v>
      </c>
      <c r="AP12" t="s">
        <v>356</v>
      </c>
    </row>
    <row r="13" spans="1:42" x14ac:dyDescent="0.3">
      <c r="A13" t="s">
        <v>594</v>
      </c>
      <c r="B13" t="s">
        <v>1091</v>
      </c>
      <c r="C13" t="s">
        <v>929</v>
      </c>
      <c r="D13" t="s">
        <v>495</v>
      </c>
      <c r="E13" t="s">
        <v>892</v>
      </c>
      <c r="F13" t="s">
        <v>1125</v>
      </c>
      <c r="G13" t="s">
        <v>652</v>
      </c>
      <c r="H13" t="s">
        <v>59</v>
      </c>
      <c r="I13" t="s">
        <v>1156</v>
      </c>
      <c r="J13" t="s">
        <v>594</v>
      </c>
      <c r="K13" t="s">
        <v>652</v>
      </c>
      <c r="L13" t="s">
        <v>1213</v>
      </c>
      <c r="M13" t="s">
        <v>651</v>
      </c>
      <c r="N13" t="s">
        <v>593</v>
      </c>
      <c r="O13" t="s">
        <v>1239</v>
      </c>
      <c r="P13" t="s">
        <v>717</v>
      </c>
      <c r="Q13" t="s">
        <v>1017</v>
      </c>
      <c r="R13" t="s">
        <v>210</v>
      </c>
      <c r="S13" t="s">
        <v>651</v>
      </c>
      <c r="T13" t="s">
        <v>968</v>
      </c>
      <c r="U13" t="s">
        <v>1213</v>
      </c>
      <c r="V13" t="s">
        <v>716</v>
      </c>
      <c r="W13" t="s">
        <v>1374</v>
      </c>
      <c r="X13" t="s">
        <v>652</v>
      </c>
      <c r="Y13" t="s">
        <v>613</v>
      </c>
      <c r="Z13" t="s">
        <v>1213</v>
      </c>
      <c r="AA13" t="s">
        <v>193</v>
      </c>
      <c r="AB13" t="s">
        <v>858</v>
      </c>
      <c r="AC13" t="s">
        <v>652</v>
      </c>
      <c r="AD13" t="s">
        <v>593</v>
      </c>
      <c r="AE13" t="s">
        <v>1399</v>
      </c>
      <c r="AF13" t="s">
        <v>614</v>
      </c>
      <c r="AG13" t="s">
        <v>1399</v>
      </c>
      <c r="AH13" t="s">
        <v>652</v>
      </c>
      <c r="AI13" t="s">
        <v>594</v>
      </c>
      <c r="AJ13" t="s">
        <v>652</v>
      </c>
      <c r="AK13" t="s">
        <v>29</v>
      </c>
      <c r="AL13" t="s">
        <v>130</v>
      </c>
      <c r="AM13" t="s">
        <v>892</v>
      </c>
      <c r="AN13" t="s">
        <v>891</v>
      </c>
      <c r="AO13" t="s">
        <v>614</v>
      </c>
      <c r="AP13" t="s">
        <v>357</v>
      </c>
    </row>
    <row r="14" spans="1:42" x14ac:dyDescent="0.3">
      <c r="A14" t="s">
        <v>604</v>
      </c>
      <c r="B14" t="s">
        <v>461</v>
      </c>
      <c r="C14" t="s">
        <v>283</v>
      </c>
      <c r="D14" t="s">
        <v>496</v>
      </c>
      <c r="E14" t="s">
        <v>1092</v>
      </c>
      <c r="F14" t="s">
        <v>1126</v>
      </c>
      <c r="G14" t="s">
        <v>720</v>
      </c>
      <c r="H14" t="s">
        <v>60</v>
      </c>
      <c r="I14" t="s">
        <v>1157</v>
      </c>
      <c r="J14" t="s">
        <v>604</v>
      </c>
      <c r="K14" t="s">
        <v>1308</v>
      </c>
      <c r="L14" t="s">
        <v>1214</v>
      </c>
      <c r="M14" t="s">
        <v>815</v>
      </c>
      <c r="N14" t="s">
        <v>719</v>
      </c>
      <c r="O14" t="s">
        <v>1240</v>
      </c>
      <c r="P14" t="s">
        <v>718</v>
      </c>
      <c r="Q14" t="s">
        <v>1018</v>
      </c>
      <c r="R14" t="s">
        <v>211</v>
      </c>
      <c r="S14" t="s">
        <v>1275</v>
      </c>
      <c r="T14" t="s">
        <v>529</v>
      </c>
      <c r="U14" t="s">
        <v>431</v>
      </c>
      <c r="V14" t="s">
        <v>303</v>
      </c>
      <c r="W14" t="s">
        <v>1375</v>
      </c>
      <c r="X14" t="s">
        <v>255</v>
      </c>
      <c r="Y14" t="s">
        <v>1204</v>
      </c>
      <c r="Z14" t="s">
        <v>584</v>
      </c>
      <c r="AA14" t="s">
        <v>194</v>
      </c>
      <c r="AB14" t="s">
        <v>859</v>
      </c>
      <c r="AC14" t="s">
        <v>95</v>
      </c>
      <c r="AD14" t="s">
        <v>450</v>
      </c>
      <c r="AE14" t="s">
        <v>1400</v>
      </c>
      <c r="AF14" t="s">
        <v>616</v>
      </c>
      <c r="AG14" t="s">
        <v>3</v>
      </c>
      <c r="AH14" t="s">
        <v>184</v>
      </c>
      <c r="AI14" t="s">
        <v>604</v>
      </c>
      <c r="AJ14" t="s">
        <v>720</v>
      </c>
      <c r="AK14" t="s">
        <v>30</v>
      </c>
      <c r="AL14" t="s">
        <v>131</v>
      </c>
      <c r="AM14" t="s">
        <v>893</v>
      </c>
      <c r="AN14" t="s">
        <v>1335</v>
      </c>
      <c r="AO14" t="s">
        <v>558</v>
      </c>
      <c r="AP14" t="s">
        <v>358</v>
      </c>
    </row>
    <row r="15" spans="1:42" x14ac:dyDescent="0.3">
      <c r="A15" t="s">
        <v>734</v>
      </c>
      <c r="B15" t="s">
        <v>462</v>
      </c>
      <c r="C15" t="s">
        <v>930</v>
      </c>
      <c r="D15" t="s">
        <v>497</v>
      </c>
      <c r="E15" t="s">
        <v>1093</v>
      </c>
      <c r="F15" t="s">
        <v>1127</v>
      </c>
      <c r="G15" t="s">
        <v>987</v>
      </c>
      <c r="H15" t="s">
        <v>61</v>
      </c>
      <c r="I15" t="s">
        <v>1158</v>
      </c>
      <c r="J15" t="s">
        <v>734</v>
      </c>
      <c r="K15" t="s">
        <v>1309</v>
      </c>
      <c r="L15" t="s">
        <v>734</v>
      </c>
      <c r="M15" t="s">
        <v>734</v>
      </c>
      <c r="N15" t="s">
        <v>736</v>
      </c>
      <c r="O15" t="s">
        <v>1241</v>
      </c>
      <c r="P15" t="s">
        <v>735</v>
      </c>
      <c r="Q15" t="s">
        <v>1019</v>
      </c>
      <c r="R15" t="s">
        <v>212</v>
      </c>
      <c r="S15" t="s">
        <v>734</v>
      </c>
      <c r="T15" t="s">
        <v>530</v>
      </c>
      <c r="U15" t="s">
        <v>432</v>
      </c>
      <c r="V15" t="s">
        <v>1064</v>
      </c>
      <c r="W15" t="s">
        <v>1376</v>
      </c>
      <c r="X15" t="s">
        <v>256</v>
      </c>
      <c r="Y15" t="s">
        <v>1205</v>
      </c>
      <c r="Z15" t="s">
        <v>652</v>
      </c>
      <c r="AA15" t="s">
        <v>652</v>
      </c>
      <c r="AB15" t="s">
        <v>860</v>
      </c>
      <c r="AC15" t="s">
        <v>96</v>
      </c>
      <c r="AD15" t="s">
        <v>652</v>
      </c>
      <c r="AE15" t="s">
        <v>652</v>
      </c>
      <c r="AF15" t="s">
        <v>737</v>
      </c>
      <c r="AG15" t="s">
        <v>4</v>
      </c>
      <c r="AH15" t="s">
        <v>1309</v>
      </c>
      <c r="AI15" t="s">
        <v>734</v>
      </c>
      <c r="AJ15" t="s">
        <v>736</v>
      </c>
      <c r="AK15" t="s">
        <v>652</v>
      </c>
      <c r="AL15" t="s">
        <v>132</v>
      </c>
      <c r="AM15" t="s">
        <v>652</v>
      </c>
      <c r="AN15" t="s">
        <v>1336</v>
      </c>
      <c r="AO15" t="s">
        <v>1203</v>
      </c>
      <c r="AP15" t="s">
        <v>359</v>
      </c>
    </row>
    <row r="18" spans="1:42" x14ac:dyDescent="0.3">
      <c r="A18" t="s">
        <v>706</v>
      </c>
      <c r="B18" t="s">
        <v>463</v>
      </c>
      <c r="C18" t="s">
        <v>931</v>
      </c>
      <c r="D18" t="s">
        <v>498</v>
      </c>
      <c r="E18" t="s">
        <v>891</v>
      </c>
      <c r="F18" t="s">
        <v>1128</v>
      </c>
      <c r="G18" t="s">
        <v>988</v>
      </c>
      <c r="H18" t="s">
        <v>62</v>
      </c>
      <c r="I18" t="s">
        <v>706</v>
      </c>
      <c r="J18" t="s">
        <v>5</v>
      </c>
      <c r="K18" t="s">
        <v>1310</v>
      </c>
      <c r="L18" t="s">
        <v>1215</v>
      </c>
      <c r="M18" t="s">
        <v>816</v>
      </c>
      <c r="N18" t="s">
        <v>990</v>
      </c>
      <c r="O18" t="s">
        <v>1242</v>
      </c>
      <c r="P18" t="s">
        <v>706</v>
      </c>
      <c r="Q18" t="s">
        <v>1020</v>
      </c>
      <c r="R18" t="s">
        <v>213</v>
      </c>
      <c r="S18" t="s">
        <v>1276</v>
      </c>
      <c r="T18" t="s">
        <v>531</v>
      </c>
      <c r="U18" t="s">
        <v>706</v>
      </c>
      <c r="V18" t="s">
        <v>1065</v>
      </c>
      <c r="W18" t="s">
        <v>1377</v>
      </c>
      <c r="X18" t="s">
        <v>257</v>
      </c>
      <c r="Y18" t="s">
        <v>1128</v>
      </c>
      <c r="Z18" t="s">
        <v>323</v>
      </c>
      <c r="AA18" t="s">
        <v>1215</v>
      </c>
      <c r="AB18" t="s">
        <v>861</v>
      </c>
      <c r="AC18" t="s">
        <v>97</v>
      </c>
      <c r="AD18" t="s">
        <v>1065</v>
      </c>
      <c r="AE18" t="s">
        <v>1401</v>
      </c>
      <c r="AF18" t="s">
        <v>699</v>
      </c>
      <c r="AG18" t="s">
        <v>5</v>
      </c>
      <c r="AH18" t="s">
        <v>1310</v>
      </c>
      <c r="AI18" t="s">
        <v>5</v>
      </c>
      <c r="AJ18" t="s">
        <v>706</v>
      </c>
      <c r="AK18" t="s">
        <v>31</v>
      </c>
      <c r="AL18" t="s">
        <v>133</v>
      </c>
      <c r="AM18" t="s">
        <v>894</v>
      </c>
      <c r="AN18" t="s">
        <v>1337</v>
      </c>
      <c r="AO18" t="s">
        <v>559</v>
      </c>
      <c r="AP18" t="s">
        <v>360</v>
      </c>
    </row>
    <row r="19" spans="1:42" x14ac:dyDescent="0.3">
      <c r="A19" t="s">
        <v>707</v>
      </c>
      <c r="B19" t="s">
        <v>464</v>
      </c>
      <c r="C19" t="s">
        <v>932</v>
      </c>
      <c r="D19" t="s">
        <v>499</v>
      </c>
      <c r="E19" t="s">
        <v>1094</v>
      </c>
      <c r="F19" t="s">
        <v>1129</v>
      </c>
      <c r="G19" t="s">
        <v>989</v>
      </c>
      <c r="H19" t="s">
        <v>63</v>
      </c>
      <c r="I19" t="s">
        <v>707</v>
      </c>
      <c r="J19" t="s">
        <v>6</v>
      </c>
      <c r="K19" t="s">
        <v>1311</v>
      </c>
      <c r="L19" t="s">
        <v>1216</v>
      </c>
      <c r="M19" t="s">
        <v>817</v>
      </c>
      <c r="N19" t="s">
        <v>1066</v>
      </c>
      <c r="O19" t="s">
        <v>1243</v>
      </c>
      <c r="P19" t="s">
        <v>707</v>
      </c>
      <c r="Q19" t="s">
        <v>1021</v>
      </c>
      <c r="R19" t="s">
        <v>214</v>
      </c>
      <c r="S19" t="s">
        <v>1277</v>
      </c>
      <c r="T19" t="s">
        <v>969</v>
      </c>
      <c r="U19" t="s">
        <v>433</v>
      </c>
      <c r="V19" t="s">
        <v>1066</v>
      </c>
      <c r="W19" t="s">
        <v>1378</v>
      </c>
      <c r="X19" t="s">
        <v>258</v>
      </c>
      <c r="Y19" t="s">
        <v>1129</v>
      </c>
      <c r="Z19" t="s">
        <v>324</v>
      </c>
      <c r="AA19" t="s">
        <v>1216</v>
      </c>
      <c r="AB19" t="s">
        <v>862</v>
      </c>
      <c r="AC19" t="s">
        <v>98</v>
      </c>
      <c r="AD19" t="s">
        <v>1194</v>
      </c>
      <c r="AE19" t="s">
        <v>1066</v>
      </c>
      <c r="AF19" t="s">
        <v>700</v>
      </c>
      <c r="AG19" t="s">
        <v>6</v>
      </c>
      <c r="AH19" t="s">
        <v>1311</v>
      </c>
      <c r="AI19" t="s">
        <v>6</v>
      </c>
      <c r="AJ19" t="s">
        <v>707</v>
      </c>
      <c r="AK19" t="s">
        <v>32</v>
      </c>
      <c r="AL19" t="s">
        <v>134</v>
      </c>
      <c r="AM19" t="s">
        <v>895</v>
      </c>
      <c r="AN19" t="s">
        <v>1338</v>
      </c>
      <c r="AO19" t="s">
        <v>700</v>
      </c>
      <c r="AP19" t="s">
        <v>361</v>
      </c>
    </row>
    <row r="20" spans="1:42" x14ac:dyDescent="0.3">
      <c r="A20" t="s">
        <v>708</v>
      </c>
      <c r="B20" t="s">
        <v>713</v>
      </c>
      <c r="C20" t="s">
        <v>933</v>
      </c>
      <c r="D20" t="s">
        <v>500</v>
      </c>
      <c r="E20" t="s">
        <v>1095</v>
      </c>
      <c r="F20" t="s">
        <v>701</v>
      </c>
      <c r="G20" t="s">
        <v>990</v>
      </c>
      <c r="H20" t="s">
        <v>64</v>
      </c>
      <c r="I20" t="s">
        <v>708</v>
      </c>
      <c r="J20" t="s">
        <v>7</v>
      </c>
      <c r="K20" t="s">
        <v>1312</v>
      </c>
      <c r="L20" t="s">
        <v>1217</v>
      </c>
      <c r="M20" t="s">
        <v>818</v>
      </c>
      <c r="N20" t="s">
        <v>713</v>
      </c>
      <c r="O20" t="s">
        <v>1244</v>
      </c>
      <c r="P20" t="s">
        <v>708</v>
      </c>
      <c r="Q20" t="s">
        <v>1022</v>
      </c>
      <c r="R20" t="s">
        <v>215</v>
      </c>
      <c r="S20" t="s">
        <v>1278</v>
      </c>
      <c r="T20" t="s">
        <v>970</v>
      </c>
      <c r="U20" t="s">
        <v>434</v>
      </c>
      <c r="V20" t="s">
        <v>713</v>
      </c>
      <c r="W20" t="s">
        <v>1379</v>
      </c>
      <c r="X20" t="s">
        <v>259</v>
      </c>
      <c r="Y20" t="s">
        <v>1173</v>
      </c>
      <c r="Z20" t="s">
        <v>325</v>
      </c>
      <c r="AA20" t="s">
        <v>195</v>
      </c>
      <c r="AB20" t="s">
        <v>863</v>
      </c>
      <c r="AC20" t="s">
        <v>99</v>
      </c>
      <c r="AD20" t="s">
        <v>1195</v>
      </c>
      <c r="AE20" t="s">
        <v>713</v>
      </c>
      <c r="AF20" t="s">
        <v>701</v>
      </c>
      <c r="AG20" t="s">
        <v>7</v>
      </c>
      <c r="AH20" t="s">
        <v>185</v>
      </c>
      <c r="AI20" t="s">
        <v>1219</v>
      </c>
      <c r="AJ20" t="s">
        <v>708</v>
      </c>
      <c r="AK20" t="s">
        <v>33</v>
      </c>
      <c r="AL20" t="s">
        <v>135</v>
      </c>
      <c r="AM20" t="s">
        <v>896</v>
      </c>
      <c r="AN20" t="s">
        <v>1339</v>
      </c>
      <c r="AO20" t="s">
        <v>701</v>
      </c>
      <c r="AP20" t="s">
        <v>362</v>
      </c>
    </row>
    <row r="21" spans="1:42" x14ac:dyDescent="0.3">
      <c r="A21" t="s">
        <v>709</v>
      </c>
      <c r="B21" t="s">
        <v>465</v>
      </c>
      <c r="C21" t="s">
        <v>284</v>
      </c>
      <c r="D21" t="s">
        <v>501</v>
      </c>
      <c r="E21" t="s">
        <v>1096</v>
      </c>
      <c r="F21" t="s">
        <v>1130</v>
      </c>
      <c r="G21" t="s">
        <v>991</v>
      </c>
      <c r="H21" t="s">
        <v>65</v>
      </c>
      <c r="I21" t="s">
        <v>709</v>
      </c>
      <c r="J21" t="s">
        <v>539</v>
      </c>
      <c r="K21" t="s">
        <v>1313</v>
      </c>
      <c r="L21" t="s">
        <v>1218</v>
      </c>
      <c r="M21" t="s">
        <v>819</v>
      </c>
      <c r="N21" t="s">
        <v>1067</v>
      </c>
      <c r="O21" t="s">
        <v>1245</v>
      </c>
      <c r="P21" t="s">
        <v>709</v>
      </c>
      <c r="Q21" t="s">
        <v>1023</v>
      </c>
      <c r="R21" t="s">
        <v>216</v>
      </c>
      <c r="S21" t="s">
        <v>1279</v>
      </c>
      <c r="T21" t="s">
        <v>971</v>
      </c>
      <c r="U21" t="s">
        <v>435</v>
      </c>
      <c r="V21" t="s">
        <v>1067</v>
      </c>
      <c r="W21" t="s">
        <v>1380</v>
      </c>
      <c r="X21" t="s">
        <v>260</v>
      </c>
      <c r="Y21" t="s">
        <v>1174</v>
      </c>
      <c r="Z21" t="s">
        <v>326</v>
      </c>
      <c r="AA21" t="s">
        <v>1218</v>
      </c>
      <c r="AB21" t="s">
        <v>864</v>
      </c>
      <c r="AC21" t="s">
        <v>100</v>
      </c>
      <c r="AD21" t="s">
        <v>1196</v>
      </c>
      <c r="AE21" t="s">
        <v>1402</v>
      </c>
      <c r="AF21" t="s">
        <v>702</v>
      </c>
      <c r="AG21" t="s">
        <v>8</v>
      </c>
      <c r="AH21" t="s">
        <v>1313</v>
      </c>
      <c r="AI21" t="s">
        <v>8</v>
      </c>
      <c r="AJ21" t="s">
        <v>709</v>
      </c>
      <c r="AK21" t="s">
        <v>1218</v>
      </c>
      <c r="AL21" t="s">
        <v>136</v>
      </c>
      <c r="AM21" t="s">
        <v>897</v>
      </c>
      <c r="AN21" t="s">
        <v>1340</v>
      </c>
      <c r="AO21" t="s">
        <v>702</v>
      </c>
      <c r="AP21" t="s">
        <v>363</v>
      </c>
    </row>
    <row r="22" spans="1:42" x14ac:dyDescent="0.3">
      <c r="A22" t="s">
        <v>710</v>
      </c>
      <c r="B22" t="s">
        <v>466</v>
      </c>
      <c r="C22" t="s">
        <v>934</v>
      </c>
      <c r="D22" t="s">
        <v>502</v>
      </c>
      <c r="E22" t="s">
        <v>1097</v>
      </c>
      <c r="F22" t="s">
        <v>1131</v>
      </c>
      <c r="G22" t="s">
        <v>992</v>
      </c>
      <c r="H22" t="s">
        <v>66</v>
      </c>
      <c r="I22" t="s">
        <v>710</v>
      </c>
      <c r="J22" t="s">
        <v>9</v>
      </c>
      <c r="K22" t="s">
        <v>1314</v>
      </c>
      <c r="L22" t="s">
        <v>1219</v>
      </c>
      <c r="M22" t="s">
        <v>820</v>
      </c>
      <c r="N22" t="s">
        <v>2479</v>
      </c>
      <c r="O22" t="s">
        <v>1246</v>
      </c>
      <c r="P22" t="s">
        <v>710</v>
      </c>
      <c r="Q22" t="s">
        <v>1024</v>
      </c>
      <c r="R22" t="s">
        <v>217</v>
      </c>
      <c r="S22" t="s">
        <v>1280</v>
      </c>
      <c r="T22" t="s">
        <v>972</v>
      </c>
      <c r="U22" t="s">
        <v>436</v>
      </c>
      <c r="V22" t="s">
        <v>1068</v>
      </c>
      <c r="W22" t="s">
        <v>1381</v>
      </c>
      <c r="X22" t="s">
        <v>261</v>
      </c>
      <c r="Y22" t="s">
        <v>1175</v>
      </c>
      <c r="Z22" t="s">
        <v>327</v>
      </c>
      <c r="AA22" t="s">
        <v>196</v>
      </c>
      <c r="AB22" t="s">
        <v>865</v>
      </c>
      <c r="AC22" t="s">
        <v>101</v>
      </c>
      <c r="AD22" t="s">
        <v>1197</v>
      </c>
      <c r="AE22" t="s">
        <v>1403</v>
      </c>
      <c r="AF22" t="s">
        <v>703</v>
      </c>
      <c r="AG22" t="s">
        <v>9</v>
      </c>
      <c r="AH22" t="s">
        <v>186</v>
      </c>
      <c r="AI22" t="s">
        <v>9</v>
      </c>
      <c r="AJ22" t="s">
        <v>710</v>
      </c>
      <c r="AK22" t="s">
        <v>1219</v>
      </c>
      <c r="AL22" t="s">
        <v>137</v>
      </c>
      <c r="AM22" t="s">
        <v>898</v>
      </c>
      <c r="AN22" t="s">
        <v>1341</v>
      </c>
      <c r="AO22" t="s">
        <v>703</v>
      </c>
      <c r="AP22" t="s">
        <v>364</v>
      </c>
    </row>
    <row r="23" spans="1:42" x14ac:dyDescent="0.3">
      <c r="A23" t="s">
        <v>711</v>
      </c>
      <c r="B23" t="s">
        <v>467</v>
      </c>
      <c r="C23" t="s">
        <v>935</v>
      </c>
      <c r="D23" t="s">
        <v>503</v>
      </c>
      <c r="E23" t="s">
        <v>1098</v>
      </c>
      <c r="F23" t="s">
        <v>1132</v>
      </c>
      <c r="G23" t="s">
        <v>993</v>
      </c>
      <c r="H23" t="s">
        <v>67</v>
      </c>
      <c r="I23" t="s">
        <v>711</v>
      </c>
      <c r="J23" t="s">
        <v>10</v>
      </c>
      <c r="K23" t="s">
        <v>1315</v>
      </c>
      <c r="L23" t="s">
        <v>1220</v>
      </c>
      <c r="M23" t="s">
        <v>821</v>
      </c>
      <c r="N23" t="s">
        <v>1069</v>
      </c>
      <c r="O23" t="s">
        <v>1247</v>
      </c>
      <c r="P23" t="s">
        <v>711</v>
      </c>
      <c r="Q23" t="s">
        <v>1025</v>
      </c>
      <c r="R23" t="s">
        <v>218</v>
      </c>
      <c r="S23" t="s">
        <v>1281</v>
      </c>
      <c r="T23" t="s">
        <v>973</v>
      </c>
      <c r="U23" t="s">
        <v>437</v>
      </c>
      <c r="V23" t="s">
        <v>1069</v>
      </c>
      <c r="W23" t="s">
        <v>1382</v>
      </c>
      <c r="X23" t="s">
        <v>262</v>
      </c>
      <c r="Y23" t="s">
        <v>1132</v>
      </c>
      <c r="Z23" t="s">
        <v>328</v>
      </c>
      <c r="AA23" t="s">
        <v>1220</v>
      </c>
      <c r="AB23" t="s">
        <v>866</v>
      </c>
      <c r="AC23" t="s">
        <v>102</v>
      </c>
      <c r="AD23" t="s">
        <v>1198</v>
      </c>
      <c r="AE23" t="s">
        <v>1404</v>
      </c>
      <c r="AF23" t="s">
        <v>704</v>
      </c>
      <c r="AG23" t="s">
        <v>10</v>
      </c>
      <c r="AH23" t="s">
        <v>187</v>
      </c>
      <c r="AI23" t="s">
        <v>10</v>
      </c>
      <c r="AJ23" t="s">
        <v>711</v>
      </c>
      <c r="AK23" t="s">
        <v>1220</v>
      </c>
      <c r="AL23" t="s">
        <v>138</v>
      </c>
      <c r="AM23" t="s">
        <v>899</v>
      </c>
      <c r="AN23" t="s">
        <v>1342</v>
      </c>
      <c r="AO23" t="s">
        <v>704</v>
      </c>
      <c r="AP23" t="s">
        <v>365</v>
      </c>
    </row>
    <row r="24" spans="1:42" x14ac:dyDescent="0.3">
      <c r="A24" t="s">
        <v>712</v>
      </c>
      <c r="B24" t="s">
        <v>468</v>
      </c>
      <c r="C24" t="s">
        <v>936</v>
      </c>
      <c r="D24" t="s">
        <v>504</v>
      </c>
      <c r="E24" t="s">
        <v>1099</v>
      </c>
      <c r="F24" t="s">
        <v>1133</v>
      </c>
      <c r="G24" t="s">
        <v>994</v>
      </c>
      <c r="H24" t="s">
        <v>68</v>
      </c>
      <c r="I24" t="s">
        <v>712</v>
      </c>
      <c r="J24" t="s">
        <v>11</v>
      </c>
      <c r="K24" t="s">
        <v>1316</v>
      </c>
      <c r="L24" t="s">
        <v>1221</v>
      </c>
      <c r="M24" t="s">
        <v>822</v>
      </c>
      <c r="N24" t="s">
        <v>1405</v>
      </c>
      <c r="O24" t="s">
        <v>1248</v>
      </c>
      <c r="P24" t="s">
        <v>712</v>
      </c>
      <c r="Q24" t="s">
        <v>1026</v>
      </c>
      <c r="R24" t="s">
        <v>219</v>
      </c>
      <c r="S24" t="s">
        <v>1282</v>
      </c>
      <c r="T24" t="s">
        <v>974</v>
      </c>
      <c r="U24" t="s">
        <v>438</v>
      </c>
      <c r="V24" t="s">
        <v>974</v>
      </c>
      <c r="W24" t="s">
        <v>1383</v>
      </c>
      <c r="X24" t="s">
        <v>263</v>
      </c>
      <c r="Y24" t="s">
        <v>1176</v>
      </c>
      <c r="Z24" t="s">
        <v>329</v>
      </c>
      <c r="AA24" t="s">
        <v>1221</v>
      </c>
      <c r="AB24" t="s">
        <v>867</v>
      </c>
      <c r="AC24" t="s">
        <v>1316</v>
      </c>
      <c r="AD24" t="s">
        <v>974</v>
      </c>
      <c r="AE24" t="s">
        <v>1405</v>
      </c>
      <c r="AF24" t="s">
        <v>705</v>
      </c>
      <c r="AG24" t="s">
        <v>11</v>
      </c>
      <c r="AH24" t="s">
        <v>1316</v>
      </c>
      <c r="AI24" t="s">
        <v>310</v>
      </c>
      <c r="AJ24" t="s">
        <v>712</v>
      </c>
      <c r="AK24" t="s">
        <v>34</v>
      </c>
      <c r="AL24" t="s">
        <v>139</v>
      </c>
      <c r="AM24" t="s">
        <v>900</v>
      </c>
      <c r="AN24" t="s">
        <v>1343</v>
      </c>
      <c r="AO24" t="s">
        <v>705</v>
      </c>
      <c r="AP24" t="s">
        <v>366</v>
      </c>
    </row>
    <row r="25" spans="1:42" x14ac:dyDescent="0.3">
      <c r="A25" t="s">
        <v>653</v>
      </c>
      <c r="B25" t="s">
        <v>653</v>
      </c>
      <c r="C25" t="s">
        <v>285</v>
      </c>
      <c r="D25" t="s">
        <v>505</v>
      </c>
      <c r="E25" t="s">
        <v>1100</v>
      </c>
      <c r="F25" t="s">
        <v>1134</v>
      </c>
      <c r="G25" t="s">
        <v>995</v>
      </c>
      <c r="H25" t="s">
        <v>69</v>
      </c>
      <c r="I25" t="s">
        <v>653</v>
      </c>
      <c r="J25" t="s">
        <v>540</v>
      </c>
      <c r="K25" t="s">
        <v>653</v>
      </c>
      <c r="L25" t="s">
        <v>653</v>
      </c>
      <c r="M25" t="s">
        <v>653</v>
      </c>
      <c r="N25" t="s">
        <v>721</v>
      </c>
      <c r="O25" t="s">
        <v>1249</v>
      </c>
      <c r="P25" t="s">
        <v>653</v>
      </c>
      <c r="Q25" t="s">
        <v>1027</v>
      </c>
      <c r="R25" t="s">
        <v>220</v>
      </c>
      <c r="S25" t="s">
        <v>653</v>
      </c>
      <c r="T25" t="s">
        <v>653</v>
      </c>
      <c r="U25" t="s">
        <v>653</v>
      </c>
      <c r="V25" t="s">
        <v>995</v>
      </c>
      <c r="W25" t="s">
        <v>1609</v>
      </c>
      <c r="X25" t="s">
        <v>264</v>
      </c>
      <c r="Y25" t="s">
        <v>1177</v>
      </c>
      <c r="Z25" t="s">
        <v>653</v>
      </c>
      <c r="AA25" t="s">
        <v>653</v>
      </c>
      <c r="AB25" t="s">
        <v>868</v>
      </c>
      <c r="AC25" t="s">
        <v>103</v>
      </c>
      <c r="AD25" t="s">
        <v>653</v>
      </c>
      <c r="AE25" t="s">
        <v>1406</v>
      </c>
      <c r="AF25" t="s">
        <v>617</v>
      </c>
      <c r="AG25" t="s">
        <v>653</v>
      </c>
      <c r="AH25" t="s">
        <v>653</v>
      </c>
      <c r="AI25" t="s">
        <v>653</v>
      </c>
      <c r="AJ25" t="s">
        <v>722</v>
      </c>
      <c r="AK25" t="s">
        <v>35</v>
      </c>
      <c r="AL25" t="s">
        <v>140</v>
      </c>
      <c r="AM25" t="s">
        <v>901</v>
      </c>
      <c r="AN25" t="s">
        <v>1344</v>
      </c>
      <c r="AO25" t="s">
        <v>560</v>
      </c>
      <c r="AP25" t="s">
        <v>367</v>
      </c>
    </row>
    <row r="26" spans="1:42" x14ac:dyDescent="0.3">
      <c r="A26" t="s">
        <v>654</v>
      </c>
      <c r="B26" t="s">
        <v>469</v>
      </c>
      <c r="C26" t="s">
        <v>286</v>
      </c>
      <c r="D26" t="s">
        <v>506</v>
      </c>
      <c r="E26" t="s">
        <v>1101</v>
      </c>
      <c r="F26" t="s">
        <v>1135</v>
      </c>
      <c r="G26" t="s">
        <v>654</v>
      </c>
      <c r="H26" t="s">
        <v>70</v>
      </c>
      <c r="I26" t="s">
        <v>654</v>
      </c>
      <c r="J26" t="s">
        <v>541</v>
      </c>
      <c r="K26" t="s">
        <v>654</v>
      </c>
      <c r="L26" t="s">
        <v>654</v>
      </c>
      <c r="M26" t="s">
        <v>654</v>
      </c>
      <c r="N26" t="s">
        <v>723</v>
      </c>
      <c r="O26" t="s">
        <v>1250</v>
      </c>
      <c r="P26" t="s">
        <v>654</v>
      </c>
      <c r="Q26" t="s">
        <v>1028</v>
      </c>
      <c r="R26" t="s">
        <v>221</v>
      </c>
      <c r="S26" t="s">
        <v>654</v>
      </c>
      <c r="T26" t="s">
        <v>532</v>
      </c>
      <c r="U26" t="s">
        <v>654</v>
      </c>
      <c r="V26" t="s">
        <v>654</v>
      </c>
      <c r="W26" t="s">
        <v>1610</v>
      </c>
      <c r="X26" t="s">
        <v>1276</v>
      </c>
      <c r="Y26" t="s">
        <v>618</v>
      </c>
      <c r="Z26" t="s">
        <v>330</v>
      </c>
      <c r="AA26" t="s">
        <v>654</v>
      </c>
      <c r="AB26" t="s">
        <v>869</v>
      </c>
      <c r="AC26" t="s">
        <v>104</v>
      </c>
      <c r="AD26" t="s">
        <v>1101</v>
      </c>
      <c r="AE26" t="s">
        <v>654</v>
      </c>
      <c r="AF26" t="s">
        <v>618</v>
      </c>
      <c r="AG26" t="s">
        <v>654</v>
      </c>
      <c r="AH26" t="s">
        <v>654</v>
      </c>
      <c r="AI26" t="s">
        <v>654</v>
      </c>
      <c r="AJ26" t="s">
        <v>654</v>
      </c>
      <c r="AK26" t="s">
        <v>654</v>
      </c>
      <c r="AL26" t="s">
        <v>141</v>
      </c>
      <c r="AM26" t="s">
        <v>902</v>
      </c>
      <c r="AN26" t="s">
        <v>1345</v>
      </c>
      <c r="AO26" t="s">
        <v>561</v>
      </c>
      <c r="AP26" t="s">
        <v>368</v>
      </c>
    </row>
    <row r="27" spans="1:42" x14ac:dyDescent="0.3">
      <c r="A27" t="s">
        <v>713</v>
      </c>
      <c r="B27" t="s">
        <v>713</v>
      </c>
      <c r="C27" t="s">
        <v>287</v>
      </c>
      <c r="D27" t="s">
        <v>507</v>
      </c>
      <c r="E27" t="s">
        <v>713</v>
      </c>
      <c r="F27" t="s">
        <v>1136</v>
      </c>
      <c r="G27" t="s">
        <v>713</v>
      </c>
      <c r="H27" t="s">
        <v>71</v>
      </c>
      <c r="I27" t="s">
        <v>713</v>
      </c>
      <c r="J27" t="s">
        <v>542</v>
      </c>
      <c r="K27" t="s">
        <v>713</v>
      </c>
      <c r="L27" t="s">
        <v>713</v>
      </c>
      <c r="M27" t="s">
        <v>823</v>
      </c>
      <c r="N27" t="s">
        <v>725</v>
      </c>
      <c r="O27" t="s">
        <v>1251</v>
      </c>
      <c r="P27" t="s">
        <v>724</v>
      </c>
      <c r="Q27" t="s">
        <v>1029</v>
      </c>
      <c r="R27" t="s">
        <v>222</v>
      </c>
      <c r="S27" t="s">
        <v>1283</v>
      </c>
      <c r="T27" t="s">
        <v>713</v>
      </c>
      <c r="U27" t="s">
        <v>713</v>
      </c>
      <c r="V27" t="s">
        <v>713</v>
      </c>
      <c r="W27" t="s">
        <v>1611</v>
      </c>
      <c r="X27" t="s">
        <v>265</v>
      </c>
      <c r="Y27" t="s">
        <v>619</v>
      </c>
      <c r="Z27" t="s">
        <v>713</v>
      </c>
      <c r="AA27" t="s">
        <v>713</v>
      </c>
      <c r="AB27" t="s">
        <v>870</v>
      </c>
      <c r="AC27" t="s">
        <v>713</v>
      </c>
      <c r="AD27" t="s">
        <v>713</v>
      </c>
      <c r="AE27" t="s">
        <v>713</v>
      </c>
      <c r="AF27" t="s">
        <v>619</v>
      </c>
      <c r="AG27" t="s">
        <v>713</v>
      </c>
      <c r="AH27" t="s">
        <v>713</v>
      </c>
      <c r="AI27" t="s">
        <v>713</v>
      </c>
      <c r="AJ27" t="s">
        <v>713</v>
      </c>
      <c r="AK27" t="s">
        <v>36</v>
      </c>
      <c r="AL27" t="s">
        <v>142</v>
      </c>
      <c r="AM27" t="s">
        <v>713</v>
      </c>
      <c r="AN27" t="s">
        <v>1346</v>
      </c>
      <c r="AO27" t="s">
        <v>562</v>
      </c>
      <c r="AP27" t="s">
        <v>369</v>
      </c>
    </row>
    <row r="28" spans="1:42" x14ac:dyDescent="0.3">
      <c r="A28" t="s">
        <v>655</v>
      </c>
      <c r="B28" t="s">
        <v>470</v>
      </c>
      <c r="C28" t="s">
        <v>288</v>
      </c>
      <c r="D28" t="s">
        <v>508</v>
      </c>
      <c r="E28" t="s">
        <v>655</v>
      </c>
      <c r="F28" t="s">
        <v>1137</v>
      </c>
      <c r="G28" t="s">
        <v>727</v>
      </c>
      <c r="H28" t="s">
        <v>72</v>
      </c>
      <c r="I28" t="s">
        <v>655</v>
      </c>
      <c r="J28" t="s">
        <v>543</v>
      </c>
      <c r="K28" t="s">
        <v>655</v>
      </c>
      <c r="L28" t="s">
        <v>655</v>
      </c>
      <c r="M28" t="s">
        <v>655</v>
      </c>
      <c r="N28" t="s">
        <v>726</v>
      </c>
      <c r="O28" t="s">
        <v>1252</v>
      </c>
      <c r="P28" t="s">
        <v>655</v>
      </c>
      <c r="Q28" t="s">
        <v>1030</v>
      </c>
      <c r="R28" t="s">
        <v>223</v>
      </c>
      <c r="S28" t="s">
        <v>1284</v>
      </c>
      <c r="T28" t="s">
        <v>655</v>
      </c>
      <c r="U28" t="s">
        <v>655</v>
      </c>
      <c r="V28" t="s">
        <v>655</v>
      </c>
      <c r="W28" t="s">
        <v>1612</v>
      </c>
      <c r="X28" t="s">
        <v>266</v>
      </c>
      <c r="Y28" t="s">
        <v>620</v>
      </c>
      <c r="Z28" t="s">
        <v>655</v>
      </c>
      <c r="AA28" t="s">
        <v>655</v>
      </c>
      <c r="AB28" t="s">
        <v>871</v>
      </c>
      <c r="AC28" t="s">
        <v>105</v>
      </c>
      <c r="AD28" t="s">
        <v>727</v>
      </c>
      <c r="AE28" t="s">
        <v>655</v>
      </c>
      <c r="AF28" t="s">
        <v>620</v>
      </c>
      <c r="AG28" t="s">
        <v>655</v>
      </c>
      <c r="AH28" t="s">
        <v>655</v>
      </c>
      <c r="AI28" t="s">
        <v>655</v>
      </c>
      <c r="AJ28" t="s">
        <v>727</v>
      </c>
      <c r="AK28" t="s">
        <v>37</v>
      </c>
      <c r="AL28" t="s">
        <v>143</v>
      </c>
      <c r="AM28" t="s">
        <v>903</v>
      </c>
      <c r="AN28" t="s">
        <v>1347</v>
      </c>
      <c r="AO28" t="s">
        <v>563</v>
      </c>
      <c r="AP28" t="s">
        <v>370</v>
      </c>
    </row>
    <row r="29" spans="1:42" x14ac:dyDescent="0.3">
      <c r="A29" t="s">
        <v>714</v>
      </c>
      <c r="B29" t="s">
        <v>1222</v>
      </c>
      <c r="C29" t="s">
        <v>289</v>
      </c>
      <c r="D29" t="s">
        <v>509</v>
      </c>
      <c r="E29" t="s">
        <v>714</v>
      </c>
      <c r="F29" t="s">
        <v>621</v>
      </c>
      <c r="G29" t="s">
        <v>656</v>
      </c>
      <c r="H29" t="s">
        <v>73</v>
      </c>
      <c r="I29" t="s">
        <v>714</v>
      </c>
      <c r="J29" t="s">
        <v>544</v>
      </c>
      <c r="K29" t="s">
        <v>714</v>
      </c>
      <c r="L29" t="s">
        <v>1222</v>
      </c>
      <c r="M29" t="s">
        <v>824</v>
      </c>
      <c r="N29" t="s">
        <v>656</v>
      </c>
      <c r="O29" t="s">
        <v>1253</v>
      </c>
      <c r="P29" t="s">
        <v>656</v>
      </c>
      <c r="Q29" t="s">
        <v>1031</v>
      </c>
      <c r="R29" t="s">
        <v>224</v>
      </c>
      <c r="S29" t="s">
        <v>1285</v>
      </c>
      <c r="T29" t="s">
        <v>824</v>
      </c>
      <c r="U29" t="s">
        <v>439</v>
      </c>
      <c r="V29" t="s">
        <v>1070</v>
      </c>
      <c r="W29" t="s">
        <v>1613</v>
      </c>
      <c r="X29" t="s">
        <v>267</v>
      </c>
      <c r="Y29" t="s">
        <v>1178</v>
      </c>
      <c r="Z29" t="s">
        <v>331</v>
      </c>
      <c r="AA29" t="s">
        <v>656</v>
      </c>
      <c r="AB29" t="s">
        <v>872</v>
      </c>
      <c r="AC29" t="s">
        <v>1222</v>
      </c>
      <c r="AD29" t="s">
        <v>656</v>
      </c>
      <c r="AE29" t="s">
        <v>656</v>
      </c>
      <c r="AF29" t="s">
        <v>621</v>
      </c>
      <c r="AG29" t="s">
        <v>1222</v>
      </c>
      <c r="AH29" t="s">
        <v>1285</v>
      </c>
      <c r="AI29" t="s">
        <v>1222</v>
      </c>
      <c r="AJ29" t="s">
        <v>714</v>
      </c>
      <c r="AK29" t="s">
        <v>38</v>
      </c>
      <c r="AL29" t="s">
        <v>144</v>
      </c>
      <c r="AM29" t="s">
        <v>714</v>
      </c>
      <c r="AN29" t="s">
        <v>1348</v>
      </c>
      <c r="AO29" t="s">
        <v>564</v>
      </c>
      <c r="AP29" t="s">
        <v>371</v>
      </c>
    </row>
    <row r="30" spans="1:42" x14ac:dyDescent="0.3">
      <c r="A30" t="s">
        <v>657</v>
      </c>
      <c r="B30" t="s">
        <v>471</v>
      </c>
      <c r="C30" t="s">
        <v>290</v>
      </c>
      <c r="D30" t="s">
        <v>510</v>
      </c>
      <c r="E30" t="s">
        <v>1102</v>
      </c>
      <c r="F30" t="s">
        <v>1138</v>
      </c>
      <c r="G30" t="s">
        <v>657</v>
      </c>
      <c r="H30" t="s">
        <v>74</v>
      </c>
      <c r="I30" t="s">
        <v>657</v>
      </c>
      <c r="J30" t="s">
        <v>107</v>
      </c>
      <c r="K30" t="s">
        <v>1317</v>
      </c>
      <c r="L30" t="s">
        <v>657</v>
      </c>
      <c r="M30" t="s">
        <v>657</v>
      </c>
      <c r="N30" t="s">
        <v>664</v>
      </c>
      <c r="O30" t="s">
        <v>1254</v>
      </c>
      <c r="P30" t="s">
        <v>657</v>
      </c>
      <c r="Q30" t="s">
        <v>1032</v>
      </c>
      <c r="R30" t="s">
        <v>225</v>
      </c>
      <c r="S30" t="s">
        <v>1286</v>
      </c>
      <c r="T30" t="s">
        <v>657</v>
      </c>
      <c r="U30" t="s">
        <v>1286</v>
      </c>
      <c r="V30" t="s">
        <v>1071</v>
      </c>
      <c r="W30" t="s">
        <v>1614</v>
      </c>
      <c r="X30" t="s">
        <v>268</v>
      </c>
      <c r="Y30" t="s">
        <v>1179</v>
      </c>
      <c r="Z30" t="s">
        <v>332</v>
      </c>
      <c r="AA30" t="s">
        <v>657</v>
      </c>
      <c r="AB30" t="s">
        <v>873</v>
      </c>
      <c r="AC30" t="s">
        <v>106</v>
      </c>
      <c r="AD30" t="s">
        <v>657</v>
      </c>
      <c r="AE30" t="s">
        <v>1407</v>
      </c>
      <c r="AF30" t="s">
        <v>622</v>
      </c>
      <c r="AG30" t="s">
        <v>657</v>
      </c>
      <c r="AH30" t="s">
        <v>1286</v>
      </c>
      <c r="AI30" t="s">
        <v>657</v>
      </c>
      <c r="AJ30" t="s">
        <v>657</v>
      </c>
      <c r="AK30" t="s">
        <v>39</v>
      </c>
      <c r="AL30" t="s">
        <v>145</v>
      </c>
      <c r="AM30" t="s">
        <v>904</v>
      </c>
      <c r="AN30" t="s">
        <v>1349</v>
      </c>
      <c r="AO30" t="s">
        <v>565</v>
      </c>
      <c r="AP30" t="s">
        <v>372</v>
      </c>
    </row>
    <row r="31" spans="1:42" x14ac:dyDescent="0.3">
      <c r="A31" t="s">
        <v>658</v>
      </c>
      <c r="B31" t="s">
        <v>472</v>
      </c>
      <c r="C31" t="s">
        <v>291</v>
      </c>
      <c r="D31" t="s">
        <v>511</v>
      </c>
      <c r="E31" t="s">
        <v>1103</v>
      </c>
      <c r="F31" t="s">
        <v>1139</v>
      </c>
      <c r="G31" t="s">
        <v>658</v>
      </c>
      <c r="H31" t="s">
        <v>75</v>
      </c>
      <c r="I31" t="s">
        <v>658</v>
      </c>
      <c r="J31" t="s">
        <v>545</v>
      </c>
      <c r="K31" t="s">
        <v>1318</v>
      </c>
      <c r="L31" t="s">
        <v>658</v>
      </c>
      <c r="M31" t="s">
        <v>658</v>
      </c>
      <c r="N31" t="s">
        <v>665</v>
      </c>
      <c r="O31" t="s">
        <v>1255</v>
      </c>
      <c r="P31" t="s">
        <v>658</v>
      </c>
      <c r="Q31" t="s">
        <v>1033</v>
      </c>
      <c r="R31" t="s">
        <v>226</v>
      </c>
      <c r="S31" t="s">
        <v>1287</v>
      </c>
      <c r="T31" t="s">
        <v>658</v>
      </c>
      <c r="U31" t="s">
        <v>1287</v>
      </c>
      <c r="V31" t="s">
        <v>1072</v>
      </c>
      <c r="W31" t="s">
        <v>1615</v>
      </c>
      <c r="X31" t="s">
        <v>269</v>
      </c>
      <c r="Y31" t="s">
        <v>1180</v>
      </c>
      <c r="Z31" t="s">
        <v>333</v>
      </c>
      <c r="AA31" t="s">
        <v>658</v>
      </c>
      <c r="AB31" t="s">
        <v>874</v>
      </c>
      <c r="AC31" t="s">
        <v>107</v>
      </c>
      <c r="AD31" t="s">
        <v>658</v>
      </c>
      <c r="AE31" t="s">
        <v>1408</v>
      </c>
      <c r="AF31" t="s">
        <v>623</v>
      </c>
      <c r="AG31" t="s">
        <v>658</v>
      </c>
      <c r="AH31" t="s">
        <v>1287</v>
      </c>
      <c r="AI31" t="s">
        <v>658</v>
      </c>
      <c r="AJ31" t="s">
        <v>658</v>
      </c>
      <c r="AK31" t="s">
        <v>40</v>
      </c>
      <c r="AL31" t="s">
        <v>146</v>
      </c>
      <c r="AM31" t="s">
        <v>905</v>
      </c>
      <c r="AN31" t="s">
        <v>1350</v>
      </c>
      <c r="AO31" t="s">
        <v>566</v>
      </c>
      <c r="AP31" t="s">
        <v>373</v>
      </c>
    </row>
    <row r="32" spans="1:42" x14ac:dyDescent="0.3">
      <c r="A32" t="s">
        <v>659</v>
      </c>
      <c r="B32" t="s">
        <v>473</v>
      </c>
      <c r="C32" t="s">
        <v>292</v>
      </c>
      <c r="D32" t="s">
        <v>512</v>
      </c>
      <c r="E32" t="s">
        <v>1104</v>
      </c>
      <c r="F32" t="s">
        <v>1140</v>
      </c>
      <c r="G32" t="s">
        <v>729</v>
      </c>
      <c r="H32" t="s">
        <v>76</v>
      </c>
      <c r="I32" t="s">
        <v>659</v>
      </c>
      <c r="J32" t="s">
        <v>546</v>
      </c>
      <c r="K32" t="s">
        <v>659</v>
      </c>
      <c r="L32" t="s">
        <v>659</v>
      </c>
      <c r="M32" t="s">
        <v>659</v>
      </c>
      <c r="N32" t="s">
        <v>728</v>
      </c>
      <c r="O32" t="s">
        <v>1256</v>
      </c>
      <c r="P32" t="s">
        <v>659</v>
      </c>
      <c r="Q32" t="s">
        <v>1034</v>
      </c>
      <c r="R32" t="s">
        <v>227</v>
      </c>
      <c r="S32" t="s">
        <v>659</v>
      </c>
      <c r="T32" t="s">
        <v>533</v>
      </c>
      <c r="U32" t="s">
        <v>440</v>
      </c>
      <c r="V32" t="s">
        <v>729</v>
      </c>
      <c r="W32" t="s">
        <v>1616</v>
      </c>
      <c r="X32" t="s">
        <v>270</v>
      </c>
      <c r="Y32" t="s">
        <v>624</v>
      </c>
      <c r="Z32" t="s">
        <v>334</v>
      </c>
      <c r="AA32" t="s">
        <v>659</v>
      </c>
      <c r="AB32" t="s">
        <v>875</v>
      </c>
      <c r="AC32" t="s">
        <v>108</v>
      </c>
      <c r="AD32" t="s">
        <v>729</v>
      </c>
      <c r="AE32" t="s">
        <v>659</v>
      </c>
      <c r="AF32" t="s">
        <v>624</v>
      </c>
      <c r="AG32" t="s">
        <v>12</v>
      </c>
      <c r="AH32" t="s">
        <v>659</v>
      </c>
      <c r="AI32" t="s">
        <v>12</v>
      </c>
      <c r="AJ32" t="s">
        <v>729</v>
      </c>
      <c r="AK32" t="s">
        <v>659</v>
      </c>
      <c r="AL32" t="s">
        <v>147</v>
      </c>
      <c r="AM32" t="s">
        <v>906</v>
      </c>
      <c r="AN32" t="s">
        <v>1351</v>
      </c>
      <c r="AO32" t="s">
        <v>567</v>
      </c>
      <c r="AP32" t="s">
        <v>374</v>
      </c>
    </row>
    <row r="33" spans="1:42" x14ac:dyDescent="0.3">
      <c r="A33" t="s">
        <v>660</v>
      </c>
      <c r="B33" t="s">
        <v>474</v>
      </c>
      <c r="C33" t="s">
        <v>293</v>
      </c>
      <c r="D33" t="s">
        <v>513</v>
      </c>
      <c r="E33" t="s">
        <v>969</v>
      </c>
      <c r="F33" t="s">
        <v>1141</v>
      </c>
      <c r="G33" t="s">
        <v>996</v>
      </c>
      <c r="H33" t="s">
        <v>77</v>
      </c>
      <c r="I33" t="s">
        <v>660</v>
      </c>
      <c r="J33" t="s">
        <v>547</v>
      </c>
      <c r="K33" t="s">
        <v>660</v>
      </c>
      <c r="L33" t="s">
        <v>660</v>
      </c>
      <c r="M33" t="s">
        <v>660</v>
      </c>
      <c r="N33" t="s">
        <v>730</v>
      </c>
      <c r="O33" t="s">
        <v>1257</v>
      </c>
      <c r="P33" t="s">
        <v>660</v>
      </c>
      <c r="Q33" t="s">
        <v>1035</v>
      </c>
      <c r="R33" t="s">
        <v>228</v>
      </c>
      <c r="S33" t="s">
        <v>1288</v>
      </c>
      <c r="T33" t="s">
        <v>660</v>
      </c>
      <c r="U33" t="s">
        <v>660</v>
      </c>
      <c r="V33" t="s">
        <v>996</v>
      </c>
      <c r="W33" t="s">
        <v>1617</v>
      </c>
      <c r="X33" t="s">
        <v>271</v>
      </c>
      <c r="Y33" t="s">
        <v>1181</v>
      </c>
      <c r="Z33" t="s">
        <v>996</v>
      </c>
      <c r="AA33" t="s">
        <v>660</v>
      </c>
      <c r="AB33" t="s">
        <v>876</v>
      </c>
      <c r="AC33" t="s">
        <v>109</v>
      </c>
      <c r="AD33" t="s">
        <v>996</v>
      </c>
      <c r="AE33" t="s">
        <v>660</v>
      </c>
      <c r="AF33" t="s">
        <v>625</v>
      </c>
      <c r="AG33" t="s">
        <v>660</v>
      </c>
      <c r="AH33" t="s">
        <v>660</v>
      </c>
      <c r="AI33" t="s">
        <v>660</v>
      </c>
      <c r="AJ33" t="s">
        <v>660</v>
      </c>
      <c r="AK33" t="s">
        <v>41</v>
      </c>
      <c r="AL33" t="s">
        <v>148</v>
      </c>
      <c r="AM33" t="s">
        <v>907</v>
      </c>
      <c r="AN33" t="s">
        <v>1352</v>
      </c>
      <c r="AO33" t="s">
        <v>568</v>
      </c>
      <c r="AP33" t="s">
        <v>375</v>
      </c>
    </row>
    <row r="34" spans="1:42" x14ac:dyDescent="0.3">
      <c r="A34" t="s">
        <v>661</v>
      </c>
      <c r="B34" t="s">
        <v>475</v>
      </c>
      <c r="C34" t="s">
        <v>294</v>
      </c>
      <c r="D34" t="s">
        <v>514</v>
      </c>
      <c r="E34" t="s">
        <v>731</v>
      </c>
      <c r="F34" t="s">
        <v>1142</v>
      </c>
      <c r="G34" t="s">
        <v>661</v>
      </c>
      <c r="H34" t="s">
        <v>78</v>
      </c>
      <c r="I34" t="s">
        <v>661</v>
      </c>
      <c r="J34" t="s">
        <v>111</v>
      </c>
      <c r="K34" t="s">
        <v>661</v>
      </c>
      <c r="L34" t="s">
        <v>731</v>
      </c>
      <c r="M34" t="s">
        <v>731</v>
      </c>
      <c r="N34" t="s">
        <v>661</v>
      </c>
      <c r="O34" t="s">
        <v>1258</v>
      </c>
      <c r="P34" t="s">
        <v>731</v>
      </c>
      <c r="Q34" t="s">
        <v>1036</v>
      </c>
      <c r="R34" t="s">
        <v>229</v>
      </c>
      <c r="S34" t="s">
        <v>731</v>
      </c>
      <c r="T34" t="s">
        <v>731</v>
      </c>
      <c r="U34" t="s">
        <v>731</v>
      </c>
      <c r="V34" t="s">
        <v>1073</v>
      </c>
      <c r="W34" t="s">
        <v>1618</v>
      </c>
      <c r="X34" t="s">
        <v>272</v>
      </c>
      <c r="Y34" t="s">
        <v>626</v>
      </c>
      <c r="Z34" t="s">
        <v>1073</v>
      </c>
      <c r="AA34" t="s">
        <v>731</v>
      </c>
      <c r="AB34" t="s">
        <v>877</v>
      </c>
      <c r="AC34" t="s">
        <v>110</v>
      </c>
      <c r="AD34" t="s">
        <v>1199</v>
      </c>
      <c r="AE34" t="s">
        <v>661</v>
      </c>
      <c r="AF34" t="s">
        <v>626</v>
      </c>
      <c r="AG34" t="s">
        <v>731</v>
      </c>
      <c r="AH34" t="s">
        <v>731</v>
      </c>
      <c r="AI34" t="s">
        <v>661</v>
      </c>
      <c r="AJ34" t="s">
        <v>661</v>
      </c>
      <c r="AK34" t="s">
        <v>42</v>
      </c>
      <c r="AL34" t="s">
        <v>149</v>
      </c>
      <c r="AM34" t="s">
        <v>908</v>
      </c>
      <c r="AN34" t="s">
        <v>1353</v>
      </c>
      <c r="AO34" t="s">
        <v>569</v>
      </c>
      <c r="AP34" t="s">
        <v>376</v>
      </c>
    </row>
    <row r="35" spans="1:42" x14ac:dyDescent="0.3">
      <c r="A35" t="s">
        <v>662</v>
      </c>
      <c r="B35" t="s">
        <v>476</v>
      </c>
      <c r="C35" t="s">
        <v>295</v>
      </c>
      <c r="D35" t="s">
        <v>515</v>
      </c>
      <c r="E35" t="s">
        <v>1105</v>
      </c>
      <c r="F35" t="s">
        <v>1143</v>
      </c>
      <c r="G35" t="s">
        <v>662</v>
      </c>
      <c r="H35" t="s">
        <v>79</v>
      </c>
      <c r="I35" t="s">
        <v>662</v>
      </c>
      <c r="J35" t="s">
        <v>548</v>
      </c>
      <c r="K35" t="s">
        <v>662</v>
      </c>
      <c r="L35" t="s">
        <v>662</v>
      </c>
      <c r="M35" t="s">
        <v>662</v>
      </c>
      <c r="N35" t="s">
        <v>662</v>
      </c>
      <c r="O35" t="s">
        <v>1259</v>
      </c>
      <c r="P35" t="s">
        <v>662</v>
      </c>
      <c r="Q35" t="s">
        <v>1037</v>
      </c>
      <c r="R35" t="s">
        <v>230</v>
      </c>
      <c r="S35" t="s">
        <v>662</v>
      </c>
      <c r="T35" t="s">
        <v>534</v>
      </c>
      <c r="U35" t="s">
        <v>441</v>
      </c>
      <c r="V35" t="s">
        <v>662</v>
      </c>
      <c r="W35" t="s">
        <v>1619</v>
      </c>
      <c r="X35" t="s">
        <v>273</v>
      </c>
      <c r="Y35" t="s">
        <v>1182</v>
      </c>
      <c r="Z35" t="s">
        <v>662</v>
      </c>
      <c r="AA35" t="s">
        <v>662</v>
      </c>
      <c r="AB35" t="s">
        <v>878</v>
      </c>
      <c r="AC35" t="s">
        <v>111</v>
      </c>
      <c r="AD35" t="s">
        <v>662</v>
      </c>
      <c r="AE35" t="s">
        <v>1409</v>
      </c>
      <c r="AF35" t="s">
        <v>627</v>
      </c>
      <c r="AG35" t="s">
        <v>662</v>
      </c>
      <c r="AH35" t="s">
        <v>662</v>
      </c>
      <c r="AI35" t="s">
        <v>662</v>
      </c>
      <c r="AJ35" t="s">
        <v>662</v>
      </c>
      <c r="AK35" t="s">
        <v>43</v>
      </c>
      <c r="AL35" t="s">
        <v>150</v>
      </c>
      <c r="AM35" t="s">
        <v>909</v>
      </c>
      <c r="AN35" t="s">
        <v>1354</v>
      </c>
      <c r="AO35" t="s">
        <v>570</v>
      </c>
      <c r="AP35" t="s">
        <v>377</v>
      </c>
    </row>
    <row r="36" spans="1:42" x14ac:dyDescent="0.3">
      <c r="A36" t="s">
        <v>715</v>
      </c>
      <c r="B36" t="s">
        <v>477</v>
      </c>
      <c r="C36" t="s">
        <v>296</v>
      </c>
      <c r="D36" t="s">
        <v>516</v>
      </c>
      <c r="E36" t="s">
        <v>1106</v>
      </c>
      <c r="F36" t="s">
        <v>1144</v>
      </c>
      <c r="G36" t="s">
        <v>997</v>
      </c>
      <c r="H36" t="s">
        <v>80</v>
      </c>
      <c r="I36" t="s">
        <v>715</v>
      </c>
      <c r="J36" t="s">
        <v>549</v>
      </c>
      <c r="K36" t="s">
        <v>715</v>
      </c>
      <c r="L36" t="s">
        <v>715</v>
      </c>
      <c r="M36" t="s">
        <v>715</v>
      </c>
      <c r="N36" t="s">
        <v>732</v>
      </c>
      <c r="O36" t="s">
        <v>1260</v>
      </c>
      <c r="P36" t="s">
        <v>663</v>
      </c>
      <c r="Q36" t="s">
        <v>1038</v>
      </c>
      <c r="R36" t="s">
        <v>231</v>
      </c>
      <c r="S36" t="s">
        <v>715</v>
      </c>
      <c r="T36" t="s">
        <v>997</v>
      </c>
      <c r="U36" t="s">
        <v>997</v>
      </c>
      <c r="V36" t="s">
        <v>733</v>
      </c>
      <c r="W36" t="s">
        <v>1620</v>
      </c>
      <c r="X36" t="s">
        <v>274</v>
      </c>
      <c r="Y36" t="s">
        <v>628</v>
      </c>
      <c r="Z36" t="s">
        <v>335</v>
      </c>
      <c r="AA36" t="s">
        <v>997</v>
      </c>
      <c r="AB36" t="s">
        <v>879</v>
      </c>
      <c r="AC36" t="s">
        <v>112</v>
      </c>
      <c r="AD36" t="s">
        <v>663</v>
      </c>
      <c r="AE36" t="s">
        <v>715</v>
      </c>
      <c r="AF36" t="s">
        <v>628</v>
      </c>
      <c r="AG36" t="s">
        <v>715</v>
      </c>
      <c r="AH36" t="s">
        <v>715</v>
      </c>
      <c r="AI36" t="s">
        <v>715</v>
      </c>
      <c r="AJ36" t="s">
        <v>733</v>
      </c>
      <c r="AK36" t="s">
        <v>44</v>
      </c>
      <c r="AL36" t="s">
        <v>151</v>
      </c>
      <c r="AM36" t="s">
        <v>910</v>
      </c>
      <c r="AN36" t="s">
        <v>1355</v>
      </c>
      <c r="AO36" t="s">
        <v>571</v>
      </c>
      <c r="AP36" t="s">
        <v>378</v>
      </c>
    </row>
    <row r="37" spans="1:42" x14ac:dyDescent="0.3">
      <c r="A37" t="s">
        <v>597</v>
      </c>
      <c r="B37" t="s">
        <v>478</v>
      </c>
      <c r="C37" t="s">
        <v>297</v>
      </c>
      <c r="D37" t="s">
        <v>517</v>
      </c>
      <c r="E37" t="s">
        <v>1107</v>
      </c>
      <c r="F37" t="s">
        <v>1145</v>
      </c>
      <c r="G37" t="s">
        <v>998</v>
      </c>
      <c r="H37" t="s">
        <v>81</v>
      </c>
      <c r="I37" t="s">
        <v>1159</v>
      </c>
      <c r="J37" t="s">
        <v>597</v>
      </c>
      <c r="K37" t="s">
        <v>597</v>
      </c>
      <c r="L37" t="s">
        <v>1223</v>
      </c>
      <c r="M37" t="s">
        <v>597</v>
      </c>
      <c r="N37" t="s">
        <v>741</v>
      </c>
      <c r="O37" t="s">
        <v>1261</v>
      </c>
      <c r="P37" t="s">
        <v>597</v>
      </c>
      <c r="Q37" t="s">
        <v>1039</v>
      </c>
      <c r="R37" t="s">
        <v>232</v>
      </c>
      <c r="S37" t="s">
        <v>1289</v>
      </c>
      <c r="T37" t="s">
        <v>535</v>
      </c>
      <c r="U37" t="s">
        <v>442</v>
      </c>
      <c r="V37" t="s">
        <v>1074</v>
      </c>
      <c r="W37" t="s">
        <v>1384</v>
      </c>
      <c r="X37" t="s">
        <v>1107</v>
      </c>
      <c r="Y37" t="s">
        <v>1183</v>
      </c>
      <c r="Z37" t="s">
        <v>535</v>
      </c>
      <c r="AA37" t="s">
        <v>45</v>
      </c>
      <c r="AB37" t="s">
        <v>880</v>
      </c>
      <c r="AC37" t="s">
        <v>113</v>
      </c>
      <c r="AD37" t="s">
        <v>451</v>
      </c>
      <c r="AE37" t="s">
        <v>1410</v>
      </c>
      <c r="AF37" t="s">
        <v>629</v>
      </c>
      <c r="AG37" t="s">
        <v>13</v>
      </c>
      <c r="AH37" t="s">
        <v>188</v>
      </c>
      <c r="AI37" t="s">
        <v>311</v>
      </c>
      <c r="AJ37" t="s">
        <v>742</v>
      </c>
      <c r="AK37" t="s">
        <v>45</v>
      </c>
      <c r="AL37" t="s">
        <v>152</v>
      </c>
      <c r="AM37" t="s">
        <v>911</v>
      </c>
      <c r="AN37" t="s">
        <v>1356</v>
      </c>
      <c r="AO37" t="s">
        <v>629</v>
      </c>
      <c r="AP37" t="s">
        <v>379</v>
      </c>
    </row>
    <row r="38" spans="1:42" x14ac:dyDescent="0.3">
      <c r="A38" s="53" t="s">
        <v>1686</v>
      </c>
      <c r="B38" t="s">
        <v>1993</v>
      </c>
      <c r="C38" t="s">
        <v>1994</v>
      </c>
      <c r="D38" t="s">
        <v>1995</v>
      </c>
      <c r="E38" t="s">
        <v>1996</v>
      </c>
      <c r="F38" t="s">
        <v>1997</v>
      </c>
      <c r="G38" t="s">
        <v>1998</v>
      </c>
      <c r="H38" t="s">
        <v>1999</v>
      </c>
      <c r="I38" t="s">
        <v>2000</v>
      </c>
      <c r="J38" t="s">
        <v>2001</v>
      </c>
      <c r="K38" t="s">
        <v>2002</v>
      </c>
      <c r="L38" t="s">
        <v>2003</v>
      </c>
      <c r="M38" t="s">
        <v>2004</v>
      </c>
      <c r="N38" t="s">
        <v>2005</v>
      </c>
      <c r="O38" t="s">
        <v>1686</v>
      </c>
      <c r="P38" t="s">
        <v>2003</v>
      </c>
      <c r="Q38" t="s">
        <v>2006</v>
      </c>
      <c r="R38" t="s">
        <v>2007</v>
      </c>
      <c r="S38" t="s">
        <v>2008</v>
      </c>
      <c r="T38" t="s">
        <v>1686</v>
      </c>
      <c r="U38" t="s">
        <v>2009</v>
      </c>
      <c r="V38" t="s">
        <v>1686</v>
      </c>
      <c r="W38" t="s">
        <v>2010</v>
      </c>
      <c r="X38" t="s">
        <v>2001</v>
      </c>
      <c r="Y38" t="s">
        <v>2011</v>
      </c>
      <c r="Z38" t="s">
        <v>2001</v>
      </c>
      <c r="AA38" t="s">
        <v>1686</v>
      </c>
      <c r="AB38" t="s">
        <v>2012</v>
      </c>
      <c r="AC38" t="s">
        <v>1686</v>
      </c>
      <c r="AD38" t="s">
        <v>2013</v>
      </c>
      <c r="AE38" t="s">
        <v>1686</v>
      </c>
      <c r="AF38" t="s">
        <v>1997</v>
      </c>
      <c r="AG38" t="s">
        <v>2011</v>
      </c>
      <c r="AH38" t="s">
        <v>2014</v>
      </c>
      <c r="AI38" t="s">
        <v>2001</v>
      </c>
      <c r="AJ38" t="s">
        <v>1686</v>
      </c>
      <c r="AK38" t="s">
        <v>2015</v>
      </c>
      <c r="AL38" t="s">
        <v>2016</v>
      </c>
      <c r="AM38" t="s">
        <v>2017</v>
      </c>
      <c r="AN38" t="s">
        <v>1686</v>
      </c>
      <c r="AO38" t="s">
        <v>2018</v>
      </c>
      <c r="AP38" t="s">
        <v>2019</v>
      </c>
    </row>
    <row r="39" spans="1:42" x14ac:dyDescent="0.3">
      <c r="A39" s="53" t="s">
        <v>1685</v>
      </c>
      <c r="B39" t="s">
        <v>2020</v>
      </c>
      <c r="C39" t="s">
        <v>2021</v>
      </c>
      <c r="D39" t="s">
        <v>2022</v>
      </c>
      <c r="E39" t="s">
        <v>2023</v>
      </c>
      <c r="F39" t="s">
        <v>2024</v>
      </c>
      <c r="G39" t="s">
        <v>1685</v>
      </c>
      <c r="H39" t="s">
        <v>2025</v>
      </c>
      <c r="I39" t="s">
        <v>2026</v>
      </c>
      <c r="J39" t="s">
        <v>2027</v>
      </c>
      <c r="K39" t="s">
        <v>2028</v>
      </c>
      <c r="L39" t="s">
        <v>2029</v>
      </c>
      <c r="M39" t="s">
        <v>2030</v>
      </c>
      <c r="N39" t="s">
        <v>2031</v>
      </c>
      <c r="O39" t="s">
        <v>2032</v>
      </c>
      <c r="P39" t="s">
        <v>2033</v>
      </c>
      <c r="Q39" t="s">
        <v>2034</v>
      </c>
      <c r="R39" t="s">
        <v>2035</v>
      </c>
      <c r="S39" t="s">
        <v>2036</v>
      </c>
      <c r="T39" t="s">
        <v>2037</v>
      </c>
      <c r="U39" t="s">
        <v>2038</v>
      </c>
      <c r="V39" t="s">
        <v>1685</v>
      </c>
      <c r="W39" t="s">
        <v>2039</v>
      </c>
      <c r="X39" t="s">
        <v>2027</v>
      </c>
      <c r="Y39" t="s">
        <v>2040</v>
      </c>
      <c r="Z39" t="s">
        <v>2041</v>
      </c>
      <c r="AA39" t="s">
        <v>1685</v>
      </c>
      <c r="AB39" t="s">
        <v>2042</v>
      </c>
      <c r="AC39" t="s">
        <v>2043</v>
      </c>
      <c r="AD39" t="s">
        <v>2044</v>
      </c>
      <c r="AE39" t="s">
        <v>2045</v>
      </c>
      <c r="AF39" t="s">
        <v>2046</v>
      </c>
      <c r="AG39" t="s">
        <v>2047</v>
      </c>
      <c r="AH39" t="s">
        <v>2028</v>
      </c>
      <c r="AI39" t="s">
        <v>2048</v>
      </c>
      <c r="AJ39" t="s">
        <v>2037</v>
      </c>
      <c r="AK39" t="s">
        <v>2049</v>
      </c>
      <c r="AL39" t="s">
        <v>2050</v>
      </c>
      <c r="AM39" t="s">
        <v>2051</v>
      </c>
      <c r="AN39" t="s">
        <v>1685</v>
      </c>
      <c r="AO39" t="s">
        <v>2052</v>
      </c>
      <c r="AP39" t="s">
        <v>2053</v>
      </c>
    </row>
    <row r="40" spans="1:42" x14ac:dyDescent="0.3">
      <c r="A40" t="s">
        <v>748</v>
      </c>
      <c r="B40" t="s">
        <v>1587</v>
      </c>
      <c r="C40" t="s">
        <v>1588</v>
      </c>
      <c r="D40" t="s">
        <v>522</v>
      </c>
      <c r="E40" t="s">
        <v>1112</v>
      </c>
      <c r="F40" t="s">
        <v>804</v>
      </c>
      <c r="G40" t="s">
        <v>1003</v>
      </c>
      <c r="H40" t="s">
        <v>1164</v>
      </c>
      <c r="I40" t="s">
        <v>1164</v>
      </c>
      <c r="J40" t="s">
        <v>550</v>
      </c>
      <c r="K40" t="s">
        <v>1324</v>
      </c>
      <c r="L40" t="s">
        <v>795</v>
      </c>
      <c r="M40" t="s">
        <v>829</v>
      </c>
      <c r="N40" t="s">
        <v>790</v>
      </c>
      <c r="O40" t="s">
        <v>1589</v>
      </c>
      <c r="P40" t="s">
        <v>795</v>
      </c>
      <c r="Q40" t="s">
        <v>1045</v>
      </c>
      <c r="R40" t="s">
        <v>238</v>
      </c>
      <c r="S40" t="s">
        <v>1295</v>
      </c>
      <c r="T40" t="s">
        <v>978</v>
      </c>
      <c r="U40" t="s">
        <v>1590</v>
      </c>
      <c r="V40" t="s">
        <v>1078</v>
      </c>
      <c r="W40" t="s">
        <v>1389</v>
      </c>
      <c r="X40" t="s">
        <v>244</v>
      </c>
      <c r="Y40" t="s">
        <v>1188</v>
      </c>
      <c r="Z40" t="s">
        <v>479</v>
      </c>
      <c r="AA40" t="s">
        <v>1412</v>
      </c>
      <c r="AB40" t="s">
        <v>1591</v>
      </c>
      <c r="AC40" t="s">
        <v>117</v>
      </c>
      <c r="AD40" t="s">
        <v>1201</v>
      </c>
      <c r="AE40" t="s">
        <v>1412</v>
      </c>
      <c r="AF40" t="s">
        <v>804</v>
      </c>
      <c r="AG40" t="s">
        <v>1188</v>
      </c>
      <c r="AH40" t="s">
        <v>1592</v>
      </c>
      <c r="AI40" t="s">
        <v>18</v>
      </c>
      <c r="AJ40" t="s">
        <v>785</v>
      </c>
      <c r="AK40" t="s">
        <v>795</v>
      </c>
      <c r="AL40" t="s">
        <v>157</v>
      </c>
      <c r="AM40" t="s">
        <v>917</v>
      </c>
      <c r="AN40" t="s">
        <v>1593</v>
      </c>
      <c r="AO40" t="s">
        <v>577</v>
      </c>
      <c r="AP40" t="s">
        <v>1594</v>
      </c>
    </row>
    <row r="41" spans="1:42" x14ac:dyDescent="0.3">
      <c r="A41" t="s">
        <v>746</v>
      </c>
      <c r="B41" t="s">
        <v>119</v>
      </c>
      <c r="C41" t="s">
        <v>298</v>
      </c>
      <c r="D41" t="s">
        <v>520</v>
      </c>
      <c r="E41" t="s">
        <v>1110</v>
      </c>
      <c r="F41" t="s">
        <v>802</v>
      </c>
      <c r="G41" t="s">
        <v>1002</v>
      </c>
      <c r="H41" t="s">
        <v>1162</v>
      </c>
      <c r="I41" t="s">
        <v>1162</v>
      </c>
      <c r="J41" t="s">
        <v>17</v>
      </c>
      <c r="K41" t="s">
        <v>1322</v>
      </c>
      <c r="L41" t="s">
        <v>794</v>
      </c>
      <c r="M41" t="s">
        <v>828</v>
      </c>
      <c r="N41" t="s">
        <v>789</v>
      </c>
      <c r="O41" t="s">
        <v>1550</v>
      </c>
      <c r="P41" t="s">
        <v>794</v>
      </c>
      <c r="Q41" t="s">
        <v>1043</v>
      </c>
      <c r="R41" t="s">
        <v>236</v>
      </c>
      <c r="S41" t="s">
        <v>1293</v>
      </c>
      <c r="T41" t="s">
        <v>784</v>
      </c>
      <c r="U41" t="s">
        <v>746</v>
      </c>
      <c r="V41" t="s">
        <v>784</v>
      </c>
      <c r="W41" t="s">
        <v>1387</v>
      </c>
      <c r="X41" t="s">
        <v>17</v>
      </c>
      <c r="Y41" t="s">
        <v>1186</v>
      </c>
      <c r="Z41" t="s">
        <v>339</v>
      </c>
      <c r="AA41" t="s">
        <v>784</v>
      </c>
      <c r="AB41" t="s">
        <v>883</v>
      </c>
      <c r="AC41" t="s">
        <v>116</v>
      </c>
      <c r="AD41" t="s">
        <v>315</v>
      </c>
      <c r="AE41" t="s">
        <v>784</v>
      </c>
      <c r="AF41" t="s">
        <v>802</v>
      </c>
      <c r="AG41" t="s">
        <v>1186</v>
      </c>
      <c r="AH41" t="s">
        <v>1551</v>
      </c>
      <c r="AI41" t="s">
        <v>17</v>
      </c>
      <c r="AJ41" t="s">
        <v>784</v>
      </c>
      <c r="AK41" t="s">
        <v>794</v>
      </c>
      <c r="AL41" t="s">
        <v>155</v>
      </c>
      <c r="AM41" t="s">
        <v>915</v>
      </c>
      <c r="AN41" t="s">
        <v>1360</v>
      </c>
      <c r="AO41" t="s">
        <v>575</v>
      </c>
      <c r="AP41" t="s">
        <v>1552</v>
      </c>
    </row>
    <row r="42" spans="1:42" x14ac:dyDescent="0.3">
      <c r="A42" t="s">
        <v>747</v>
      </c>
      <c r="B42" t="s">
        <v>1583</v>
      </c>
      <c r="C42" t="s">
        <v>939</v>
      </c>
      <c r="D42" t="s">
        <v>521</v>
      </c>
      <c r="E42" t="s">
        <v>1111</v>
      </c>
      <c r="F42" t="s">
        <v>803</v>
      </c>
      <c r="G42" t="s">
        <v>747</v>
      </c>
      <c r="H42" t="s">
        <v>1163</v>
      </c>
      <c r="I42" t="s">
        <v>1163</v>
      </c>
      <c r="J42" t="s">
        <v>243</v>
      </c>
      <c r="K42" t="s">
        <v>1323</v>
      </c>
      <c r="L42" t="s">
        <v>747</v>
      </c>
      <c r="M42" t="s">
        <v>747</v>
      </c>
      <c r="N42" t="s">
        <v>747</v>
      </c>
      <c r="O42" t="s">
        <v>1584</v>
      </c>
      <c r="P42" t="s">
        <v>747</v>
      </c>
      <c r="Q42" t="s">
        <v>1044</v>
      </c>
      <c r="R42" t="s">
        <v>237</v>
      </c>
      <c r="S42" t="s">
        <v>1294</v>
      </c>
      <c r="T42" t="s">
        <v>747</v>
      </c>
      <c r="U42" t="s">
        <v>747</v>
      </c>
      <c r="V42" t="s">
        <v>1077</v>
      </c>
      <c r="W42" t="s">
        <v>1388</v>
      </c>
      <c r="X42" t="s">
        <v>243</v>
      </c>
      <c r="Y42" t="s">
        <v>1187</v>
      </c>
      <c r="Z42" t="s">
        <v>1585</v>
      </c>
      <c r="AA42" t="s">
        <v>747</v>
      </c>
      <c r="AB42" t="s">
        <v>1586</v>
      </c>
      <c r="AC42" t="s">
        <v>1411</v>
      </c>
      <c r="AD42" t="s">
        <v>747</v>
      </c>
      <c r="AE42" t="s">
        <v>1411</v>
      </c>
      <c r="AF42" t="s">
        <v>803</v>
      </c>
      <c r="AG42" t="s">
        <v>1187</v>
      </c>
      <c r="AH42" t="s">
        <v>1323</v>
      </c>
      <c r="AI42" t="s">
        <v>313</v>
      </c>
      <c r="AJ42" t="s">
        <v>747</v>
      </c>
      <c r="AK42" t="s">
        <v>747</v>
      </c>
      <c r="AL42" t="s">
        <v>156</v>
      </c>
      <c r="AM42" t="s">
        <v>916</v>
      </c>
      <c r="AN42" t="s">
        <v>1361</v>
      </c>
      <c r="AO42" t="s">
        <v>576</v>
      </c>
      <c r="AP42" t="s">
        <v>383</v>
      </c>
    </row>
    <row r="43" spans="1:42" x14ac:dyDescent="0.3">
      <c r="A43" s="53" t="s">
        <v>1698</v>
      </c>
      <c r="B43" t="s">
        <v>2054</v>
      </c>
      <c r="C43" t="s">
        <v>2055</v>
      </c>
      <c r="D43" t="s">
        <v>2056</v>
      </c>
      <c r="E43" t="s">
        <v>2057</v>
      </c>
      <c r="F43" t="s">
        <v>2058</v>
      </c>
      <c r="G43" t="s">
        <v>2059</v>
      </c>
      <c r="H43" t="s">
        <v>2060</v>
      </c>
      <c r="I43" t="s">
        <v>2060</v>
      </c>
      <c r="J43" t="s">
        <v>2061</v>
      </c>
      <c r="K43" t="s">
        <v>2062</v>
      </c>
      <c r="L43" t="s">
        <v>2063</v>
      </c>
      <c r="M43" t="s">
        <v>2064</v>
      </c>
      <c r="N43" t="s">
        <v>2065</v>
      </c>
      <c r="O43" t="s">
        <v>2066</v>
      </c>
      <c r="P43" t="s">
        <v>2063</v>
      </c>
      <c r="Q43" t="s">
        <v>2067</v>
      </c>
      <c r="R43" t="s">
        <v>2068</v>
      </c>
      <c r="S43" t="s">
        <v>2069</v>
      </c>
      <c r="T43" t="s">
        <v>2070</v>
      </c>
      <c r="U43" t="s">
        <v>2071</v>
      </c>
      <c r="V43" t="s">
        <v>2072</v>
      </c>
      <c r="W43" t="s">
        <v>2073</v>
      </c>
      <c r="X43" t="s">
        <v>2074</v>
      </c>
      <c r="Y43" t="s">
        <v>2075</v>
      </c>
      <c r="Z43" t="s">
        <v>2076</v>
      </c>
      <c r="AA43" t="s">
        <v>2063</v>
      </c>
      <c r="AB43" t="s">
        <v>2077</v>
      </c>
      <c r="AC43" t="s">
        <v>2078</v>
      </c>
      <c r="AD43" t="s">
        <v>2079</v>
      </c>
      <c r="AE43" t="s">
        <v>2080</v>
      </c>
      <c r="AF43" t="s">
        <v>2081</v>
      </c>
      <c r="AG43" t="s">
        <v>2082</v>
      </c>
      <c r="AH43" t="s">
        <v>2083</v>
      </c>
      <c r="AI43" t="s">
        <v>2084</v>
      </c>
      <c r="AJ43" t="s">
        <v>2085</v>
      </c>
      <c r="AK43" t="s">
        <v>2086</v>
      </c>
      <c r="AL43" t="s">
        <v>2087</v>
      </c>
      <c r="AM43" t="s">
        <v>2088</v>
      </c>
      <c r="AN43" t="s">
        <v>1698</v>
      </c>
      <c r="AO43" t="s">
        <v>2089</v>
      </c>
      <c r="AP43" t="s">
        <v>2090</v>
      </c>
    </row>
    <row r="45" spans="1:42" x14ac:dyDescent="0.3">
      <c r="A45" s="53" t="s">
        <v>1689</v>
      </c>
      <c r="B45" t="s">
        <v>2091</v>
      </c>
      <c r="C45" t="s">
        <v>2092</v>
      </c>
      <c r="D45" t="s">
        <v>2093</v>
      </c>
      <c r="E45" t="s">
        <v>2094</v>
      </c>
      <c r="F45" t="s">
        <v>2095</v>
      </c>
      <c r="G45" t="s">
        <v>2096</v>
      </c>
      <c r="H45" t="s">
        <v>2097</v>
      </c>
      <c r="I45" t="s">
        <v>2098</v>
      </c>
      <c r="J45" t="s">
        <v>2099</v>
      </c>
      <c r="K45" t="s">
        <v>2099</v>
      </c>
      <c r="L45" t="s">
        <v>1689</v>
      </c>
      <c r="M45" t="s">
        <v>2100</v>
      </c>
      <c r="N45" t="s">
        <v>1689</v>
      </c>
      <c r="O45" t="s">
        <v>2101</v>
      </c>
      <c r="P45" t="s">
        <v>1689</v>
      </c>
      <c r="Q45" t="s">
        <v>2102</v>
      </c>
      <c r="R45" t="s">
        <v>2103</v>
      </c>
      <c r="S45" t="s">
        <v>2104</v>
      </c>
      <c r="T45" t="s">
        <v>2105</v>
      </c>
      <c r="U45" t="s">
        <v>2106</v>
      </c>
      <c r="V45" t="s">
        <v>2107</v>
      </c>
      <c r="W45" t="s">
        <v>2108</v>
      </c>
      <c r="X45" t="s">
        <v>2105</v>
      </c>
      <c r="Y45" t="s">
        <v>2109</v>
      </c>
      <c r="Z45" t="s">
        <v>2105</v>
      </c>
      <c r="AA45" t="s">
        <v>2105</v>
      </c>
      <c r="AB45" t="s">
        <v>2110</v>
      </c>
      <c r="AC45" t="s">
        <v>2105</v>
      </c>
      <c r="AD45" t="s">
        <v>2111</v>
      </c>
      <c r="AE45" t="s">
        <v>2107</v>
      </c>
      <c r="AF45" t="s">
        <v>2109</v>
      </c>
      <c r="AG45" t="s">
        <v>2112</v>
      </c>
      <c r="AH45" t="s">
        <v>2099</v>
      </c>
      <c r="AI45" t="s">
        <v>2099</v>
      </c>
      <c r="AJ45" t="s">
        <v>2113</v>
      </c>
      <c r="AK45" t="s">
        <v>2105</v>
      </c>
      <c r="AL45" t="s">
        <v>2114</v>
      </c>
      <c r="AM45" t="s">
        <v>2094</v>
      </c>
      <c r="AN45" t="s">
        <v>2105</v>
      </c>
      <c r="AO45" t="s">
        <v>2115</v>
      </c>
      <c r="AP45" t="s">
        <v>2116</v>
      </c>
    </row>
    <row r="46" spans="1:42" x14ac:dyDescent="0.3">
      <c r="A46" s="53" t="s">
        <v>1693</v>
      </c>
      <c r="B46" t="s">
        <v>2117</v>
      </c>
      <c r="C46" t="s">
        <v>2118</v>
      </c>
      <c r="D46" t="s">
        <v>1693</v>
      </c>
      <c r="E46" t="s">
        <v>1693</v>
      </c>
      <c r="F46" t="s">
        <v>2119</v>
      </c>
      <c r="G46" t="s">
        <v>2120</v>
      </c>
      <c r="H46" t="s">
        <v>2121</v>
      </c>
      <c r="I46" t="s">
        <v>2122</v>
      </c>
      <c r="J46" t="s">
        <v>2123</v>
      </c>
      <c r="K46" s="53" t="s">
        <v>2136</v>
      </c>
      <c r="L46" s="53" t="s">
        <v>2468</v>
      </c>
      <c r="M46" t="s">
        <v>2124</v>
      </c>
      <c r="N46" t="s">
        <v>2480</v>
      </c>
      <c r="O46" t="s">
        <v>2125</v>
      </c>
      <c r="P46" s="53" t="s">
        <v>2469</v>
      </c>
      <c r="Q46" t="s">
        <v>1693</v>
      </c>
      <c r="R46" t="s">
        <v>2126</v>
      </c>
      <c r="S46" t="s">
        <v>2127</v>
      </c>
      <c r="T46" t="s">
        <v>2128</v>
      </c>
      <c r="U46" t="s">
        <v>2129</v>
      </c>
      <c r="V46" t="s">
        <v>2130</v>
      </c>
      <c r="W46" t="s">
        <v>2131</v>
      </c>
      <c r="X46" t="s">
        <v>2132</v>
      </c>
      <c r="Y46" t="s">
        <v>2133</v>
      </c>
      <c r="Z46" t="s">
        <v>2132</v>
      </c>
      <c r="AA46" s="53" t="s">
        <v>2468</v>
      </c>
      <c r="AB46" t="s">
        <v>2134</v>
      </c>
      <c r="AC46" s="53" t="s">
        <v>2471</v>
      </c>
      <c r="AD46" s="53" t="s">
        <v>2120</v>
      </c>
      <c r="AE46" t="s">
        <v>1693</v>
      </c>
      <c r="AF46" t="s">
        <v>2119</v>
      </c>
      <c r="AG46" t="s">
        <v>2135</v>
      </c>
      <c r="AH46" t="s">
        <v>2136</v>
      </c>
      <c r="AI46" t="s">
        <v>1693</v>
      </c>
      <c r="AJ46" t="s">
        <v>2137</v>
      </c>
      <c r="AK46" t="s">
        <v>1693</v>
      </c>
      <c r="AL46" t="s">
        <v>2138</v>
      </c>
      <c r="AM46" t="s">
        <v>2139</v>
      </c>
      <c r="AN46" t="s">
        <v>1693</v>
      </c>
      <c r="AO46" t="s">
        <v>2140</v>
      </c>
      <c r="AP46" t="s">
        <v>2141</v>
      </c>
    </row>
    <row r="50" spans="1:42" x14ac:dyDescent="0.3">
      <c r="A50" s="53"/>
    </row>
    <row r="51" spans="1:42" x14ac:dyDescent="0.3">
      <c r="A51" s="53" t="s">
        <v>1688</v>
      </c>
      <c r="B51" t="s">
        <v>1688</v>
      </c>
      <c r="C51" t="s">
        <v>2142</v>
      </c>
      <c r="D51" t="s">
        <v>2143</v>
      </c>
      <c r="E51" t="s">
        <v>2144</v>
      </c>
      <c r="F51" t="s">
        <v>2145</v>
      </c>
      <c r="G51" t="s">
        <v>2146</v>
      </c>
      <c r="H51" t="s">
        <v>2147</v>
      </c>
      <c r="I51" t="s">
        <v>2147</v>
      </c>
      <c r="J51" t="s">
        <v>2148</v>
      </c>
      <c r="K51" t="s">
        <v>2149</v>
      </c>
      <c r="L51" t="s">
        <v>2150</v>
      </c>
      <c r="M51" t="s">
        <v>2151</v>
      </c>
      <c r="N51" t="s">
        <v>2152</v>
      </c>
      <c r="O51" t="s">
        <v>2153</v>
      </c>
      <c r="P51" t="s">
        <v>2154</v>
      </c>
      <c r="Q51" t="s">
        <v>2155</v>
      </c>
      <c r="R51" t="s">
        <v>2156</v>
      </c>
      <c r="S51" t="s">
        <v>2157</v>
      </c>
      <c r="T51" t="s">
        <v>1688</v>
      </c>
      <c r="U51" t="s">
        <v>1688</v>
      </c>
      <c r="V51" t="s">
        <v>2158</v>
      </c>
      <c r="W51" t="s">
        <v>2159</v>
      </c>
      <c r="X51" t="s">
        <v>2160</v>
      </c>
      <c r="Y51" t="s">
        <v>2161</v>
      </c>
      <c r="Z51" t="s">
        <v>2162</v>
      </c>
      <c r="AA51" t="s">
        <v>1688</v>
      </c>
      <c r="AB51" t="s">
        <v>2163</v>
      </c>
      <c r="AC51" t="s">
        <v>2164</v>
      </c>
      <c r="AD51" t="s">
        <v>2165</v>
      </c>
      <c r="AE51" t="s">
        <v>2166</v>
      </c>
      <c r="AF51" t="s">
        <v>2145</v>
      </c>
      <c r="AG51" t="s">
        <v>2161</v>
      </c>
      <c r="AH51" t="s">
        <v>2149</v>
      </c>
      <c r="AI51" t="s">
        <v>2167</v>
      </c>
      <c r="AJ51" t="s">
        <v>2168</v>
      </c>
      <c r="AK51" t="s">
        <v>2169</v>
      </c>
      <c r="AL51" t="s">
        <v>2170</v>
      </c>
      <c r="AM51" t="s">
        <v>2171</v>
      </c>
      <c r="AN51" t="s">
        <v>1688</v>
      </c>
      <c r="AO51" t="s">
        <v>2172</v>
      </c>
      <c r="AP51" t="s">
        <v>2173</v>
      </c>
    </row>
    <row r="52" spans="1:42" x14ac:dyDescent="0.3">
      <c r="A52" t="s">
        <v>633</v>
      </c>
      <c r="B52" t="s">
        <v>1545</v>
      </c>
      <c r="C52" t="s">
        <v>938</v>
      </c>
      <c r="D52" t="s">
        <v>519</v>
      </c>
      <c r="E52" t="s">
        <v>1109</v>
      </c>
      <c r="F52" t="s">
        <v>801</v>
      </c>
      <c r="G52" t="s">
        <v>1001</v>
      </c>
      <c r="H52" t="s">
        <v>83</v>
      </c>
      <c r="I52" t="s">
        <v>1161</v>
      </c>
      <c r="J52" t="s">
        <v>16</v>
      </c>
      <c r="K52" t="s">
        <v>1321</v>
      </c>
      <c r="L52" t="s">
        <v>1225</v>
      </c>
      <c r="M52" t="s">
        <v>827</v>
      </c>
      <c r="N52" t="s">
        <v>788</v>
      </c>
      <c r="O52" t="s">
        <v>633</v>
      </c>
      <c r="P52" t="s">
        <v>793</v>
      </c>
      <c r="Q52" t="s">
        <v>1042</v>
      </c>
      <c r="R52" t="s">
        <v>235</v>
      </c>
      <c r="S52" t="s">
        <v>1292</v>
      </c>
      <c r="T52" t="s">
        <v>977</v>
      </c>
      <c r="U52" t="s">
        <v>443</v>
      </c>
      <c r="V52" t="s">
        <v>1076</v>
      </c>
      <c r="W52" t="s">
        <v>1386</v>
      </c>
      <c r="X52" t="s">
        <v>242</v>
      </c>
      <c r="Y52" t="s">
        <v>1546</v>
      </c>
      <c r="Z52" t="s">
        <v>338</v>
      </c>
      <c r="AA52" t="s">
        <v>1225</v>
      </c>
      <c r="AB52" t="s">
        <v>882</v>
      </c>
      <c r="AC52" t="s">
        <v>115</v>
      </c>
      <c r="AD52" t="s">
        <v>1200</v>
      </c>
      <c r="AE52" t="s">
        <v>1076</v>
      </c>
      <c r="AF52" t="s">
        <v>801</v>
      </c>
      <c r="AG52" t="s">
        <v>1547</v>
      </c>
      <c r="AH52" t="s">
        <v>1548</v>
      </c>
      <c r="AI52" t="s">
        <v>312</v>
      </c>
      <c r="AJ52" t="s">
        <v>783</v>
      </c>
      <c r="AK52" t="s">
        <v>1225</v>
      </c>
      <c r="AL52" t="s">
        <v>1549</v>
      </c>
      <c r="AM52" t="s">
        <v>914</v>
      </c>
      <c r="AN52" t="s">
        <v>1359</v>
      </c>
      <c r="AO52" t="s">
        <v>574</v>
      </c>
      <c r="AP52" t="s">
        <v>382</v>
      </c>
    </row>
    <row r="54" spans="1:42" x14ac:dyDescent="0.3">
      <c r="A54" s="53" t="s">
        <v>1687</v>
      </c>
      <c r="B54" t="s">
        <v>2174</v>
      </c>
      <c r="C54" t="s">
        <v>2175</v>
      </c>
      <c r="D54" t="s">
        <v>1687</v>
      </c>
      <c r="E54" t="s">
        <v>1687</v>
      </c>
      <c r="F54" t="s">
        <v>2176</v>
      </c>
      <c r="G54" t="s">
        <v>2177</v>
      </c>
      <c r="H54" t="s">
        <v>2178</v>
      </c>
      <c r="I54" t="s">
        <v>2179</v>
      </c>
      <c r="J54" t="s">
        <v>2180</v>
      </c>
      <c r="K54" t="s">
        <v>1687</v>
      </c>
      <c r="L54" t="s">
        <v>1687</v>
      </c>
      <c r="M54" t="s">
        <v>1687</v>
      </c>
      <c r="N54" t="s">
        <v>2181</v>
      </c>
      <c r="O54" t="s">
        <v>2182</v>
      </c>
      <c r="P54" t="s">
        <v>1687</v>
      </c>
      <c r="Q54" t="s">
        <v>2183</v>
      </c>
      <c r="R54" t="s">
        <v>2184</v>
      </c>
      <c r="S54" t="s">
        <v>1687</v>
      </c>
      <c r="T54" t="s">
        <v>1687</v>
      </c>
      <c r="U54" t="s">
        <v>1687</v>
      </c>
      <c r="V54" t="s">
        <v>2185</v>
      </c>
      <c r="W54" t="s">
        <v>2186</v>
      </c>
      <c r="X54" t="s">
        <v>2187</v>
      </c>
      <c r="Y54" t="s">
        <v>2188</v>
      </c>
      <c r="Z54" t="s">
        <v>2189</v>
      </c>
      <c r="AA54" t="s">
        <v>1687</v>
      </c>
      <c r="AB54" t="s">
        <v>2190</v>
      </c>
      <c r="AC54" t="s">
        <v>2191</v>
      </c>
      <c r="AD54" t="s">
        <v>2192</v>
      </c>
      <c r="AE54" t="s">
        <v>2193</v>
      </c>
      <c r="AF54" t="s">
        <v>2194</v>
      </c>
      <c r="AG54" t="s">
        <v>2188</v>
      </c>
      <c r="AH54" t="s">
        <v>1687</v>
      </c>
      <c r="AI54" t="s">
        <v>1687</v>
      </c>
      <c r="AJ54" t="s">
        <v>2195</v>
      </c>
      <c r="AK54" t="s">
        <v>2189</v>
      </c>
      <c r="AL54" t="s">
        <v>2196</v>
      </c>
      <c r="AM54" t="s">
        <v>2197</v>
      </c>
      <c r="AN54" t="s">
        <v>2198</v>
      </c>
      <c r="AO54" t="s">
        <v>2199</v>
      </c>
      <c r="AP54" t="s">
        <v>2200</v>
      </c>
    </row>
    <row r="55" spans="1:42" x14ac:dyDescent="0.3">
      <c r="A55" t="s">
        <v>1420</v>
      </c>
      <c r="B55" t="s">
        <v>1437</v>
      </c>
      <c r="C55" t="s">
        <v>1446</v>
      </c>
      <c r="D55" t="s">
        <v>1524</v>
      </c>
      <c r="E55" t="s">
        <v>1441</v>
      </c>
      <c r="F55" t="s">
        <v>1438</v>
      </c>
      <c r="G55" t="s">
        <v>1428</v>
      </c>
      <c r="H55" t="s">
        <v>1448</v>
      </c>
      <c r="I55" t="s">
        <v>1525</v>
      </c>
      <c r="J55" t="s">
        <v>1435</v>
      </c>
      <c r="K55" t="s">
        <v>1432</v>
      </c>
      <c r="L55" t="s">
        <v>1422</v>
      </c>
      <c r="M55" t="s">
        <v>1430</v>
      </c>
      <c r="N55" t="s">
        <v>1421</v>
      </c>
      <c r="O55" t="s">
        <v>1444</v>
      </c>
      <c r="P55" t="s">
        <v>1422</v>
      </c>
      <c r="Q55" t="s">
        <v>1526</v>
      </c>
      <c r="R55" t="s">
        <v>1445</v>
      </c>
      <c r="S55" t="s">
        <v>1429</v>
      </c>
      <c r="T55" t="s">
        <v>1443</v>
      </c>
      <c r="U55" t="s">
        <v>1420</v>
      </c>
      <c r="V55" t="s">
        <v>1424</v>
      </c>
      <c r="W55" t="s">
        <v>1527</v>
      </c>
      <c r="X55" t="s">
        <v>1427</v>
      </c>
      <c r="Y55" t="s">
        <v>1528</v>
      </c>
      <c r="Z55" t="s">
        <v>1431</v>
      </c>
      <c r="AA55" t="s">
        <v>1434</v>
      </c>
      <c r="AB55" t="s">
        <v>1447</v>
      </c>
      <c r="AC55" t="s">
        <v>1426</v>
      </c>
      <c r="AD55" t="s">
        <v>1425</v>
      </c>
      <c r="AE55" t="s">
        <v>1529</v>
      </c>
      <c r="AF55" t="s">
        <v>1439</v>
      </c>
      <c r="AG55" t="s">
        <v>1436</v>
      </c>
      <c r="AH55" t="s">
        <v>1530</v>
      </c>
      <c r="AI55" t="s">
        <v>1433</v>
      </c>
      <c r="AJ55" t="s">
        <v>1423</v>
      </c>
      <c r="AK55" t="s">
        <v>1422</v>
      </c>
      <c r="AL55" t="s">
        <v>1531</v>
      </c>
      <c r="AM55" t="s">
        <v>1442</v>
      </c>
      <c r="AN55" t="s">
        <v>1420</v>
      </c>
      <c r="AO55" t="s">
        <v>1440</v>
      </c>
      <c r="AP55" t="s">
        <v>1532</v>
      </c>
    </row>
    <row r="56" spans="1:42" x14ac:dyDescent="0.3">
      <c r="A56" s="53" t="s">
        <v>1691</v>
      </c>
      <c r="B56" t="s">
        <v>2201</v>
      </c>
      <c r="C56" t="s">
        <v>2202</v>
      </c>
      <c r="D56" t="s">
        <v>2203</v>
      </c>
      <c r="E56" t="s">
        <v>2204</v>
      </c>
      <c r="F56" t="s">
        <v>2205</v>
      </c>
      <c r="G56" t="s">
        <v>2206</v>
      </c>
      <c r="H56" t="s">
        <v>2207</v>
      </c>
      <c r="I56" t="s">
        <v>2208</v>
      </c>
      <c r="J56" t="s">
        <v>2209</v>
      </c>
      <c r="K56" t="s">
        <v>2210</v>
      </c>
      <c r="L56" t="s">
        <v>2211</v>
      </c>
      <c r="M56" t="s">
        <v>2212</v>
      </c>
      <c r="N56" t="s">
        <v>2213</v>
      </c>
      <c r="O56" t="s">
        <v>2214</v>
      </c>
      <c r="P56" t="s">
        <v>2211</v>
      </c>
      <c r="Q56" t="s">
        <v>2215</v>
      </c>
      <c r="R56" t="s">
        <v>2216</v>
      </c>
      <c r="S56" t="s">
        <v>2217</v>
      </c>
      <c r="T56" t="s">
        <v>2218</v>
      </c>
      <c r="U56" t="s">
        <v>2219</v>
      </c>
      <c r="V56" t="s">
        <v>2220</v>
      </c>
      <c r="W56" t="s">
        <v>2221</v>
      </c>
      <c r="X56" t="s">
        <v>2222</v>
      </c>
      <c r="Y56" t="s">
        <v>2223</v>
      </c>
      <c r="Z56" t="s">
        <v>2224</v>
      </c>
      <c r="AA56" t="s">
        <v>2225</v>
      </c>
      <c r="AB56" t="s">
        <v>2226</v>
      </c>
      <c r="AC56" t="s">
        <v>2227</v>
      </c>
      <c r="AD56" t="s">
        <v>2228</v>
      </c>
      <c r="AE56" t="s">
        <v>2229</v>
      </c>
      <c r="AF56" t="s">
        <v>2230</v>
      </c>
      <c r="AG56" t="s">
        <v>2223</v>
      </c>
      <c r="AH56" t="s">
        <v>2231</v>
      </c>
      <c r="AI56" t="s">
        <v>2232</v>
      </c>
      <c r="AJ56" t="s">
        <v>2233</v>
      </c>
      <c r="AK56" t="s">
        <v>2234</v>
      </c>
      <c r="AL56" t="s">
        <v>2235</v>
      </c>
      <c r="AM56" t="s">
        <v>2236</v>
      </c>
      <c r="AN56" t="s">
        <v>2237</v>
      </c>
      <c r="AO56" t="s">
        <v>2238</v>
      </c>
      <c r="AP56" t="s">
        <v>2239</v>
      </c>
    </row>
    <row r="57" spans="1:42" x14ac:dyDescent="0.3">
      <c r="A57" t="s">
        <v>631</v>
      </c>
      <c r="B57" t="s">
        <v>1595</v>
      </c>
      <c r="C57" t="s">
        <v>940</v>
      </c>
      <c r="D57" t="s">
        <v>523</v>
      </c>
      <c r="E57" t="s">
        <v>1113</v>
      </c>
      <c r="F57" t="s">
        <v>805</v>
      </c>
      <c r="G57" t="s">
        <v>1004</v>
      </c>
      <c r="H57" t="s">
        <v>1165</v>
      </c>
      <c r="I57" t="s">
        <v>1165</v>
      </c>
      <c r="J57" t="s">
        <v>1596</v>
      </c>
      <c r="K57" t="s">
        <v>1325</v>
      </c>
      <c r="L57" t="s">
        <v>796</v>
      </c>
      <c r="M57" t="s">
        <v>830</v>
      </c>
      <c r="N57" t="s">
        <v>791</v>
      </c>
      <c r="O57" t="s">
        <v>631</v>
      </c>
      <c r="P57" t="s">
        <v>796</v>
      </c>
      <c r="Q57" t="s">
        <v>1046</v>
      </c>
      <c r="R57" t="s">
        <v>1597</v>
      </c>
      <c r="S57" t="s">
        <v>1296</v>
      </c>
      <c r="T57" t="s">
        <v>979</v>
      </c>
      <c r="U57" t="s">
        <v>444</v>
      </c>
      <c r="V57" t="s">
        <v>1079</v>
      </c>
      <c r="W57" t="s">
        <v>1390</v>
      </c>
      <c r="X57" t="s">
        <v>245</v>
      </c>
      <c r="Y57" t="s">
        <v>1189</v>
      </c>
      <c r="Z57" t="s">
        <v>1598</v>
      </c>
      <c r="AA57" t="s">
        <v>197</v>
      </c>
      <c r="AB57" t="s">
        <v>1599</v>
      </c>
      <c r="AC57" t="s">
        <v>118</v>
      </c>
      <c r="AD57" t="s">
        <v>1202</v>
      </c>
      <c r="AE57" t="s">
        <v>1600</v>
      </c>
      <c r="AF57" t="s">
        <v>805</v>
      </c>
      <c r="AG57" t="s">
        <v>1601</v>
      </c>
      <c r="AH57" t="s">
        <v>1602</v>
      </c>
      <c r="AI57" t="s">
        <v>314</v>
      </c>
      <c r="AJ57" t="s">
        <v>786</v>
      </c>
      <c r="AK57" t="s">
        <v>796</v>
      </c>
      <c r="AL57" t="s">
        <v>1603</v>
      </c>
      <c r="AM57" t="s">
        <v>918</v>
      </c>
      <c r="AN57" t="s">
        <v>1604</v>
      </c>
      <c r="AO57" t="s">
        <v>578</v>
      </c>
      <c r="AP57" t="s">
        <v>1605</v>
      </c>
    </row>
    <row r="58" spans="1:42" x14ac:dyDescent="0.3">
      <c r="A58" s="53" t="s">
        <v>1692</v>
      </c>
      <c r="B58" t="s">
        <v>2240</v>
      </c>
      <c r="C58" t="s">
        <v>2241</v>
      </c>
      <c r="D58" t="s">
        <v>2242</v>
      </c>
      <c r="E58" t="s">
        <v>2243</v>
      </c>
      <c r="F58" t="s">
        <v>2244</v>
      </c>
      <c r="G58" t="s">
        <v>2245</v>
      </c>
      <c r="H58" t="s">
        <v>2246</v>
      </c>
      <c r="I58" t="s">
        <v>2247</v>
      </c>
      <c r="J58" t="s">
        <v>2248</v>
      </c>
      <c r="K58" s="53" t="s">
        <v>2474</v>
      </c>
      <c r="L58" t="s">
        <v>2250</v>
      </c>
      <c r="M58" t="s">
        <v>2251</v>
      </c>
      <c r="N58" t="s">
        <v>2481</v>
      </c>
      <c r="O58" t="s">
        <v>2252</v>
      </c>
      <c r="P58" t="s">
        <v>2253</v>
      </c>
      <c r="Q58" t="s">
        <v>2254</v>
      </c>
      <c r="R58" t="s">
        <v>2255</v>
      </c>
      <c r="S58" t="s">
        <v>2256</v>
      </c>
      <c r="T58" t="s">
        <v>2257</v>
      </c>
      <c r="U58" t="s">
        <v>2258</v>
      </c>
      <c r="V58" t="s">
        <v>2259</v>
      </c>
      <c r="W58" t="s">
        <v>2260</v>
      </c>
      <c r="X58" t="s">
        <v>2261</v>
      </c>
      <c r="Y58" t="s">
        <v>2262</v>
      </c>
      <c r="Z58" t="s">
        <v>2263</v>
      </c>
      <c r="AA58" t="s">
        <v>2264</v>
      </c>
      <c r="AB58" t="s">
        <v>2265</v>
      </c>
      <c r="AC58" s="53" t="s">
        <v>2470</v>
      </c>
      <c r="AD58" t="s">
        <v>2266</v>
      </c>
      <c r="AE58" t="s">
        <v>2267</v>
      </c>
      <c r="AF58" t="s">
        <v>2268</v>
      </c>
      <c r="AG58" t="s">
        <v>2269</v>
      </c>
      <c r="AH58" t="s">
        <v>2249</v>
      </c>
      <c r="AI58" t="s">
        <v>2270</v>
      </c>
      <c r="AJ58" t="s">
        <v>2266</v>
      </c>
      <c r="AK58" t="s">
        <v>2271</v>
      </c>
      <c r="AL58" t="s">
        <v>2272</v>
      </c>
      <c r="AM58" t="s">
        <v>2273</v>
      </c>
      <c r="AN58" t="s">
        <v>2274</v>
      </c>
      <c r="AO58" t="s">
        <v>2275</v>
      </c>
      <c r="AP58" t="s">
        <v>2276</v>
      </c>
    </row>
    <row r="59" spans="1:42" x14ac:dyDescent="0.3">
      <c r="A59" s="53" t="s">
        <v>1694</v>
      </c>
      <c r="B59" t="s">
        <v>2277</v>
      </c>
      <c r="C59" t="s">
        <v>2278</v>
      </c>
      <c r="D59" t="s">
        <v>2279</v>
      </c>
      <c r="E59" t="s">
        <v>2280</v>
      </c>
      <c r="F59" t="s">
        <v>2281</v>
      </c>
      <c r="G59" t="s">
        <v>2282</v>
      </c>
      <c r="H59" t="s">
        <v>2283</v>
      </c>
      <c r="I59" t="s">
        <v>2284</v>
      </c>
      <c r="J59" t="s">
        <v>2285</v>
      </c>
      <c r="K59" s="53" t="s">
        <v>2473</v>
      </c>
      <c r="L59" t="s">
        <v>2286</v>
      </c>
      <c r="M59" t="s">
        <v>2287</v>
      </c>
      <c r="N59" t="s">
        <v>2482</v>
      </c>
      <c r="O59" t="s">
        <v>2288</v>
      </c>
      <c r="P59" t="s">
        <v>2289</v>
      </c>
      <c r="Q59" t="s">
        <v>2290</v>
      </c>
      <c r="R59" t="s">
        <v>2291</v>
      </c>
      <c r="S59" t="s">
        <v>2292</v>
      </c>
      <c r="T59" t="s">
        <v>2293</v>
      </c>
      <c r="U59" t="s">
        <v>2294</v>
      </c>
      <c r="V59" t="s">
        <v>2295</v>
      </c>
      <c r="W59" t="s">
        <v>2296</v>
      </c>
      <c r="X59" t="s">
        <v>2297</v>
      </c>
      <c r="Y59" t="s">
        <v>2298</v>
      </c>
      <c r="Z59" t="s">
        <v>2299</v>
      </c>
      <c r="AA59" t="s">
        <v>2300</v>
      </c>
      <c r="AB59" t="s">
        <v>2301</v>
      </c>
      <c r="AC59" s="53" t="s">
        <v>2472</v>
      </c>
      <c r="AD59" t="s">
        <v>2302</v>
      </c>
      <c r="AE59" t="s">
        <v>2303</v>
      </c>
      <c r="AF59" t="s">
        <v>2304</v>
      </c>
      <c r="AG59" t="s">
        <v>2298</v>
      </c>
      <c r="AH59" t="s">
        <v>2305</v>
      </c>
      <c r="AI59" t="s">
        <v>2285</v>
      </c>
      <c r="AJ59" t="s">
        <v>2306</v>
      </c>
      <c r="AK59" t="s">
        <v>2307</v>
      </c>
      <c r="AL59" t="s">
        <v>2308</v>
      </c>
      <c r="AM59" t="s">
        <v>2309</v>
      </c>
      <c r="AN59" t="s">
        <v>2310</v>
      </c>
      <c r="AO59" t="s">
        <v>2311</v>
      </c>
      <c r="AP59" t="s">
        <v>2312</v>
      </c>
    </row>
    <row r="60" spans="1:42" x14ac:dyDescent="0.3">
      <c r="A60" s="53" t="s">
        <v>1696</v>
      </c>
      <c r="B60" t="s">
        <v>2313</v>
      </c>
      <c r="C60" t="s">
        <v>2314</v>
      </c>
      <c r="D60" t="s">
        <v>2315</v>
      </c>
      <c r="E60" t="s">
        <v>2316</v>
      </c>
      <c r="F60" t="s">
        <v>2317</v>
      </c>
      <c r="G60" t="s">
        <v>2318</v>
      </c>
      <c r="H60" t="s">
        <v>2319</v>
      </c>
      <c r="I60" t="s">
        <v>2320</v>
      </c>
      <c r="J60" t="s">
        <v>2321</v>
      </c>
      <c r="K60" t="s">
        <v>2321</v>
      </c>
      <c r="L60" t="s">
        <v>2321</v>
      </c>
      <c r="M60" t="s">
        <v>2322</v>
      </c>
      <c r="N60" t="s">
        <v>2323</v>
      </c>
      <c r="O60" t="s">
        <v>2324</v>
      </c>
      <c r="P60" t="s">
        <v>2321</v>
      </c>
      <c r="Q60" t="s">
        <v>2325</v>
      </c>
      <c r="R60" t="s">
        <v>2326</v>
      </c>
      <c r="S60" t="s">
        <v>2327</v>
      </c>
      <c r="T60" t="s">
        <v>2328</v>
      </c>
      <c r="U60" t="s">
        <v>2329</v>
      </c>
      <c r="V60" t="s">
        <v>2330</v>
      </c>
      <c r="W60" t="s">
        <v>2331</v>
      </c>
      <c r="X60" t="s">
        <v>2332</v>
      </c>
      <c r="Y60" t="s">
        <v>2333</v>
      </c>
      <c r="Z60" t="s">
        <v>2330</v>
      </c>
      <c r="AA60" t="s">
        <v>2321</v>
      </c>
      <c r="AB60" t="s">
        <v>2334</v>
      </c>
      <c r="AC60" t="s">
        <v>2328</v>
      </c>
      <c r="AD60" t="s">
        <v>2335</v>
      </c>
      <c r="AE60" t="s">
        <v>2330</v>
      </c>
      <c r="AF60" t="s">
        <v>2317</v>
      </c>
      <c r="AG60" t="s">
        <v>2333</v>
      </c>
      <c r="AH60" t="s">
        <v>2321</v>
      </c>
      <c r="AI60" t="s">
        <v>2332</v>
      </c>
      <c r="AJ60" t="s">
        <v>2328</v>
      </c>
      <c r="AK60" t="s">
        <v>2336</v>
      </c>
      <c r="AL60" t="s">
        <v>2337</v>
      </c>
      <c r="AM60" t="s">
        <v>2338</v>
      </c>
      <c r="AN60" t="s">
        <v>1696</v>
      </c>
      <c r="AO60" t="s">
        <v>2339</v>
      </c>
      <c r="AP60" t="s">
        <v>2340</v>
      </c>
    </row>
    <row r="61" spans="1:42" x14ac:dyDescent="0.3">
      <c r="A61" s="53" t="s">
        <v>1697</v>
      </c>
      <c r="B61" t="s">
        <v>2341</v>
      </c>
      <c r="C61" t="s">
        <v>2342</v>
      </c>
      <c r="D61" t="s">
        <v>2343</v>
      </c>
      <c r="E61" t="s">
        <v>2344</v>
      </c>
      <c r="F61" t="s">
        <v>2345</v>
      </c>
      <c r="G61" t="s">
        <v>2346</v>
      </c>
      <c r="H61" t="s">
        <v>2347</v>
      </c>
      <c r="I61" t="s">
        <v>2348</v>
      </c>
      <c r="J61" t="s">
        <v>2349</v>
      </c>
      <c r="K61" t="s">
        <v>2350</v>
      </c>
      <c r="L61" t="s">
        <v>2351</v>
      </c>
      <c r="M61" t="s">
        <v>2352</v>
      </c>
      <c r="N61" t="s">
        <v>2353</v>
      </c>
      <c r="O61" t="s">
        <v>2354</v>
      </c>
      <c r="P61" t="s">
        <v>2355</v>
      </c>
      <c r="Q61" t="s">
        <v>2356</v>
      </c>
      <c r="R61" t="s">
        <v>2357</v>
      </c>
      <c r="S61" t="s">
        <v>2358</v>
      </c>
      <c r="T61" t="s">
        <v>1697</v>
      </c>
      <c r="U61" t="s">
        <v>2359</v>
      </c>
      <c r="V61" t="s">
        <v>1697</v>
      </c>
      <c r="W61" t="s">
        <v>2360</v>
      </c>
      <c r="X61" t="s">
        <v>2349</v>
      </c>
      <c r="Y61" t="s">
        <v>2361</v>
      </c>
      <c r="Z61" t="s">
        <v>2362</v>
      </c>
      <c r="AA61" t="s">
        <v>2363</v>
      </c>
      <c r="AB61" t="s">
        <v>2364</v>
      </c>
      <c r="AC61" t="s">
        <v>1697</v>
      </c>
      <c r="AD61" t="s">
        <v>2365</v>
      </c>
      <c r="AE61" t="s">
        <v>1697</v>
      </c>
      <c r="AF61" t="s">
        <v>2345</v>
      </c>
      <c r="AG61" t="s">
        <v>2366</v>
      </c>
      <c r="AH61" t="s">
        <v>2367</v>
      </c>
      <c r="AI61" t="s">
        <v>2368</v>
      </c>
      <c r="AJ61" t="s">
        <v>1697</v>
      </c>
      <c r="AK61" t="s">
        <v>2369</v>
      </c>
      <c r="AL61" t="s">
        <v>2370</v>
      </c>
      <c r="AM61" t="s">
        <v>2371</v>
      </c>
      <c r="AN61" t="s">
        <v>2372</v>
      </c>
      <c r="AO61" t="s">
        <v>2373</v>
      </c>
      <c r="AP61" t="s">
        <v>2374</v>
      </c>
    </row>
    <row r="62" spans="1:42" x14ac:dyDescent="0.3">
      <c r="A62" t="s">
        <v>632</v>
      </c>
      <c r="B62" t="s">
        <v>1533</v>
      </c>
      <c r="C62" t="s">
        <v>937</v>
      </c>
      <c r="D62" t="s">
        <v>632</v>
      </c>
      <c r="E62" t="s">
        <v>912</v>
      </c>
      <c r="F62" t="s">
        <v>799</v>
      </c>
      <c r="G62" t="s">
        <v>999</v>
      </c>
      <c r="H62" t="s">
        <v>82</v>
      </c>
      <c r="I62" t="s">
        <v>1160</v>
      </c>
      <c r="J62" t="s">
        <v>14</v>
      </c>
      <c r="K62" t="s">
        <v>1319</v>
      </c>
      <c r="L62" t="s">
        <v>1224</v>
      </c>
      <c r="M62" t="s">
        <v>825</v>
      </c>
      <c r="N62" t="s">
        <v>632</v>
      </c>
      <c r="O62" t="s">
        <v>632</v>
      </c>
      <c r="P62" t="s">
        <v>792</v>
      </c>
      <c r="Q62" t="s">
        <v>1040</v>
      </c>
      <c r="R62" t="s">
        <v>233</v>
      </c>
      <c r="S62" t="s">
        <v>1290</v>
      </c>
      <c r="T62" t="s">
        <v>975</v>
      </c>
      <c r="U62" t="s">
        <v>632</v>
      </c>
      <c r="V62" t="s">
        <v>781</v>
      </c>
      <c r="W62" t="s">
        <v>1385</v>
      </c>
      <c r="X62" t="s">
        <v>240</v>
      </c>
      <c r="Y62" t="s">
        <v>1184</v>
      </c>
      <c r="Z62" t="s">
        <v>336</v>
      </c>
      <c r="AA62" t="s">
        <v>46</v>
      </c>
      <c r="AB62" t="s">
        <v>881</v>
      </c>
      <c r="AC62" t="s">
        <v>114</v>
      </c>
      <c r="AD62" t="s">
        <v>999</v>
      </c>
      <c r="AE62" t="s">
        <v>1534</v>
      </c>
      <c r="AF62" t="s">
        <v>799</v>
      </c>
      <c r="AG62" t="s">
        <v>1535</v>
      </c>
      <c r="AH62" t="s">
        <v>1536</v>
      </c>
      <c r="AI62" t="s">
        <v>632</v>
      </c>
      <c r="AJ62" t="s">
        <v>781</v>
      </c>
      <c r="AK62" t="s">
        <v>46</v>
      </c>
      <c r="AL62" t="s">
        <v>153</v>
      </c>
      <c r="AM62" t="s">
        <v>912</v>
      </c>
      <c r="AN62" t="s">
        <v>1357</v>
      </c>
      <c r="AO62" t="s">
        <v>572</v>
      </c>
      <c r="AP62" t="s">
        <v>380</v>
      </c>
    </row>
    <row r="63" spans="1:42" x14ac:dyDescent="0.3">
      <c r="A63" s="53"/>
    </row>
    <row r="64" spans="1:42" x14ac:dyDescent="0.3">
      <c r="A64" s="53" t="s">
        <v>1690</v>
      </c>
      <c r="B64" t="s">
        <v>2375</v>
      </c>
      <c r="C64" t="s">
        <v>2376</v>
      </c>
      <c r="D64" t="s">
        <v>2377</v>
      </c>
      <c r="E64" t="s">
        <v>2378</v>
      </c>
      <c r="F64" t="s">
        <v>2379</v>
      </c>
      <c r="G64" t="s">
        <v>2380</v>
      </c>
      <c r="H64" t="s">
        <v>2381</v>
      </c>
      <c r="I64" t="s">
        <v>2382</v>
      </c>
      <c r="J64" t="s">
        <v>2383</v>
      </c>
      <c r="K64" t="s">
        <v>2384</v>
      </c>
      <c r="L64" t="s">
        <v>2385</v>
      </c>
      <c r="M64" t="s">
        <v>2385</v>
      </c>
      <c r="N64" t="s">
        <v>2386</v>
      </c>
      <c r="O64" t="s">
        <v>2387</v>
      </c>
      <c r="P64" t="s">
        <v>2385</v>
      </c>
      <c r="Q64" t="s">
        <v>2388</v>
      </c>
      <c r="R64" t="s">
        <v>2389</v>
      </c>
      <c r="S64" t="s">
        <v>2390</v>
      </c>
      <c r="T64" t="s">
        <v>2391</v>
      </c>
      <c r="U64" t="s">
        <v>2377</v>
      </c>
      <c r="V64" t="s">
        <v>2392</v>
      </c>
      <c r="W64" t="s">
        <v>2393</v>
      </c>
      <c r="X64" t="s">
        <v>2394</v>
      </c>
      <c r="Y64" t="s">
        <v>2395</v>
      </c>
      <c r="Z64" t="s">
        <v>2396</v>
      </c>
      <c r="AA64" t="s">
        <v>2385</v>
      </c>
      <c r="AB64" t="s">
        <v>2397</v>
      </c>
      <c r="AC64" t="s">
        <v>2398</v>
      </c>
      <c r="AD64" t="s">
        <v>2399</v>
      </c>
      <c r="AE64" t="s">
        <v>2392</v>
      </c>
      <c r="AF64" t="s">
        <v>2400</v>
      </c>
      <c r="AG64" t="s">
        <v>2401</v>
      </c>
      <c r="AH64" t="s">
        <v>2402</v>
      </c>
      <c r="AI64" t="s">
        <v>2383</v>
      </c>
      <c r="AJ64" t="s">
        <v>2392</v>
      </c>
      <c r="AK64" t="s">
        <v>2403</v>
      </c>
      <c r="AL64" t="s">
        <v>2404</v>
      </c>
      <c r="AM64" t="s">
        <v>2405</v>
      </c>
      <c r="AN64" t="s">
        <v>2406</v>
      </c>
      <c r="AO64" t="s">
        <v>2407</v>
      </c>
      <c r="AP64" t="s">
        <v>2408</v>
      </c>
    </row>
    <row r="66" spans="1:42" x14ac:dyDescent="0.3">
      <c r="A66" t="s">
        <v>745</v>
      </c>
      <c r="B66" t="s">
        <v>1537</v>
      </c>
      <c r="C66" t="s">
        <v>1538</v>
      </c>
      <c r="D66" t="s">
        <v>518</v>
      </c>
      <c r="E66" t="s">
        <v>1108</v>
      </c>
      <c r="F66" t="s">
        <v>800</v>
      </c>
      <c r="G66" t="s">
        <v>1000</v>
      </c>
      <c r="H66" t="s">
        <v>1539</v>
      </c>
      <c r="I66" t="s">
        <v>1540</v>
      </c>
      <c r="J66" t="s">
        <v>15</v>
      </c>
      <c r="K66" t="s">
        <v>1320</v>
      </c>
      <c r="L66" t="s">
        <v>745</v>
      </c>
      <c r="M66" t="s">
        <v>826</v>
      </c>
      <c r="N66" t="s">
        <v>787</v>
      </c>
      <c r="O66" t="s">
        <v>745</v>
      </c>
      <c r="P66" t="s">
        <v>745</v>
      </c>
      <c r="Q66" t="s">
        <v>1041</v>
      </c>
      <c r="R66" t="s">
        <v>234</v>
      </c>
      <c r="S66" t="s">
        <v>1291</v>
      </c>
      <c r="T66" t="s">
        <v>976</v>
      </c>
      <c r="U66" t="s">
        <v>745</v>
      </c>
      <c r="V66" t="s">
        <v>1075</v>
      </c>
      <c r="W66" t="s">
        <v>1541</v>
      </c>
      <c r="X66" t="s">
        <v>241</v>
      </c>
      <c r="Y66" t="s">
        <v>1185</v>
      </c>
      <c r="Z66" t="s">
        <v>337</v>
      </c>
      <c r="AA66" t="s">
        <v>745</v>
      </c>
      <c r="AB66" t="s">
        <v>381</v>
      </c>
      <c r="AC66" t="s">
        <v>1291</v>
      </c>
      <c r="AD66" t="s">
        <v>782</v>
      </c>
      <c r="AE66" t="s">
        <v>1291</v>
      </c>
      <c r="AF66" t="s">
        <v>800</v>
      </c>
      <c r="AG66" t="s">
        <v>1542</v>
      </c>
      <c r="AH66" t="s">
        <v>189</v>
      </c>
      <c r="AI66" t="s">
        <v>241</v>
      </c>
      <c r="AJ66" t="s">
        <v>782</v>
      </c>
      <c r="AK66" t="s">
        <v>745</v>
      </c>
      <c r="AL66" t="s">
        <v>154</v>
      </c>
      <c r="AM66" t="s">
        <v>913</v>
      </c>
      <c r="AN66" t="s">
        <v>1358</v>
      </c>
      <c r="AO66" t="s">
        <v>573</v>
      </c>
      <c r="AP66" t="s">
        <v>1543</v>
      </c>
    </row>
    <row r="67" spans="1:42" x14ac:dyDescent="0.3">
      <c r="A67" t="s">
        <v>1544</v>
      </c>
      <c r="B67" t="s">
        <v>1553</v>
      </c>
      <c r="C67" t="s">
        <v>1554</v>
      </c>
      <c r="D67" t="s">
        <v>1555</v>
      </c>
      <c r="E67" t="s">
        <v>1556</v>
      </c>
      <c r="F67" t="s">
        <v>1557</v>
      </c>
      <c r="G67" t="s">
        <v>1558</v>
      </c>
      <c r="H67" t="s">
        <v>1559</v>
      </c>
      <c r="I67" t="s">
        <v>1560</v>
      </c>
      <c r="J67" t="s">
        <v>1561</v>
      </c>
      <c r="K67" t="s">
        <v>1562</v>
      </c>
      <c r="L67" t="s">
        <v>1563</v>
      </c>
      <c r="M67" t="s">
        <v>1564</v>
      </c>
      <c r="N67" t="s">
        <v>1565</v>
      </c>
      <c r="O67" t="s">
        <v>1566</v>
      </c>
      <c r="P67" t="s">
        <v>1563</v>
      </c>
      <c r="Q67" t="s">
        <v>1567</v>
      </c>
      <c r="R67" t="s">
        <v>1568</v>
      </c>
      <c r="S67" t="s">
        <v>1544</v>
      </c>
      <c r="T67" t="s">
        <v>1569</v>
      </c>
      <c r="U67" t="s">
        <v>1544</v>
      </c>
      <c r="V67" t="s">
        <v>1570</v>
      </c>
      <c r="W67" t="s">
        <v>1571</v>
      </c>
      <c r="X67" t="s">
        <v>1561</v>
      </c>
      <c r="Y67" t="s">
        <v>1572</v>
      </c>
      <c r="Z67" t="s">
        <v>1573</v>
      </c>
      <c r="AA67" t="s">
        <v>1569</v>
      </c>
      <c r="AB67" t="s">
        <v>1574</v>
      </c>
      <c r="AC67" t="s">
        <v>1569</v>
      </c>
      <c r="AD67" t="s">
        <v>1575</v>
      </c>
      <c r="AE67" t="s">
        <v>1569</v>
      </c>
      <c r="AF67" t="s">
        <v>1576</v>
      </c>
      <c r="AG67" t="s">
        <v>1577</v>
      </c>
      <c r="AH67" t="s">
        <v>1578</v>
      </c>
      <c r="AI67" t="s">
        <v>1561</v>
      </c>
      <c r="AJ67" t="s">
        <v>1575</v>
      </c>
      <c r="AK67" t="s">
        <v>1563</v>
      </c>
      <c r="AL67" t="s">
        <v>1579</v>
      </c>
      <c r="AM67" t="s">
        <v>1556</v>
      </c>
      <c r="AN67" t="s">
        <v>1580</v>
      </c>
      <c r="AO67" t="s">
        <v>1581</v>
      </c>
      <c r="AP67" t="s">
        <v>1582</v>
      </c>
    </row>
    <row r="68" spans="1:42" x14ac:dyDescent="0.3">
      <c r="A68" s="53" t="s">
        <v>1695</v>
      </c>
      <c r="B68" t="s">
        <v>2409</v>
      </c>
      <c r="C68" t="s">
        <v>2410</v>
      </c>
      <c r="D68" t="s">
        <v>2411</v>
      </c>
      <c r="E68" t="s">
        <v>2412</v>
      </c>
      <c r="F68" t="s">
        <v>2413</v>
      </c>
      <c r="G68" t="s">
        <v>2414</v>
      </c>
      <c r="H68" t="s">
        <v>2415</v>
      </c>
      <c r="I68" t="s">
        <v>2415</v>
      </c>
      <c r="J68" t="s">
        <v>2416</v>
      </c>
      <c r="K68" t="s">
        <v>2417</v>
      </c>
      <c r="L68" t="s">
        <v>2418</v>
      </c>
      <c r="M68" t="s">
        <v>2419</v>
      </c>
      <c r="N68" t="s">
        <v>2420</v>
      </c>
      <c r="O68" t="s">
        <v>2421</v>
      </c>
      <c r="P68" t="s">
        <v>2422</v>
      </c>
      <c r="Q68" t="s">
        <v>2423</v>
      </c>
      <c r="R68" t="s">
        <v>2424</v>
      </c>
      <c r="S68" t="s">
        <v>2425</v>
      </c>
      <c r="T68" t="s">
        <v>2426</v>
      </c>
      <c r="U68" t="s">
        <v>2427</v>
      </c>
      <c r="V68" t="s">
        <v>2428</v>
      </c>
      <c r="W68" t="s">
        <v>2429</v>
      </c>
      <c r="X68" t="s">
        <v>2430</v>
      </c>
      <c r="Y68" t="s">
        <v>2431</v>
      </c>
      <c r="Z68" t="s">
        <v>2432</v>
      </c>
      <c r="AA68" t="s">
        <v>2418</v>
      </c>
      <c r="AB68" t="s">
        <v>2433</v>
      </c>
      <c r="AC68" t="s">
        <v>2434</v>
      </c>
      <c r="AD68" t="s">
        <v>2435</v>
      </c>
      <c r="AE68" t="s">
        <v>2436</v>
      </c>
      <c r="AF68" t="s">
        <v>2413</v>
      </c>
      <c r="AG68" t="s">
        <v>2431</v>
      </c>
      <c r="AH68" t="s">
        <v>2417</v>
      </c>
      <c r="AI68" t="s">
        <v>2416</v>
      </c>
      <c r="AJ68" t="s">
        <v>2437</v>
      </c>
      <c r="AK68" t="s">
        <v>2438</v>
      </c>
      <c r="AL68" t="s">
        <v>2439</v>
      </c>
      <c r="AM68" t="s">
        <v>2412</v>
      </c>
      <c r="AN68" t="s">
        <v>2440</v>
      </c>
      <c r="AO68" t="s">
        <v>2441</v>
      </c>
      <c r="AP68" t="s">
        <v>2442</v>
      </c>
    </row>
    <row r="69" spans="1:42" x14ac:dyDescent="0.3">
      <c r="A69" t="s">
        <v>1510</v>
      </c>
      <c r="B69" t="s">
        <v>1491</v>
      </c>
      <c r="C69" t="s">
        <v>1492</v>
      </c>
      <c r="D69" t="s">
        <v>1493</v>
      </c>
      <c r="E69" t="s">
        <v>1494</v>
      </c>
      <c r="F69" t="s">
        <v>1495</v>
      </c>
      <c r="G69" t="s">
        <v>1496</v>
      </c>
      <c r="H69" t="s">
        <v>1497</v>
      </c>
      <c r="I69" t="s">
        <v>1498</v>
      </c>
      <c r="J69" t="s">
        <v>1499</v>
      </c>
      <c r="K69" t="s">
        <v>1500</v>
      </c>
      <c r="L69" t="s">
        <v>1501</v>
      </c>
      <c r="M69" t="s">
        <v>1501</v>
      </c>
      <c r="N69" t="s">
        <v>1502</v>
      </c>
      <c r="O69" t="s">
        <v>1503</v>
      </c>
      <c r="P69" t="s">
        <v>1504</v>
      </c>
      <c r="Q69" t="s">
        <v>1505</v>
      </c>
      <c r="R69" t="s">
        <v>1506</v>
      </c>
      <c r="S69" t="s">
        <v>1507</v>
      </c>
      <c r="T69" t="s">
        <v>1508</v>
      </c>
      <c r="U69" t="s">
        <v>1509</v>
      </c>
      <c r="V69" t="s">
        <v>1510</v>
      </c>
      <c r="W69" t="s">
        <v>1511</v>
      </c>
      <c r="X69" t="s">
        <v>1499</v>
      </c>
      <c r="Y69" t="s">
        <v>1512</v>
      </c>
      <c r="Z69" t="s">
        <v>1513</v>
      </c>
      <c r="AA69" t="s">
        <v>1504</v>
      </c>
      <c r="AB69" t="s">
        <v>1514</v>
      </c>
      <c r="AC69" t="s">
        <v>1515</v>
      </c>
      <c r="AD69" t="s">
        <v>1496</v>
      </c>
      <c r="AE69" t="s">
        <v>1508</v>
      </c>
      <c r="AF69" t="s">
        <v>1516</v>
      </c>
      <c r="AG69" t="s">
        <v>1512</v>
      </c>
      <c r="AH69" t="s">
        <v>1517</v>
      </c>
      <c r="AI69" t="s">
        <v>1499</v>
      </c>
      <c r="AJ69" t="s">
        <v>1508</v>
      </c>
      <c r="AK69" t="s">
        <v>1518</v>
      </c>
      <c r="AL69" t="s">
        <v>1519</v>
      </c>
      <c r="AM69" t="s">
        <v>1520</v>
      </c>
      <c r="AN69" t="s">
        <v>1521</v>
      </c>
      <c r="AO69" t="s">
        <v>1522</v>
      </c>
      <c r="AP69" t="s">
        <v>1523</v>
      </c>
    </row>
    <row r="70" spans="1:42" x14ac:dyDescent="0.3">
      <c r="A70" t="s">
        <v>764</v>
      </c>
      <c r="B70" t="s">
        <v>764</v>
      </c>
      <c r="C70" t="s">
        <v>764</v>
      </c>
      <c r="D70" t="s">
        <v>764</v>
      </c>
      <c r="E70" t="s">
        <v>764</v>
      </c>
      <c r="F70" t="s">
        <v>764</v>
      </c>
      <c r="G70" t="s">
        <v>764</v>
      </c>
      <c r="H70" t="s">
        <v>764</v>
      </c>
      <c r="I70" t="s">
        <v>764</v>
      </c>
      <c r="J70" t="s">
        <v>764</v>
      </c>
      <c r="K70" t="s">
        <v>764</v>
      </c>
      <c r="L70" t="s">
        <v>764</v>
      </c>
      <c r="M70" t="s">
        <v>831</v>
      </c>
      <c r="N70" t="s">
        <v>764</v>
      </c>
      <c r="O70" t="s">
        <v>764</v>
      </c>
      <c r="P70" t="s">
        <v>764</v>
      </c>
      <c r="Q70" t="s">
        <v>764</v>
      </c>
      <c r="R70" t="s">
        <v>764</v>
      </c>
      <c r="S70" t="s">
        <v>764</v>
      </c>
      <c r="T70" t="s">
        <v>764</v>
      </c>
      <c r="U70" t="s">
        <v>764</v>
      </c>
      <c r="V70" t="s">
        <v>764</v>
      </c>
      <c r="W70" t="s">
        <v>1621</v>
      </c>
      <c r="X70" t="s">
        <v>764</v>
      </c>
      <c r="Y70" t="s">
        <v>764</v>
      </c>
      <c r="Z70" t="s">
        <v>764</v>
      </c>
      <c r="AA70" t="s">
        <v>764</v>
      </c>
      <c r="AB70" t="s">
        <v>943</v>
      </c>
      <c r="AC70" t="s">
        <v>764</v>
      </c>
      <c r="AD70" t="s">
        <v>764</v>
      </c>
      <c r="AE70" t="s">
        <v>764</v>
      </c>
      <c r="AF70" t="s">
        <v>764</v>
      </c>
      <c r="AG70" t="s">
        <v>764</v>
      </c>
      <c r="AH70" t="s">
        <v>764</v>
      </c>
      <c r="AI70" t="s">
        <v>764</v>
      </c>
      <c r="AJ70" t="s">
        <v>764</v>
      </c>
      <c r="AK70" t="s">
        <v>764</v>
      </c>
      <c r="AL70" t="s">
        <v>158</v>
      </c>
      <c r="AM70" t="s">
        <v>831</v>
      </c>
      <c r="AN70" t="s">
        <v>764</v>
      </c>
      <c r="AO70" t="s">
        <v>764</v>
      </c>
      <c r="AP70" t="s">
        <v>384</v>
      </c>
    </row>
    <row r="71" spans="1:42" x14ac:dyDescent="0.3">
      <c r="A71" t="s">
        <v>765</v>
      </c>
      <c r="B71" t="s">
        <v>765</v>
      </c>
      <c r="C71" t="s">
        <v>765</v>
      </c>
      <c r="D71" t="s">
        <v>765</v>
      </c>
      <c r="E71" t="s">
        <v>765</v>
      </c>
      <c r="F71" t="s">
        <v>765</v>
      </c>
      <c r="G71" t="s">
        <v>765</v>
      </c>
      <c r="H71" t="s">
        <v>765</v>
      </c>
      <c r="I71" t="s">
        <v>765</v>
      </c>
      <c r="J71" t="s">
        <v>765</v>
      </c>
      <c r="K71" t="s">
        <v>765</v>
      </c>
      <c r="L71" t="s">
        <v>765</v>
      </c>
      <c r="M71" t="s">
        <v>832</v>
      </c>
      <c r="N71" t="s">
        <v>765</v>
      </c>
      <c r="O71" t="s">
        <v>765</v>
      </c>
      <c r="P71" t="s">
        <v>765</v>
      </c>
      <c r="Q71" t="s">
        <v>765</v>
      </c>
      <c r="R71" t="s">
        <v>765</v>
      </c>
      <c r="S71" t="s">
        <v>765</v>
      </c>
      <c r="T71" t="s">
        <v>765</v>
      </c>
      <c r="U71" t="s">
        <v>765</v>
      </c>
      <c r="V71" t="s">
        <v>765</v>
      </c>
      <c r="W71" t="s">
        <v>1622</v>
      </c>
      <c r="X71" t="s">
        <v>765</v>
      </c>
      <c r="Y71" t="s">
        <v>765</v>
      </c>
      <c r="Z71" t="s">
        <v>765</v>
      </c>
      <c r="AA71" t="s">
        <v>765</v>
      </c>
      <c r="AB71" t="s">
        <v>944</v>
      </c>
      <c r="AC71" t="s">
        <v>765</v>
      </c>
      <c r="AD71" t="s">
        <v>765</v>
      </c>
      <c r="AE71" t="s">
        <v>765</v>
      </c>
      <c r="AF71" t="s">
        <v>765</v>
      </c>
      <c r="AG71" t="s">
        <v>765</v>
      </c>
      <c r="AH71" t="s">
        <v>765</v>
      </c>
      <c r="AI71" t="s">
        <v>765</v>
      </c>
      <c r="AJ71" t="s">
        <v>765</v>
      </c>
      <c r="AK71" t="s">
        <v>765</v>
      </c>
      <c r="AL71" t="s">
        <v>159</v>
      </c>
      <c r="AM71" t="s">
        <v>832</v>
      </c>
      <c r="AN71" t="s">
        <v>765</v>
      </c>
      <c r="AO71" t="s">
        <v>765</v>
      </c>
      <c r="AP71" t="s">
        <v>385</v>
      </c>
    </row>
    <row r="72" spans="1:42" x14ac:dyDescent="0.3">
      <c r="A72" t="s">
        <v>766</v>
      </c>
      <c r="B72" t="s">
        <v>766</v>
      </c>
      <c r="C72" t="s">
        <v>766</v>
      </c>
      <c r="D72" t="s">
        <v>766</v>
      </c>
      <c r="E72" t="s">
        <v>766</v>
      </c>
      <c r="F72" t="s">
        <v>766</v>
      </c>
      <c r="G72" t="s">
        <v>766</v>
      </c>
      <c r="H72" t="s">
        <v>766</v>
      </c>
      <c r="I72" t="s">
        <v>766</v>
      </c>
      <c r="J72" t="s">
        <v>766</v>
      </c>
      <c r="K72" t="s">
        <v>766</v>
      </c>
      <c r="L72" t="s">
        <v>766</v>
      </c>
      <c r="M72" t="s">
        <v>833</v>
      </c>
      <c r="N72" t="s">
        <v>766</v>
      </c>
      <c r="O72" t="s">
        <v>766</v>
      </c>
      <c r="P72" t="s">
        <v>766</v>
      </c>
      <c r="Q72" t="s">
        <v>766</v>
      </c>
      <c r="R72" t="s">
        <v>766</v>
      </c>
      <c r="S72" t="s">
        <v>766</v>
      </c>
      <c r="T72" t="s">
        <v>766</v>
      </c>
      <c r="U72" t="s">
        <v>766</v>
      </c>
      <c r="V72" t="s">
        <v>766</v>
      </c>
      <c r="W72" t="s">
        <v>1623</v>
      </c>
      <c r="X72" t="s">
        <v>766</v>
      </c>
      <c r="Y72" t="s">
        <v>766</v>
      </c>
      <c r="Z72" t="s">
        <v>766</v>
      </c>
      <c r="AA72" t="s">
        <v>766</v>
      </c>
      <c r="AB72" t="s">
        <v>945</v>
      </c>
      <c r="AC72" t="s">
        <v>766</v>
      </c>
      <c r="AD72" t="s">
        <v>766</v>
      </c>
      <c r="AE72" t="s">
        <v>766</v>
      </c>
      <c r="AF72" t="s">
        <v>766</v>
      </c>
      <c r="AG72" t="s">
        <v>766</v>
      </c>
      <c r="AH72" t="s">
        <v>766</v>
      </c>
      <c r="AI72" t="s">
        <v>766</v>
      </c>
      <c r="AJ72" t="s">
        <v>766</v>
      </c>
      <c r="AK72" t="s">
        <v>766</v>
      </c>
      <c r="AL72" t="s">
        <v>160</v>
      </c>
      <c r="AM72" t="s">
        <v>833</v>
      </c>
      <c r="AN72" t="s">
        <v>766</v>
      </c>
      <c r="AO72" t="s">
        <v>766</v>
      </c>
      <c r="AP72" t="s">
        <v>386</v>
      </c>
    </row>
    <row r="73" spans="1:42" x14ac:dyDescent="0.3">
      <c r="A73" t="s">
        <v>767</v>
      </c>
      <c r="B73" t="s">
        <v>767</v>
      </c>
      <c r="C73" t="s">
        <v>767</v>
      </c>
      <c r="D73" t="s">
        <v>767</v>
      </c>
      <c r="E73" t="s">
        <v>767</v>
      </c>
      <c r="F73" t="s">
        <v>767</v>
      </c>
      <c r="G73" t="s">
        <v>767</v>
      </c>
      <c r="H73" t="s">
        <v>767</v>
      </c>
      <c r="I73" t="s">
        <v>767</v>
      </c>
      <c r="J73" t="s">
        <v>767</v>
      </c>
      <c r="K73" t="s">
        <v>767</v>
      </c>
      <c r="L73" t="s">
        <v>767</v>
      </c>
      <c r="M73" t="s">
        <v>834</v>
      </c>
      <c r="N73" t="s">
        <v>767</v>
      </c>
      <c r="O73" t="s">
        <v>767</v>
      </c>
      <c r="P73" t="s">
        <v>767</v>
      </c>
      <c r="Q73" t="s">
        <v>767</v>
      </c>
      <c r="R73" t="s">
        <v>767</v>
      </c>
      <c r="S73" t="s">
        <v>767</v>
      </c>
      <c r="T73" t="s">
        <v>767</v>
      </c>
      <c r="U73" t="s">
        <v>767</v>
      </c>
      <c r="V73" t="s">
        <v>767</v>
      </c>
      <c r="W73" t="s">
        <v>1624</v>
      </c>
      <c r="X73" t="s">
        <v>767</v>
      </c>
      <c r="Y73" t="s">
        <v>767</v>
      </c>
      <c r="Z73" t="s">
        <v>767</v>
      </c>
      <c r="AA73" t="s">
        <v>767</v>
      </c>
      <c r="AB73" t="s">
        <v>946</v>
      </c>
      <c r="AC73" t="s">
        <v>767</v>
      </c>
      <c r="AD73" t="s">
        <v>767</v>
      </c>
      <c r="AE73" t="s">
        <v>767</v>
      </c>
      <c r="AF73" t="s">
        <v>767</v>
      </c>
      <c r="AG73" t="s">
        <v>767</v>
      </c>
      <c r="AH73" t="s">
        <v>767</v>
      </c>
      <c r="AI73" t="s">
        <v>767</v>
      </c>
      <c r="AJ73" t="s">
        <v>767</v>
      </c>
      <c r="AK73" t="s">
        <v>767</v>
      </c>
      <c r="AL73" t="s">
        <v>161</v>
      </c>
      <c r="AM73" t="s">
        <v>834</v>
      </c>
      <c r="AN73" t="s">
        <v>767</v>
      </c>
      <c r="AO73" t="s">
        <v>767</v>
      </c>
      <c r="AP73" t="s">
        <v>387</v>
      </c>
    </row>
    <row r="74" spans="1:42" x14ac:dyDescent="0.3">
      <c r="A74" t="s">
        <v>768</v>
      </c>
      <c r="B74" t="s">
        <v>768</v>
      </c>
      <c r="C74" t="s">
        <v>768</v>
      </c>
      <c r="D74" t="s">
        <v>768</v>
      </c>
      <c r="E74" t="s">
        <v>768</v>
      </c>
      <c r="F74" t="s">
        <v>768</v>
      </c>
      <c r="G74" t="s">
        <v>768</v>
      </c>
      <c r="H74" t="s">
        <v>768</v>
      </c>
      <c r="I74" t="s">
        <v>768</v>
      </c>
      <c r="J74" t="s">
        <v>768</v>
      </c>
      <c r="K74" t="s">
        <v>768</v>
      </c>
      <c r="L74" t="s">
        <v>768</v>
      </c>
      <c r="M74" t="s">
        <v>835</v>
      </c>
      <c r="N74" t="s">
        <v>768</v>
      </c>
      <c r="O74" t="s">
        <v>768</v>
      </c>
      <c r="P74" t="s">
        <v>768</v>
      </c>
      <c r="Q74" t="s">
        <v>1047</v>
      </c>
      <c r="R74" t="s">
        <v>768</v>
      </c>
      <c r="S74" t="s">
        <v>768</v>
      </c>
      <c r="T74" t="s">
        <v>768</v>
      </c>
      <c r="U74" t="s">
        <v>768</v>
      </c>
      <c r="V74" t="s">
        <v>768</v>
      </c>
      <c r="W74" t="s">
        <v>1625</v>
      </c>
      <c r="X74" t="s">
        <v>768</v>
      </c>
      <c r="Y74" t="s">
        <v>768</v>
      </c>
      <c r="Z74" t="s">
        <v>340</v>
      </c>
      <c r="AA74" t="s">
        <v>768</v>
      </c>
      <c r="AB74" t="s">
        <v>947</v>
      </c>
      <c r="AC74" t="s">
        <v>768</v>
      </c>
      <c r="AD74" t="s">
        <v>768</v>
      </c>
      <c r="AE74" t="s">
        <v>768</v>
      </c>
      <c r="AF74" t="s">
        <v>768</v>
      </c>
      <c r="AG74" t="s">
        <v>768</v>
      </c>
      <c r="AH74" t="s">
        <v>768</v>
      </c>
      <c r="AI74" t="s">
        <v>768</v>
      </c>
      <c r="AJ74" t="s">
        <v>768</v>
      </c>
      <c r="AK74" t="s">
        <v>768</v>
      </c>
      <c r="AL74" t="s">
        <v>162</v>
      </c>
      <c r="AM74" t="s">
        <v>835</v>
      </c>
      <c r="AN74" t="s">
        <v>768</v>
      </c>
      <c r="AO74" t="s">
        <v>768</v>
      </c>
      <c r="AP74" t="s">
        <v>388</v>
      </c>
    </row>
    <row r="75" spans="1:42" x14ac:dyDescent="0.3">
      <c r="A75" t="s">
        <v>769</v>
      </c>
      <c r="B75" t="s">
        <v>769</v>
      </c>
      <c r="C75" t="s">
        <v>769</v>
      </c>
      <c r="D75" t="s">
        <v>769</v>
      </c>
      <c r="E75" t="s">
        <v>769</v>
      </c>
      <c r="F75" t="s">
        <v>769</v>
      </c>
      <c r="G75" t="s">
        <v>769</v>
      </c>
      <c r="H75" t="s">
        <v>769</v>
      </c>
      <c r="I75" t="s">
        <v>769</v>
      </c>
      <c r="J75" t="s">
        <v>769</v>
      </c>
      <c r="K75" t="s">
        <v>769</v>
      </c>
      <c r="L75" t="s">
        <v>769</v>
      </c>
      <c r="M75" t="s">
        <v>836</v>
      </c>
      <c r="N75" t="s">
        <v>769</v>
      </c>
      <c r="O75" t="s">
        <v>769</v>
      </c>
      <c r="P75" t="s">
        <v>769</v>
      </c>
      <c r="Q75" t="s">
        <v>1048</v>
      </c>
      <c r="R75" t="s">
        <v>769</v>
      </c>
      <c r="S75" t="s">
        <v>769</v>
      </c>
      <c r="T75" t="s">
        <v>769</v>
      </c>
      <c r="U75" t="s">
        <v>769</v>
      </c>
      <c r="V75" t="s">
        <v>769</v>
      </c>
      <c r="W75" t="s">
        <v>1626</v>
      </c>
      <c r="X75" t="s">
        <v>769</v>
      </c>
      <c r="Y75" t="s">
        <v>769</v>
      </c>
      <c r="Z75" t="s">
        <v>341</v>
      </c>
      <c r="AA75" t="s">
        <v>769</v>
      </c>
      <c r="AB75" t="s">
        <v>948</v>
      </c>
      <c r="AC75" t="s">
        <v>769</v>
      </c>
      <c r="AD75" t="s">
        <v>769</v>
      </c>
      <c r="AE75" t="s">
        <v>769</v>
      </c>
      <c r="AF75" t="s">
        <v>769</v>
      </c>
      <c r="AG75" t="s">
        <v>769</v>
      </c>
      <c r="AH75" t="s">
        <v>769</v>
      </c>
      <c r="AI75" t="s">
        <v>769</v>
      </c>
      <c r="AJ75" t="s">
        <v>769</v>
      </c>
      <c r="AK75" t="s">
        <v>769</v>
      </c>
      <c r="AL75" t="s">
        <v>163</v>
      </c>
      <c r="AM75" t="s">
        <v>836</v>
      </c>
      <c r="AN75" t="s">
        <v>769</v>
      </c>
      <c r="AO75" t="s">
        <v>769</v>
      </c>
      <c r="AP75" t="s">
        <v>389</v>
      </c>
    </row>
    <row r="76" spans="1:42" x14ac:dyDescent="0.3">
      <c r="A76" t="s">
        <v>770</v>
      </c>
      <c r="B76" t="s">
        <v>770</v>
      </c>
      <c r="C76" t="s">
        <v>770</v>
      </c>
      <c r="D76" t="s">
        <v>770</v>
      </c>
      <c r="E76" t="s">
        <v>770</v>
      </c>
      <c r="F76" t="s">
        <v>770</v>
      </c>
      <c r="G76" t="s">
        <v>770</v>
      </c>
      <c r="H76" t="s">
        <v>770</v>
      </c>
      <c r="I76" t="s">
        <v>770</v>
      </c>
      <c r="J76" t="s">
        <v>770</v>
      </c>
      <c r="K76" t="s">
        <v>770</v>
      </c>
      <c r="L76" t="s">
        <v>770</v>
      </c>
      <c r="M76" t="s">
        <v>837</v>
      </c>
      <c r="N76" t="s">
        <v>770</v>
      </c>
      <c r="O76" t="s">
        <v>770</v>
      </c>
      <c r="P76" t="s">
        <v>770</v>
      </c>
      <c r="Q76" t="s">
        <v>1049</v>
      </c>
      <c r="R76" t="s">
        <v>770</v>
      </c>
      <c r="S76" t="s">
        <v>770</v>
      </c>
      <c r="T76" t="s">
        <v>770</v>
      </c>
      <c r="U76" t="s">
        <v>770</v>
      </c>
      <c r="V76" t="s">
        <v>770</v>
      </c>
      <c r="W76" t="s">
        <v>1627</v>
      </c>
      <c r="X76" t="s">
        <v>770</v>
      </c>
      <c r="Y76" t="s">
        <v>770</v>
      </c>
      <c r="Z76" t="s">
        <v>770</v>
      </c>
      <c r="AA76" t="s">
        <v>770</v>
      </c>
      <c r="AB76" t="s">
        <v>949</v>
      </c>
      <c r="AC76" t="s">
        <v>770</v>
      </c>
      <c r="AD76" t="s">
        <v>770</v>
      </c>
      <c r="AE76" t="s">
        <v>770</v>
      </c>
      <c r="AF76" t="s">
        <v>770</v>
      </c>
      <c r="AG76" t="s">
        <v>770</v>
      </c>
      <c r="AH76" t="s">
        <v>770</v>
      </c>
      <c r="AI76" t="s">
        <v>770</v>
      </c>
      <c r="AJ76" t="s">
        <v>770</v>
      </c>
      <c r="AK76" t="s">
        <v>770</v>
      </c>
      <c r="AL76" t="s">
        <v>164</v>
      </c>
      <c r="AM76" t="s">
        <v>837</v>
      </c>
      <c r="AN76" t="s">
        <v>770</v>
      </c>
      <c r="AO76" t="s">
        <v>770</v>
      </c>
      <c r="AP76" t="s">
        <v>390</v>
      </c>
    </row>
    <row r="77" spans="1:42" x14ac:dyDescent="0.3">
      <c r="A77" t="s">
        <v>771</v>
      </c>
      <c r="B77" t="s">
        <v>771</v>
      </c>
      <c r="C77" t="s">
        <v>771</v>
      </c>
      <c r="D77" t="s">
        <v>771</v>
      </c>
      <c r="E77" t="s">
        <v>771</v>
      </c>
      <c r="F77" t="s">
        <v>771</v>
      </c>
      <c r="G77" t="s">
        <v>771</v>
      </c>
      <c r="H77" t="s">
        <v>771</v>
      </c>
      <c r="I77" t="s">
        <v>771</v>
      </c>
      <c r="J77" t="s">
        <v>771</v>
      </c>
      <c r="K77" t="s">
        <v>771</v>
      </c>
      <c r="L77" t="s">
        <v>771</v>
      </c>
      <c r="M77" t="s">
        <v>838</v>
      </c>
      <c r="N77" t="s">
        <v>771</v>
      </c>
      <c r="O77" t="s">
        <v>771</v>
      </c>
      <c r="P77" t="s">
        <v>771</v>
      </c>
      <c r="Q77" t="s">
        <v>1050</v>
      </c>
      <c r="R77" t="s">
        <v>771</v>
      </c>
      <c r="S77" t="s">
        <v>771</v>
      </c>
      <c r="T77" t="s">
        <v>771</v>
      </c>
      <c r="U77" t="s">
        <v>771</v>
      </c>
      <c r="V77" t="s">
        <v>771</v>
      </c>
      <c r="W77" t="s">
        <v>1628</v>
      </c>
      <c r="X77" t="s">
        <v>771</v>
      </c>
      <c r="Y77" t="s">
        <v>771</v>
      </c>
      <c r="Z77" t="s">
        <v>771</v>
      </c>
      <c r="AA77" t="s">
        <v>771</v>
      </c>
      <c r="AB77" t="s">
        <v>950</v>
      </c>
      <c r="AC77" t="s">
        <v>771</v>
      </c>
      <c r="AD77" t="s">
        <v>771</v>
      </c>
      <c r="AE77" t="s">
        <v>771</v>
      </c>
      <c r="AF77" t="s">
        <v>771</v>
      </c>
      <c r="AG77" t="s">
        <v>771</v>
      </c>
      <c r="AH77" t="s">
        <v>771</v>
      </c>
      <c r="AI77" t="s">
        <v>771</v>
      </c>
      <c r="AJ77" t="s">
        <v>771</v>
      </c>
      <c r="AK77" t="s">
        <v>771</v>
      </c>
      <c r="AL77" t="s">
        <v>165</v>
      </c>
      <c r="AM77" t="s">
        <v>838</v>
      </c>
      <c r="AN77" t="s">
        <v>771</v>
      </c>
      <c r="AO77" t="s">
        <v>771</v>
      </c>
      <c r="AP77" t="s">
        <v>391</v>
      </c>
    </row>
    <row r="78" spans="1:42" x14ac:dyDescent="0.3">
      <c r="A78" t="s">
        <v>772</v>
      </c>
      <c r="B78" t="s">
        <v>772</v>
      </c>
      <c r="C78" t="s">
        <v>772</v>
      </c>
      <c r="D78" t="s">
        <v>772</v>
      </c>
      <c r="E78" t="s">
        <v>772</v>
      </c>
      <c r="F78" t="s">
        <v>772</v>
      </c>
      <c r="G78" t="s">
        <v>772</v>
      </c>
      <c r="H78" t="s">
        <v>772</v>
      </c>
      <c r="I78" t="s">
        <v>772</v>
      </c>
      <c r="J78" t="s">
        <v>772</v>
      </c>
      <c r="K78" t="s">
        <v>772</v>
      </c>
      <c r="L78" t="s">
        <v>772</v>
      </c>
      <c r="M78" t="s">
        <v>839</v>
      </c>
      <c r="N78" t="s">
        <v>772</v>
      </c>
      <c r="O78" t="s">
        <v>772</v>
      </c>
      <c r="P78" t="s">
        <v>772</v>
      </c>
      <c r="Q78" t="s">
        <v>1051</v>
      </c>
      <c r="R78" t="s">
        <v>772</v>
      </c>
      <c r="S78" t="s">
        <v>772</v>
      </c>
      <c r="T78" t="s">
        <v>772</v>
      </c>
      <c r="U78" t="s">
        <v>772</v>
      </c>
      <c r="V78" t="s">
        <v>772</v>
      </c>
      <c r="W78" t="s">
        <v>1629</v>
      </c>
      <c r="X78" t="s">
        <v>772</v>
      </c>
      <c r="Y78" t="s">
        <v>772</v>
      </c>
      <c r="Z78" t="s">
        <v>772</v>
      </c>
      <c r="AA78" t="s">
        <v>772</v>
      </c>
      <c r="AB78" t="s">
        <v>951</v>
      </c>
      <c r="AC78" t="s">
        <v>772</v>
      </c>
      <c r="AD78" t="s">
        <v>772</v>
      </c>
      <c r="AE78" t="s">
        <v>772</v>
      </c>
      <c r="AF78" t="s">
        <v>772</v>
      </c>
      <c r="AG78" t="s">
        <v>772</v>
      </c>
      <c r="AH78" t="s">
        <v>772</v>
      </c>
      <c r="AI78" t="s">
        <v>772</v>
      </c>
      <c r="AJ78" t="s">
        <v>772</v>
      </c>
      <c r="AK78" t="s">
        <v>772</v>
      </c>
      <c r="AL78" t="s">
        <v>166</v>
      </c>
      <c r="AM78" t="s">
        <v>839</v>
      </c>
      <c r="AN78" t="s">
        <v>772</v>
      </c>
      <c r="AO78" t="s">
        <v>772</v>
      </c>
      <c r="AP78" t="s">
        <v>392</v>
      </c>
    </row>
    <row r="79" spans="1:42" x14ac:dyDescent="0.3">
      <c r="A79" t="s">
        <v>773</v>
      </c>
      <c r="B79" t="s">
        <v>773</v>
      </c>
      <c r="C79" t="s">
        <v>773</v>
      </c>
      <c r="D79" t="s">
        <v>773</v>
      </c>
      <c r="E79" t="s">
        <v>773</v>
      </c>
      <c r="F79" t="s">
        <v>773</v>
      </c>
      <c r="G79" t="s">
        <v>773</v>
      </c>
      <c r="H79" t="s">
        <v>773</v>
      </c>
      <c r="I79" t="s">
        <v>773</v>
      </c>
      <c r="J79" t="s">
        <v>773</v>
      </c>
      <c r="K79" t="s">
        <v>773</v>
      </c>
      <c r="L79" t="s">
        <v>773</v>
      </c>
      <c r="M79" t="s">
        <v>840</v>
      </c>
      <c r="N79" t="s">
        <v>773</v>
      </c>
      <c r="O79" t="s">
        <v>773</v>
      </c>
      <c r="P79" t="s">
        <v>773</v>
      </c>
      <c r="Q79" t="s">
        <v>1052</v>
      </c>
      <c r="R79" t="s">
        <v>773</v>
      </c>
      <c r="S79" t="s">
        <v>773</v>
      </c>
      <c r="T79" t="s">
        <v>773</v>
      </c>
      <c r="U79" t="s">
        <v>773</v>
      </c>
      <c r="V79" t="s">
        <v>773</v>
      </c>
      <c r="W79" t="s">
        <v>1630</v>
      </c>
      <c r="X79" t="s">
        <v>773</v>
      </c>
      <c r="Y79" t="s">
        <v>773</v>
      </c>
      <c r="Z79" t="s">
        <v>773</v>
      </c>
      <c r="AA79" t="s">
        <v>773</v>
      </c>
      <c r="AB79" t="s">
        <v>952</v>
      </c>
      <c r="AC79" t="s">
        <v>773</v>
      </c>
      <c r="AD79" t="s">
        <v>773</v>
      </c>
      <c r="AE79" t="s">
        <v>773</v>
      </c>
      <c r="AF79" t="s">
        <v>773</v>
      </c>
      <c r="AG79" t="s">
        <v>773</v>
      </c>
      <c r="AH79" t="s">
        <v>773</v>
      </c>
      <c r="AI79" t="s">
        <v>773</v>
      </c>
      <c r="AJ79" t="s">
        <v>773</v>
      </c>
      <c r="AK79" t="s">
        <v>773</v>
      </c>
      <c r="AL79" t="s">
        <v>167</v>
      </c>
      <c r="AM79" t="s">
        <v>840</v>
      </c>
      <c r="AN79" t="s">
        <v>773</v>
      </c>
      <c r="AO79" t="s">
        <v>773</v>
      </c>
      <c r="AP79" t="s">
        <v>393</v>
      </c>
    </row>
    <row r="80" spans="1:42" x14ac:dyDescent="0.3">
      <c r="A80" t="s">
        <v>774</v>
      </c>
      <c r="B80" t="s">
        <v>774</v>
      </c>
      <c r="C80" t="s">
        <v>774</v>
      </c>
      <c r="D80" t="s">
        <v>774</v>
      </c>
      <c r="E80" t="s">
        <v>774</v>
      </c>
      <c r="F80" t="s">
        <v>774</v>
      </c>
      <c r="G80" t="s">
        <v>774</v>
      </c>
      <c r="H80" t="s">
        <v>774</v>
      </c>
      <c r="I80" t="s">
        <v>774</v>
      </c>
      <c r="J80" t="s">
        <v>774</v>
      </c>
      <c r="K80" t="s">
        <v>774</v>
      </c>
      <c r="L80" t="s">
        <v>774</v>
      </c>
      <c r="M80" t="s">
        <v>841</v>
      </c>
      <c r="N80" t="s">
        <v>774</v>
      </c>
      <c r="O80" t="s">
        <v>774</v>
      </c>
      <c r="P80" t="s">
        <v>774</v>
      </c>
      <c r="Q80" t="s">
        <v>1053</v>
      </c>
      <c r="R80" t="s">
        <v>774</v>
      </c>
      <c r="S80" t="s">
        <v>774</v>
      </c>
      <c r="T80" t="s">
        <v>774</v>
      </c>
      <c r="U80" t="s">
        <v>774</v>
      </c>
      <c r="V80" t="s">
        <v>774</v>
      </c>
      <c r="W80" t="s">
        <v>1631</v>
      </c>
      <c r="X80" t="s">
        <v>774</v>
      </c>
      <c r="Y80" t="s">
        <v>774</v>
      </c>
      <c r="Z80" t="s">
        <v>774</v>
      </c>
      <c r="AA80" t="s">
        <v>774</v>
      </c>
      <c r="AB80" t="s">
        <v>953</v>
      </c>
      <c r="AC80" t="s">
        <v>774</v>
      </c>
      <c r="AD80" t="s">
        <v>774</v>
      </c>
      <c r="AE80" t="s">
        <v>774</v>
      </c>
      <c r="AF80" t="s">
        <v>774</v>
      </c>
      <c r="AG80" t="s">
        <v>774</v>
      </c>
      <c r="AH80" t="s">
        <v>774</v>
      </c>
      <c r="AI80" t="s">
        <v>774</v>
      </c>
      <c r="AJ80" t="s">
        <v>774</v>
      </c>
      <c r="AK80" t="s">
        <v>774</v>
      </c>
      <c r="AL80" t="s">
        <v>168</v>
      </c>
      <c r="AM80" t="s">
        <v>841</v>
      </c>
      <c r="AN80" t="s">
        <v>774</v>
      </c>
      <c r="AO80" t="s">
        <v>774</v>
      </c>
      <c r="AP80" t="s">
        <v>394</v>
      </c>
    </row>
    <row r="81" spans="1:42" x14ac:dyDescent="0.3">
      <c r="A81" t="s">
        <v>775</v>
      </c>
      <c r="B81" t="s">
        <v>775</v>
      </c>
      <c r="C81" t="s">
        <v>775</v>
      </c>
      <c r="D81" t="s">
        <v>775</v>
      </c>
      <c r="E81" t="s">
        <v>775</v>
      </c>
      <c r="F81" t="s">
        <v>775</v>
      </c>
      <c r="G81" t="s">
        <v>775</v>
      </c>
      <c r="H81" t="s">
        <v>775</v>
      </c>
      <c r="I81" t="s">
        <v>775</v>
      </c>
      <c r="J81" t="s">
        <v>775</v>
      </c>
      <c r="K81" t="s">
        <v>775</v>
      </c>
      <c r="L81" t="s">
        <v>775</v>
      </c>
      <c r="M81" t="s">
        <v>842</v>
      </c>
      <c r="N81" t="s">
        <v>775</v>
      </c>
      <c r="O81" t="s">
        <v>775</v>
      </c>
      <c r="P81" t="s">
        <v>775</v>
      </c>
      <c r="Q81" t="s">
        <v>1054</v>
      </c>
      <c r="R81" t="s">
        <v>775</v>
      </c>
      <c r="S81" t="s">
        <v>775</v>
      </c>
      <c r="T81" t="s">
        <v>775</v>
      </c>
      <c r="U81" t="s">
        <v>775</v>
      </c>
      <c r="V81" t="s">
        <v>775</v>
      </c>
      <c r="W81" t="s">
        <v>1632</v>
      </c>
      <c r="X81" t="s">
        <v>775</v>
      </c>
      <c r="Y81" t="s">
        <v>775</v>
      </c>
      <c r="Z81" t="s">
        <v>775</v>
      </c>
      <c r="AA81" t="s">
        <v>775</v>
      </c>
      <c r="AB81" t="s">
        <v>954</v>
      </c>
      <c r="AC81" t="s">
        <v>775</v>
      </c>
      <c r="AD81" t="s">
        <v>775</v>
      </c>
      <c r="AE81" t="s">
        <v>775</v>
      </c>
      <c r="AF81" t="s">
        <v>775</v>
      </c>
      <c r="AG81" t="s">
        <v>775</v>
      </c>
      <c r="AH81" t="s">
        <v>775</v>
      </c>
      <c r="AI81" t="s">
        <v>775</v>
      </c>
      <c r="AJ81" t="s">
        <v>775</v>
      </c>
      <c r="AK81" t="s">
        <v>775</v>
      </c>
      <c r="AL81" t="s">
        <v>169</v>
      </c>
      <c r="AM81" t="s">
        <v>842</v>
      </c>
      <c r="AN81" t="s">
        <v>775</v>
      </c>
      <c r="AO81" t="s">
        <v>775</v>
      </c>
      <c r="AP81" t="s">
        <v>395</v>
      </c>
    </row>
    <row r="82" spans="1:42" x14ac:dyDescent="0.3">
      <c r="A82" t="s">
        <v>776</v>
      </c>
      <c r="B82" t="s">
        <v>776</v>
      </c>
      <c r="C82" t="s">
        <v>776</v>
      </c>
      <c r="D82" t="s">
        <v>776</v>
      </c>
      <c r="E82" t="s">
        <v>776</v>
      </c>
      <c r="F82" t="s">
        <v>776</v>
      </c>
      <c r="G82" t="s">
        <v>776</v>
      </c>
      <c r="H82" t="s">
        <v>776</v>
      </c>
      <c r="I82" t="s">
        <v>776</v>
      </c>
      <c r="J82" t="s">
        <v>776</v>
      </c>
      <c r="K82" t="s">
        <v>776</v>
      </c>
      <c r="L82" t="s">
        <v>776</v>
      </c>
      <c r="M82" t="s">
        <v>843</v>
      </c>
      <c r="N82" t="s">
        <v>776</v>
      </c>
      <c r="O82" t="s">
        <v>776</v>
      </c>
      <c r="P82" t="s">
        <v>776</v>
      </c>
      <c r="Q82" t="s">
        <v>1055</v>
      </c>
      <c r="R82" t="s">
        <v>776</v>
      </c>
      <c r="S82" t="s">
        <v>776</v>
      </c>
      <c r="T82" t="s">
        <v>776</v>
      </c>
      <c r="U82" t="s">
        <v>776</v>
      </c>
      <c r="V82" t="s">
        <v>776</v>
      </c>
      <c r="W82" t="s">
        <v>1633</v>
      </c>
      <c r="X82" t="s">
        <v>776</v>
      </c>
      <c r="Y82" t="s">
        <v>776</v>
      </c>
      <c r="Z82" t="s">
        <v>342</v>
      </c>
      <c r="AA82" t="s">
        <v>776</v>
      </c>
      <c r="AB82" t="s">
        <v>955</v>
      </c>
      <c r="AC82" t="s">
        <v>776</v>
      </c>
      <c r="AD82" t="s">
        <v>776</v>
      </c>
      <c r="AE82" t="s">
        <v>776</v>
      </c>
      <c r="AF82" t="s">
        <v>776</v>
      </c>
      <c r="AG82" t="s">
        <v>776</v>
      </c>
      <c r="AH82" t="s">
        <v>776</v>
      </c>
      <c r="AI82" t="s">
        <v>776</v>
      </c>
      <c r="AJ82" t="s">
        <v>776</v>
      </c>
      <c r="AK82" t="s">
        <v>776</v>
      </c>
      <c r="AL82" t="s">
        <v>170</v>
      </c>
      <c r="AM82" t="s">
        <v>843</v>
      </c>
      <c r="AN82" t="s">
        <v>776</v>
      </c>
      <c r="AO82" t="s">
        <v>776</v>
      </c>
      <c r="AP82" t="s">
        <v>396</v>
      </c>
    </row>
    <row r="83" spans="1:42" x14ac:dyDescent="0.3">
      <c r="A83" t="s">
        <v>777</v>
      </c>
      <c r="B83" t="s">
        <v>777</v>
      </c>
      <c r="C83" t="s">
        <v>777</v>
      </c>
      <c r="D83" t="s">
        <v>777</v>
      </c>
      <c r="E83" t="s">
        <v>777</v>
      </c>
      <c r="F83" t="s">
        <v>777</v>
      </c>
      <c r="G83" t="s">
        <v>777</v>
      </c>
      <c r="H83" t="s">
        <v>777</v>
      </c>
      <c r="I83" t="s">
        <v>777</v>
      </c>
      <c r="J83" t="s">
        <v>777</v>
      </c>
      <c r="K83" t="s">
        <v>777</v>
      </c>
      <c r="L83" t="s">
        <v>777</v>
      </c>
      <c r="M83" t="s">
        <v>844</v>
      </c>
      <c r="N83" t="s">
        <v>777</v>
      </c>
      <c r="O83" t="s">
        <v>777</v>
      </c>
      <c r="P83" t="s">
        <v>777</v>
      </c>
      <c r="Q83" t="s">
        <v>1056</v>
      </c>
      <c r="R83" t="s">
        <v>777</v>
      </c>
      <c r="S83" t="s">
        <v>777</v>
      </c>
      <c r="T83" t="s">
        <v>777</v>
      </c>
      <c r="U83" t="s">
        <v>777</v>
      </c>
      <c r="V83" t="s">
        <v>777</v>
      </c>
      <c r="W83" t="s">
        <v>1634</v>
      </c>
      <c r="X83" t="s">
        <v>777</v>
      </c>
      <c r="Y83" t="s">
        <v>777</v>
      </c>
      <c r="Z83" t="s">
        <v>343</v>
      </c>
      <c r="AA83" t="s">
        <v>777</v>
      </c>
      <c r="AB83" t="s">
        <v>956</v>
      </c>
      <c r="AC83" t="s">
        <v>777</v>
      </c>
      <c r="AD83" t="s">
        <v>777</v>
      </c>
      <c r="AE83" t="s">
        <v>777</v>
      </c>
      <c r="AF83" t="s">
        <v>777</v>
      </c>
      <c r="AG83" t="s">
        <v>777</v>
      </c>
      <c r="AH83" t="s">
        <v>777</v>
      </c>
      <c r="AI83" t="s">
        <v>777</v>
      </c>
      <c r="AJ83" t="s">
        <v>777</v>
      </c>
      <c r="AK83" t="s">
        <v>777</v>
      </c>
      <c r="AL83" t="s">
        <v>171</v>
      </c>
      <c r="AM83" t="s">
        <v>844</v>
      </c>
      <c r="AN83" t="s">
        <v>777</v>
      </c>
      <c r="AO83" t="s">
        <v>777</v>
      </c>
      <c r="AP83" t="s">
        <v>397</v>
      </c>
    </row>
    <row r="84" spans="1:42" x14ac:dyDescent="0.3">
      <c r="A84" t="s">
        <v>778</v>
      </c>
      <c r="B84" t="s">
        <v>778</v>
      </c>
      <c r="C84" t="s">
        <v>778</v>
      </c>
      <c r="D84" t="s">
        <v>778</v>
      </c>
      <c r="E84" t="s">
        <v>778</v>
      </c>
      <c r="F84" t="s">
        <v>778</v>
      </c>
      <c r="G84" t="s">
        <v>778</v>
      </c>
      <c r="H84" t="s">
        <v>778</v>
      </c>
      <c r="I84" t="s">
        <v>778</v>
      </c>
      <c r="J84" t="s">
        <v>778</v>
      </c>
      <c r="K84" t="s">
        <v>778</v>
      </c>
      <c r="L84" t="s">
        <v>778</v>
      </c>
      <c r="M84" t="s">
        <v>845</v>
      </c>
      <c r="N84" t="s">
        <v>778</v>
      </c>
      <c r="O84" t="s">
        <v>778</v>
      </c>
      <c r="P84" t="s">
        <v>778</v>
      </c>
      <c r="Q84" t="s">
        <v>778</v>
      </c>
      <c r="R84" t="s">
        <v>778</v>
      </c>
      <c r="S84" t="s">
        <v>778</v>
      </c>
      <c r="T84" t="s">
        <v>778</v>
      </c>
      <c r="U84" t="s">
        <v>778</v>
      </c>
      <c r="V84" t="s">
        <v>778</v>
      </c>
      <c r="W84" t="s">
        <v>1635</v>
      </c>
      <c r="X84" t="s">
        <v>778</v>
      </c>
      <c r="Y84" t="s">
        <v>778</v>
      </c>
      <c r="Z84" t="s">
        <v>344</v>
      </c>
      <c r="AA84" t="s">
        <v>778</v>
      </c>
      <c r="AB84" t="s">
        <v>957</v>
      </c>
      <c r="AC84" t="s">
        <v>778</v>
      </c>
      <c r="AD84" t="s">
        <v>778</v>
      </c>
      <c r="AE84" t="s">
        <v>778</v>
      </c>
      <c r="AF84" t="s">
        <v>778</v>
      </c>
      <c r="AG84" t="s">
        <v>778</v>
      </c>
      <c r="AH84" t="s">
        <v>778</v>
      </c>
      <c r="AI84" t="s">
        <v>778</v>
      </c>
      <c r="AJ84" t="s">
        <v>778</v>
      </c>
      <c r="AK84" t="s">
        <v>778</v>
      </c>
      <c r="AL84" t="s">
        <v>172</v>
      </c>
      <c r="AM84" t="s">
        <v>845</v>
      </c>
      <c r="AN84" t="s">
        <v>778</v>
      </c>
      <c r="AO84" t="s">
        <v>778</v>
      </c>
      <c r="AP84" t="s">
        <v>398</v>
      </c>
    </row>
    <row r="85" spans="1:42" x14ac:dyDescent="0.3">
      <c r="A85" t="s">
        <v>779</v>
      </c>
      <c r="B85" t="s">
        <v>779</v>
      </c>
      <c r="C85" t="s">
        <v>779</v>
      </c>
      <c r="D85" t="s">
        <v>779</v>
      </c>
      <c r="E85" t="s">
        <v>779</v>
      </c>
      <c r="F85" t="s">
        <v>779</v>
      </c>
      <c r="G85" t="s">
        <v>779</v>
      </c>
      <c r="H85" t="s">
        <v>779</v>
      </c>
      <c r="I85" t="s">
        <v>779</v>
      </c>
      <c r="J85" t="s">
        <v>779</v>
      </c>
      <c r="K85" t="s">
        <v>779</v>
      </c>
      <c r="L85" t="s">
        <v>779</v>
      </c>
      <c r="M85" t="s">
        <v>846</v>
      </c>
      <c r="N85" t="s">
        <v>779</v>
      </c>
      <c r="O85" t="s">
        <v>779</v>
      </c>
      <c r="P85" t="s">
        <v>779</v>
      </c>
      <c r="Q85" t="s">
        <v>779</v>
      </c>
      <c r="R85" t="s">
        <v>779</v>
      </c>
      <c r="S85" t="s">
        <v>779</v>
      </c>
      <c r="T85" t="s">
        <v>779</v>
      </c>
      <c r="U85" t="s">
        <v>779</v>
      </c>
      <c r="V85" t="s">
        <v>779</v>
      </c>
      <c r="W85" t="s">
        <v>1636</v>
      </c>
      <c r="X85" t="s">
        <v>779</v>
      </c>
      <c r="Y85" t="s">
        <v>779</v>
      </c>
      <c r="Z85" t="s">
        <v>344</v>
      </c>
      <c r="AA85" t="s">
        <v>779</v>
      </c>
      <c r="AB85" t="s">
        <v>958</v>
      </c>
      <c r="AC85" t="s">
        <v>779</v>
      </c>
      <c r="AD85" t="s">
        <v>779</v>
      </c>
      <c r="AE85" t="s">
        <v>779</v>
      </c>
      <c r="AF85" t="s">
        <v>779</v>
      </c>
      <c r="AG85" t="s">
        <v>779</v>
      </c>
      <c r="AH85" t="s">
        <v>779</v>
      </c>
      <c r="AI85" t="s">
        <v>779</v>
      </c>
      <c r="AJ85" t="s">
        <v>779</v>
      </c>
      <c r="AK85" t="s">
        <v>779</v>
      </c>
      <c r="AL85" t="s">
        <v>173</v>
      </c>
      <c r="AM85" t="s">
        <v>846</v>
      </c>
      <c r="AN85" t="s">
        <v>779</v>
      </c>
      <c r="AO85" t="s">
        <v>779</v>
      </c>
      <c r="AP85" t="s">
        <v>399</v>
      </c>
    </row>
    <row r="86" spans="1:42" x14ac:dyDescent="0.3">
      <c r="A86" t="s">
        <v>1737</v>
      </c>
      <c r="B86" t="s">
        <v>1738</v>
      </c>
      <c r="C86" t="s">
        <v>1737</v>
      </c>
      <c r="D86" t="s">
        <v>1737</v>
      </c>
      <c r="E86" t="s">
        <v>1739</v>
      </c>
      <c r="F86" t="s">
        <v>1737</v>
      </c>
      <c r="G86" t="s">
        <v>1740</v>
      </c>
      <c r="H86" t="s">
        <v>1741</v>
      </c>
      <c r="I86" t="s">
        <v>1737</v>
      </c>
      <c r="J86" t="s">
        <v>1737</v>
      </c>
      <c r="K86" t="s">
        <v>1742</v>
      </c>
      <c r="L86" t="s">
        <v>1742</v>
      </c>
      <c r="M86" t="s">
        <v>1737</v>
      </c>
      <c r="N86" t="s">
        <v>1737</v>
      </c>
      <c r="O86" t="s">
        <v>1743</v>
      </c>
      <c r="P86" t="s">
        <v>1737</v>
      </c>
      <c r="Q86" t="s">
        <v>1744</v>
      </c>
      <c r="R86" t="s">
        <v>1737</v>
      </c>
      <c r="S86" t="s">
        <v>1745</v>
      </c>
      <c r="T86" t="s">
        <v>1737</v>
      </c>
      <c r="U86" t="s">
        <v>1737</v>
      </c>
      <c r="V86" t="s">
        <v>1737</v>
      </c>
      <c r="W86" t="s">
        <v>1637</v>
      </c>
      <c r="X86" t="s">
        <v>1746</v>
      </c>
      <c r="Y86" t="s">
        <v>1747</v>
      </c>
      <c r="Z86" t="s">
        <v>1748</v>
      </c>
      <c r="AA86" t="s">
        <v>1742</v>
      </c>
      <c r="AB86" t="s">
        <v>1749</v>
      </c>
      <c r="AC86" t="s">
        <v>1737</v>
      </c>
      <c r="AD86" t="s">
        <v>1737</v>
      </c>
      <c r="AE86" t="s">
        <v>1750</v>
      </c>
      <c r="AF86" t="s">
        <v>1737</v>
      </c>
      <c r="AG86" t="s">
        <v>1751</v>
      </c>
      <c r="AH86" t="s">
        <v>1742</v>
      </c>
      <c r="AI86" t="s">
        <v>1737</v>
      </c>
      <c r="AJ86" t="s">
        <v>1737</v>
      </c>
      <c r="AK86" t="s">
        <v>1737</v>
      </c>
      <c r="AL86" t="s">
        <v>1752</v>
      </c>
      <c r="AM86" t="s">
        <v>1740</v>
      </c>
      <c r="AN86" t="s">
        <v>1753</v>
      </c>
      <c r="AO86" t="s">
        <v>1754</v>
      </c>
      <c r="AP86" t="s">
        <v>400</v>
      </c>
    </row>
    <row r="87" spans="1:42" x14ac:dyDescent="0.3">
      <c r="A87" t="s">
        <v>1755</v>
      </c>
      <c r="B87" t="s">
        <v>1756</v>
      </c>
      <c r="C87" t="s">
        <v>1755</v>
      </c>
      <c r="D87" t="s">
        <v>1755</v>
      </c>
      <c r="E87" t="s">
        <v>1757</v>
      </c>
      <c r="F87" t="s">
        <v>1755</v>
      </c>
      <c r="G87" t="s">
        <v>1758</v>
      </c>
      <c r="H87" t="s">
        <v>1759</v>
      </c>
      <c r="I87" t="s">
        <v>1755</v>
      </c>
      <c r="J87" t="s">
        <v>1755</v>
      </c>
      <c r="K87" t="s">
        <v>1760</v>
      </c>
      <c r="L87" t="s">
        <v>1760</v>
      </c>
      <c r="M87" t="s">
        <v>1755</v>
      </c>
      <c r="N87" t="s">
        <v>1755</v>
      </c>
      <c r="O87" t="s">
        <v>1761</v>
      </c>
      <c r="P87" t="s">
        <v>1755</v>
      </c>
      <c r="Q87" t="s">
        <v>1762</v>
      </c>
      <c r="R87" t="s">
        <v>1755</v>
      </c>
      <c r="S87" t="s">
        <v>1763</v>
      </c>
      <c r="T87" t="s">
        <v>1755</v>
      </c>
      <c r="U87" t="s">
        <v>1755</v>
      </c>
      <c r="V87" t="s">
        <v>1755</v>
      </c>
      <c r="W87" t="s">
        <v>1638</v>
      </c>
      <c r="X87" t="s">
        <v>1764</v>
      </c>
      <c r="Y87" t="s">
        <v>1765</v>
      </c>
      <c r="Z87" t="s">
        <v>1766</v>
      </c>
      <c r="AA87" t="s">
        <v>1760</v>
      </c>
      <c r="AB87" t="s">
        <v>1767</v>
      </c>
      <c r="AC87" t="s">
        <v>1755</v>
      </c>
      <c r="AD87" t="s">
        <v>1755</v>
      </c>
      <c r="AE87" t="s">
        <v>1768</v>
      </c>
      <c r="AF87" t="s">
        <v>1755</v>
      </c>
      <c r="AG87" t="s">
        <v>1769</v>
      </c>
      <c r="AH87" t="s">
        <v>1760</v>
      </c>
      <c r="AI87" t="s">
        <v>1755</v>
      </c>
      <c r="AJ87" t="s">
        <v>1755</v>
      </c>
      <c r="AK87" t="s">
        <v>1755</v>
      </c>
      <c r="AL87" t="s">
        <v>1770</v>
      </c>
      <c r="AM87" t="s">
        <v>1758</v>
      </c>
      <c r="AN87" t="s">
        <v>1771</v>
      </c>
      <c r="AO87" t="s">
        <v>1772</v>
      </c>
      <c r="AP87" t="s">
        <v>401</v>
      </c>
    </row>
    <row r="88" spans="1:42" x14ac:dyDescent="0.3">
      <c r="A88" t="s">
        <v>1809</v>
      </c>
      <c r="B88" t="s">
        <v>1810</v>
      </c>
      <c r="C88" t="s">
        <v>1809</v>
      </c>
      <c r="D88" t="s">
        <v>1809</v>
      </c>
      <c r="E88" t="s">
        <v>1811</v>
      </c>
      <c r="F88" t="s">
        <v>1809</v>
      </c>
      <c r="G88" t="s">
        <v>1812</v>
      </c>
      <c r="H88" t="s">
        <v>1813</v>
      </c>
      <c r="I88" t="s">
        <v>1809</v>
      </c>
      <c r="J88" t="s">
        <v>1809</v>
      </c>
      <c r="K88" t="s">
        <v>1814</v>
      </c>
      <c r="L88" t="s">
        <v>1814</v>
      </c>
      <c r="M88" t="s">
        <v>1809</v>
      </c>
      <c r="N88" t="s">
        <v>1809</v>
      </c>
      <c r="O88" t="s">
        <v>1815</v>
      </c>
      <c r="P88" t="s">
        <v>1809</v>
      </c>
      <c r="Q88" t="s">
        <v>1816</v>
      </c>
      <c r="R88" t="s">
        <v>1809</v>
      </c>
      <c r="S88" t="s">
        <v>1817</v>
      </c>
      <c r="T88" t="s">
        <v>1809</v>
      </c>
      <c r="U88" t="s">
        <v>1809</v>
      </c>
      <c r="V88" t="s">
        <v>1809</v>
      </c>
      <c r="W88" t="s">
        <v>1639</v>
      </c>
      <c r="X88" t="s">
        <v>1818</v>
      </c>
      <c r="Y88" t="s">
        <v>1819</v>
      </c>
      <c r="Z88" t="s">
        <v>1820</v>
      </c>
      <c r="AA88" t="s">
        <v>1814</v>
      </c>
      <c r="AB88" t="s">
        <v>1821</v>
      </c>
      <c r="AC88" t="s">
        <v>1809</v>
      </c>
      <c r="AD88" t="s">
        <v>1809</v>
      </c>
      <c r="AE88" t="s">
        <v>1822</v>
      </c>
      <c r="AF88" t="s">
        <v>1809</v>
      </c>
      <c r="AG88" t="s">
        <v>1823</v>
      </c>
      <c r="AH88" t="s">
        <v>1814</v>
      </c>
      <c r="AI88" t="s">
        <v>1809</v>
      </c>
      <c r="AJ88" t="s">
        <v>1809</v>
      </c>
      <c r="AK88" t="s">
        <v>1809</v>
      </c>
      <c r="AL88" t="s">
        <v>1824</v>
      </c>
      <c r="AM88" t="s">
        <v>1812</v>
      </c>
      <c r="AN88" t="s">
        <v>1825</v>
      </c>
      <c r="AO88" t="s">
        <v>1826</v>
      </c>
      <c r="AP88" t="s">
        <v>402</v>
      </c>
    </row>
    <row r="89" spans="1:42" x14ac:dyDescent="0.3">
      <c r="A89" t="s">
        <v>1827</v>
      </c>
      <c r="B89" t="s">
        <v>1828</v>
      </c>
      <c r="C89" t="s">
        <v>1827</v>
      </c>
      <c r="D89" t="s">
        <v>1827</v>
      </c>
      <c r="E89" t="s">
        <v>1829</v>
      </c>
      <c r="F89" t="s">
        <v>1827</v>
      </c>
      <c r="G89" t="s">
        <v>1830</v>
      </c>
      <c r="H89" t="s">
        <v>1831</v>
      </c>
      <c r="I89" t="s">
        <v>1827</v>
      </c>
      <c r="J89" t="s">
        <v>1827</v>
      </c>
      <c r="K89" t="s">
        <v>1832</v>
      </c>
      <c r="L89" t="s">
        <v>1832</v>
      </c>
      <c r="M89" t="s">
        <v>1827</v>
      </c>
      <c r="N89" t="s">
        <v>1827</v>
      </c>
      <c r="O89" t="s">
        <v>1833</v>
      </c>
      <c r="P89" t="s">
        <v>1827</v>
      </c>
      <c r="Q89" t="s">
        <v>1834</v>
      </c>
      <c r="R89" t="s">
        <v>1827</v>
      </c>
      <c r="S89" t="s">
        <v>1835</v>
      </c>
      <c r="T89" t="s">
        <v>1827</v>
      </c>
      <c r="U89" t="s">
        <v>1827</v>
      </c>
      <c r="V89" t="s">
        <v>1827</v>
      </c>
      <c r="W89" t="s">
        <v>1640</v>
      </c>
      <c r="X89" t="s">
        <v>1836</v>
      </c>
      <c r="Y89" t="s">
        <v>1837</v>
      </c>
      <c r="Z89" t="s">
        <v>1838</v>
      </c>
      <c r="AA89" t="s">
        <v>1832</v>
      </c>
      <c r="AB89" t="s">
        <v>1839</v>
      </c>
      <c r="AC89" t="s">
        <v>1827</v>
      </c>
      <c r="AD89" t="s">
        <v>1827</v>
      </c>
      <c r="AE89" t="s">
        <v>1840</v>
      </c>
      <c r="AF89" t="s">
        <v>1827</v>
      </c>
      <c r="AG89" t="s">
        <v>1841</v>
      </c>
      <c r="AH89" t="s">
        <v>1832</v>
      </c>
      <c r="AI89" t="s">
        <v>1827</v>
      </c>
      <c r="AJ89" t="s">
        <v>1827</v>
      </c>
      <c r="AK89" t="s">
        <v>1827</v>
      </c>
      <c r="AL89" t="s">
        <v>1842</v>
      </c>
      <c r="AM89" t="s">
        <v>1830</v>
      </c>
      <c r="AN89" t="s">
        <v>1843</v>
      </c>
      <c r="AO89" t="s">
        <v>1844</v>
      </c>
      <c r="AP89" t="s">
        <v>403</v>
      </c>
    </row>
    <row r="90" spans="1:42" x14ac:dyDescent="0.3">
      <c r="A90" t="s">
        <v>1773</v>
      </c>
      <c r="B90" t="s">
        <v>1774</v>
      </c>
      <c r="C90" t="s">
        <v>1773</v>
      </c>
      <c r="D90" t="s">
        <v>1773</v>
      </c>
      <c r="E90" t="s">
        <v>1775</v>
      </c>
      <c r="F90" t="s">
        <v>1773</v>
      </c>
      <c r="G90" t="s">
        <v>1776</v>
      </c>
      <c r="H90" t="s">
        <v>1777</v>
      </c>
      <c r="I90" t="s">
        <v>1773</v>
      </c>
      <c r="J90" t="s">
        <v>1773</v>
      </c>
      <c r="K90" t="s">
        <v>1778</v>
      </c>
      <c r="L90" t="s">
        <v>1778</v>
      </c>
      <c r="M90" t="s">
        <v>1773</v>
      </c>
      <c r="N90" t="s">
        <v>1773</v>
      </c>
      <c r="O90" t="s">
        <v>1779</v>
      </c>
      <c r="P90" t="s">
        <v>1773</v>
      </c>
      <c r="Q90" t="s">
        <v>1780</v>
      </c>
      <c r="R90" t="s">
        <v>1773</v>
      </c>
      <c r="S90" t="s">
        <v>1781</v>
      </c>
      <c r="T90" t="s">
        <v>1773</v>
      </c>
      <c r="U90" t="s">
        <v>1773</v>
      </c>
      <c r="V90" t="s">
        <v>1773</v>
      </c>
      <c r="W90" t="s">
        <v>1641</v>
      </c>
      <c r="X90" t="s">
        <v>1782</v>
      </c>
      <c r="Y90" t="s">
        <v>1783</v>
      </c>
      <c r="Z90" t="s">
        <v>1784</v>
      </c>
      <c r="AA90" t="s">
        <v>1778</v>
      </c>
      <c r="AB90" t="s">
        <v>1785</v>
      </c>
      <c r="AC90" t="s">
        <v>1773</v>
      </c>
      <c r="AD90" t="s">
        <v>1773</v>
      </c>
      <c r="AE90" t="s">
        <v>1786</v>
      </c>
      <c r="AF90" t="s">
        <v>1773</v>
      </c>
      <c r="AG90" t="s">
        <v>1787</v>
      </c>
      <c r="AH90" t="s">
        <v>1778</v>
      </c>
      <c r="AI90" t="s">
        <v>1773</v>
      </c>
      <c r="AJ90" t="s">
        <v>1773</v>
      </c>
      <c r="AK90" t="s">
        <v>1773</v>
      </c>
      <c r="AL90" t="s">
        <v>1788</v>
      </c>
      <c r="AM90" t="s">
        <v>1776</v>
      </c>
      <c r="AN90" t="s">
        <v>1789</v>
      </c>
      <c r="AO90" t="s">
        <v>1790</v>
      </c>
      <c r="AP90" t="s">
        <v>404</v>
      </c>
    </row>
    <row r="91" spans="1:42" x14ac:dyDescent="0.3">
      <c r="A91" t="s">
        <v>1791</v>
      </c>
      <c r="B91" t="s">
        <v>1792</v>
      </c>
      <c r="C91" t="s">
        <v>1791</v>
      </c>
      <c r="D91" t="s">
        <v>1791</v>
      </c>
      <c r="E91" t="s">
        <v>1793</v>
      </c>
      <c r="F91" t="s">
        <v>1791</v>
      </c>
      <c r="G91" t="s">
        <v>1794</v>
      </c>
      <c r="H91" t="s">
        <v>1795</v>
      </c>
      <c r="I91" t="s">
        <v>1791</v>
      </c>
      <c r="J91" t="s">
        <v>1791</v>
      </c>
      <c r="K91" t="s">
        <v>1796</v>
      </c>
      <c r="L91" t="s">
        <v>1796</v>
      </c>
      <c r="M91" t="s">
        <v>1791</v>
      </c>
      <c r="N91" t="s">
        <v>1791</v>
      </c>
      <c r="O91" t="s">
        <v>1797</v>
      </c>
      <c r="P91" t="s">
        <v>1791</v>
      </c>
      <c r="Q91" t="s">
        <v>1798</v>
      </c>
      <c r="R91" t="s">
        <v>1791</v>
      </c>
      <c r="S91" t="s">
        <v>1799</v>
      </c>
      <c r="T91" t="s">
        <v>1791</v>
      </c>
      <c r="U91" t="s">
        <v>1791</v>
      </c>
      <c r="V91" t="s">
        <v>1791</v>
      </c>
      <c r="W91" t="s">
        <v>1642</v>
      </c>
      <c r="X91" t="s">
        <v>1800</v>
      </c>
      <c r="Y91" t="s">
        <v>1801</v>
      </c>
      <c r="Z91" t="s">
        <v>1802</v>
      </c>
      <c r="AA91" t="s">
        <v>1796</v>
      </c>
      <c r="AB91" t="s">
        <v>1803</v>
      </c>
      <c r="AC91" t="s">
        <v>1791</v>
      </c>
      <c r="AD91" t="s">
        <v>1791</v>
      </c>
      <c r="AE91" t="s">
        <v>1804</v>
      </c>
      <c r="AF91" t="s">
        <v>1791</v>
      </c>
      <c r="AG91" t="s">
        <v>1805</v>
      </c>
      <c r="AH91" t="s">
        <v>1796</v>
      </c>
      <c r="AI91" t="s">
        <v>1791</v>
      </c>
      <c r="AJ91" t="s">
        <v>1791</v>
      </c>
      <c r="AK91" t="s">
        <v>1791</v>
      </c>
      <c r="AL91" t="s">
        <v>1806</v>
      </c>
      <c r="AM91" t="s">
        <v>1794</v>
      </c>
      <c r="AN91" t="s">
        <v>1807</v>
      </c>
      <c r="AO91" t="s">
        <v>1808</v>
      </c>
      <c r="AP91" t="s">
        <v>405</v>
      </c>
    </row>
    <row r="92" spans="1:42" x14ac:dyDescent="0.3">
      <c r="A92" t="s">
        <v>1845</v>
      </c>
      <c r="B92" t="s">
        <v>1846</v>
      </c>
      <c r="C92" t="s">
        <v>1845</v>
      </c>
      <c r="D92" t="s">
        <v>1845</v>
      </c>
      <c r="E92" t="s">
        <v>1847</v>
      </c>
      <c r="F92" t="s">
        <v>1845</v>
      </c>
      <c r="G92" t="s">
        <v>1848</v>
      </c>
      <c r="H92" t="s">
        <v>1849</v>
      </c>
      <c r="I92" t="s">
        <v>1845</v>
      </c>
      <c r="J92" t="s">
        <v>1845</v>
      </c>
      <c r="K92" t="s">
        <v>1850</v>
      </c>
      <c r="L92" t="s">
        <v>1850</v>
      </c>
      <c r="M92" t="s">
        <v>1845</v>
      </c>
      <c r="N92" t="s">
        <v>1845</v>
      </c>
      <c r="O92" t="s">
        <v>1851</v>
      </c>
      <c r="P92" t="s">
        <v>1845</v>
      </c>
      <c r="Q92" t="s">
        <v>1852</v>
      </c>
      <c r="R92" t="s">
        <v>1845</v>
      </c>
      <c r="S92" t="s">
        <v>1853</v>
      </c>
      <c r="T92" t="s">
        <v>1845</v>
      </c>
      <c r="U92" t="s">
        <v>1845</v>
      </c>
      <c r="V92" t="s">
        <v>1845</v>
      </c>
      <c r="W92" t="s">
        <v>1643</v>
      </c>
      <c r="X92" t="s">
        <v>1854</v>
      </c>
      <c r="Y92" t="s">
        <v>1855</v>
      </c>
      <c r="Z92" t="s">
        <v>1856</v>
      </c>
      <c r="AA92" t="s">
        <v>1850</v>
      </c>
      <c r="AB92" t="s">
        <v>1857</v>
      </c>
      <c r="AC92" t="s">
        <v>1845</v>
      </c>
      <c r="AD92" t="s">
        <v>1845</v>
      </c>
      <c r="AE92" t="s">
        <v>1858</v>
      </c>
      <c r="AF92" t="s">
        <v>1845</v>
      </c>
      <c r="AG92" t="s">
        <v>1859</v>
      </c>
      <c r="AH92" t="s">
        <v>1850</v>
      </c>
      <c r="AI92" t="s">
        <v>1845</v>
      </c>
      <c r="AJ92" t="s">
        <v>1845</v>
      </c>
      <c r="AK92" t="s">
        <v>1845</v>
      </c>
      <c r="AL92" t="s">
        <v>1860</v>
      </c>
      <c r="AM92" t="s">
        <v>1848</v>
      </c>
      <c r="AN92" t="s">
        <v>1861</v>
      </c>
      <c r="AO92" t="s">
        <v>1862</v>
      </c>
      <c r="AP92" t="s">
        <v>406</v>
      </c>
    </row>
    <row r="93" spans="1:42" x14ac:dyDescent="0.3">
      <c r="A93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1863</v>
      </c>
      <c r="O93" t="s">
        <v>1869</v>
      </c>
      <c r="P93" t="s">
        <v>1863</v>
      </c>
      <c r="Q93" t="s">
        <v>1870</v>
      </c>
      <c r="R93" t="s">
        <v>1863</v>
      </c>
      <c r="S93" t="s">
        <v>1871</v>
      </c>
      <c r="T93" t="s">
        <v>1863</v>
      </c>
      <c r="U93" t="s">
        <v>1863</v>
      </c>
      <c r="V93" t="s">
        <v>1863</v>
      </c>
      <c r="W93" t="s">
        <v>1644</v>
      </c>
      <c r="X93" t="s">
        <v>1872</v>
      </c>
      <c r="Y93" t="s">
        <v>1873</v>
      </c>
      <c r="Z93" t="s">
        <v>1874</v>
      </c>
      <c r="AA93" t="s">
        <v>1868</v>
      </c>
      <c r="AB93" t="s">
        <v>1875</v>
      </c>
      <c r="AC93" t="s">
        <v>1863</v>
      </c>
      <c r="AD93" t="s">
        <v>1863</v>
      </c>
      <c r="AE93" t="s">
        <v>1876</v>
      </c>
      <c r="AF93" t="s">
        <v>1863</v>
      </c>
      <c r="AG93" t="s">
        <v>1877</v>
      </c>
      <c r="AH93" t="s">
        <v>1868</v>
      </c>
      <c r="AI93" t="s">
        <v>1863</v>
      </c>
      <c r="AJ93" t="s">
        <v>1863</v>
      </c>
      <c r="AK93" t="s">
        <v>1863</v>
      </c>
      <c r="AL93" t="s">
        <v>1878</v>
      </c>
      <c r="AM93" t="s">
        <v>1866</v>
      </c>
      <c r="AN93" t="s">
        <v>1879</v>
      </c>
      <c r="AO93" t="s">
        <v>1880</v>
      </c>
      <c r="AP93" t="s">
        <v>407</v>
      </c>
    </row>
    <row r="94" spans="1:42" x14ac:dyDescent="0.3">
      <c r="A94" t="s">
        <v>1881</v>
      </c>
      <c r="B94" t="s">
        <v>1882</v>
      </c>
      <c r="C94" t="s">
        <v>1881</v>
      </c>
      <c r="D94" t="s">
        <v>1881</v>
      </c>
      <c r="E94" t="s">
        <v>1883</v>
      </c>
      <c r="F94" t="s">
        <v>1881</v>
      </c>
      <c r="G94" t="s">
        <v>1884</v>
      </c>
      <c r="H94" t="s">
        <v>1885</v>
      </c>
      <c r="I94" t="s">
        <v>1881</v>
      </c>
      <c r="J94" t="s">
        <v>1881</v>
      </c>
      <c r="K94" t="s">
        <v>1886</v>
      </c>
      <c r="L94" t="s">
        <v>1886</v>
      </c>
      <c r="M94" t="s">
        <v>1881</v>
      </c>
      <c r="N94" t="s">
        <v>1881</v>
      </c>
      <c r="O94" t="s">
        <v>1887</v>
      </c>
      <c r="P94" t="s">
        <v>1881</v>
      </c>
      <c r="Q94" t="s">
        <v>1888</v>
      </c>
      <c r="R94" t="s">
        <v>1881</v>
      </c>
      <c r="S94" t="s">
        <v>1889</v>
      </c>
      <c r="T94" t="s">
        <v>1881</v>
      </c>
      <c r="U94" t="s">
        <v>1881</v>
      </c>
      <c r="V94" t="s">
        <v>1881</v>
      </c>
      <c r="W94" t="s">
        <v>1645</v>
      </c>
      <c r="X94" t="s">
        <v>1890</v>
      </c>
      <c r="Y94" t="s">
        <v>1891</v>
      </c>
      <c r="Z94" t="s">
        <v>1892</v>
      </c>
      <c r="AA94" t="s">
        <v>1886</v>
      </c>
      <c r="AB94" t="s">
        <v>1893</v>
      </c>
      <c r="AC94" t="s">
        <v>1881</v>
      </c>
      <c r="AD94" t="s">
        <v>1881</v>
      </c>
      <c r="AE94" t="s">
        <v>1894</v>
      </c>
      <c r="AF94" t="s">
        <v>1881</v>
      </c>
      <c r="AG94" t="s">
        <v>1895</v>
      </c>
      <c r="AH94" t="s">
        <v>1886</v>
      </c>
      <c r="AI94" t="s">
        <v>1881</v>
      </c>
      <c r="AJ94" t="s">
        <v>1881</v>
      </c>
      <c r="AK94" t="s">
        <v>1881</v>
      </c>
      <c r="AL94" t="s">
        <v>1896</v>
      </c>
      <c r="AM94" t="s">
        <v>1884</v>
      </c>
      <c r="AN94" t="s">
        <v>1897</v>
      </c>
      <c r="AO94" t="s">
        <v>1898</v>
      </c>
      <c r="AP94" t="s">
        <v>408</v>
      </c>
    </row>
    <row r="95" spans="1:42" x14ac:dyDescent="0.3">
      <c r="A95" t="s">
        <v>1899</v>
      </c>
      <c r="B95" t="s">
        <v>1900</v>
      </c>
      <c r="C95" t="s">
        <v>1899</v>
      </c>
      <c r="D95" t="s">
        <v>1899</v>
      </c>
      <c r="E95" t="s">
        <v>1901</v>
      </c>
      <c r="F95" t="s">
        <v>1899</v>
      </c>
      <c r="G95" t="s">
        <v>1902</v>
      </c>
      <c r="H95" t="s">
        <v>1903</v>
      </c>
      <c r="I95" t="s">
        <v>1899</v>
      </c>
      <c r="J95" t="s">
        <v>1899</v>
      </c>
      <c r="K95" t="s">
        <v>1904</v>
      </c>
      <c r="L95" t="s">
        <v>1904</v>
      </c>
      <c r="M95" t="s">
        <v>1899</v>
      </c>
      <c r="N95" t="s">
        <v>1899</v>
      </c>
      <c r="O95" t="s">
        <v>1905</v>
      </c>
      <c r="P95" t="s">
        <v>1899</v>
      </c>
      <c r="Q95" t="s">
        <v>1906</v>
      </c>
      <c r="R95" t="s">
        <v>1899</v>
      </c>
      <c r="S95" t="s">
        <v>1907</v>
      </c>
      <c r="T95" t="s">
        <v>1899</v>
      </c>
      <c r="U95" t="s">
        <v>1899</v>
      </c>
      <c r="V95" t="s">
        <v>1899</v>
      </c>
      <c r="W95" t="s">
        <v>1646</v>
      </c>
      <c r="X95" t="s">
        <v>1908</v>
      </c>
      <c r="Y95" t="s">
        <v>1909</v>
      </c>
      <c r="Z95" t="s">
        <v>1910</v>
      </c>
      <c r="AA95" t="s">
        <v>1904</v>
      </c>
      <c r="AB95" t="s">
        <v>1911</v>
      </c>
      <c r="AC95" t="s">
        <v>1899</v>
      </c>
      <c r="AD95" t="s">
        <v>1899</v>
      </c>
      <c r="AE95" t="s">
        <v>1912</v>
      </c>
      <c r="AF95" t="s">
        <v>1899</v>
      </c>
      <c r="AG95" t="s">
        <v>1913</v>
      </c>
      <c r="AH95" t="s">
        <v>1904</v>
      </c>
      <c r="AI95" t="s">
        <v>1899</v>
      </c>
      <c r="AJ95" t="s">
        <v>1899</v>
      </c>
      <c r="AK95" t="s">
        <v>1899</v>
      </c>
      <c r="AL95" t="s">
        <v>1914</v>
      </c>
      <c r="AM95" t="s">
        <v>1902</v>
      </c>
      <c r="AN95" t="s">
        <v>1915</v>
      </c>
      <c r="AO95" t="s">
        <v>1916</v>
      </c>
      <c r="AP95" t="s">
        <v>409</v>
      </c>
    </row>
    <row r="96" spans="1:42" x14ac:dyDescent="0.3">
      <c r="A96" t="s">
        <v>1917</v>
      </c>
      <c r="B96" t="s">
        <v>1918</v>
      </c>
      <c r="C96" t="s">
        <v>1917</v>
      </c>
      <c r="D96" t="s">
        <v>1917</v>
      </c>
      <c r="E96" t="s">
        <v>1919</v>
      </c>
      <c r="F96" t="s">
        <v>1917</v>
      </c>
      <c r="G96" t="s">
        <v>1920</v>
      </c>
      <c r="H96" t="s">
        <v>1921</v>
      </c>
      <c r="I96" t="s">
        <v>1917</v>
      </c>
      <c r="J96" t="s">
        <v>1917</v>
      </c>
      <c r="K96" t="s">
        <v>1922</v>
      </c>
      <c r="L96" t="s">
        <v>1922</v>
      </c>
      <c r="M96" t="s">
        <v>1917</v>
      </c>
      <c r="N96" t="s">
        <v>1917</v>
      </c>
      <c r="O96" t="s">
        <v>1923</v>
      </c>
      <c r="P96" t="s">
        <v>1917</v>
      </c>
      <c r="Q96" t="s">
        <v>1924</v>
      </c>
      <c r="R96" t="s">
        <v>1917</v>
      </c>
      <c r="S96" t="s">
        <v>1925</v>
      </c>
      <c r="T96" t="s">
        <v>1917</v>
      </c>
      <c r="U96" t="s">
        <v>1917</v>
      </c>
      <c r="V96" t="s">
        <v>1917</v>
      </c>
      <c r="W96" t="s">
        <v>1647</v>
      </c>
      <c r="X96" t="s">
        <v>1926</v>
      </c>
      <c r="Y96" t="s">
        <v>1927</v>
      </c>
      <c r="Z96" t="s">
        <v>1928</v>
      </c>
      <c r="AA96" t="s">
        <v>1922</v>
      </c>
      <c r="AB96" t="s">
        <v>1929</v>
      </c>
      <c r="AC96" t="s">
        <v>1917</v>
      </c>
      <c r="AD96" t="s">
        <v>1917</v>
      </c>
      <c r="AE96" t="s">
        <v>1930</v>
      </c>
      <c r="AF96" t="s">
        <v>1917</v>
      </c>
      <c r="AG96" t="s">
        <v>1931</v>
      </c>
      <c r="AH96" t="s">
        <v>1922</v>
      </c>
      <c r="AI96" t="s">
        <v>1917</v>
      </c>
      <c r="AJ96" t="s">
        <v>1917</v>
      </c>
      <c r="AK96" t="s">
        <v>1917</v>
      </c>
      <c r="AL96" t="s">
        <v>1932</v>
      </c>
      <c r="AM96" t="s">
        <v>1920</v>
      </c>
      <c r="AN96" t="s">
        <v>1933</v>
      </c>
      <c r="AO96" t="s">
        <v>1934</v>
      </c>
      <c r="AP96" t="s">
        <v>410</v>
      </c>
    </row>
    <row r="97" spans="1:42" x14ac:dyDescent="0.3">
      <c r="A97" t="s">
        <v>1935</v>
      </c>
      <c r="B97" t="s">
        <v>1936</v>
      </c>
      <c r="C97" t="s">
        <v>1935</v>
      </c>
      <c r="D97" t="s">
        <v>1935</v>
      </c>
      <c r="E97" t="s">
        <v>1937</v>
      </c>
      <c r="F97" t="s">
        <v>1935</v>
      </c>
      <c r="G97" t="s">
        <v>1938</v>
      </c>
      <c r="H97" t="s">
        <v>1939</v>
      </c>
      <c r="I97" t="s">
        <v>1935</v>
      </c>
      <c r="J97" t="s">
        <v>1935</v>
      </c>
      <c r="K97" t="s">
        <v>1940</v>
      </c>
      <c r="L97" t="s">
        <v>1940</v>
      </c>
      <c r="M97" t="s">
        <v>1935</v>
      </c>
      <c r="N97" t="s">
        <v>1935</v>
      </c>
      <c r="O97" t="s">
        <v>1941</v>
      </c>
      <c r="P97" t="s">
        <v>1935</v>
      </c>
      <c r="Q97" t="s">
        <v>1942</v>
      </c>
      <c r="R97" t="s">
        <v>1935</v>
      </c>
      <c r="S97" t="s">
        <v>1943</v>
      </c>
      <c r="T97" t="s">
        <v>1935</v>
      </c>
      <c r="U97" t="s">
        <v>1935</v>
      </c>
      <c r="V97" t="s">
        <v>1935</v>
      </c>
      <c r="W97" t="s">
        <v>1648</v>
      </c>
      <c r="X97" t="s">
        <v>1944</v>
      </c>
      <c r="Y97" t="s">
        <v>1945</v>
      </c>
      <c r="Z97" t="s">
        <v>1946</v>
      </c>
      <c r="AA97" t="s">
        <v>1940</v>
      </c>
      <c r="AB97" t="s">
        <v>1947</v>
      </c>
      <c r="AC97" t="s">
        <v>1935</v>
      </c>
      <c r="AD97" t="s">
        <v>1935</v>
      </c>
      <c r="AE97" t="s">
        <v>1948</v>
      </c>
      <c r="AF97" t="s">
        <v>1935</v>
      </c>
      <c r="AG97" t="s">
        <v>1949</v>
      </c>
      <c r="AH97" t="s">
        <v>1940</v>
      </c>
      <c r="AI97" t="s">
        <v>1935</v>
      </c>
      <c r="AJ97" t="s">
        <v>1935</v>
      </c>
      <c r="AK97" t="s">
        <v>1935</v>
      </c>
      <c r="AL97" t="s">
        <v>1950</v>
      </c>
      <c r="AM97" t="s">
        <v>1938</v>
      </c>
      <c r="AN97" t="s">
        <v>1951</v>
      </c>
      <c r="AO97" t="s">
        <v>1952</v>
      </c>
      <c r="AP97" t="s">
        <v>411</v>
      </c>
    </row>
    <row r="98" spans="1:42" x14ac:dyDescent="0.3">
      <c r="A98" t="s">
        <v>753</v>
      </c>
      <c r="B98" t="s">
        <v>480</v>
      </c>
      <c r="C98" t="s">
        <v>753</v>
      </c>
      <c r="D98" t="s">
        <v>753</v>
      </c>
      <c r="E98" t="s">
        <v>1114</v>
      </c>
      <c r="F98" t="s">
        <v>753</v>
      </c>
      <c r="G98" t="s">
        <v>919</v>
      </c>
      <c r="H98" t="s">
        <v>84</v>
      </c>
      <c r="I98" t="s">
        <v>753</v>
      </c>
      <c r="J98" t="s">
        <v>753</v>
      </c>
      <c r="K98" t="s">
        <v>1080</v>
      </c>
      <c r="L98" t="s">
        <v>1080</v>
      </c>
      <c r="M98" t="s">
        <v>753</v>
      </c>
      <c r="N98" t="s">
        <v>753</v>
      </c>
      <c r="O98" t="s">
        <v>1262</v>
      </c>
      <c r="P98" t="s">
        <v>753</v>
      </c>
      <c r="Q98" t="s">
        <v>1057</v>
      </c>
      <c r="R98" t="s">
        <v>753</v>
      </c>
      <c r="S98" t="s">
        <v>1297</v>
      </c>
      <c r="T98" t="s">
        <v>753</v>
      </c>
      <c r="U98" t="s">
        <v>753</v>
      </c>
      <c r="V98" t="s">
        <v>753</v>
      </c>
      <c r="W98" t="s">
        <v>1391</v>
      </c>
      <c r="X98" t="s">
        <v>275</v>
      </c>
      <c r="Y98" t="s">
        <v>1190</v>
      </c>
      <c r="Z98" t="s">
        <v>345</v>
      </c>
      <c r="AA98" t="s">
        <v>1080</v>
      </c>
      <c r="AB98" t="s">
        <v>959</v>
      </c>
      <c r="AC98" t="s">
        <v>753</v>
      </c>
      <c r="AD98" t="s">
        <v>753</v>
      </c>
      <c r="AE98" t="s">
        <v>1413</v>
      </c>
      <c r="AF98" t="s">
        <v>753</v>
      </c>
      <c r="AG98" t="s">
        <v>19</v>
      </c>
      <c r="AH98" t="s">
        <v>1080</v>
      </c>
      <c r="AI98" t="s">
        <v>753</v>
      </c>
      <c r="AJ98" t="s">
        <v>753</v>
      </c>
      <c r="AK98" t="s">
        <v>753</v>
      </c>
      <c r="AL98" t="s">
        <v>174</v>
      </c>
      <c r="AM98" t="s">
        <v>919</v>
      </c>
      <c r="AN98" t="s">
        <v>1362</v>
      </c>
      <c r="AO98" t="s">
        <v>579</v>
      </c>
      <c r="AP98" t="s">
        <v>412</v>
      </c>
    </row>
    <row r="99" spans="1:42" x14ac:dyDescent="0.3">
      <c r="A99" t="s">
        <v>754</v>
      </c>
      <c r="B99" t="s">
        <v>481</v>
      </c>
      <c r="C99" t="s">
        <v>754</v>
      </c>
      <c r="D99" t="s">
        <v>754</v>
      </c>
      <c r="E99" t="s">
        <v>1115</v>
      </c>
      <c r="F99" t="s">
        <v>754</v>
      </c>
      <c r="G99" t="s">
        <v>920</v>
      </c>
      <c r="H99" t="s">
        <v>85</v>
      </c>
      <c r="I99" t="s">
        <v>754</v>
      </c>
      <c r="J99" t="s">
        <v>754</v>
      </c>
      <c r="K99" t="s">
        <v>1081</v>
      </c>
      <c r="L99" t="s">
        <v>1081</v>
      </c>
      <c r="M99" t="s">
        <v>754</v>
      </c>
      <c r="N99" t="s">
        <v>754</v>
      </c>
      <c r="O99" t="s">
        <v>1263</v>
      </c>
      <c r="P99" t="s">
        <v>754</v>
      </c>
      <c r="Q99" t="s">
        <v>1058</v>
      </c>
      <c r="R99" t="s">
        <v>754</v>
      </c>
      <c r="S99" t="s">
        <v>1298</v>
      </c>
      <c r="T99" t="s">
        <v>754</v>
      </c>
      <c r="U99" t="s">
        <v>754</v>
      </c>
      <c r="V99" t="s">
        <v>754</v>
      </c>
      <c r="W99" t="s">
        <v>1649</v>
      </c>
      <c r="X99" t="s">
        <v>276</v>
      </c>
      <c r="Y99" t="s">
        <v>1191</v>
      </c>
      <c r="Z99" t="s">
        <v>346</v>
      </c>
      <c r="AA99" t="s">
        <v>1081</v>
      </c>
      <c r="AB99" t="s">
        <v>960</v>
      </c>
      <c r="AC99" t="s">
        <v>754</v>
      </c>
      <c r="AD99" t="s">
        <v>754</v>
      </c>
      <c r="AE99" t="s">
        <v>1414</v>
      </c>
      <c r="AF99" t="s">
        <v>754</v>
      </c>
      <c r="AG99" t="s">
        <v>20</v>
      </c>
      <c r="AH99" t="s">
        <v>1081</v>
      </c>
      <c r="AI99" t="s">
        <v>754</v>
      </c>
      <c r="AJ99" t="s">
        <v>754</v>
      </c>
      <c r="AK99" t="s">
        <v>754</v>
      </c>
      <c r="AL99" t="s">
        <v>175</v>
      </c>
      <c r="AM99" t="s">
        <v>920</v>
      </c>
      <c r="AN99" t="s">
        <v>1363</v>
      </c>
      <c r="AO99" t="s">
        <v>580</v>
      </c>
      <c r="AP99" t="s">
        <v>413</v>
      </c>
    </row>
    <row r="100" spans="1:42" x14ac:dyDescent="0.3">
      <c r="A100" t="s">
        <v>797</v>
      </c>
      <c r="B100" t="s">
        <v>482</v>
      </c>
      <c r="C100" t="s">
        <v>797</v>
      </c>
      <c r="D100" t="s">
        <v>797</v>
      </c>
      <c r="E100" t="s">
        <v>921</v>
      </c>
      <c r="F100" t="s">
        <v>797</v>
      </c>
      <c r="G100" t="s">
        <v>1005</v>
      </c>
      <c r="H100" t="s">
        <v>86</v>
      </c>
      <c r="I100" t="s">
        <v>797</v>
      </c>
      <c r="J100" t="s">
        <v>797</v>
      </c>
      <c r="K100" t="s">
        <v>1005</v>
      </c>
      <c r="L100" t="s">
        <v>1226</v>
      </c>
      <c r="M100" t="s">
        <v>847</v>
      </c>
      <c r="N100" t="s">
        <v>797</v>
      </c>
      <c r="O100" t="s">
        <v>1264</v>
      </c>
      <c r="P100" t="s">
        <v>797</v>
      </c>
      <c r="Q100" t="s">
        <v>1059</v>
      </c>
      <c r="R100" t="s">
        <v>797</v>
      </c>
      <c r="S100" t="s">
        <v>847</v>
      </c>
      <c r="T100" t="s">
        <v>797</v>
      </c>
      <c r="U100" t="s">
        <v>797</v>
      </c>
      <c r="V100" t="s">
        <v>797</v>
      </c>
      <c r="W100" t="s">
        <v>1650</v>
      </c>
      <c r="X100" t="s">
        <v>1005</v>
      </c>
      <c r="Y100" t="s">
        <v>1192</v>
      </c>
      <c r="Z100" t="s">
        <v>1226</v>
      </c>
      <c r="AA100" t="s">
        <v>1226</v>
      </c>
      <c r="AB100" t="s">
        <v>961</v>
      </c>
      <c r="AC100" t="s">
        <v>797</v>
      </c>
      <c r="AD100" t="s">
        <v>797</v>
      </c>
      <c r="AE100" t="s">
        <v>1005</v>
      </c>
      <c r="AF100" t="s">
        <v>797</v>
      </c>
      <c r="AG100" t="s">
        <v>21</v>
      </c>
      <c r="AH100" t="s">
        <v>1005</v>
      </c>
      <c r="AI100" t="s">
        <v>797</v>
      </c>
      <c r="AJ100" t="s">
        <v>797</v>
      </c>
      <c r="AK100" t="s">
        <v>797</v>
      </c>
      <c r="AL100" t="s">
        <v>176</v>
      </c>
      <c r="AM100" t="s">
        <v>921</v>
      </c>
      <c r="AN100" t="s">
        <v>1364</v>
      </c>
      <c r="AO100" t="s">
        <v>581</v>
      </c>
      <c r="AP100" t="s">
        <v>414</v>
      </c>
    </row>
    <row r="101" spans="1:42" x14ac:dyDescent="0.3">
      <c r="A101" t="s">
        <v>798</v>
      </c>
      <c r="B101" t="s">
        <v>483</v>
      </c>
      <c r="C101" t="s">
        <v>798</v>
      </c>
      <c r="D101" t="s">
        <v>798</v>
      </c>
      <c r="E101" t="s">
        <v>922</v>
      </c>
      <c r="F101" t="s">
        <v>798</v>
      </c>
      <c r="G101" t="s">
        <v>1006</v>
      </c>
      <c r="H101" t="s">
        <v>87</v>
      </c>
      <c r="I101" t="s">
        <v>798</v>
      </c>
      <c r="J101" t="s">
        <v>798</v>
      </c>
      <c r="K101" t="s">
        <v>1006</v>
      </c>
      <c r="L101" t="s">
        <v>1227</v>
      </c>
      <c r="M101" t="s">
        <v>848</v>
      </c>
      <c r="N101" t="s">
        <v>798</v>
      </c>
      <c r="O101" t="s">
        <v>1265</v>
      </c>
      <c r="P101" t="s">
        <v>798</v>
      </c>
      <c r="Q101" t="s">
        <v>1060</v>
      </c>
      <c r="R101" t="s">
        <v>798</v>
      </c>
      <c r="S101" t="s">
        <v>848</v>
      </c>
      <c r="T101" t="s">
        <v>798</v>
      </c>
      <c r="U101" t="s">
        <v>798</v>
      </c>
      <c r="V101" t="s">
        <v>798</v>
      </c>
      <c r="W101" t="s">
        <v>1651</v>
      </c>
      <c r="X101" t="s">
        <v>1006</v>
      </c>
      <c r="Y101" t="s">
        <v>1193</v>
      </c>
      <c r="Z101" t="s">
        <v>1227</v>
      </c>
      <c r="AA101" t="s">
        <v>1227</v>
      </c>
      <c r="AB101" t="s">
        <v>962</v>
      </c>
      <c r="AC101" t="s">
        <v>798</v>
      </c>
      <c r="AD101" t="s">
        <v>798</v>
      </c>
      <c r="AE101" t="s">
        <v>1006</v>
      </c>
      <c r="AF101" t="s">
        <v>798</v>
      </c>
      <c r="AG101" t="s">
        <v>22</v>
      </c>
      <c r="AH101" t="s">
        <v>1006</v>
      </c>
      <c r="AI101" t="s">
        <v>798</v>
      </c>
      <c r="AJ101" t="s">
        <v>798</v>
      </c>
      <c r="AK101" t="s">
        <v>798</v>
      </c>
      <c r="AL101" t="s">
        <v>177</v>
      </c>
      <c r="AM101" t="s">
        <v>922</v>
      </c>
      <c r="AN101" t="s">
        <v>1365</v>
      </c>
      <c r="AO101" t="s">
        <v>582</v>
      </c>
      <c r="AP101" t="s">
        <v>415</v>
      </c>
    </row>
    <row r="102" spans="1:42" x14ac:dyDescent="0.3">
      <c r="A102" s="53" t="s">
        <v>1953</v>
      </c>
      <c r="B102" t="s">
        <v>1953</v>
      </c>
      <c r="C102" t="s">
        <v>2443</v>
      </c>
      <c r="D102" t="s">
        <v>2444</v>
      </c>
      <c r="E102" t="s">
        <v>1953</v>
      </c>
      <c r="F102" t="s">
        <v>2445</v>
      </c>
      <c r="G102" t="s">
        <v>2446</v>
      </c>
      <c r="H102" t="s">
        <v>2447</v>
      </c>
      <c r="I102" t="s">
        <v>2448</v>
      </c>
      <c r="J102" t="s">
        <v>2449</v>
      </c>
      <c r="K102" t="s">
        <v>1953</v>
      </c>
      <c r="L102" t="s">
        <v>1953</v>
      </c>
      <c r="M102" t="s">
        <v>1953</v>
      </c>
      <c r="N102" t="s">
        <v>1953</v>
      </c>
      <c r="O102" t="s">
        <v>2450</v>
      </c>
      <c r="P102" t="s">
        <v>2451</v>
      </c>
      <c r="Q102" t="s">
        <v>2452</v>
      </c>
      <c r="R102" t="s">
        <v>2453</v>
      </c>
      <c r="S102" t="s">
        <v>1953</v>
      </c>
      <c r="T102" t="s">
        <v>2454</v>
      </c>
      <c r="U102" t="s">
        <v>2455</v>
      </c>
      <c r="V102" t="s">
        <v>2456</v>
      </c>
      <c r="W102" t="s">
        <v>2457</v>
      </c>
      <c r="X102" t="s">
        <v>2458</v>
      </c>
      <c r="Y102" t="s">
        <v>2445</v>
      </c>
      <c r="Z102" t="s">
        <v>1953</v>
      </c>
      <c r="AA102" t="s">
        <v>1953</v>
      </c>
      <c r="AB102" t="s">
        <v>2459</v>
      </c>
      <c r="AC102" t="s">
        <v>1953</v>
      </c>
      <c r="AD102" t="s">
        <v>1953</v>
      </c>
      <c r="AE102" t="s">
        <v>2460</v>
      </c>
      <c r="AF102" t="s">
        <v>2461</v>
      </c>
      <c r="AG102" t="s">
        <v>2462</v>
      </c>
      <c r="AH102" t="s">
        <v>1953</v>
      </c>
      <c r="AI102" t="s">
        <v>1953</v>
      </c>
      <c r="AJ102" t="s">
        <v>2463</v>
      </c>
      <c r="AK102" t="s">
        <v>1953</v>
      </c>
      <c r="AL102" t="s">
        <v>2464</v>
      </c>
      <c r="AM102" t="s">
        <v>2465</v>
      </c>
      <c r="AN102" t="s">
        <v>1953</v>
      </c>
      <c r="AO102" t="s">
        <v>2466</v>
      </c>
      <c r="AP102" t="s">
        <v>2467</v>
      </c>
    </row>
    <row r="103" spans="1:42" x14ac:dyDescent="0.3">
      <c r="A103" s="53" t="s">
        <v>1702</v>
      </c>
      <c r="B103" s="53" t="s">
        <v>1702</v>
      </c>
      <c r="C103" s="53" t="s">
        <v>1702</v>
      </c>
      <c r="D103" s="53" t="s">
        <v>1702</v>
      </c>
      <c r="E103" s="53" t="s">
        <v>1702</v>
      </c>
      <c r="F103" s="53" t="s">
        <v>1702</v>
      </c>
      <c r="G103" s="53" t="s">
        <v>1702</v>
      </c>
      <c r="H103" s="53" t="s">
        <v>1702</v>
      </c>
      <c r="I103" s="53" t="s">
        <v>1702</v>
      </c>
      <c r="J103" s="53" t="s">
        <v>1702</v>
      </c>
      <c r="K103" s="53" t="s">
        <v>1702</v>
      </c>
      <c r="L103" s="53" t="s">
        <v>1702</v>
      </c>
      <c r="M103" s="53" t="s">
        <v>1702</v>
      </c>
      <c r="N103" s="53" t="s">
        <v>1702</v>
      </c>
      <c r="O103" s="53" t="s">
        <v>1702</v>
      </c>
      <c r="P103" s="53" t="s">
        <v>1702</v>
      </c>
      <c r="Q103" s="53" t="s">
        <v>1702</v>
      </c>
      <c r="R103" s="53" t="s">
        <v>1702</v>
      </c>
      <c r="S103" s="53" t="s">
        <v>1702</v>
      </c>
      <c r="T103" s="53" t="s">
        <v>1702</v>
      </c>
      <c r="U103" s="53" t="s">
        <v>1702</v>
      </c>
      <c r="V103" s="53" t="s">
        <v>1702</v>
      </c>
      <c r="W103" s="53" t="s">
        <v>1702</v>
      </c>
      <c r="X103" s="53" t="s">
        <v>1702</v>
      </c>
      <c r="Y103" s="53" t="s">
        <v>1702</v>
      </c>
      <c r="Z103" s="53" t="s">
        <v>1702</v>
      </c>
      <c r="AA103" s="53" t="s">
        <v>1702</v>
      </c>
      <c r="AB103" s="53" t="s">
        <v>1702</v>
      </c>
      <c r="AC103" s="53" t="s">
        <v>1702</v>
      </c>
      <c r="AD103" s="53" t="s">
        <v>1702</v>
      </c>
      <c r="AE103" s="53" t="s">
        <v>1702</v>
      </c>
      <c r="AF103" s="53" t="s">
        <v>1702</v>
      </c>
      <c r="AG103" s="53" t="s">
        <v>1702</v>
      </c>
      <c r="AH103" s="53" t="s">
        <v>1702</v>
      </c>
      <c r="AI103" s="53" t="s">
        <v>1702</v>
      </c>
      <c r="AJ103" s="53" t="s">
        <v>1702</v>
      </c>
      <c r="AK103" s="53" t="s">
        <v>1702</v>
      </c>
      <c r="AL103" s="53" t="s">
        <v>1702</v>
      </c>
      <c r="AM103" s="53" t="s">
        <v>1702</v>
      </c>
      <c r="AN103" s="53" t="s">
        <v>1702</v>
      </c>
      <c r="AO103" s="53" t="s">
        <v>1702</v>
      </c>
      <c r="AP103" s="53" t="s">
        <v>1702</v>
      </c>
    </row>
    <row r="104" spans="1:42" x14ac:dyDescent="0.3">
      <c r="A104" s="53" t="s">
        <v>1652</v>
      </c>
      <c r="B104" t="s">
        <v>1655</v>
      </c>
      <c r="C104" t="s">
        <v>1656</v>
      </c>
      <c r="D104" t="s">
        <v>1652</v>
      </c>
      <c r="E104" t="s">
        <v>1652</v>
      </c>
      <c r="F104" t="s">
        <v>1652</v>
      </c>
      <c r="G104" t="s">
        <v>1657</v>
      </c>
      <c r="H104" t="s">
        <v>1658</v>
      </c>
      <c r="I104" t="s">
        <v>1659</v>
      </c>
      <c r="J104" t="s">
        <v>1652</v>
      </c>
      <c r="K104" t="s">
        <v>1652</v>
      </c>
      <c r="L104" t="s">
        <v>1652</v>
      </c>
      <c r="M104" t="s">
        <v>1652</v>
      </c>
      <c r="N104" t="s">
        <v>1652</v>
      </c>
      <c r="O104" t="s">
        <v>1652</v>
      </c>
      <c r="P104" t="s">
        <v>1652</v>
      </c>
      <c r="Q104" t="s">
        <v>1660</v>
      </c>
      <c r="R104" t="s">
        <v>1661</v>
      </c>
      <c r="S104" t="s">
        <v>1652</v>
      </c>
      <c r="T104" t="s">
        <v>1652</v>
      </c>
      <c r="U104" t="s">
        <v>1652</v>
      </c>
      <c r="V104" t="s">
        <v>1652</v>
      </c>
      <c r="W104" t="s">
        <v>1662</v>
      </c>
      <c r="X104" t="s">
        <v>1652</v>
      </c>
      <c r="Y104" t="s">
        <v>1663</v>
      </c>
      <c r="Z104" t="s">
        <v>1652</v>
      </c>
      <c r="AA104" t="s">
        <v>1652</v>
      </c>
      <c r="AB104" t="s">
        <v>1664</v>
      </c>
      <c r="AC104" t="s">
        <v>1652</v>
      </c>
      <c r="AD104" t="s">
        <v>1657</v>
      </c>
      <c r="AE104" t="s">
        <v>1652</v>
      </c>
      <c r="AF104" t="s">
        <v>1665</v>
      </c>
      <c r="AG104" t="s">
        <v>1663</v>
      </c>
      <c r="AH104" t="s">
        <v>1652</v>
      </c>
      <c r="AI104" t="s">
        <v>1652</v>
      </c>
      <c r="AJ104" t="s">
        <v>1652</v>
      </c>
      <c r="AK104" t="s">
        <v>1652</v>
      </c>
      <c r="AL104" t="s">
        <v>1666</v>
      </c>
      <c r="AM104" t="s">
        <v>1652</v>
      </c>
      <c r="AN104" t="s">
        <v>1652</v>
      </c>
      <c r="AO104" t="s">
        <v>1667</v>
      </c>
      <c r="AP104" t="s">
        <v>1668</v>
      </c>
    </row>
    <row r="105" spans="1:42" x14ac:dyDescent="0.3">
      <c r="A105" s="53" t="s">
        <v>1653</v>
      </c>
      <c r="B105" t="s">
        <v>1653</v>
      </c>
      <c r="C105" t="s">
        <v>1669</v>
      </c>
      <c r="D105" t="s">
        <v>1653</v>
      </c>
      <c r="E105" t="s">
        <v>1653</v>
      </c>
      <c r="F105" t="s">
        <v>1653</v>
      </c>
      <c r="G105" t="s">
        <v>1653</v>
      </c>
      <c r="H105" t="s">
        <v>1670</v>
      </c>
      <c r="I105" t="s">
        <v>1671</v>
      </c>
      <c r="J105" t="s">
        <v>1653</v>
      </c>
      <c r="K105" t="s">
        <v>1653</v>
      </c>
      <c r="L105" t="s">
        <v>1653</v>
      </c>
      <c r="M105" t="s">
        <v>1653</v>
      </c>
      <c r="N105" t="s">
        <v>1653</v>
      </c>
      <c r="O105" t="s">
        <v>1672</v>
      </c>
      <c r="P105" t="s">
        <v>1653</v>
      </c>
      <c r="Q105" t="s">
        <v>1653</v>
      </c>
      <c r="R105" t="s">
        <v>1673</v>
      </c>
      <c r="S105" t="s">
        <v>1653</v>
      </c>
      <c r="T105" t="s">
        <v>1653</v>
      </c>
      <c r="U105" t="s">
        <v>1653</v>
      </c>
      <c r="V105" t="s">
        <v>1653</v>
      </c>
      <c r="W105" t="s">
        <v>1674</v>
      </c>
      <c r="X105" t="s">
        <v>1653</v>
      </c>
      <c r="Y105" t="s">
        <v>1653</v>
      </c>
      <c r="Z105" t="s">
        <v>1653</v>
      </c>
      <c r="AA105" t="s">
        <v>1653</v>
      </c>
      <c r="AB105" t="s">
        <v>1675</v>
      </c>
      <c r="AC105" t="s">
        <v>1676</v>
      </c>
      <c r="AD105" t="s">
        <v>1672</v>
      </c>
      <c r="AE105" t="s">
        <v>1653</v>
      </c>
      <c r="AF105" t="s">
        <v>1677</v>
      </c>
      <c r="AG105" t="s">
        <v>1678</v>
      </c>
      <c r="AH105" t="s">
        <v>1676</v>
      </c>
      <c r="AI105" t="s">
        <v>1653</v>
      </c>
      <c r="AJ105" t="s">
        <v>1653</v>
      </c>
      <c r="AK105" t="s">
        <v>1653</v>
      </c>
      <c r="AL105" t="s">
        <v>1679</v>
      </c>
      <c r="AM105" t="s">
        <v>1653</v>
      </c>
      <c r="AN105" t="s">
        <v>1653</v>
      </c>
      <c r="AO105" t="s">
        <v>1677</v>
      </c>
      <c r="AP105" t="s">
        <v>1680</v>
      </c>
    </row>
    <row r="106" spans="1:42" x14ac:dyDescent="0.3">
      <c r="A106" s="53" t="s">
        <v>1701</v>
      </c>
      <c r="B106" s="53" t="s">
        <v>1701</v>
      </c>
      <c r="C106" s="53" t="s">
        <v>1701</v>
      </c>
      <c r="D106" s="53" t="s">
        <v>1701</v>
      </c>
      <c r="E106" s="53" t="s">
        <v>1701</v>
      </c>
      <c r="F106" s="53" t="s">
        <v>1701</v>
      </c>
      <c r="G106" s="53" t="s">
        <v>1701</v>
      </c>
      <c r="H106" s="53" t="s">
        <v>1701</v>
      </c>
      <c r="I106" s="53" t="s">
        <v>1701</v>
      </c>
      <c r="J106" s="53" t="s">
        <v>1701</v>
      </c>
      <c r="K106" s="53" t="s">
        <v>1701</v>
      </c>
      <c r="L106" s="53" t="s">
        <v>1701</v>
      </c>
      <c r="M106" s="53" t="s">
        <v>1701</v>
      </c>
      <c r="N106" s="53" t="s">
        <v>1701</v>
      </c>
      <c r="O106" s="53" t="s">
        <v>1701</v>
      </c>
      <c r="P106" s="53" t="s">
        <v>1701</v>
      </c>
      <c r="Q106" s="53" t="s">
        <v>1701</v>
      </c>
      <c r="R106" s="53" t="s">
        <v>1701</v>
      </c>
      <c r="S106" s="53" t="s">
        <v>1701</v>
      </c>
      <c r="T106" s="53" t="s">
        <v>1701</v>
      </c>
      <c r="U106" s="53" t="s">
        <v>1701</v>
      </c>
      <c r="V106" s="53" t="s">
        <v>1701</v>
      </c>
      <c r="W106" s="53" t="s">
        <v>1701</v>
      </c>
      <c r="X106" s="53" t="s">
        <v>1701</v>
      </c>
      <c r="Y106" s="53" t="s">
        <v>1701</v>
      </c>
      <c r="Z106" s="53" t="s">
        <v>1701</v>
      </c>
      <c r="AA106" s="53" t="s">
        <v>1701</v>
      </c>
      <c r="AB106" s="53" t="s">
        <v>1701</v>
      </c>
      <c r="AC106" s="53" t="s">
        <v>1701</v>
      </c>
      <c r="AD106" s="53" t="s">
        <v>1701</v>
      </c>
      <c r="AE106" s="53" t="s">
        <v>1701</v>
      </c>
      <c r="AF106" s="53" t="s">
        <v>1701</v>
      </c>
      <c r="AG106" s="53" t="s">
        <v>1701</v>
      </c>
      <c r="AH106" s="53" t="s">
        <v>1701</v>
      </c>
      <c r="AI106" s="53" t="s">
        <v>1701</v>
      </c>
      <c r="AJ106" s="53" t="s">
        <v>1701</v>
      </c>
      <c r="AK106" s="53" t="s">
        <v>1701</v>
      </c>
      <c r="AL106" s="53" t="s">
        <v>1701</v>
      </c>
      <c r="AM106" s="53" t="s">
        <v>1701</v>
      </c>
      <c r="AN106" s="53" t="s">
        <v>1701</v>
      </c>
      <c r="AO106" s="53" t="s">
        <v>1701</v>
      </c>
    </row>
    <row r="107" spans="1:42" x14ac:dyDescent="0.3">
      <c r="A107" s="53" t="s">
        <v>1704</v>
      </c>
      <c r="B107" s="53" t="s">
        <v>1704</v>
      </c>
      <c r="C107" s="53" t="s">
        <v>1704</v>
      </c>
      <c r="D107" s="53" t="s">
        <v>1704</v>
      </c>
      <c r="E107" s="53" t="s">
        <v>1704</v>
      </c>
      <c r="F107" s="53" t="s">
        <v>1704</v>
      </c>
      <c r="G107" s="53" t="s">
        <v>1704</v>
      </c>
      <c r="H107" s="53" t="s">
        <v>1704</v>
      </c>
      <c r="I107" s="53" t="s">
        <v>1704</v>
      </c>
      <c r="J107" s="53" t="s">
        <v>1704</v>
      </c>
      <c r="K107" s="53" t="s">
        <v>1704</v>
      </c>
      <c r="L107" s="53" t="s">
        <v>1704</v>
      </c>
      <c r="M107" s="53" t="s">
        <v>1704</v>
      </c>
      <c r="N107" s="53" t="s">
        <v>1704</v>
      </c>
      <c r="O107" s="53" t="s">
        <v>1704</v>
      </c>
      <c r="P107" s="53" t="s">
        <v>1704</v>
      </c>
      <c r="Q107" s="53" t="s">
        <v>1704</v>
      </c>
      <c r="R107" s="53" t="s">
        <v>1704</v>
      </c>
      <c r="S107" s="53" t="s">
        <v>1704</v>
      </c>
      <c r="T107" s="53" t="s">
        <v>1704</v>
      </c>
      <c r="U107" s="53" t="s">
        <v>1704</v>
      </c>
      <c r="V107" s="53" t="s">
        <v>1704</v>
      </c>
      <c r="W107" s="53" t="s">
        <v>1704</v>
      </c>
      <c r="X107" s="53" t="s">
        <v>1704</v>
      </c>
      <c r="Y107" s="53" t="s">
        <v>1704</v>
      </c>
      <c r="Z107" s="53" t="s">
        <v>1704</v>
      </c>
      <c r="AA107" s="53" t="s">
        <v>1704</v>
      </c>
      <c r="AB107" s="53" t="s">
        <v>1704</v>
      </c>
      <c r="AC107" s="53" t="s">
        <v>1704</v>
      </c>
      <c r="AD107" s="53" t="s">
        <v>1704</v>
      </c>
      <c r="AE107" s="53" t="s">
        <v>1704</v>
      </c>
      <c r="AF107" s="53" t="s">
        <v>1704</v>
      </c>
      <c r="AG107" s="53" t="s">
        <v>1704</v>
      </c>
      <c r="AH107" s="53" t="s">
        <v>1704</v>
      </c>
      <c r="AI107" s="53" t="s">
        <v>1704</v>
      </c>
      <c r="AJ107" s="53" t="s">
        <v>1704</v>
      </c>
      <c r="AK107" s="53" t="s">
        <v>1704</v>
      </c>
      <c r="AL107" s="53" t="s">
        <v>1704</v>
      </c>
      <c r="AM107" s="53" t="s">
        <v>1704</v>
      </c>
      <c r="AN107" s="53" t="s">
        <v>1704</v>
      </c>
      <c r="AO107" s="53" t="s">
        <v>1704</v>
      </c>
    </row>
    <row r="108" spans="1:42" x14ac:dyDescent="0.3">
      <c r="A108" s="53" t="s">
        <v>1705</v>
      </c>
      <c r="B108" s="53" t="s">
        <v>1705</v>
      </c>
      <c r="C108" s="53" t="s">
        <v>1705</v>
      </c>
      <c r="D108" s="53" t="s">
        <v>1705</v>
      </c>
      <c r="E108" s="53" t="s">
        <v>1705</v>
      </c>
      <c r="F108" s="53" t="s">
        <v>1705</v>
      </c>
      <c r="G108" s="53" t="s">
        <v>1705</v>
      </c>
      <c r="H108" s="53" t="s">
        <v>1705</v>
      </c>
      <c r="I108" s="53" t="s">
        <v>1705</v>
      </c>
      <c r="J108" s="53" t="s">
        <v>1705</v>
      </c>
      <c r="K108" s="53" t="s">
        <v>1705</v>
      </c>
      <c r="L108" s="53" t="s">
        <v>1705</v>
      </c>
      <c r="M108" s="53" t="s">
        <v>1705</v>
      </c>
      <c r="N108" s="53" t="s">
        <v>1705</v>
      </c>
      <c r="O108" s="53" t="s">
        <v>1705</v>
      </c>
      <c r="P108" s="53" t="s">
        <v>1705</v>
      </c>
      <c r="Q108" s="53" t="s">
        <v>1705</v>
      </c>
      <c r="R108" s="53" t="s">
        <v>1705</v>
      </c>
      <c r="S108" s="53" t="s">
        <v>1705</v>
      </c>
      <c r="T108" s="53" t="s">
        <v>1705</v>
      </c>
      <c r="U108" s="53" t="s">
        <v>1705</v>
      </c>
      <c r="V108" s="53" t="s">
        <v>1705</v>
      </c>
      <c r="W108" s="53" t="s">
        <v>1705</v>
      </c>
      <c r="X108" s="53" t="s">
        <v>1705</v>
      </c>
      <c r="Y108" s="53" t="s">
        <v>1705</v>
      </c>
      <c r="Z108" s="53" t="s">
        <v>1705</v>
      </c>
      <c r="AA108" s="53" t="s">
        <v>1705</v>
      </c>
      <c r="AB108" s="53" t="s">
        <v>1705</v>
      </c>
      <c r="AC108" s="53" t="s">
        <v>1705</v>
      </c>
      <c r="AD108" s="53" t="s">
        <v>1705</v>
      </c>
      <c r="AE108" s="53" t="s">
        <v>1705</v>
      </c>
      <c r="AF108" s="53" t="s">
        <v>1705</v>
      </c>
      <c r="AG108" s="53" t="s">
        <v>1705</v>
      </c>
      <c r="AH108" s="53" t="s">
        <v>1705</v>
      </c>
      <c r="AI108" s="53" t="s">
        <v>1705</v>
      </c>
      <c r="AJ108" s="53" t="s">
        <v>1705</v>
      </c>
      <c r="AK108" s="53" t="s">
        <v>1705</v>
      </c>
      <c r="AL108" s="53" t="s">
        <v>1705</v>
      </c>
      <c r="AM108" s="53" t="s">
        <v>1705</v>
      </c>
      <c r="AN108" s="53" t="s">
        <v>1705</v>
      </c>
      <c r="AO108" s="53" t="s">
        <v>1705</v>
      </c>
    </row>
    <row r="109" spans="1:42" x14ac:dyDescent="0.3">
      <c r="A109" s="53" t="s">
        <v>1699</v>
      </c>
      <c r="B109" s="53" t="s">
        <v>1699</v>
      </c>
      <c r="C109" s="53" t="s">
        <v>1699</v>
      </c>
      <c r="D109" s="53" t="s">
        <v>1699</v>
      </c>
      <c r="E109" s="53" t="s">
        <v>1699</v>
      </c>
      <c r="F109" s="53" t="s">
        <v>1699</v>
      </c>
      <c r="G109" s="53" t="s">
        <v>1699</v>
      </c>
      <c r="H109" s="53" t="s">
        <v>1699</v>
      </c>
      <c r="I109" s="53" t="s">
        <v>1699</v>
      </c>
      <c r="J109" s="53" t="s">
        <v>1699</v>
      </c>
      <c r="K109" s="53" t="s">
        <v>1699</v>
      </c>
      <c r="L109" s="53" t="s">
        <v>1699</v>
      </c>
      <c r="M109" s="53" t="s">
        <v>1699</v>
      </c>
      <c r="N109" s="53" t="s">
        <v>1699</v>
      </c>
      <c r="O109" s="53" t="s">
        <v>1699</v>
      </c>
      <c r="P109" s="53" t="s">
        <v>1699</v>
      </c>
      <c r="Q109" s="53" t="s">
        <v>1699</v>
      </c>
      <c r="R109" s="53" t="s">
        <v>1699</v>
      </c>
      <c r="S109" s="53" t="s">
        <v>1699</v>
      </c>
      <c r="T109" s="53" t="s">
        <v>1699</v>
      </c>
      <c r="U109" s="53" t="s">
        <v>1699</v>
      </c>
      <c r="V109" s="53" t="s">
        <v>1699</v>
      </c>
      <c r="W109" s="53" t="s">
        <v>1699</v>
      </c>
      <c r="X109" s="53" t="s">
        <v>1699</v>
      </c>
      <c r="Y109" s="53" t="s">
        <v>1699</v>
      </c>
      <c r="Z109" s="53" t="s">
        <v>1699</v>
      </c>
      <c r="AA109" s="53" t="s">
        <v>1699</v>
      </c>
      <c r="AB109" s="53" t="s">
        <v>1699</v>
      </c>
      <c r="AC109" s="53" t="s">
        <v>1699</v>
      </c>
      <c r="AD109" s="53" t="s">
        <v>1699</v>
      </c>
      <c r="AE109" s="53" t="s">
        <v>1699</v>
      </c>
      <c r="AF109" s="53" t="s">
        <v>1699</v>
      </c>
      <c r="AG109" s="53" t="s">
        <v>1699</v>
      </c>
      <c r="AH109" s="53" t="s">
        <v>1699</v>
      </c>
      <c r="AI109" s="53" t="s">
        <v>1699</v>
      </c>
      <c r="AJ109" s="53" t="s">
        <v>1699</v>
      </c>
      <c r="AK109" s="53" t="s">
        <v>1699</v>
      </c>
      <c r="AL109" s="53" t="s">
        <v>1699</v>
      </c>
      <c r="AM109" s="53" t="s">
        <v>1699</v>
      </c>
      <c r="AN109" s="53" t="s">
        <v>1699</v>
      </c>
      <c r="AO109" s="53" t="s">
        <v>1699</v>
      </c>
    </row>
    <row r="110" spans="1:42" x14ac:dyDescent="0.3">
      <c r="A110" s="53" t="s">
        <v>1706</v>
      </c>
      <c r="B110" s="53" t="s">
        <v>1706</v>
      </c>
      <c r="C110" s="53" t="s">
        <v>1706</v>
      </c>
      <c r="D110" s="53" t="s">
        <v>1706</v>
      </c>
      <c r="E110" s="53" t="s">
        <v>1706</v>
      </c>
      <c r="F110" s="53" t="s">
        <v>1706</v>
      </c>
      <c r="G110" s="53" t="s">
        <v>1706</v>
      </c>
      <c r="H110" s="53" t="s">
        <v>1706</v>
      </c>
      <c r="I110" s="53" t="s">
        <v>1706</v>
      </c>
      <c r="J110" s="53" t="s">
        <v>1706</v>
      </c>
      <c r="K110" s="53" t="s">
        <v>1706</v>
      </c>
      <c r="L110" s="53" t="s">
        <v>1706</v>
      </c>
      <c r="M110" s="53" t="s">
        <v>1706</v>
      </c>
      <c r="N110" s="53" t="s">
        <v>1706</v>
      </c>
      <c r="O110" s="53" t="s">
        <v>1706</v>
      </c>
      <c r="P110" s="53" t="s">
        <v>1706</v>
      </c>
      <c r="Q110" s="53" t="s">
        <v>1706</v>
      </c>
      <c r="R110" s="53" t="s">
        <v>1706</v>
      </c>
      <c r="S110" s="53" t="s">
        <v>1706</v>
      </c>
      <c r="T110" s="53" t="s">
        <v>1706</v>
      </c>
      <c r="U110" s="53" t="s">
        <v>1706</v>
      </c>
      <c r="V110" s="53" t="s">
        <v>1706</v>
      </c>
      <c r="W110" s="53" t="s">
        <v>1706</v>
      </c>
      <c r="X110" s="53" t="s">
        <v>1706</v>
      </c>
      <c r="Y110" s="53" t="s">
        <v>1706</v>
      </c>
      <c r="Z110" s="53" t="s">
        <v>1706</v>
      </c>
      <c r="AA110" s="53" t="s">
        <v>1706</v>
      </c>
      <c r="AB110" s="53" t="s">
        <v>1706</v>
      </c>
      <c r="AC110" s="53" t="s">
        <v>1706</v>
      </c>
      <c r="AD110" s="53" t="s">
        <v>1706</v>
      </c>
      <c r="AE110" s="53" t="s">
        <v>1706</v>
      </c>
      <c r="AF110" s="53" t="s">
        <v>1706</v>
      </c>
      <c r="AG110" s="53" t="s">
        <v>1706</v>
      </c>
      <c r="AH110" s="53" t="s">
        <v>1706</v>
      </c>
      <c r="AI110" s="53" t="s">
        <v>1706</v>
      </c>
      <c r="AJ110" s="53" t="s">
        <v>1706</v>
      </c>
      <c r="AK110" s="53" t="s">
        <v>1706</v>
      </c>
      <c r="AL110" s="53" t="s">
        <v>1706</v>
      </c>
      <c r="AM110" s="53" t="s">
        <v>1706</v>
      </c>
      <c r="AN110" s="53" t="s">
        <v>1706</v>
      </c>
      <c r="AO110" s="53" t="s">
        <v>1706</v>
      </c>
    </row>
    <row r="111" spans="1:42" x14ac:dyDescent="0.3">
      <c r="A111" s="53" t="s">
        <v>1703</v>
      </c>
      <c r="B111" s="53" t="s">
        <v>1703</v>
      </c>
      <c r="C111" s="53" t="s">
        <v>1703</v>
      </c>
      <c r="D111" s="53" t="s">
        <v>1703</v>
      </c>
      <c r="E111" s="53" t="s">
        <v>1703</v>
      </c>
      <c r="F111" s="53" t="s">
        <v>1703</v>
      </c>
      <c r="G111" s="53" t="s">
        <v>1703</v>
      </c>
      <c r="H111" s="53" t="s">
        <v>1703</v>
      </c>
      <c r="I111" s="53" t="s">
        <v>1703</v>
      </c>
      <c r="J111" s="53" t="s">
        <v>1703</v>
      </c>
      <c r="K111" s="53" t="s">
        <v>1703</v>
      </c>
      <c r="L111" s="53" t="s">
        <v>1703</v>
      </c>
      <c r="M111" s="53" t="s">
        <v>1703</v>
      </c>
      <c r="N111" s="53" t="s">
        <v>1703</v>
      </c>
      <c r="O111" s="53" t="s">
        <v>1703</v>
      </c>
      <c r="P111" s="53" t="s">
        <v>1703</v>
      </c>
      <c r="Q111" s="53" t="s">
        <v>1703</v>
      </c>
      <c r="R111" s="53" t="s">
        <v>1703</v>
      </c>
      <c r="S111" s="53" t="s">
        <v>1703</v>
      </c>
      <c r="T111" s="53" t="s">
        <v>1703</v>
      </c>
      <c r="U111" s="53" t="s">
        <v>1703</v>
      </c>
      <c r="V111" s="53" t="s">
        <v>1703</v>
      </c>
      <c r="W111" s="53" t="s">
        <v>1703</v>
      </c>
      <c r="X111" s="53" t="s">
        <v>1703</v>
      </c>
      <c r="Y111" s="53" t="s">
        <v>1703</v>
      </c>
      <c r="Z111" s="53" t="s">
        <v>1703</v>
      </c>
      <c r="AA111" s="53" t="s">
        <v>1703</v>
      </c>
      <c r="AB111" s="53" t="s">
        <v>1703</v>
      </c>
      <c r="AC111" s="53" t="s">
        <v>1703</v>
      </c>
      <c r="AD111" s="53" t="s">
        <v>1703</v>
      </c>
      <c r="AE111" s="53" t="s">
        <v>1703</v>
      </c>
      <c r="AF111" s="53" t="s">
        <v>1703</v>
      </c>
      <c r="AG111" s="53" t="s">
        <v>1703</v>
      </c>
      <c r="AH111" s="53" t="s">
        <v>1703</v>
      </c>
      <c r="AI111" s="53" t="s">
        <v>1703</v>
      </c>
      <c r="AJ111" s="53" t="s">
        <v>1703</v>
      </c>
      <c r="AK111" s="53" t="s">
        <v>1703</v>
      </c>
      <c r="AL111" s="53" t="s">
        <v>1703</v>
      </c>
      <c r="AM111" s="53" t="s">
        <v>1703</v>
      </c>
      <c r="AN111" s="53" t="s">
        <v>1703</v>
      </c>
      <c r="AO111" s="53" t="s">
        <v>1703</v>
      </c>
    </row>
    <row r="112" spans="1:42" x14ac:dyDescent="0.3">
      <c r="A112" s="53" t="s">
        <v>1707</v>
      </c>
      <c r="B112" s="53" t="s">
        <v>1707</v>
      </c>
      <c r="C112" s="53" t="s">
        <v>1707</v>
      </c>
      <c r="D112" s="53" t="s">
        <v>1707</v>
      </c>
      <c r="E112" s="53" t="s">
        <v>1707</v>
      </c>
      <c r="F112" s="53" t="s">
        <v>1707</v>
      </c>
      <c r="G112" s="53" t="s">
        <v>1707</v>
      </c>
      <c r="H112" s="53" t="s">
        <v>1707</v>
      </c>
      <c r="I112" s="53" t="s">
        <v>1707</v>
      </c>
      <c r="J112" s="53" t="s">
        <v>1707</v>
      </c>
      <c r="K112" s="53" t="s">
        <v>1707</v>
      </c>
      <c r="L112" s="53" t="s">
        <v>1707</v>
      </c>
      <c r="M112" s="53" t="s">
        <v>1707</v>
      </c>
      <c r="N112" s="53" t="s">
        <v>1707</v>
      </c>
      <c r="O112" s="53" t="s">
        <v>1707</v>
      </c>
      <c r="P112" s="53" t="s">
        <v>1707</v>
      </c>
      <c r="Q112" s="53" t="s">
        <v>1707</v>
      </c>
      <c r="R112" s="53" t="s">
        <v>1707</v>
      </c>
      <c r="S112" s="53" t="s">
        <v>1707</v>
      </c>
      <c r="T112" s="53" t="s">
        <v>1707</v>
      </c>
      <c r="U112" s="53" t="s">
        <v>1707</v>
      </c>
      <c r="V112" s="53" t="s">
        <v>1707</v>
      </c>
      <c r="W112" s="53" t="s">
        <v>1707</v>
      </c>
      <c r="X112" s="53" t="s">
        <v>1707</v>
      </c>
      <c r="Y112" s="53" t="s">
        <v>1707</v>
      </c>
      <c r="Z112" s="53" t="s">
        <v>1707</v>
      </c>
      <c r="AA112" s="53" t="s">
        <v>1707</v>
      </c>
      <c r="AB112" s="53" t="s">
        <v>1707</v>
      </c>
      <c r="AC112" s="53" t="s">
        <v>1707</v>
      </c>
      <c r="AD112" s="53" t="s">
        <v>1707</v>
      </c>
      <c r="AE112" s="53" t="s">
        <v>1707</v>
      </c>
      <c r="AF112" s="53" t="s">
        <v>1707</v>
      </c>
      <c r="AG112" s="53" t="s">
        <v>1707</v>
      </c>
      <c r="AH112" s="53" t="s">
        <v>1707</v>
      </c>
      <c r="AI112" s="53" t="s">
        <v>1707</v>
      </c>
      <c r="AJ112" s="53" t="s">
        <v>1707</v>
      </c>
      <c r="AK112" s="53" t="s">
        <v>1707</v>
      </c>
      <c r="AL112" s="53" t="s">
        <v>1707</v>
      </c>
      <c r="AM112" s="53" t="s">
        <v>1707</v>
      </c>
      <c r="AN112" s="53" t="s">
        <v>1707</v>
      </c>
      <c r="AO112" s="53" t="s">
        <v>1707</v>
      </c>
    </row>
    <row r="113" spans="1:42" x14ac:dyDescent="0.3">
      <c r="A113" s="53" t="s">
        <v>1700</v>
      </c>
      <c r="B113" s="53" t="s">
        <v>1700</v>
      </c>
      <c r="C113" s="53" t="s">
        <v>1700</v>
      </c>
      <c r="D113" s="53" t="s">
        <v>1700</v>
      </c>
      <c r="E113" s="53" t="s">
        <v>1700</v>
      </c>
      <c r="F113" s="53" t="s">
        <v>1700</v>
      </c>
      <c r="G113" s="53" t="s">
        <v>1700</v>
      </c>
      <c r="H113" s="53" t="s">
        <v>1700</v>
      </c>
      <c r="I113" s="53" t="s">
        <v>1700</v>
      </c>
      <c r="J113" s="53" t="s">
        <v>1700</v>
      </c>
      <c r="K113" s="53" t="s">
        <v>1700</v>
      </c>
      <c r="L113" s="53" t="s">
        <v>1700</v>
      </c>
      <c r="M113" s="53" t="s">
        <v>1700</v>
      </c>
      <c r="N113" s="53" t="s">
        <v>1700</v>
      </c>
      <c r="O113" s="53" t="s">
        <v>1700</v>
      </c>
      <c r="P113" s="53" t="s">
        <v>1700</v>
      </c>
      <c r="Q113" s="53" t="s">
        <v>1700</v>
      </c>
      <c r="R113" s="53" t="s">
        <v>1700</v>
      </c>
      <c r="S113" s="53" t="s">
        <v>1700</v>
      </c>
      <c r="T113" s="53" t="s">
        <v>1700</v>
      </c>
      <c r="U113" s="53" t="s">
        <v>1700</v>
      </c>
      <c r="V113" s="53" t="s">
        <v>1700</v>
      </c>
      <c r="W113" s="53" t="s">
        <v>1700</v>
      </c>
      <c r="X113" s="53" t="s">
        <v>1700</v>
      </c>
      <c r="Y113" s="53" t="s">
        <v>1700</v>
      </c>
      <c r="Z113" s="53" t="s">
        <v>1700</v>
      </c>
      <c r="AA113" s="53" t="s">
        <v>1700</v>
      </c>
      <c r="AB113" s="53" t="s">
        <v>1700</v>
      </c>
      <c r="AC113" s="53" t="s">
        <v>1700</v>
      </c>
      <c r="AD113" s="53" t="s">
        <v>1700</v>
      </c>
      <c r="AE113" s="53" t="s">
        <v>1700</v>
      </c>
      <c r="AF113" s="53" t="s">
        <v>1700</v>
      </c>
      <c r="AG113" s="53" t="s">
        <v>1700</v>
      </c>
      <c r="AH113" s="53" t="s">
        <v>1700</v>
      </c>
      <c r="AI113" s="53" t="s">
        <v>1700</v>
      </c>
      <c r="AJ113" s="53" t="s">
        <v>1700</v>
      </c>
      <c r="AK113" s="53" t="s">
        <v>1700</v>
      </c>
      <c r="AL113" s="53" t="s">
        <v>1700</v>
      </c>
      <c r="AM113" s="53" t="s">
        <v>1700</v>
      </c>
      <c r="AN113" s="53" t="s">
        <v>1700</v>
      </c>
      <c r="AO113" s="53" t="s">
        <v>1700</v>
      </c>
    </row>
    <row r="114" spans="1:42" x14ac:dyDescent="0.3">
      <c r="A114" s="53" t="s">
        <v>1684</v>
      </c>
      <c r="B114" s="53" t="s">
        <v>1684</v>
      </c>
      <c r="C114" s="53" t="s">
        <v>1684</v>
      </c>
      <c r="D114" s="53" t="s">
        <v>1684</v>
      </c>
      <c r="E114" s="53" t="s">
        <v>1684</v>
      </c>
      <c r="F114" s="53" t="s">
        <v>1684</v>
      </c>
      <c r="G114" s="53" t="s">
        <v>1684</v>
      </c>
      <c r="H114" s="53" t="s">
        <v>1684</v>
      </c>
      <c r="I114" s="53" t="s">
        <v>1684</v>
      </c>
      <c r="J114" s="53" t="s">
        <v>1684</v>
      </c>
      <c r="K114" s="53" t="s">
        <v>1684</v>
      </c>
      <c r="L114" s="53" t="s">
        <v>1684</v>
      </c>
      <c r="M114" s="53" t="s">
        <v>1684</v>
      </c>
      <c r="N114" s="53" t="s">
        <v>1684</v>
      </c>
      <c r="O114" s="53" t="s">
        <v>1684</v>
      </c>
      <c r="P114" s="53" t="s">
        <v>1684</v>
      </c>
      <c r="Q114" s="53" t="s">
        <v>1684</v>
      </c>
      <c r="R114" s="53" t="s">
        <v>1684</v>
      </c>
      <c r="S114" s="53" t="s">
        <v>1684</v>
      </c>
      <c r="T114" s="53" t="s">
        <v>1684</v>
      </c>
      <c r="U114" s="53" t="s">
        <v>1684</v>
      </c>
      <c r="V114" s="53" t="s">
        <v>1684</v>
      </c>
      <c r="W114" s="53" t="s">
        <v>1684</v>
      </c>
      <c r="X114" s="53" t="s">
        <v>1684</v>
      </c>
      <c r="Y114" s="53" t="s">
        <v>1684</v>
      </c>
      <c r="Z114" s="53" t="s">
        <v>1684</v>
      </c>
      <c r="AA114" s="53" t="s">
        <v>1684</v>
      </c>
      <c r="AB114" s="53" t="s">
        <v>1684</v>
      </c>
      <c r="AC114" s="53" t="s">
        <v>1684</v>
      </c>
      <c r="AD114" s="53" t="s">
        <v>1684</v>
      </c>
      <c r="AE114" s="53" t="s">
        <v>1684</v>
      </c>
      <c r="AF114" s="53" t="s">
        <v>1684</v>
      </c>
      <c r="AG114" s="53" t="s">
        <v>1684</v>
      </c>
      <c r="AH114" s="53" t="s">
        <v>1684</v>
      </c>
      <c r="AI114" s="53" t="s">
        <v>1684</v>
      </c>
      <c r="AJ114" s="53" t="s">
        <v>1684</v>
      </c>
      <c r="AK114" s="53" t="s">
        <v>1684</v>
      </c>
      <c r="AL114" s="53" t="s">
        <v>1684</v>
      </c>
      <c r="AM114" s="53" t="s">
        <v>1684</v>
      </c>
      <c r="AN114" s="53" t="s">
        <v>1684</v>
      </c>
      <c r="AO114" s="53" t="s">
        <v>1684</v>
      </c>
      <c r="AP114" s="53"/>
    </row>
    <row r="115" spans="1:42" x14ac:dyDescent="0.3">
      <c r="A115" t="s">
        <v>1449</v>
      </c>
      <c r="B115" t="s">
        <v>1450</v>
      </c>
      <c r="C115" t="s">
        <v>1451</v>
      </c>
      <c r="D115" t="s">
        <v>1452</v>
      </c>
      <c r="E115" t="s">
        <v>1453</v>
      </c>
      <c r="F115" t="s">
        <v>1454</v>
      </c>
      <c r="G115" t="s">
        <v>1455</v>
      </c>
      <c r="H115" t="s">
        <v>1456</v>
      </c>
      <c r="I115" t="s">
        <v>1457</v>
      </c>
      <c r="J115" t="s">
        <v>1458</v>
      </c>
      <c r="K115" t="s">
        <v>1459</v>
      </c>
      <c r="L115" t="s">
        <v>1460</v>
      </c>
      <c r="M115" t="s">
        <v>1461</v>
      </c>
      <c r="N115" t="s">
        <v>1462</v>
      </c>
      <c r="O115" t="s">
        <v>1463</v>
      </c>
      <c r="P115" t="s">
        <v>1464</v>
      </c>
      <c r="Q115" t="s">
        <v>1465</v>
      </c>
      <c r="R115" t="s">
        <v>1466</v>
      </c>
      <c r="S115" t="s">
        <v>1467</v>
      </c>
      <c r="T115" t="s">
        <v>1468</v>
      </c>
      <c r="U115" t="s">
        <v>1469</v>
      </c>
      <c r="V115" t="s">
        <v>1470</v>
      </c>
      <c r="W115" t="s">
        <v>1471</v>
      </c>
      <c r="X115" t="s">
        <v>1472</v>
      </c>
      <c r="Y115" t="s">
        <v>1473</v>
      </c>
      <c r="Z115" t="s">
        <v>1474</v>
      </c>
      <c r="AA115" t="s">
        <v>1475</v>
      </c>
      <c r="AB115" t="s">
        <v>1476</v>
      </c>
      <c r="AC115" t="s">
        <v>1477</v>
      </c>
      <c r="AD115" t="s">
        <v>1478</v>
      </c>
      <c r="AE115" t="s">
        <v>1479</v>
      </c>
      <c r="AF115" t="s">
        <v>1480</v>
      </c>
      <c r="AG115" t="s">
        <v>1481</v>
      </c>
      <c r="AH115" t="s">
        <v>1482</v>
      </c>
      <c r="AI115" t="s">
        <v>1483</v>
      </c>
      <c r="AJ115" t="s">
        <v>1484</v>
      </c>
      <c r="AK115" t="s">
        <v>1485</v>
      </c>
      <c r="AL115" t="s">
        <v>1486</v>
      </c>
      <c r="AM115" t="s">
        <v>1487</v>
      </c>
      <c r="AN115" t="s">
        <v>1488</v>
      </c>
      <c r="AO115" t="s">
        <v>1489</v>
      </c>
      <c r="AP115" t="s">
        <v>1490</v>
      </c>
    </row>
  </sheetData>
  <sortState ref="A103:A114">
    <sortCondition ref="A103:A11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P47"/>
  <sheetViews>
    <sheetView showGridLines="0" workbookViewId="0">
      <selection activeCell="F1" sqref="F1:F1048576"/>
    </sheetView>
  </sheetViews>
  <sheetFormatPr defaultColWidth="9.09765625" defaultRowHeight="13" x14ac:dyDescent="0.3"/>
  <cols>
    <col min="1" max="1" width="1.8984375" style="7" customWidth="1"/>
    <col min="2" max="2" width="21.8984375" style="7" customWidth="1"/>
    <col min="3" max="3" width="19.3984375" style="8" customWidth="1"/>
    <col min="4" max="4" width="2.59765625" style="7" customWidth="1"/>
    <col min="5" max="5" width="2.09765625" style="7" customWidth="1"/>
    <col min="6" max="6" width="16.296875" style="42" customWidth="1"/>
    <col min="7" max="7" width="28.59765625" style="42" customWidth="1"/>
    <col min="8" max="8" width="2.59765625" style="42" customWidth="1"/>
    <col min="9" max="16" width="9.09765625" style="42"/>
    <col min="17" max="16384" width="9.09765625" style="7"/>
  </cols>
  <sheetData>
    <row r="2" spans="2:8" ht="16" thickBot="1" x14ac:dyDescent="0.4">
      <c r="B2" s="9" t="s">
        <v>696</v>
      </c>
      <c r="C2" s="10"/>
      <c r="D2" s="11"/>
      <c r="F2" s="9" t="s">
        <v>418</v>
      </c>
      <c r="G2" s="10"/>
      <c r="H2" s="11"/>
    </row>
    <row r="3" spans="2:8" x14ac:dyDescent="0.3">
      <c r="B3" s="12"/>
      <c r="C3" s="13"/>
      <c r="D3" s="14"/>
      <c r="F3" s="12"/>
      <c r="G3" s="13"/>
      <c r="H3" s="14"/>
    </row>
    <row r="4" spans="2:8" x14ac:dyDescent="0.3">
      <c r="B4" s="15" t="s">
        <v>639</v>
      </c>
      <c r="C4" s="62" t="s">
        <v>198</v>
      </c>
      <c r="D4" s="14"/>
      <c r="F4" s="12"/>
      <c r="G4" s="52"/>
      <c r="H4" s="14"/>
    </row>
    <row r="5" spans="2:8" x14ac:dyDescent="0.3">
      <c r="B5" s="12"/>
      <c r="C5" s="13"/>
      <c r="D5" s="14"/>
      <c r="F5" s="44" t="s">
        <v>757</v>
      </c>
      <c r="G5" s="45" t="s">
        <v>755</v>
      </c>
      <c r="H5" s="14"/>
    </row>
    <row r="6" spans="2:8" x14ac:dyDescent="0.3">
      <c r="B6" s="15" t="s">
        <v>666</v>
      </c>
      <c r="C6" s="21" t="s">
        <v>1654</v>
      </c>
      <c r="D6" s="14"/>
      <c r="F6" s="44" t="s">
        <v>758</v>
      </c>
      <c r="G6" s="46" t="s">
        <v>421</v>
      </c>
      <c r="H6" s="14"/>
    </row>
    <row r="7" spans="2:8" x14ac:dyDescent="0.3">
      <c r="B7" s="12"/>
      <c r="C7" s="13"/>
      <c r="D7" s="14"/>
      <c r="F7" s="44" t="s">
        <v>759</v>
      </c>
      <c r="G7" s="46" t="s">
        <v>419</v>
      </c>
      <c r="H7" s="14"/>
    </row>
    <row r="8" spans="2:8" x14ac:dyDescent="0.3">
      <c r="B8" s="15" t="s">
        <v>667</v>
      </c>
      <c r="C8" s="54" t="s">
        <v>668</v>
      </c>
      <c r="D8" s="14"/>
      <c r="F8" s="44" t="s">
        <v>760</v>
      </c>
      <c r="G8" s="46" t="s">
        <v>420</v>
      </c>
      <c r="H8" s="14"/>
    </row>
    <row r="9" spans="2:8" x14ac:dyDescent="0.3">
      <c r="B9" s="12"/>
      <c r="C9" s="13"/>
      <c r="D9" s="14"/>
      <c r="F9" s="44" t="s">
        <v>761</v>
      </c>
      <c r="G9" s="47" t="s">
        <v>1724</v>
      </c>
      <c r="H9" s="14"/>
    </row>
    <row r="10" spans="2:8" x14ac:dyDescent="0.3">
      <c r="B10" s="15" t="s">
        <v>669</v>
      </c>
      <c r="C10" s="16" t="s">
        <v>670</v>
      </c>
      <c r="D10" s="14"/>
      <c r="F10" s="12"/>
      <c r="G10" s="43"/>
      <c r="H10" s="14"/>
    </row>
    <row r="11" spans="2:8" x14ac:dyDescent="0.3">
      <c r="B11" s="17"/>
      <c r="C11" s="18"/>
      <c r="D11" s="19"/>
      <c r="F11" s="17"/>
      <c r="G11" s="18"/>
      <c r="H11" s="19"/>
    </row>
    <row r="12" spans="2:8" x14ac:dyDescent="0.3">
      <c r="B12" s="20"/>
      <c r="C12" s="20"/>
      <c r="D12" s="20"/>
      <c r="E12" s="20"/>
    </row>
    <row r="13" spans="2:8" x14ac:dyDescent="0.3">
      <c r="B13" s="35"/>
      <c r="C13" s="36"/>
      <c r="D13" s="37"/>
      <c r="F13" s="48" t="s">
        <v>697</v>
      </c>
      <c r="G13" s="48">
        <f>IF(ISERROR(MATCH(C4,lang_list,0)),1,MATCH(C4,lang_list,0))</f>
        <v>27</v>
      </c>
      <c r="H13" s="49"/>
    </row>
    <row r="14" spans="2:8" ht="16" thickBot="1" x14ac:dyDescent="0.4">
      <c r="B14" s="12"/>
      <c r="C14" s="39" t="s">
        <v>1724</v>
      </c>
      <c r="D14" s="14"/>
      <c r="F14" s="48" t="s">
        <v>698</v>
      </c>
      <c r="G14" s="50">
        <f>TIME(VLOOKUP(C8,F16:G39,2,FALSE),VLOOKUP(C10,F41:G44,2,FALSE),0)+IF(C6="Yes",TIME(1,0,0),0)</f>
        <v>0.54166666666666663</v>
      </c>
      <c r="H14" s="49"/>
    </row>
    <row r="15" spans="2:8" x14ac:dyDescent="0.3">
      <c r="B15" s="38" t="str">
        <f>INDEX(T,52,lang)</f>
        <v>Tyskland</v>
      </c>
      <c r="C15" s="96">
        <v>40236</v>
      </c>
      <c r="D15" s="14"/>
      <c r="F15" s="48"/>
      <c r="G15" s="48"/>
      <c r="H15" s="49"/>
    </row>
    <row r="16" spans="2:8" x14ac:dyDescent="0.3">
      <c r="B16" s="38" t="str">
        <f>INDEX(T,40,lang)</f>
        <v>Spania</v>
      </c>
      <c r="C16" s="97">
        <v>37962</v>
      </c>
      <c r="D16" s="14"/>
      <c r="F16" s="48" t="s">
        <v>671</v>
      </c>
      <c r="G16" s="48">
        <v>0</v>
      </c>
      <c r="H16" s="49"/>
    </row>
    <row r="17" spans="2:8" x14ac:dyDescent="0.3">
      <c r="B17" s="38" t="str">
        <f>INDEX(T,66,lang)</f>
        <v>England</v>
      </c>
      <c r="C17" s="97">
        <v>35963</v>
      </c>
      <c r="D17" s="14"/>
      <c r="F17" s="48" t="s">
        <v>672</v>
      </c>
      <c r="G17" s="48">
        <v>1</v>
      </c>
      <c r="H17" s="49"/>
    </row>
    <row r="18" spans="2:8" x14ac:dyDescent="0.3">
      <c r="B18" s="38" t="str">
        <f>INDEX(T,42,lang)</f>
        <v>Portugal</v>
      </c>
      <c r="C18" s="97">
        <v>35138</v>
      </c>
      <c r="D18" s="14"/>
      <c r="F18" s="48" t="s">
        <v>673</v>
      </c>
      <c r="G18" s="48">
        <v>2</v>
      </c>
      <c r="H18" s="49"/>
    </row>
    <row r="19" spans="2:8" x14ac:dyDescent="0.3">
      <c r="B19" s="38" t="str">
        <f>INDEX(T,67,lang)</f>
        <v>Belgia</v>
      </c>
      <c r="C19" s="97">
        <v>34442</v>
      </c>
      <c r="D19" s="14"/>
      <c r="F19" s="48" t="s">
        <v>674</v>
      </c>
      <c r="G19" s="48">
        <v>3</v>
      </c>
      <c r="H19" s="49"/>
    </row>
    <row r="20" spans="2:8" x14ac:dyDescent="0.3">
      <c r="B20" s="38" t="str">
        <f>INDEX(T,41,lang)</f>
        <v>Italia</v>
      </c>
      <c r="C20" s="97">
        <v>34345</v>
      </c>
      <c r="D20" s="14"/>
      <c r="F20" s="48" t="s">
        <v>675</v>
      </c>
      <c r="G20" s="48">
        <v>4</v>
      </c>
      <c r="H20" s="49"/>
    </row>
    <row r="21" spans="2:8" x14ac:dyDescent="0.3">
      <c r="B21" s="38" t="str">
        <f>INDEX(T,62,lang)</f>
        <v>Frankrike</v>
      </c>
      <c r="C21" s="97">
        <v>33599</v>
      </c>
      <c r="D21" s="14"/>
      <c r="F21" s="48" t="s">
        <v>676</v>
      </c>
      <c r="G21" s="48">
        <v>5</v>
      </c>
      <c r="H21" s="49"/>
    </row>
    <row r="22" spans="2:8" x14ac:dyDescent="0.3">
      <c r="B22" s="38" t="str">
        <f>INDEX(T,69,lang)</f>
        <v>Russland</v>
      </c>
      <c r="C22" s="97">
        <v>31345</v>
      </c>
      <c r="D22" s="14"/>
      <c r="F22" s="48" t="s">
        <v>677</v>
      </c>
      <c r="G22" s="48">
        <v>6</v>
      </c>
      <c r="H22" s="49"/>
    </row>
    <row r="23" spans="2:8" x14ac:dyDescent="0.3">
      <c r="B23" s="38" t="str">
        <f>INDEX(T,57,lang)</f>
        <v>Sveits</v>
      </c>
      <c r="C23" s="97">
        <v>31254</v>
      </c>
      <c r="D23" s="14"/>
      <c r="F23" s="48" t="s">
        <v>678</v>
      </c>
      <c r="G23" s="48">
        <v>7</v>
      </c>
      <c r="H23" s="49"/>
    </row>
    <row r="24" spans="2:8" x14ac:dyDescent="0.3">
      <c r="B24" s="38" t="str">
        <f>INDEX(T,61,lang)</f>
        <v>Østerrike</v>
      </c>
      <c r="C24" s="97">
        <v>30932</v>
      </c>
      <c r="D24" s="14"/>
      <c r="F24" s="48" t="s">
        <v>679</v>
      </c>
      <c r="G24" s="48">
        <v>8</v>
      </c>
      <c r="H24" s="49"/>
    </row>
    <row r="25" spans="2:8" x14ac:dyDescent="0.3">
      <c r="B25" s="38" t="str">
        <f>INDEX(T,55,lang)</f>
        <v>Kroatia</v>
      </c>
      <c r="C25" s="97">
        <v>30642</v>
      </c>
      <c r="D25" s="14"/>
      <c r="F25" s="48" t="s">
        <v>680</v>
      </c>
      <c r="G25" s="48">
        <v>9</v>
      </c>
      <c r="H25" s="49"/>
    </row>
    <row r="26" spans="2:8" x14ac:dyDescent="0.3">
      <c r="B26" s="38" t="str">
        <f>INDEX(T,45,lang)</f>
        <v>Ukraina</v>
      </c>
      <c r="C26" s="97">
        <v>30313</v>
      </c>
      <c r="D26" s="14"/>
      <c r="F26" s="48" t="s">
        <v>681</v>
      </c>
      <c r="G26" s="48">
        <v>10</v>
      </c>
      <c r="H26" s="49"/>
    </row>
    <row r="27" spans="2:8" x14ac:dyDescent="0.3">
      <c r="B27" s="38" t="str">
        <f>INDEX(T,58,lang)</f>
        <v>Tsjekkisk Republikk</v>
      </c>
      <c r="C27" s="97">
        <v>29403</v>
      </c>
      <c r="D27" s="14"/>
      <c r="F27" s="48" t="s">
        <v>638</v>
      </c>
      <c r="G27" s="48">
        <v>11</v>
      </c>
      <c r="H27" s="49"/>
    </row>
    <row r="28" spans="2:8" x14ac:dyDescent="0.3">
      <c r="B28" s="38" t="str">
        <f>INDEX(T,68,lang)</f>
        <v>Sverige</v>
      </c>
      <c r="C28" s="97">
        <v>29028</v>
      </c>
      <c r="D28" s="14"/>
      <c r="F28" s="48" t="s">
        <v>668</v>
      </c>
      <c r="G28" s="48">
        <v>12</v>
      </c>
      <c r="H28" s="49"/>
    </row>
    <row r="29" spans="2:8" x14ac:dyDescent="0.3">
      <c r="B29" s="38" t="str">
        <f>INDEX(T,64,lang)</f>
        <v>Polen</v>
      </c>
      <c r="C29" s="97">
        <v>28306</v>
      </c>
      <c r="D29" s="14"/>
      <c r="F29" s="48" t="s">
        <v>682</v>
      </c>
      <c r="G29" s="48">
        <v>13</v>
      </c>
      <c r="H29" s="49"/>
    </row>
    <row r="30" spans="2:8" x14ac:dyDescent="0.3">
      <c r="B30" s="38" t="str">
        <f>INDEX(T,39,lang)</f>
        <v>Romania</v>
      </c>
      <c r="C30" s="97">
        <v>28038</v>
      </c>
      <c r="D30" s="14"/>
      <c r="F30" s="48" t="s">
        <v>683</v>
      </c>
      <c r="G30" s="48">
        <v>14</v>
      </c>
      <c r="H30" s="49"/>
    </row>
    <row r="31" spans="2:8" x14ac:dyDescent="0.3">
      <c r="B31" s="38" t="str">
        <f>INDEX(T,51,lang)</f>
        <v>Slovakia</v>
      </c>
      <c r="C31" s="97">
        <v>27171</v>
      </c>
      <c r="D31" s="14"/>
      <c r="F31" s="48" t="s">
        <v>684</v>
      </c>
      <c r="G31" s="48">
        <v>15</v>
      </c>
      <c r="H31" s="49"/>
    </row>
    <row r="32" spans="2:8" x14ac:dyDescent="0.3">
      <c r="B32" s="38" t="str">
        <f>INDEX(T,43,lang)</f>
        <v>Ungarn</v>
      </c>
      <c r="C32" s="97">
        <v>27142</v>
      </c>
      <c r="D32" s="14"/>
      <c r="F32" s="48" t="s">
        <v>685</v>
      </c>
      <c r="G32" s="48">
        <v>16</v>
      </c>
      <c r="H32" s="49"/>
    </row>
    <row r="33" spans="2:8" x14ac:dyDescent="0.3">
      <c r="B33" s="38" t="str">
        <f>INDEX(T,46,lang)</f>
        <v>Tyrkia</v>
      </c>
      <c r="C33" s="97">
        <v>27033</v>
      </c>
      <c r="D33" s="14"/>
      <c r="F33" s="48" t="s">
        <v>686</v>
      </c>
      <c r="G33" s="48">
        <v>17</v>
      </c>
      <c r="H33" s="49"/>
    </row>
    <row r="34" spans="2:8" x14ac:dyDescent="0.3">
      <c r="B34" s="38" t="str">
        <f>INDEX(T,59,lang)</f>
        <v>Republikken Irland</v>
      </c>
      <c r="C34" s="97">
        <v>26902</v>
      </c>
      <c r="D34" s="14"/>
      <c r="F34" s="48" t="s">
        <v>687</v>
      </c>
      <c r="G34" s="48">
        <v>18</v>
      </c>
      <c r="H34" s="49"/>
    </row>
    <row r="35" spans="2:8" x14ac:dyDescent="0.3">
      <c r="B35" s="38" t="str">
        <f>INDEX(T,60,lang)</f>
        <v>Island</v>
      </c>
      <c r="C35" s="97">
        <v>25388</v>
      </c>
      <c r="D35" s="14"/>
      <c r="F35" s="48" t="s">
        <v>688</v>
      </c>
      <c r="G35" s="48">
        <v>19</v>
      </c>
      <c r="H35" s="49"/>
    </row>
    <row r="36" spans="2:8" x14ac:dyDescent="0.3">
      <c r="B36" s="38" t="str">
        <f>INDEX(T,54,lang)</f>
        <v>Wales</v>
      </c>
      <c r="C36" s="97">
        <v>24521</v>
      </c>
      <c r="D36" s="14"/>
      <c r="F36" s="48" t="s">
        <v>689</v>
      </c>
      <c r="G36" s="48">
        <v>20</v>
      </c>
      <c r="H36" s="49"/>
    </row>
    <row r="37" spans="2:8" x14ac:dyDescent="0.3">
      <c r="B37" s="38" t="str">
        <f>INDEX(T,38,lang)</f>
        <v>Albania</v>
      </c>
      <c r="C37" s="97">
        <v>23216</v>
      </c>
      <c r="D37" s="14"/>
      <c r="F37" s="48" t="s">
        <v>690</v>
      </c>
      <c r="G37" s="48">
        <v>21</v>
      </c>
      <c r="H37" s="49"/>
    </row>
    <row r="38" spans="2:8" x14ac:dyDescent="0.3">
      <c r="B38" s="38" t="str">
        <f>INDEX(T,56,lang)</f>
        <v>Nord-Irland</v>
      </c>
      <c r="C38" s="98">
        <v>22961</v>
      </c>
      <c r="D38" s="14"/>
      <c r="F38" s="48" t="s">
        <v>691</v>
      </c>
      <c r="G38" s="48">
        <v>22</v>
      </c>
      <c r="H38" s="49"/>
    </row>
    <row r="39" spans="2:8" hidden="1" x14ac:dyDescent="0.3">
      <c r="B39" s="38"/>
      <c r="C39" s="40"/>
      <c r="D39" s="14"/>
      <c r="F39" s="48" t="s">
        <v>692</v>
      </c>
      <c r="G39" s="48">
        <v>23</v>
      </c>
      <c r="H39" s="49"/>
    </row>
    <row r="40" spans="2:8" hidden="1" x14ac:dyDescent="0.3">
      <c r="B40" s="38"/>
      <c r="C40" s="40"/>
      <c r="D40" s="14"/>
      <c r="F40" s="48"/>
      <c r="G40" s="48"/>
      <c r="H40" s="49"/>
    </row>
    <row r="41" spans="2:8" hidden="1" x14ac:dyDescent="0.3">
      <c r="B41" s="38"/>
      <c r="C41" s="40"/>
      <c r="D41" s="14"/>
      <c r="F41" s="51" t="s">
        <v>670</v>
      </c>
      <c r="G41" s="48">
        <v>0</v>
      </c>
      <c r="H41" s="49"/>
    </row>
    <row r="42" spans="2:8" hidden="1" x14ac:dyDescent="0.3">
      <c r="B42" s="38"/>
      <c r="C42" s="40"/>
      <c r="D42" s="14"/>
      <c r="F42" s="51" t="s">
        <v>693</v>
      </c>
      <c r="G42" s="48">
        <v>15</v>
      </c>
      <c r="H42" s="49"/>
    </row>
    <row r="43" spans="2:8" hidden="1" x14ac:dyDescent="0.3">
      <c r="B43" s="38"/>
      <c r="C43" s="40"/>
      <c r="D43" s="14"/>
      <c r="F43" s="51" t="s">
        <v>694</v>
      </c>
      <c r="G43" s="48">
        <v>30</v>
      </c>
      <c r="H43" s="49"/>
    </row>
    <row r="44" spans="2:8" hidden="1" x14ac:dyDescent="0.3">
      <c r="B44" s="38"/>
      <c r="C44" s="40"/>
      <c r="D44" s="14"/>
      <c r="F44" s="51" t="s">
        <v>695</v>
      </c>
      <c r="G44" s="48">
        <v>45</v>
      </c>
      <c r="H44" s="49"/>
    </row>
    <row r="45" spans="2:8" hidden="1" x14ac:dyDescent="0.3">
      <c r="B45" s="38"/>
      <c r="C45" s="40"/>
      <c r="D45" s="14"/>
      <c r="F45" s="51"/>
      <c r="G45" s="48"/>
      <c r="H45" s="49"/>
    </row>
    <row r="46" spans="2:8" hidden="1" x14ac:dyDescent="0.3">
      <c r="B46" s="38"/>
      <c r="C46" s="41"/>
      <c r="D46" s="14"/>
      <c r="F46" s="49" t="s">
        <v>756</v>
      </c>
      <c r="G46" s="50">
        <f>IF(G4="Type 2",0,1)</f>
        <v>1</v>
      </c>
      <c r="H46" s="49"/>
    </row>
    <row r="47" spans="2:8" x14ac:dyDescent="0.3">
      <c r="B47" s="17"/>
      <c r="C47" s="18"/>
      <c r="D47" s="19"/>
      <c r="F47" s="49"/>
      <c r="G47" s="49"/>
      <c r="H47" s="49"/>
    </row>
  </sheetData>
  <sheetProtection algorithmName="SHA-512" hashValue="M7LIBZ4MbLEgh3SVZLjkGYmo64a9JRlrUQ7vr2XB18TVFbNIfCPfguPuz0ZLKKPU2D82sdWjsyF/ijrm6cRVpw==" saltValue="T7vmCWL9762BSFUcyE5Mhg==" spinCount="100000" sheet="1" objects="1" scenarios="1"/>
  <phoneticPr fontId="2" type="noConversion"/>
  <dataValidations count="4">
    <dataValidation type="list" allowBlank="1" showInputMessage="1" showErrorMessage="1" sqref="C6">
      <formula1>"Yes,No"</formula1>
    </dataValidation>
    <dataValidation type="list" allowBlank="1" showInputMessage="1" showErrorMessage="1" sqref="C4">
      <formula1>lang_list</formula1>
    </dataValidation>
    <dataValidation type="list" allowBlank="1" showInputMessage="1" showErrorMessage="1" promptTitle="Select GTM-time" prompt="Use drop-down List" sqref="C8">
      <formula1>$F$16:$F$39</formula1>
    </dataValidation>
    <dataValidation type="list" allowBlank="1" showInputMessage="1" showErrorMessage="1" promptTitle="Select Minutes" prompt="Use drop-down List" sqref="C10">
      <formula1>$F$41:$F$44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20"/>
  <sheetViews>
    <sheetView showGridLines="0" workbookViewId="0">
      <selection activeCell="C3" sqref="C3:F3"/>
    </sheetView>
  </sheetViews>
  <sheetFormatPr defaultRowHeight="13" x14ac:dyDescent="0.3"/>
  <cols>
    <col min="1" max="1" width="1.8984375" customWidth="1"/>
    <col min="3" max="6" width="6" style="99" customWidth="1"/>
    <col min="7" max="7" width="1.8984375" customWidth="1"/>
    <col min="8" max="11" width="16.296875" customWidth="1"/>
    <col min="12" max="12" width="1.8984375" customWidth="1"/>
  </cols>
  <sheetData>
    <row r="1" spans="2:11" ht="34.5" customHeight="1" x14ac:dyDescent="0.3">
      <c r="B1" s="129" t="s">
        <v>1736</v>
      </c>
      <c r="C1" s="129"/>
      <c r="D1" s="129"/>
      <c r="E1" s="129"/>
      <c r="F1" s="129"/>
      <c r="G1" s="129"/>
      <c r="H1" s="129"/>
      <c r="I1" s="129"/>
      <c r="J1" s="129"/>
      <c r="K1" s="129"/>
    </row>
    <row r="2" spans="2:11" ht="8.25" customHeight="1" x14ac:dyDescent="0.3"/>
    <row r="3" spans="2:11" x14ac:dyDescent="0.3">
      <c r="B3" s="53" t="s">
        <v>1725</v>
      </c>
      <c r="C3" s="128" t="str">
        <f>'UEFA EURO 2016'!AL50</f>
        <v>BDEF</v>
      </c>
      <c r="D3" s="128"/>
      <c r="E3" s="128"/>
      <c r="F3" s="128"/>
    </row>
    <row r="4" spans="2:11" ht="8.25" customHeight="1" x14ac:dyDescent="0.3"/>
    <row r="5" spans="2:11" x14ac:dyDescent="0.3">
      <c r="C5" s="115" t="s">
        <v>1734</v>
      </c>
      <c r="D5" s="115" t="s">
        <v>1726</v>
      </c>
      <c r="E5" s="115" t="s">
        <v>1735</v>
      </c>
      <c r="F5" s="115" t="s">
        <v>1733</v>
      </c>
    </row>
    <row r="6" spans="2:11" x14ac:dyDescent="0.3">
      <c r="B6" s="109" t="s">
        <v>1708</v>
      </c>
      <c r="C6" s="106" t="s">
        <v>1727</v>
      </c>
      <c r="D6" s="100" t="s">
        <v>1730</v>
      </c>
      <c r="E6" s="100" t="s">
        <v>1728</v>
      </c>
      <c r="F6" s="101" t="s">
        <v>1729</v>
      </c>
      <c r="H6" s="112" t="str">
        <f>'UEFA EURO 2016'!AO53</f>
        <v>Nord-Irland</v>
      </c>
      <c r="I6" s="100" t="str">
        <f>'UEFA EURO 2016'!AP53</f>
        <v>Tsjekkisk Republikk</v>
      </c>
      <c r="J6" s="100" t="str">
        <f>'UEFA EURO 2016'!AQ53</f>
        <v>Albania</v>
      </c>
      <c r="K6" s="101" t="str">
        <f>'UEFA EURO 2016'!AR53</f>
        <v>Slovakia</v>
      </c>
    </row>
    <row r="7" spans="2:11" x14ac:dyDescent="0.3">
      <c r="B7" s="110" t="s">
        <v>1709</v>
      </c>
      <c r="C7" s="107" t="s">
        <v>1727</v>
      </c>
      <c r="D7" s="102" t="s">
        <v>1728</v>
      </c>
      <c r="E7" s="102" t="s">
        <v>1729</v>
      </c>
      <c r="F7" s="103" t="s">
        <v>1731</v>
      </c>
      <c r="H7" s="113" t="str">
        <f>'UEFA EURO 2016'!AO54</f>
        <v>Nord-Irland</v>
      </c>
      <c r="I7" s="102" t="str">
        <f>'UEFA EURO 2016'!AP54</f>
        <v>Albania</v>
      </c>
      <c r="J7" s="102" t="str">
        <f>'UEFA EURO 2016'!AQ54</f>
        <v>Slovakia</v>
      </c>
      <c r="K7" s="103" t="str">
        <f>'UEFA EURO 2016'!AR54</f>
        <v>3E</v>
      </c>
    </row>
    <row r="8" spans="2:11" x14ac:dyDescent="0.3">
      <c r="B8" s="110" t="s">
        <v>1710</v>
      </c>
      <c r="C8" s="107" t="s">
        <v>1727</v>
      </c>
      <c r="D8" s="102" t="s">
        <v>1728</v>
      </c>
      <c r="E8" s="102" t="s">
        <v>1729</v>
      </c>
      <c r="F8" s="103" t="s">
        <v>1732</v>
      </c>
      <c r="H8" s="113" t="str">
        <f>'UEFA EURO 2016'!AO55</f>
        <v>Nord-Irland</v>
      </c>
      <c r="I8" s="102" t="str">
        <f>'UEFA EURO 2016'!AP55</f>
        <v>Albania</v>
      </c>
      <c r="J8" s="102" t="str">
        <f>'UEFA EURO 2016'!AQ55</f>
        <v>Slovakia</v>
      </c>
      <c r="K8" s="103" t="str">
        <f>'UEFA EURO 2016'!AR55</f>
        <v>3F</v>
      </c>
    </row>
    <row r="9" spans="2:11" x14ac:dyDescent="0.3">
      <c r="B9" s="110" t="s">
        <v>1711</v>
      </c>
      <c r="C9" s="107" t="s">
        <v>1730</v>
      </c>
      <c r="D9" s="102" t="s">
        <v>1728</v>
      </c>
      <c r="E9" s="102" t="s">
        <v>1729</v>
      </c>
      <c r="F9" s="103" t="s">
        <v>1731</v>
      </c>
      <c r="H9" s="113" t="str">
        <f>'UEFA EURO 2016'!AO56</f>
        <v>Tsjekkisk Republikk</v>
      </c>
      <c r="I9" s="102" t="str">
        <f>'UEFA EURO 2016'!AP56</f>
        <v>Albania</v>
      </c>
      <c r="J9" s="102" t="str">
        <f>'UEFA EURO 2016'!AQ56</f>
        <v>Slovakia</v>
      </c>
      <c r="K9" s="103" t="str">
        <f>'UEFA EURO 2016'!AR56</f>
        <v>3E</v>
      </c>
    </row>
    <row r="10" spans="2:11" x14ac:dyDescent="0.3">
      <c r="B10" s="110" t="s">
        <v>1712</v>
      </c>
      <c r="C10" s="107" t="s">
        <v>1730</v>
      </c>
      <c r="D10" s="102" t="s">
        <v>1728</v>
      </c>
      <c r="E10" s="102" t="s">
        <v>1729</v>
      </c>
      <c r="F10" s="103" t="s">
        <v>1732</v>
      </c>
      <c r="H10" s="113" t="str">
        <f>'UEFA EURO 2016'!AO57</f>
        <v>Tsjekkisk Republikk</v>
      </c>
      <c r="I10" s="102" t="str">
        <f>'UEFA EURO 2016'!AP57</f>
        <v>Albania</v>
      </c>
      <c r="J10" s="102" t="str">
        <f>'UEFA EURO 2016'!AQ57</f>
        <v>Slovakia</v>
      </c>
      <c r="K10" s="103" t="str">
        <f>'UEFA EURO 2016'!AR57</f>
        <v>3F</v>
      </c>
    </row>
    <row r="11" spans="2:11" x14ac:dyDescent="0.3">
      <c r="B11" s="110" t="s">
        <v>1713</v>
      </c>
      <c r="C11" s="107" t="s">
        <v>1731</v>
      </c>
      <c r="D11" s="102" t="s">
        <v>1728</v>
      </c>
      <c r="E11" s="102" t="s">
        <v>1729</v>
      </c>
      <c r="F11" s="103" t="s">
        <v>1732</v>
      </c>
      <c r="H11" s="113" t="str">
        <f>'UEFA EURO 2016'!AO58</f>
        <v>3E</v>
      </c>
      <c r="I11" s="102" t="str">
        <f>'UEFA EURO 2016'!AP58</f>
        <v>Albania</v>
      </c>
      <c r="J11" s="102" t="str">
        <f>'UEFA EURO 2016'!AQ58</f>
        <v>Slovakia</v>
      </c>
      <c r="K11" s="103" t="str">
        <f>'UEFA EURO 2016'!AR58</f>
        <v>3F</v>
      </c>
    </row>
    <row r="12" spans="2:11" x14ac:dyDescent="0.3">
      <c r="B12" s="110" t="s">
        <v>1714</v>
      </c>
      <c r="C12" s="107" t="s">
        <v>1727</v>
      </c>
      <c r="D12" s="102" t="s">
        <v>1730</v>
      </c>
      <c r="E12" s="102" t="s">
        <v>1728</v>
      </c>
      <c r="F12" s="103" t="s">
        <v>1731</v>
      </c>
      <c r="H12" s="113" t="str">
        <f>'UEFA EURO 2016'!AO59</f>
        <v>Nord-Irland</v>
      </c>
      <c r="I12" s="102" t="str">
        <f>'UEFA EURO 2016'!AP59</f>
        <v>Tsjekkisk Republikk</v>
      </c>
      <c r="J12" s="102" t="str">
        <f>'UEFA EURO 2016'!AQ59</f>
        <v>Albania</v>
      </c>
      <c r="K12" s="103" t="str">
        <f>'UEFA EURO 2016'!AR59</f>
        <v>3E</v>
      </c>
    </row>
    <row r="13" spans="2:11" x14ac:dyDescent="0.3">
      <c r="B13" s="110" t="s">
        <v>1715</v>
      </c>
      <c r="C13" s="107" t="s">
        <v>1727</v>
      </c>
      <c r="D13" s="102" t="s">
        <v>1730</v>
      </c>
      <c r="E13" s="102" t="s">
        <v>1728</v>
      </c>
      <c r="F13" s="103" t="s">
        <v>1732</v>
      </c>
      <c r="H13" s="113" t="str">
        <f>'UEFA EURO 2016'!AO60</f>
        <v>Nord-Irland</v>
      </c>
      <c r="I13" s="102" t="str">
        <f>'UEFA EURO 2016'!AP60</f>
        <v>Tsjekkisk Republikk</v>
      </c>
      <c r="J13" s="102" t="str">
        <f>'UEFA EURO 2016'!AQ60</f>
        <v>Albania</v>
      </c>
      <c r="K13" s="103" t="str">
        <f>'UEFA EURO 2016'!AR60</f>
        <v>3F</v>
      </c>
    </row>
    <row r="14" spans="2:11" x14ac:dyDescent="0.3">
      <c r="B14" s="110" t="s">
        <v>1716</v>
      </c>
      <c r="C14" s="107" t="s">
        <v>1727</v>
      </c>
      <c r="D14" s="102" t="s">
        <v>1728</v>
      </c>
      <c r="E14" s="102" t="s">
        <v>1732</v>
      </c>
      <c r="F14" s="103" t="s">
        <v>1731</v>
      </c>
      <c r="H14" s="113" t="str">
        <f>'UEFA EURO 2016'!AO61</f>
        <v>Nord-Irland</v>
      </c>
      <c r="I14" s="102" t="str">
        <f>'UEFA EURO 2016'!AP61</f>
        <v>Albania</v>
      </c>
      <c r="J14" s="102" t="str">
        <f>'UEFA EURO 2016'!AQ61</f>
        <v>3F</v>
      </c>
      <c r="K14" s="103" t="str">
        <f>'UEFA EURO 2016'!AR61</f>
        <v>3E</v>
      </c>
    </row>
    <row r="15" spans="2:11" x14ac:dyDescent="0.3">
      <c r="B15" s="110" t="s">
        <v>1717</v>
      </c>
      <c r="C15" s="107" t="s">
        <v>1730</v>
      </c>
      <c r="D15" s="102" t="s">
        <v>1728</v>
      </c>
      <c r="E15" s="102" t="s">
        <v>1732</v>
      </c>
      <c r="F15" s="103" t="s">
        <v>1731</v>
      </c>
      <c r="H15" s="113" t="str">
        <f>'UEFA EURO 2016'!AO62</f>
        <v>Tsjekkisk Republikk</v>
      </c>
      <c r="I15" s="102" t="str">
        <f>'UEFA EURO 2016'!AP62</f>
        <v>Albania</v>
      </c>
      <c r="J15" s="102" t="str">
        <f>'UEFA EURO 2016'!AQ62</f>
        <v>3F</v>
      </c>
      <c r="K15" s="103" t="str">
        <f>'UEFA EURO 2016'!AR62</f>
        <v>3E</v>
      </c>
    </row>
    <row r="16" spans="2:11" x14ac:dyDescent="0.3">
      <c r="B16" s="110" t="s">
        <v>1718</v>
      </c>
      <c r="C16" s="107" t="s">
        <v>1727</v>
      </c>
      <c r="D16" s="102" t="s">
        <v>1730</v>
      </c>
      <c r="E16" s="102" t="s">
        <v>1729</v>
      </c>
      <c r="F16" s="103" t="s">
        <v>1731</v>
      </c>
      <c r="H16" s="113" t="str">
        <f>'UEFA EURO 2016'!AO63</f>
        <v>Nord-Irland</v>
      </c>
      <c r="I16" s="102" t="str">
        <f>'UEFA EURO 2016'!AP63</f>
        <v>Tsjekkisk Republikk</v>
      </c>
      <c r="J16" s="102" t="str">
        <f>'UEFA EURO 2016'!AQ63</f>
        <v>Slovakia</v>
      </c>
      <c r="K16" s="103" t="str">
        <f>'UEFA EURO 2016'!AR63</f>
        <v>3E</v>
      </c>
    </row>
    <row r="17" spans="2:11" x14ac:dyDescent="0.3">
      <c r="B17" s="110" t="s">
        <v>1719</v>
      </c>
      <c r="C17" s="107" t="s">
        <v>1727</v>
      </c>
      <c r="D17" s="102" t="s">
        <v>1730</v>
      </c>
      <c r="E17" s="102" t="s">
        <v>1729</v>
      </c>
      <c r="F17" s="103" t="s">
        <v>1732</v>
      </c>
      <c r="H17" s="113" t="str">
        <f>'UEFA EURO 2016'!AO64</f>
        <v>Nord-Irland</v>
      </c>
      <c r="I17" s="102" t="str">
        <f>'UEFA EURO 2016'!AP64</f>
        <v>Tsjekkisk Republikk</v>
      </c>
      <c r="J17" s="102" t="str">
        <f>'UEFA EURO 2016'!AQ64</f>
        <v>Slovakia</v>
      </c>
      <c r="K17" s="103" t="str">
        <f>'UEFA EURO 2016'!AR64</f>
        <v>3F</v>
      </c>
    </row>
    <row r="18" spans="2:11" x14ac:dyDescent="0.3">
      <c r="B18" s="110" t="s">
        <v>1720</v>
      </c>
      <c r="C18" s="107" t="s">
        <v>1731</v>
      </c>
      <c r="D18" s="102" t="s">
        <v>1727</v>
      </c>
      <c r="E18" s="102" t="s">
        <v>1729</v>
      </c>
      <c r="F18" s="103" t="s">
        <v>1732</v>
      </c>
      <c r="H18" s="113" t="str">
        <f>'UEFA EURO 2016'!AO65</f>
        <v>3E</v>
      </c>
      <c r="I18" s="102" t="str">
        <f>'UEFA EURO 2016'!AP65</f>
        <v>Nord-Irland</v>
      </c>
      <c r="J18" s="102" t="str">
        <f>'UEFA EURO 2016'!AQ65</f>
        <v>Slovakia</v>
      </c>
      <c r="K18" s="103" t="str">
        <f>'UEFA EURO 2016'!AR65</f>
        <v>3F</v>
      </c>
    </row>
    <row r="19" spans="2:11" x14ac:dyDescent="0.3">
      <c r="B19" s="110" t="s">
        <v>1721</v>
      </c>
      <c r="C19" s="107" t="s">
        <v>1731</v>
      </c>
      <c r="D19" s="102" t="s">
        <v>1730</v>
      </c>
      <c r="E19" s="102" t="s">
        <v>1729</v>
      </c>
      <c r="F19" s="103" t="s">
        <v>1732</v>
      </c>
      <c r="H19" s="113" t="str">
        <f>'UEFA EURO 2016'!AO66</f>
        <v>3E</v>
      </c>
      <c r="I19" s="102" t="str">
        <f>'UEFA EURO 2016'!AP66</f>
        <v>Tsjekkisk Republikk</v>
      </c>
      <c r="J19" s="102" t="str">
        <f>'UEFA EURO 2016'!AQ66</f>
        <v>Slovakia</v>
      </c>
      <c r="K19" s="103" t="str">
        <f>'UEFA EURO 2016'!AR66</f>
        <v>3F</v>
      </c>
    </row>
    <row r="20" spans="2:11" x14ac:dyDescent="0.3">
      <c r="B20" s="111" t="s">
        <v>1722</v>
      </c>
      <c r="C20" s="108" t="s">
        <v>1727</v>
      </c>
      <c r="D20" s="104" t="s">
        <v>1730</v>
      </c>
      <c r="E20" s="104" t="s">
        <v>1732</v>
      </c>
      <c r="F20" s="105" t="s">
        <v>1731</v>
      </c>
      <c r="H20" s="114" t="str">
        <f>'UEFA EURO 2016'!AO67</f>
        <v>Nord-Irland</v>
      </c>
      <c r="I20" s="104" t="str">
        <f>'UEFA EURO 2016'!AP67</f>
        <v>Tsjekkisk Republikk</v>
      </c>
      <c r="J20" s="104" t="str">
        <f>'UEFA EURO 2016'!AQ67</f>
        <v>3F</v>
      </c>
      <c r="K20" s="105" t="str">
        <f>'UEFA EURO 2016'!AR67</f>
        <v>3E</v>
      </c>
    </row>
  </sheetData>
  <sheetProtection algorithmName="SHA-512" hashValue="W/UWsJEGjsXZNyNcup7dXDhp5HJXUAoMunZXnUpIPfy2yvz6rBGmnsf2ov0wIo/xa7WgKRGcyKkAyLypIiRczg==" saltValue="m3PxfaLxA+Qxxbwzko3Lyw==" spinCount="100000" sheet="1" objects="1" scenarios="1"/>
  <mergeCells count="2">
    <mergeCell ref="C3:F3"/>
    <mergeCell ref="B1:K1"/>
  </mergeCells>
  <conditionalFormatting sqref="B6:F20 H6:K20">
    <cfRule type="expression" dxfId="166" priority="1">
      <formula>IF($B6=$C$3,1,0)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DY97"/>
  <sheetViews>
    <sheetView showGridLines="0" tabSelected="1" topLeftCell="A4" zoomScaleNormal="100" workbookViewId="0">
      <selection activeCell="G17" sqref="G17"/>
    </sheetView>
  </sheetViews>
  <sheetFormatPr defaultColWidth="9.09765625" defaultRowHeight="13" x14ac:dyDescent="0.3"/>
  <cols>
    <col min="1" max="1" width="4.8984375" style="1" customWidth="1"/>
    <col min="2" max="2" width="5.69921875" style="1" customWidth="1"/>
    <col min="3" max="3" width="11.69921875" style="1" bestFit="1" customWidth="1"/>
    <col min="4" max="4" width="7.296875" style="3" customWidth="1"/>
    <col min="5" max="5" width="22.59765625" style="4" customWidth="1"/>
    <col min="6" max="7" width="4.296875" style="5" customWidth="1"/>
    <col min="8" max="8" width="22.59765625" style="6" customWidth="1"/>
    <col min="9" max="9" width="15.8984375" style="4" customWidth="1"/>
    <col min="10" max="11" width="3.8984375" style="4" customWidth="1"/>
    <col min="12" max="12" width="3.3984375" style="2" customWidth="1"/>
    <col min="13" max="13" width="14" style="25" customWidth="1"/>
    <col min="14" max="17" width="5.3984375" style="26" customWidth="1"/>
    <col min="18" max="18" width="7.69921875" style="26" customWidth="1"/>
    <col min="19" max="19" width="6.69921875" style="26" customWidth="1"/>
    <col min="20" max="20" width="3.3984375" style="119" customWidth="1"/>
    <col min="21" max="21" width="15.3984375" style="116" hidden="1" customWidth="1"/>
    <col min="22" max="23" width="16" style="118" hidden="1" customWidth="1"/>
    <col min="24" max="24" width="5" style="117" hidden="1" customWidth="1"/>
    <col min="25" max="30" width="6.09765625" style="116" hidden="1" customWidth="1"/>
    <col min="31" max="33" width="4.3984375" style="116" hidden="1" customWidth="1"/>
    <col min="34" max="34" width="6.09765625" style="116" hidden="1" customWidth="1"/>
    <col min="35" max="37" width="4.3984375" style="116" hidden="1" customWidth="1"/>
    <col min="38" max="38" width="4.296875" style="117" hidden="1" customWidth="1"/>
    <col min="39" max="39" width="5.3984375" style="116" hidden="1" customWidth="1"/>
    <col min="40" max="40" width="13.3984375" style="117" hidden="1" customWidth="1"/>
    <col min="41" max="45" width="5.3984375" style="116" hidden="1" customWidth="1"/>
    <col min="46" max="48" width="6" style="116" hidden="1" customWidth="1"/>
    <col min="49" max="49" width="5.3984375" style="116" hidden="1" customWidth="1"/>
    <col min="50" max="52" width="6" style="116" hidden="1" customWidth="1"/>
    <col min="53" max="53" width="7.09765625" style="117" hidden="1" customWidth="1"/>
    <col min="54" max="54" width="10" style="117" hidden="1" customWidth="1"/>
    <col min="55" max="55" width="15.296875" style="117" hidden="1" customWidth="1"/>
    <col min="56" max="56" width="4.69921875" style="116" hidden="1" customWidth="1"/>
    <col min="57" max="60" width="4.69921875" style="121" hidden="1" customWidth="1"/>
    <col min="61" max="61" width="15.296875" style="117" hidden="1" customWidth="1"/>
    <col min="62" max="63" width="5" style="117" hidden="1" customWidth="1"/>
    <col min="64" max="64" width="2" style="122" hidden="1" customWidth="1"/>
    <col min="65" max="68" width="3.59765625" style="121" hidden="1" customWidth="1"/>
    <col min="69" max="69" width="2.296875" style="122" hidden="1" customWidth="1"/>
    <col min="70" max="73" width="3.59765625" style="121" hidden="1" customWidth="1"/>
    <col min="74" max="75" width="3.296875" style="122" hidden="1" customWidth="1"/>
    <col min="76" max="79" width="3.59765625" style="121" hidden="1" customWidth="1"/>
    <col min="80" max="80" width="2.296875" style="122" hidden="1" customWidth="1"/>
    <col min="81" max="84" width="3.59765625" style="121" hidden="1" customWidth="1"/>
    <col min="85" max="85" width="2.296875" style="122" hidden="1" customWidth="1"/>
    <col min="86" max="89" width="3.59765625" style="121" hidden="1" customWidth="1"/>
    <col min="90" max="91" width="2.296875" style="122" hidden="1" customWidth="1"/>
    <col min="92" max="95" width="3.59765625" style="121" hidden="1" customWidth="1"/>
    <col min="96" max="96" width="2.296875" style="122" hidden="1" customWidth="1"/>
    <col min="97" max="97" width="8" style="122" hidden="1" customWidth="1"/>
    <col min="98" max="98" width="2" style="122" hidden="1" customWidth="1"/>
    <col min="99" max="102" width="3.59765625" style="121" hidden="1" customWidth="1"/>
    <col min="103" max="103" width="2.69921875" style="122" hidden="1" customWidth="1"/>
    <col min="104" max="104" width="8" style="122" hidden="1" customWidth="1"/>
    <col min="105" max="105" width="3" style="122" hidden="1" customWidth="1"/>
    <col min="106" max="106" width="9.09765625" style="122" hidden="1" customWidth="1"/>
    <col min="107" max="107" width="9.09765625" style="125" hidden="1" customWidth="1"/>
    <col min="108" max="108" width="3.296875" style="119" customWidth="1"/>
    <col min="109" max="109" width="19.69921875" style="2" customWidth="1"/>
    <col min="110" max="111" width="3" style="2" customWidth="1"/>
    <col min="112" max="113" width="2" style="2" customWidth="1"/>
    <col min="114" max="114" width="3.296875" style="2" customWidth="1"/>
    <col min="115" max="115" width="19.69921875" style="2" customWidth="1"/>
    <col min="116" max="117" width="3" style="2" customWidth="1"/>
    <col min="118" max="119" width="2" style="2" customWidth="1"/>
    <col min="120" max="120" width="3.296875" style="2" customWidth="1"/>
    <col min="121" max="121" width="19.69921875" style="2" customWidth="1"/>
    <col min="122" max="123" width="3" style="2" customWidth="1"/>
    <col min="124" max="125" width="2" style="2" customWidth="1"/>
    <col min="126" max="126" width="3.296875" style="2" customWidth="1"/>
    <col min="127" max="127" width="19.69921875" style="2" customWidth="1"/>
    <col min="128" max="129" width="3" style="2" customWidth="1"/>
    <col min="130" max="16384" width="9.09765625" style="2"/>
  </cols>
  <sheetData>
    <row r="1" spans="1:129" ht="46" x14ac:dyDescent="0.3">
      <c r="A1" s="130" t="str">
        <f>INDEX(T,2,lang)</f>
        <v>UEFA EURO 2016 Turneringsskjema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V1" s="116"/>
      <c r="W1" s="116"/>
      <c r="X1" s="116"/>
      <c r="AL1" s="116"/>
      <c r="AN1" s="116"/>
      <c r="AP1" s="117"/>
      <c r="AQ1" s="117"/>
      <c r="AR1" s="117"/>
      <c r="AT1" s="121"/>
      <c r="AU1" s="121"/>
      <c r="AV1" s="121"/>
      <c r="AW1" s="121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M1" s="122"/>
      <c r="BN1" s="122"/>
      <c r="BO1" s="122"/>
      <c r="BP1" s="122"/>
      <c r="BR1" s="122"/>
      <c r="BS1" s="122"/>
      <c r="BT1" s="122"/>
      <c r="BU1" s="122"/>
      <c r="BX1" s="122"/>
      <c r="BY1" s="122"/>
      <c r="BZ1" s="122"/>
      <c r="CA1" s="122"/>
      <c r="CC1" s="122"/>
      <c r="CD1" s="122"/>
      <c r="CE1" s="122"/>
      <c r="CF1" s="122"/>
      <c r="CH1" s="122"/>
      <c r="CI1" s="122"/>
      <c r="CJ1" s="122"/>
      <c r="CK1" s="122"/>
      <c r="CN1" s="122"/>
      <c r="CO1" s="122"/>
      <c r="CP1" s="122"/>
      <c r="CQ1" s="122"/>
      <c r="CU1" s="122"/>
      <c r="CV1" s="122"/>
      <c r="CW1" s="122"/>
      <c r="CX1" s="122"/>
    </row>
    <row r="2" spans="1:129" ht="6" hidden="1" customHeight="1" x14ac:dyDescent="0.3">
      <c r="V2" s="116"/>
      <c r="W2" s="116"/>
      <c r="X2" s="116"/>
      <c r="AL2" s="116"/>
      <c r="AN2" s="116"/>
      <c r="AP2" s="117"/>
      <c r="AQ2" s="117"/>
      <c r="AR2" s="117"/>
      <c r="AT2" s="121"/>
      <c r="AU2" s="121"/>
      <c r="AV2" s="121"/>
      <c r="AW2" s="121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M2" s="122"/>
      <c r="BN2" s="122"/>
      <c r="BO2" s="122"/>
      <c r="BP2" s="122"/>
      <c r="BR2" s="122"/>
      <c r="BS2" s="122"/>
      <c r="BT2" s="122"/>
      <c r="BU2" s="122"/>
      <c r="BX2" s="122"/>
      <c r="BY2" s="122"/>
      <c r="BZ2" s="122"/>
      <c r="CA2" s="122"/>
      <c r="CC2" s="122"/>
      <c r="CD2" s="122"/>
      <c r="CE2" s="122"/>
      <c r="CF2" s="122"/>
      <c r="CH2" s="122"/>
      <c r="CI2" s="122"/>
      <c r="CJ2" s="122"/>
      <c r="CK2" s="122"/>
      <c r="CN2" s="122"/>
      <c r="CO2" s="122"/>
      <c r="CP2" s="122"/>
      <c r="CQ2" s="122"/>
      <c r="CU2" s="122"/>
      <c r="CV2" s="122"/>
      <c r="CW2" s="122"/>
      <c r="CX2" s="122"/>
    </row>
    <row r="3" spans="1:129" ht="6" hidden="1" customHeight="1" x14ac:dyDescent="0.3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V3" s="116"/>
      <c r="W3" s="116"/>
      <c r="X3" s="116"/>
      <c r="AL3" s="116"/>
      <c r="AN3" s="116"/>
      <c r="AP3" s="117"/>
      <c r="AQ3" s="117"/>
      <c r="AR3" s="117"/>
      <c r="AT3" s="121"/>
      <c r="AU3" s="121"/>
      <c r="AV3" s="121"/>
      <c r="AW3" s="121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M3" s="122"/>
      <c r="BN3" s="122"/>
      <c r="BO3" s="122"/>
      <c r="BP3" s="122"/>
      <c r="BR3" s="122"/>
      <c r="BS3" s="122"/>
      <c r="BT3" s="122"/>
      <c r="BU3" s="122"/>
      <c r="BX3" s="122"/>
      <c r="BY3" s="122"/>
      <c r="BZ3" s="122"/>
      <c r="CA3" s="122"/>
      <c r="CC3" s="122"/>
      <c r="CD3" s="122"/>
      <c r="CE3" s="122"/>
      <c r="CF3" s="122"/>
      <c r="CH3" s="122"/>
      <c r="CI3" s="122"/>
      <c r="CJ3" s="122"/>
      <c r="CK3" s="122"/>
      <c r="CN3" s="122"/>
      <c r="CO3" s="122"/>
      <c r="CP3" s="122"/>
      <c r="CQ3" s="122"/>
      <c r="CU3" s="122"/>
      <c r="CV3" s="122"/>
      <c r="CW3" s="122"/>
      <c r="CX3" s="122"/>
    </row>
    <row r="4" spans="1:129" ht="6.75" customHeight="1" x14ac:dyDescent="0.3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9" ht="12.75" customHeight="1" x14ac:dyDescent="0.3">
      <c r="A5" s="64"/>
      <c r="B5" s="64"/>
      <c r="C5" s="131" t="s">
        <v>806</v>
      </c>
      <c r="D5" s="132"/>
      <c r="E5" s="132"/>
      <c r="F5" s="132"/>
      <c r="G5" s="132"/>
      <c r="H5" s="132"/>
      <c r="I5" s="133"/>
      <c r="J5" s="64"/>
      <c r="K5" s="64"/>
      <c r="BM5" s="122"/>
      <c r="BN5" s="122"/>
      <c r="BO5" s="122"/>
      <c r="BP5" s="122"/>
    </row>
    <row r="6" spans="1:129" ht="12.75" customHeight="1" x14ac:dyDescent="0.3">
      <c r="A6" s="64"/>
      <c r="B6" s="64"/>
      <c r="C6" s="134"/>
      <c r="D6" s="135"/>
      <c r="E6" s="135"/>
      <c r="F6" s="135"/>
      <c r="G6" s="135"/>
      <c r="H6" s="135"/>
      <c r="I6" s="136"/>
      <c r="J6" s="64"/>
      <c r="K6" s="64"/>
      <c r="R6" s="137" t="str">
        <f>"Language: " &amp; Settings!C4</f>
        <v>Language: Norwegian</v>
      </c>
      <c r="S6" s="137"/>
      <c r="U6" s="116" t="s">
        <v>630</v>
      </c>
      <c r="Y6" s="116" t="s">
        <v>599</v>
      </c>
      <c r="Z6" s="116" t="s">
        <v>600</v>
      </c>
      <c r="AM6" s="116" t="s">
        <v>598</v>
      </c>
      <c r="AN6" s="116" t="s">
        <v>597</v>
      </c>
      <c r="AO6" s="116" t="s">
        <v>592</v>
      </c>
      <c r="AP6" s="116" t="s">
        <v>593</v>
      </c>
      <c r="AQ6" s="116" t="s">
        <v>594</v>
      </c>
      <c r="AR6" s="116" t="s">
        <v>599</v>
      </c>
      <c r="AS6" s="116" t="s">
        <v>600</v>
      </c>
      <c r="AT6" s="116" t="s">
        <v>750</v>
      </c>
      <c r="AU6" s="116" t="s">
        <v>750</v>
      </c>
      <c r="AW6" s="116" t="s">
        <v>595</v>
      </c>
      <c r="AX6" s="116" t="s">
        <v>749</v>
      </c>
      <c r="BA6" s="116" t="s">
        <v>417</v>
      </c>
      <c r="BB6" s="116" t="s">
        <v>596</v>
      </c>
      <c r="BD6" s="116" t="s">
        <v>592</v>
      </c>
      <c r="BE6" s="121" t="s">
        <v>593</v>
      </c>
      <c r="BF6" s="121" t="s">
        <v>599</v>
      </c>
      <c r="BG6" s="121" t="s">
        <v>600</v>
      </c>
      <c r="BH6" s="121" t="s">
        <v>416</v>
      </c>
      <c r="BM6" s="122"/>
      <c r="BN6" s="122"/>
      <c r="BO6" s="122"/>
      <c r="BP6" s="122"/>
      <c r="BR6" s="123"/>
      <c r="BS6" s="123"/>
      <c r="BT6" s="123"/>
      <c r="BU6" s="123"/>
      <c r="BX6" s="123"/>
      <c r="BY6" s="123"/>
      <c r="BZ6" s="123"/>
      <c r="CA6" s="123"/>
      <c r="CC6" s="123"/>
      <c r="CD6" s="123"/>
      <c r="CE6" s="123"/>
      <c r="CF6" s="123"/>
      <c r="CH6" s="123"/>
      <c r="CI6" s="123"/>
      <c r="CJ6" s="123"/>
      <c r="CK6" s="123"/>
      <c r="CN6" s="123"/>
      <c r="CO6" s="123"/>
      <c r="CP6" s="123"/>
      <c r="CQ6" s="123"/>
      <c r="CU6" s="123"/>
      <c r="CV6" s="123"/>
      <c r="CW6" s="123"/>
      <c r="CX6" s="123"/>
      <c r="DD6" s="175" t="str">
        <f>INDEX(T,4,lang)</f>
        <v>8-dels finale</v>
      </c>
      <c r="DE6" s="176"/>
      <c r="DF6" s="176"/>
      <c r="DG6" s="177"/>
      <c r="DJ6" s="175" t="str">
        <f>INDEX(T,5,lang)</f>
        <v>Kvartfinale</v>
      </c>
      <c r="DK6" s="176"/>
      <c r="DL6" s="176"/>
      <c r="DM6" s="177"/>
      <c r="DP6" s="175" t="str">
        <f>INDEX(T,6,lang)</f>
        <v>Semifinale</v>
      </c>
      <c r="DQ6" s="176"/>
      <c r="DR6" s="176"/>
      <c r="DS6" s="177"/>
      <c r="DV6" s="175" t="str">
        <f>INDEX(T,8,lang)</f>
        <v>Finale</v>
      </c>
      <c r="DW6" s="176"/>
      <c r="DX6" s="176"/>
      <c r="DY6" s="177"/>
    </row>
    <row r="7" spans="1:129" ht="12.75" customHeight="1" x14ac:dyDescent="0.3">
      <c r="U7" s="116">
        <f>DATE(2016,6,10)+TIME(8,0,0)+gmt_delta</f>
        <v>42531.875</v>
      </c>
      <c r="V7" s="118" t="str">
        <f t="shared" ref="V7:V42" si="0">IF(OR(F10="",G10=""),"",IF(F10&gt;G10,E10&amp;"_win",IF(F10&lt;G10,E10&amp;"_lose",E10&amp;"_draw")))</f>
        <v>Frankrike_win</v>
      </c>
      <c r="W7" s="118" t="str">
        <f t="shared" ref="W7:W42" si="1">IF(V7="","",IF(F10&lt;G10,H10&amp;"_win",IF(F10&gt;G10,H10&amp;"_lose",H10&amp;"_draw")))</f>
        <v>Romania_lose</v>
      </c>
      <c r="X7" s="117">
        <f t="shared" ref="X7:X42" si="2">IF(V7="",0,IF(VLOOKUP(E10,$AN$8:$AW$53,7,FALSE)=VLOOKUP(H10,$AN$8:$AW$53,7,FALSE),1,0))</f>
        <v>0</v>
      </c>
      <c r="Y7" s="116">
        <f t="shared" ref="Y7:Y42" si="3">X7*F10</f>
        <v>0</v>
      </c>
      <c r="Z7" s="116">
        <f t="shared" ref="Z7:Z42" si="4">X7*G10</f>
        <v>0</v>
      </c>
      <c r="AA7" s="116">
        <f t="shared" ref="AA7:AA42" si="5">VLOOKUP(E10,$BI$8:$BK$31,2,FALSE)</f>
        <v>1</v>
      </c>
      <c r="AB7" s="116">
        <f t="shared" ref="AB7:AB42" si="6">VLOOKUP(E10,$BI$8:$BK$31,3,FALSE)</f>
        <v>1</v>
      </c>
      <c r="AC7" s="116">
        <f t="shared" ref="AC7:AC42" si="7">VLOOKUP(H10,$BI$8:$BK$31,3,FALSE)</f>
        <v>3</v>
      </c>
      <c r="AD7" s="116" t="str">
        <f>AA7&amp;AB7&amp;AC7</f>
        <v>113</v>
      </c>
      <c r="AE7" s="116">
        <f>IF(OR(F10="",G10=""),1,IF(F10&gt;G10,3,IF(F10&lt;G10,0,1)))</f>
        <v>3</v>
      </c>
      <c r="AF7" s="116">
        <f>IF(OR(F10="",G10=""),0,F10-G10)</f>
        <v>2</v>
      </c>
      <c r="AG7" s="116">
        <f>IF(OR(F10="",G10=""),0,F10)</f>
        <v>2</v>
      </c>
      <c r="AH7" s="116" t="str">
        <f>AA7&amp;AC7&amp;AB7</f>
        <v>131</v>
      </c>
      <c r="AI7" s="116">
        <f>IF(OR(G10="",F10=""),1,IF(G10&gt;F10,3,IF(G10&lt;F10,0,1)))</f>
        <v>0</v>
      </c>
      <c r="AJ7" s="116">
        <f>IF(OR(G10="",F10=""),0,G10-F10)</f>
        <v>-2</v>
      </c>
      <c r="AK7" s="116">
        <f>IF(OR(G10="",F10=""),0,G10)</f>
        <v>0</v>
      </c>
      <c r="BM7" s="122"/>
      <c r="BN7" s="122"/>
      <c r="BO7" s="122"/>
      <c r="BP7" s="122"/>
      <c r="CS7" s="121" t="s">
        <v>749</v>
      </c>
      <c r="CZ7" s="121" t="s">
        <v>749</v>
      </c>
      <c r="DD7" s="178"/>
      <c r="DE7" s="179"/>
      <c r="DF7" s="179"/>
      <c r="DG7" s="180"/>
      <c r="DJ7" s="178"/>
      <c r="DK7" s="179"/>
      <c r="DL7" s="179"/>
      <c r="DM7" s="180"/>
      <c r="DP7" s="178"/>
      <c r="DQ7" s="179"/>
      <c r="DR7" s="179"/>
      <c r="DS7" s="180"/>
      <c r="DV7" s="178"/>
      <c r="DW7" s="179"/>
      <c r="DX7" s="179"/>
      <c r="DY7" s="180"/>
    </row>
    <row r="8" spans="1:129" ht="12.75" customHeight="1" x14ac:dyDescent="0.3">
      <c r="A8" s="138" t="str">
        <f>INDEX(T,3,lang)</f>
        <v>Gruppespill</v>
      </c>
      <c r="B8" s="139"/>
      <c r="C8" s="139"/>
      <c r="D8" s="139"/>
      <c r="E8" s="139"/>
      <c r="F8" s="139"/>
      <c r="G8" s="139"/>
      <c r="H8" s="139"/>
      <c r="I8" s="139"/>
      <c r="J8" s="139"/>
      <c r="K8" s="140"/>
      <c r="M8" s="55" t="str">
        <f>INDEX(T,9,lang) &amp; " " &amp; "A"</f>
        <v>Gruppe A</v>
      </c>
      <c r="N8" s="56" t="str">
        <f>INDEX(T,10,lang)</f>
        <v>S</v>
      </c>
      <c r="O8" s="56" t="str">
        <f>INDEX(T,11,lang)</f>
        <v>V</v>
      </c>
      <c r="P8" s="56" t="str">
        <f>INDEX(T,12,lang)</f>
        <v>T</v>
      </c>
      <c r="Q8" s="56" t="str">
        <f>INDEX(T,13,lang)</f>
        <v>U</v>
      </c>
      <c r="R8" s="56" t="str">
        <f>INDEX(T,14,lang)</f>
        <v>Mål</v>
      </c>
      <c r="S8" s="56" t="str">
        <f>INDEX(T,15,lang)</f>
        <v>P</v>
      </c>
      <c r="U8" s="116">
        <f>DATE(2016,6,11)+TIME(2,0,0)+gmt_delta</f>
        <v>42532.625</v>
      </c>
      <c r="V8" s="118" t="str">
        <f t="shared" si="0"/>
        <v>Albania_lose</v>
      </c>
      <c r="W8" s="118" t="str">
        <f t="shared" si="1"/>
        <v>Sveits_win</v>
      </c>
      <c r="X8" s="117">
        <f t="shared" si="2"/>
        <v>0</v>
      </c>
      <c r="Y8" s="116">
        <f t="shared" si="3"/>
        <v>0</v>
      </c>
      <c r="Z8" s="116">
        <f t="shared" si="4"/>
        <v>0</v>
      </c>
      <c r="AA8" s="116">
        <f t="shared" si="5"/>
        <v>1</v>
      </c>
      <c r="AB8" s="116">
        <f t="shared" si="6"/>
        <v>2</v>
      </c>
      <c r="AC8" s="116">
        <f t="shared" si="7"/>
        <v>4</v>
      </c>
      <c r="AD8" s="116" t="str">
        <f t="shared" ref="AD8:AD42" si="8">AA8&amp;AB8&amp;AC8</f>
        <v>124</v>
      </c>
      <c r="AE8" s="116">
        <f t="shared" ref="AE8:AE42" si="9">IF(OR(F11="",G11=""),1,IF(F11&gt;G11,3,IF(F11&lt;G11,0,1)))</f>
        <v>0</v>
      </c>
      <c r="AF8" s="116">
        <f t="shared" ref="AF8:AF42" si="10">IF(OR(F11="",G11=""),0,F11-G11)</f>
        <v>-2</v>
      </c>
      <c r="AG8" s="116">
        <f t="shared" ref="AG8:AG42" si="11">IF(OR(F11="",G11=""),0,F11)</f>
        <v>1</v>
      </c>
      <c r="AH8" s="116" t="str">
        <f>AA8&amp;AC8&amp;AB8</f>
        <v>142</v>
      </c>
      <c r="AI8" s="116">
        <f t="shared" ref="AI8:AI42" si="12">IF(OR(G11="",F11=""),1,IF(G11&gt;F11,3,IF(G11&lt;F11,0,1)))</f>
        <v>3</v>
      </c>
      <c r="AJ8" s="116">
        <f t="shared" ref="AJ8:AJ42" si="13">IF(OR(G11="",F11=""),0,G11-F11)</f>
        <v>2</v>
      </c>
      <c r="AK8" s="116">
        <f t="shared" ref="AK8:AK42" si="14">IF(OR(G11="",F11=""),0,G11)</f>
        <v>3</v>
      </c>
      <c r="AM8" s="116">
        <f>DA8</f>
        <v>2</v>
      </c>
      <c r="AN8" s="117" t="str">
        <f>INDEX(T,62,lang)</f>
        <v>Frankrike</v>
      </c>
      <c r="AO8" s="116">
        <f>COUNTIF($V$7:$W$42,"=" &amp; AN8 &amp; "_win")</f>
        <v>1</v>
      </c>
      <c r="AP8" s="116">
        <f>COUNTIF($V$7:$W$42,"=" &amp; AN8 &amp; "_draw")</f>
        <v>0</v>
      </c>
      <c r="AQ8" s="116">
        <f>COUNTIF($V$7:$W$42,"=" &amp; AN8 &amp; "_lose")</f>
        <v>0</v>
      </c>
      <c r="AR8" s="116">
        <f>SUMIF($E$10:$E$45,$AN8,$F$10:$F$45) + SUMIF($H$10:$H$45,$AN8,$G$10:$G$45)</f>
        <v>2</v>
      </c>
      <c r="AS8" s="116">
        <f>SUMIF($E$10:$E$45,$AN8,$G$10:$G$45) + SUMIF($H$10:$H$45,$AN8,$F$10:$F$45)</f>
        <v>0</v>
      </c>
      <c r="AT8" s="116">
        <f>AW8*10000</f>
        <v>30000</v>
      </c>
      <c r="AU8" s="116">
        <f>AR8-AS8</f>
        <v>2</v>
      </c>
      <c r="AV8" s="116">
        <f>(AU8-AU13)/AU12</f>
        <v>0.8</v>
      </c>
      <c r="AW8" s="116">
        <f>AO8*3+AP8</f>
        <v>3</v>
      </c>
      <c r="AX8" s="116">
        <f>BD8/BD12*10+BE8/BE12+BH8/BH12*0.1+BF8/BF12*0.01</f>
        <v>0</v>
      </c>
      <c r="AY8" s="116">
        <f>RANK(AX8,$AX$8:$AX$11)</f>
        <v>1</v>
      </c>
      <c r="BA8" s="116">
        <f>VLOOKUP(AN8,db_fifarank,2,FALSE)/2000000</f>
        <v>1.6799499999999998E-2</v>
      </c>
      <c r="BB8" s="117">
        <f>10000000*AW8/AW12+100000*AX8/AX12+100*AV8+10*AR8/AR12+1*AX8/AX12+BA8</f>
        <v>7500085.0167995002</v>
      </c>
      <c r="BC8" s="117" t="str">
        <f>IF(SUM(AO8:AQ11)=12,M9,INDEX(T,70,lang))</f>
        <v>1A</v>
      </c>
      <c r="BD8" s="116">
        <f>SUMPRODUCT(($V$7:$V$42=AN8&amp;"_win")*($X$7:$X$42))+SUMPRODUCT(($W$7:$W$42=AN8&amp;"_win")*($X$7:$X$42))</f>
        <v>0</v>
      </c>
      <c r="BE8" s="121">
        <f>SUMPRODUCT(($V$7:$V$42=AN8&amp;"_draw")*($X$7:$X$42))+SUMPRODUCT(($W$7:$W$42=AN8&amp;"_draw")*($X$7:$X$42))</f>
        <v>0</v>
      </c>
      <c r="BF8" s="121">
        <f>SUMPRODUCT(($E$10:$E$45=AN8)*($X$7:$X$42)*($F$10:$F$45))+SUMPRODUCT(($H$10:$H$45=AN8)*($X$7:$X$42)*($G$10:$G$45))</f>
        <v>0</v>
      </c>
      <c r="BG8" s="121">
        <f>SUMPRODUCT(($E$10:$E$45=AN8)*($X$7:$X$42)*($G$10:$G$45))+SUMPRODUCT(($H$10:$H$45=AN8)*($X$7:$X$42)*($F$10:$F$45))</f>
        <v>0</v>
      </c>
      <c r="BH8" s="121">
        <f>BF8-BG8</f>
        <v>0</v>
      </c>
      <c r="BI8" s="117" t="str">
        <f>AN8</f>
        <v>Frankrike</v>
      </c>
      <c r="BJ8" s="117">
        <v>1</v>
      </c>
      <c r="BK8" s="117">
        <v>1</v>
      </c>
      <c r="BN8" s="121">
        <f>IFERROR(VLOOKUP("112",$AD$7:$AG$42,2,FALSE),0) + IFERROR(VLOOKUP("112",$AH$7:$AK$42,2,FALSE),0)</f>
        <v>1</v>
      </c>
      <c r="BO8" s="121">
        <f>IFERROR(VLOOKUP("113",$AD$7:$AG$42,2,FALSE),0) + IFERROR(VLOOKUP("113",$AH$7:$AK$42,2,FALSE),0)</f>
        <v>3</v>
      </c>
      <c r="BP8" s="121">
        <f>IFERROR(VLOOKUP("114",$AD$7:$AG$42,2,FALSE),0) + IFERROR(VLOOKUP("114",$AH$7:$AK$42,2,FALSE),0)</f>
        <v>1</v>
      </c>
      <c r="BQ8" s="122">
        <f>SUM(BM8:BP8)</f>
        <v>5</v>
      </c>
      <c r="BS8" s="121">
        <f>IFERROR(VLOOKUP("112",$AD$7:$AG$42,3,FALSE),0) + IFERROR(VLOOKUP("112",$AH$7:$AK$42,3,FALSE),0)</f>
        <v>0</v>
      </c>
      <c r="BT8" s="121">
        <f>IFERROR(VLOOKUP("113",$AD$7:$AG$42,3,FALSE),0) + IFERROR(VLOOKUP("113",$AH$7:$AK$42,3,FALSE),0)</f>
        <v>2</v>
      </c>
      <c r="BU8" s="121">
        <f>IFERROR(VLOOKUP("114",$AD$7:$AG$42,3,FALSE),0) + IFERROR(VLOOKUP("114",$AH$7:$AK$42,3,FALSE),0)</f>
        <v>0</v>
      </c>
      <c r="BV8" s="122">
        <f>SUM(BR8:BU8)</f>
        <v>2</v>
      </c>
      <c r="BW8" s="122">
        <f>RANK(BV8,BV8:BV11)</f>
        <v>1</v>
      </c>
      <c r="BY8" s="121">
        <f>IFERROR(VLOOKUP("112",$AD$7:$AG$42,4,FALSE),0) + IFERROR(VLOOKUP("112",$AH$7:$AK$42,4,FALSE),0)</f>
        <v>0</v>
      </c>
      <c r="BZ8" s="121">
        <f>IFERROR(VLOOKUP("113",$AD$7:$AG$42,4,FALSE),0) + IFERROR(VLOOKUP("113",$AH$7:$AK$42,4,FALSE),0)</f>
        <v>2</v>
      </c>
      <c r="CA8" s="121">
        <f>IFERROR(VLOOKUP("114",$AD$7:$AG$42,4,FALSE),0) + IFERROR(VLOOKUP("114",$AH$7:$AK$42,4,FALSE),0)</f>
        <v>0</v>
      </c>
      <c r="CB8" s="122">
        <f>SUM(BX8:CA8)</f>
        <v>2</v>
      </c>
      <c r="CD8" s="121">
        <f>IF(BN12=BQ8,BN8,0)</f>
        <v>0</v>
      </c>
      <c r="CE8" s="121">
        <f>IF(BO12=BQ8,BO8,0)</f>
        <v>0</v>
      </c>
      <c r="CF8" s="121">
        <f>IF(BP12=BQ8,BP8,0)</f>
        <v>1</v>
      </c>
      <c r="CG8" s="122">
        <f>SUM(CC8:CF8)</f>
        <v>1</v>
      </c>
      <c r="CI8" s="121">
        <f>IF(BN12=BQ8,BS8,0)</f>
        <v>0</v>
      </c>
      <c r="CJ8" s="121">
        <f>IF(BO12=BQ8,BT8,0)</f>
        <v>0</v>
      </c>
      <c r="CK8" s="121">
        <f>IF(BP12=BQ8,BU8,0)</f>
        <v>0</v>
      </c>
      <c r="CL8" s="122">
        <f>SUM(CH8:CK8)</f>
        <v>0</v>
      </c>
      <c r="CM8" s="122">
        <f>RANK(CL8,CL8:CL11)</f>
        <v>1</v>
      </c>
      <c r="CO8" s="121">
        <f>IF(BN12=BQ8,BY8,0)</f>
        <v>0</v>
      </c>
      <c r="CP8" s="121">
        <f>IF(BO12=BQ8,BZ8,0)</f>
        <v>0</v>
      </c>
      <c r="CQ8" s="121">
        <f>IF(BP12=BQ8,CA8,0)</f>
        <v>0</v>
      </c>
      <c r="CR8" s="122">
        <f>SUM(CN8:CQ8)</f>
        <v>0</v>
      </c>
      <c r="CS8" s="122">
        <f>BQ8*10000+CG8*100+(5-CM8)+CR8/10</f>
        <v>50104</v>
      </c>
      <c r="CT8" s="122">
        <f>RANK(CS8,CS8:CS11)</f>
        <v>1</v>
      </c>
      <c r="CV8" s="121">
        <f>IF(CV12=CT8,BN8,0)</f>
        <v>0</v>
      </c>
      <c r="CW8" s="121">
        <f>IF(CW12=CT8,BO8,0)</f>
        <v>0</v>
      </c>
      <c r="CX8" s="121">
        <f>IF(CX12=CT8,BP8,0)</f>
        <v>1</v>
      </c>
      <c r="CY8" s="122">
        <f>SUM(CU8:CX8)</f>
        <v>1</v>
      </c>
      <c r="CZ8" s="122">
        <f>(5-CT8)*10000+CY8*100+(5-BW8)+CB8/10+BA8/100</f>
        <v>40104.200167994997</v>
      </c>
      <c r="DA8" s="122">
        <f>RANK(CZ8,CZ8:CZ11)</f>
        <v>2</v>
      </c>
      <c r="DK8" s="83"/>
      <c r="DL8" s="83"/>
      <c r="DQ8" s="83"/>
      <c r="DR8" s="83"/>
      <c r="DS8" s="83"/>
      <c r="DT8" s="83"/>
      <c r="DU8" s="83"/>
      <c r="DV8" s="83"/>
      <c r="DW8" s="83"/>
      <c r="DX8" s="83"/>
      <c r="DY8" s="83"/>
    </row>
    <row r="9" spans="1:129" ht="12.75" customHeight="1" x14ac:dyDescent="0.3">
      <c r="A9" s="141"/>
      <c r="B9" s="142"/>
      <c r="C9" s="142"/>
      <c r="D9" s="142"/>
      <c r="E9" s="142"/>
      <c r="F9" s="142"/>
      <c r="G9" s="142"/>
      <c r="H9" s="142"/>
      <c r="I9" s="142"/>
      <c r="J9" s="142"/>
      <c r="K9" s="143"/>
      <c r="M9" s="22" t="str">
        <f>VLOOKUP(1,AM8:AW11,2,FALSE)</f>
        <v>Sveits</v>
      </c>
      <c r="N9" s="27">
        <f>O9+P9+Q9</f>
        <v>1</v>
      </c>
      <c r="O9" s="27">
        <f>VLOOKUP(1,AM8:AW11,3,FALSE)</f>
        <v>1</v>
      </c>
      <c r="P9" s="27">
        <f>VLOOKUP(1,AM8:AW11,4,FALSE)</f>
        <v>0</v>
      </c>
      <c r="Q9" s="27">
        <f>VLOOKUP(1,AM8:AW11,5,FALSE)</f>
        <v>0</v>
      </c>
      <c r="R9" s="27" t="str">
        <f>VLOOKUP(1,AM8:AW11,6,FALSE) &amp; " - " &amp; VLOOKUP(1,AM8:AW11,7,FALSE)</f>
        <v>3 - 1</v>
      </c>
      <c r="S9" s="28">
        <f>O9*3+P9</f>
        <v>3</v>
      </c>
      <c r="U9" s="116">
        <f>DATE(2016,6,11)+TIME(5,0,0)+gmt_delta</f>
        <v>42532.75</v>
      </c>
      <c r="V9" s="118" t="str">
        <f t="shared" si="0"/>
        <v>Wales_win</v>
      </c>
      <c r="W9" s="118" t="str">
        <f t="shared" si="1"/>
        <v>Slovakia_lose</v>
      </c>
      <c r="X9" s="117">
        <f t="shared" si="2"/>
        <v>0</v>
      </c>
      <c r="Y9" s="116">
        <f t="shared" si="3"/>
        <v>0</v>
      </c>
      <c r="Z9" s="116">
        <f t="shared" si="4"/>
        <v>0</v>
      </c>
      <c r="AA9" s="116">
        <f t="shared" si="5"/>
        <v>2</v>
      </c>
      <c r="AB9" s="116">
        <f t="shared" si="6"/>
        <v>2</v>
      </c>
      <c r="AC9" s="116">
        <f t="shared" si="7"/>
        <v>4</v>
      </c>
      <c r="AD9" s="116" t="str">
        <f t="shared" si="8"/>
        <v>224</v>
      </c>
      <c r="AE9" s="116">
        <f t="shared" si="9"/>
        <v>3</v>
      </c>
      <c r="AF9" s="116">
        <f t="shared" si="10"/>
        <v>1</v>
      </c>
      <c r="AG9" s="116">
        <f t="shared" si="11"/>
        <v>3</v>
      </c>
      <c r="AH9" s="116" t="str">
        <f t="shared" ref="AH9:AH42" si="15">AA9&amp;AC9&amp;AB9</f>
        <v>242</v>
      </c>
      <c r="AI9" s="116">
        <f t="shared" si="12"/>
        <v>0</v>
      </c>
      <c r="AJ9" s="116">
        <f t="shared" si="13"/>
        <v>-1</v>
      </c>
      <c r="AK9" s="116">
        <f t="shared" si="14"/>
        <v>2</v>
      </c>
      <c r="AM9" s="116">
        <f t="shared" ref="AM9:AM11" si="16">DA9</f>
        <v>3</v>
      </c>
      <c r="AN9" s="117" t="str">
        <f>INDEX(T,38,lang)</f>
        <v>Albania</v>
      </c>
      <c r="AO9" s="116">
        <f>COUNTIF($V$7:$W$42,"=" &amp; AN9 &amp; "_win")</f>
        <v>0</v>
      </c>
      <c r="AP9" s="116">
        <f>COUNTIF($V$7:$W$42,"=" &amp; AN9 &amp; "_draw")</f>
        <v>0</v>
      </c>
      <c r="AQ9" s="116">
        <f>COUNTIF($V$7:$W$42,"=" &amp; AN9 &amp; "_lose")</f>
        <v>1</v>
      </c>
      <c r="AR9" s="116">
        <f>SUMIF($E$10:$E$45,$AN9,$F$10:$F$45) + SUMIF($H$10:$H$45,$AN9,$G$10:$G$45)</f>
        <v>1</v>
      </c>
      <c r="AS9" s="116">
        <f>SUMIF($E$10:$E$45,$AN9,$G$10:$G$45) + SUMIF($H$10:$H$45,$AN9,$F$10:$F$45)</f>
        <v>3</v>
      </c>
      <c r="AT9" s="116">
        <f>AW9*10000</f>
        <v>0</v>
      </c>
      <c r="AU9" s="116">
        <f>AR9-AS9</f>
        <v>-2</v>
      </c>
      <c r="AV9" s="116">
        <f>(AU9-AU13)/AU12</f>
        <v>0</v>
      </c>
      <c r="AW9" s="116">
        <f>AO9*3+AP9</f>
        <v>0</v>
      </c>
      <c r="AX9" s="116">
        <f>BD9/BD12*10+BE9/BE12+BH9/BH12*0.1+BF9/BF12*0.01</f>
        <v>0</v>
      </c>
      <c r="AY9" s="116">
        <f t="shared" ref="AY9:AY11" si="17">RANK(AX9,$AX$8:$AX$11)</f>
        <v>1</v>
      </c>
      <c r="BA9" s="116">
        <f>VLOOKUP(AN9,db_fifarank,2,FALSE)/2000000</f>
        <v>1.1608E-2</v>
      </c>
      <c r="BB9" s="117">
        <f>10000000*AW9/AW12+100000*AX9/AX12+100*AV9+10*AR9/AR12+1*AX9/AX12+BA9</f>
        <v>2.5116079999999998</v>
      </c>
      <c r="BC9" s="117" t="str">
        <f>IF(SUM(AO8:AQ11)=12,M10,INDEX(T,71,lang))</f>
        <v>2A</v>
      </c>
      <c r="BD9" s="116">
        <f>SUMPRODUCT(($V$7:$V$42=AN9&amp;"_win")*($X$7:$X$42))+SUMPRODUCT(($W$7:$W$42=AN9&amp;"_win")*($X$7:$X$42))</f>
        <v>0</v>
      </c>
      <c r="BE9" s="121">
        <f>SUMPRODUCT(($V$7:$V$42=AN9&amp;"_draw")*($X$7:$X$42))+SUMPRODUCT(($W$7:$W$42=AN9&amp;"_draw")*($X$7:$X$42))</f>
        <v>0</v>
      </c>
      <c r="BF9" s="121">
        <f>SUMPRODUCT(($E$10:$E$45=AN9)*($X$7:$X$42)*($F$10:$F$45))+SUMPRODUCT(($H$10:$H$45=AN9)*($X$7:$X$42)*($G$10:$G$45))</f>
        <v>0</v>
      </c>
      <c r="BG9" s="121">
        <f>SUMPRODUCT(($E$10:$E$45=AN9)*($X$7:$X$42)*($G$10:$G$45))+SUMPRODUCT(($H$10:$H$45=AN9)*($X$7:$X$42)*($F$10:$F$45))</f>
        <v>0</v>
      </c>
      <c r="BH9" s="121">
        <f>BF9-BG9</f>
        <v>0</v>
      </c>
      <c r="BI9" s="117" t="str">
        <f t="shared" ref="BI9:BI11" si="18">AN9</f>
        <v>Albania</v>
      </c>
      <c r="BJ9" s="117">
        <v>1</v>
      </c>
      <c r="BK9" s="117">
        <v>2</v>
      </c>
      <c r="BM9" s="121">
        <f>IFERROR(VLOOKUP("121",$AD$7:$AG$42,2,FALSE),0) + IFERROR(VLOOKUP("121",$AH$7:$AK$42,2,FALSE),0)</f>
        <v>1</v>
      </c>
      <c r="BO9" s="121">
        <f>IFERROR(VLOOKUP("123",$AD$7:$AG$42,2,FALSE),0) + IFERROR(VLOOKUP("123",$AH$7:$AK$42,2,FALSE),0)</f>
        <v>1</v>
      </c>
      <c r="BP9" s="121">
        <f>IFERROR(VLOOKUP("124",$AD$7:$AG$42,2,FALSE),0) + IFERROR(VLOOKUP("124",$AH$7:$AK$42,2,FALSE),0)</f>
        <v>0</v>
      </c>
      <c r="BQ9" s="122">
        <f>SUM(BM9:BP9)</f>
        <v>2</v>
      </c>
      <c r="BR9" s="121">
        <f>IFERROR(VLOOKUP("121",$AD$7:$AG$42,3,FALSE),0) + IFERROR(VLOOKUP("121",$AH$7:$AK$42,3,FALSE),0)</f>
        <v>0</v>
      </c>
      <c r="BT9" s="121">
        <f>IFERROR(VLOOKUP("123",$AD$7:$AG$42,3,FALSE),0) + IFERROR(VLOOKUP("123",$AH$7:$AK$42,3,FALSE),0)</f>
        <v>0</v>
      </c>
      <c r="BU9" s="121">
        <f>IFERROR(VLOOKUP("124",$AD$7:$AG$42,3,FALSE),0) + IFERROR(VLOOKUP("124",$AH$7:$AK$42,3,FALSE),0)</f>
        <v>-2</v>
      </c>
      <c r="BV9" s="122">
        <f>SUM(BR9:BU9)</f>
        <v>-2</v>
      </c>
      <c r="BW9" s="122">
        <f>RANK(BV9,BV8:BV11)</f>
        <v>3</v>
      </c>
      <c r="BX9" s="121">
        <f>IFERROR(VLOOKUP("121",$AD$7:$AG$42,4,FALSE),0) + IFERROR(VLOOKUP("121",$AH$7:$AK$42,4,FALSE),0)</f>
        <v>0</v>
      </c>
      <c r="BZ9" s="121">
        <f>IFERROR(VLOOKUP("123",$AD$7:$AG$42,4,FALSE),0) + IFERROR(VLOOKUP("123",$AH$7:$AK$42,4,FALSE),0)</f>
        <v>0</v>
      </c>
      <c r="CA9" s="121">
        <f>IFERROR(VLOOKUP("124",$AD$7:$AG$42,4,FALSE),0) + IFERROR(VLOOKUP("124",$AH$7:$AK$42,4,FALSE),0)</f>
        <v>1</v>
      </c>
      <c r="CB9" s="122">
        <f>SUM(BX9:CA9)</f>
        <v>1</v>
      </c>
      <c r="CC9" s="121">
        <f>IF(BM12=BQ9,BM9,0)</f>
        <v>0</v>
      </c>
      <c r="CE9" s="121">
        <f>IF(BO12=BQ9,BO9,0)</f>
        <v>1</v>
      </c>
      <c r="CF9" s="121">
        <f>IF(BP12=BQ9,BP9,0)</f>
        <v>0</v>
      </c>
      <c r="CG9" s="122">
        <f>SUM(CC9:CF9)</f>
        <v>1</v>
      </c>
      <c r="CH9" s="121">
        <f>IF(BM12=BQ9,BR9,0)</f>
        <v>0</v>
      </c>
      <c r="CJ9" s="121">
        <f>IF(BO12=BQ9,BT9,0)</f>
        <v>0</v>
      </c>
      <c r="CK9" s="121">
        <f>IF(BP12=BQ9,BU9,0)</f>
        <v>0</v>
      </c>
      <c r="CL9" s="122">
        <f>SUM(CH9:CK9)</f>
        <v>0</v>
      </c>
      <c r="CM9" s="122">
        <f>RANK(CL9,CL8:CL11)</f>
        <v>1</v>
      </c>
      <c r="CN9" s="121">
        <f>IF(BM12=BQ9,BX9,0)</f>
        <v>0</v>
      </c>
      <c r="CP9" s="121">
        <f>IF(BO12=BQ9,BZ9,0)</f>
        <v>0</v>
      </c>
      <c r="CQ9" s="121">
        <f>IF(BP12=BQ9,CA9,0)</f>
        <v>0</v>
      </c>
      <c r="CR9" s="122">
        <f>SUM(CN9:CQ9)</f>
        <v>0</v>
      </c>
      <c r="CS9" s="122">
        <f t="shared" ref="CS9:CS11" si="19">BQ9*10000+CG9*100+(5-CM9)+CR9/10</f>
        <v>20104</v>
      </c>
      <c r="CT9" s="122">
        <f>RANK(CS9,CS8:CS11)</f>
        <v>3</v>
      </c>
      <c r="CU9" s="121">
        <f>IF(CU12=CT9,BM9,0)</f>
        <v>0</v>
      </c>
      <c r="CW9" s="121">
        <f>IF(CW12=CT9,BO9,0)</f>
        <v>1</v>
      </c>
      <c r="CX9" s="121">
        <f>IF(CX12=CT9,BP9,0)</f>
        <v>0</v>
      </c>
      <c r="CY9" s="122">
        <f t="shared" ref="CY9:CY12" si="20">SUM(CU9:CX9)</f>
        <v>1</v>
      </c>
      <c r="CZ9" s="122">
        <f t="shared" ref="CZ9:CZ11" si="21">(5-CT9)*10000+CY9*100+(5-BW9)+CB9/10+BA9/100</f>
        <v>20102.100116079997</v>
      </c>
      <c r="DA9" s="122">
        <f>RANK(CZ9,CZ8:CZ11)</f>
        <v>3</v>
      </c>
      <c r="DD9" s="120" t="str">
        <f>INDEX(T,24+MONTH(U46),lang) &amp; " " &amp; DAY(U46) &amp; ", " &amp; YEAR(U46) &amp; "   " &amp; TEXT(TIME(HOUR(U46),MINUTE(U46),0),"hh:mm")</f>
        <v>Jun 25, 2016   hh:01</v>
      </c>
      <c r="DE9" s="83"/>
      <c r="DF9" s="83"/>
      <c r="DG9" s="92"/>
      <c r="DH9" s="83"/>
      <c r="DI9" s="83"/>
      <c r="DJ9" s="83"/>
      <c r="DK9" s="83"/>
      <c r="DL9" s="83"/>
      <c r="DM9" s="83"/>
      <c r="DN9" s="83"/>
      <c r="DO9" s="83"/>
      <c r="DP9" s="83"/>
      <c r="DQ9" s="83"/>
      <c r="DR9" s="83"/>
      <c r="DS9" s="83"/>
      <c r="DT9" s="83"/>
      <c r="DU9" s="83"/>
      <c r="DV9" s="83"/>
      <c r="DW9" s="83"/>
      <c r="DX9" s="83"/>
      <c r="DY9" s="83"/>
    </row>
    <row r="10" spans="1:129" x14ac:dyDescent="0.3">
      <c r="A10" s="65">
        <v>1</v>
      </c>
      <c r="B10" s="66" t="str">
        <f t="shared" ref="B10:B45" si="22">INDEX(T,18+INT(MOD(U7-1,7)),lang)</f>
        <v>Fre</v>
      </c>
      <c r="C10" s="67" t="str">
        <f t="shared" ref="C10:C45" si="23">INDEX(T,24+MONTH(U7),lang) &amp; " " &amp; DAY(U7) &amp; ", " &amp; YEAR(U7)</f>
        <v>Jun 10, 2016</v>
      </c>
      <c r="D10" s="68">
        <f>TIME(HOUR(U7),MINUTE(U7),0)</f>
        <v>0.875</v>
      </c>
      <c r="E10" s="69" t="str">
        <f>AN8</f>
        <v>Frankrike</v>
      </c>
      <c r="F10" s="57">
        <v>2</v>
      </c>
      <c r="G10" s="58">
        <v>0</v>
      </c>
      <c r="H10" s="80" t="str">
        <f>AN10</f>
        <v>Romania</v>
      </c>
      <c r="I10" s="172" t="str">
        <f>INDEX(T,114,lang)</f>
        <v>Stade de France, Saint-Denis</v>
      </c>
      <c r="J10" s="173"/>
      <c r="K10" s="174"/>
      <c r="M10" s="23" t="str">
        <f>VLOOKUP(2,AM8:AW11,2,FALSE)</f>
        <v>Frankrike</v>
      </c>
      <c r="N10" s="29">
        <f>O10+P10+Q10</f>
        <v>1</v>
      </c>
      <c r="O10" s="29">
        <f>VLOOKUP(2,AM8:AW11,3,FALSE)</f>
        <v>1</v>
      </c>
      <c r="P10" s="29">
        <f>VLOOKUP(2,AM8:AW11,4,FALSE)</f>
        <v>0</v>
      </c>
      <c r="Q10" s="29">
        <f>VLOOKUP(2,AM8:AW11,5,FALSE)</f>
        <v>0</v>
      </c>
      <c r="R10" s="29" t="str">
        <f>VLOOKUP(2,AM8:AW11,6,FALSE) &amp; " - " &amp; VLOOKUP(2,AM8:AW11,7,FALSE)</f>
        <v>2 - 0</v>
      </c>
      <c r="S10" s="30">
        <f>O10*3+P10</f>
        <v>3</v>
      </c>
      <c r="U10" s="116">
        <f>DATE(2016,6,11)+TIME(8,0,0)+gmt_delta</f>
        <v>42532.875</v>
      </c>
      <c r="V10" s="118" t="str">
        <f t="shared" si="0"/>
        <v>England_win</v>
      </c>
      <c r="W10" s="118" t="str">
        <f t="shared" si="1"/>
        <v>Russland_lose</v>
      </c>
      <c r="X10" s="117">
        <f t="shared" si="2"/>
        <v>0</v>
      </c>
      <c r="Y10" s="116">
        <f t="shared" si="3"/>
        <v>0</v>
      </c>
      <c r="Z10" s="116">
        <f t="shared" si="4"/>
        <v>0</v>
      </c>
      <c r="AA10" s="116">
        <f t="shared" si="5"/>
        <v>2</v>
      </c>
      <c r="AB10" s="116">
        <f t="shared" si="6"/>
        <v>1</v>
      </c>
      <c r="AC10" s="116">
        <f t="shared" si="7"/>
        <v>3</v>
      </c>
      <c r="AD10" s="116" t="str">
        <f t="shared" si="8"/>
        <v>213</v>
      </c>
      <c r="AE10" s="116">
        <f t="shared" si="9"/>
        <v>3</v>
      </c>
      <c r="AF10" s="116">
        <f t="shared" si="10"/>
        <v>3</v>
      </c>
      <c r="AG10" s="116">
        <f t="shared" si="11"/>
        <v>3</v>
      </c>
      <c r="AH10" s="116" t="str">
        <f t="shared" si="15"/>
        <v>231</v>
      </c>
      <c r="AI10" s="116">
        <f t="shared" si="12"/>
        <v>0</v>
      </c>
      <c r="AJ10" s="116">
        <f t="shared" si="13"/>
        <v>-3</v>
      </c>
      <c r="AK10" s="116">
        <f t="shared" si="14"/>
        <v>0</v>
      </c>
      <c r="AM10" s="116">
        <f t="shared" si="16"/>
        <v>4</v>
      </c>
      <c r="AN10" s="117" t="str">
        <f>INDEX(T,39,lang)</f>
        <v>Romania</v>
      </c>
      <c r="AO10" s="116">
        <f>COUNTIF($V$7:$W$42,"=" &amp; AN10 &amp; "_win")</f>
        <v>0</v>
      </c>
      <c r="AP10" s="116">
        <f>COUNTIF($V$7:$W$42,"=" &amp; AN10 &amp; "_draw")</f>
        <v>0</v>
      </c>
      <c r="AQ10" s="116">
        <f>COUNTIF($V$7:$W$42,"=" &amp; AN10 &amp; "_lose")</f>
        <v>1</v>
      </c>
      <c r="AR10" s="116">
        <f>SUMIF($E$10:$E$45,$AN10,$F$10:$F$45) + SUMIF($H$10:$H$45,$AN10,$G$10:$G$45)</f>
        <v>0</v>
      </c>
      <c r="AS10" s="116">
        <f>SUMIF($E$10:$E$45,$AN10,$G$10:$G$45) + SUMIF($H$10:$H$45,$AN10,$F$10:$F$45)</f>
        <v>2</v>
      </c>
      <c r="AT10" s="116">
        <f>AW10*10000</f>
        <v>0</v>
      </c>
      <c r="AU10" s="116">
        <f>AR10-AS10</f>
        <v>-2</v>
      </c>
      <c r="AV10" s="116">
        <f>(AU10-AU13)/AU12</f>
        <v>0</v>
      </c>
      <c r="AW10" s="116">
        <f>AO10*3+AP10</f>
        <v>0</v>
      </c>
      <c r="AX10" s="116">
        <f>BD10/BD12*10+BE10/BE12+BH10/BH12*0.1+BF10/BF12*0.01</f>
        <v>0</v>
      </c>
      <c r="AY10" s="116">
        <f t="shared" si="17"/>
        <v>1</v>
      </c>
      <c r="BA10" s="116">
        <f>VLOOKUP(AN10,db_fifarank,2,FALSE)/2000000</f>
        <v>1.4019E-2</v>
      </c>
      <c r="BB10" s="117">
        <f>10000000*AW10/AW12+100000*AX10/AX12+100*AV10+10*AR10/AR12+1*AX10/AX12+BA10</f>
        <v>1.4019E-2</v>
      </c>
      <c r="BC10" s="117" t="str">
        <f>IF(SUM(AO8:AQ11)&gt;0,M11,"3A")</f>
        <v>Albania</v>
      </c>
      <c r="BD10" s="116">
        <f>SUMPRODUCT(($V$7:$V$42=AN10&amp;"_win")*($X$7:$X$42))+SUMPRODUCT(($W$7:$W$42=AN10&amp;"_win")*($X$7:$X$42))</f>
        <v>0</v>
      </c>
      <c r="BE10" s="121">
        <f>SUMPRODUCT(($V$7:$V$42=AN10&amp;"_draw")*($X$7:$X$42))+SUMPRODUCT(($W$7:$W$42=AN10&amp;"_draw")*($X$7:$X$42))</f>
        <v>0</v>
      </c>
      <c r="BF10" s="121">
        <f>SUMPRODUCT(($E$10:$E$45=AN10)*($X$7:$X$42)*($F$10:$F$45))+SUMPRODUCT(($H$10:$H$45=AN10)*($X$7:$X$42)*($G$10:$G$45))</f>
        <v>0</v>
      </c>
      <c r="BG10" s="121">
        <f>SUMPRODUCT(($E$10:$E$45=AN10)*($X$7:$X$42)*($G$10:$G$45))+SUMPRODUCT(($H$10:$H$45=AN10)*($X$7:$X$42)*($F$10:$F$45))</f>
        <v>0</v>
      </c>
      <c r="BH10" s="121">
        <f>BF10-BG10</f>
        <v>0</v>
      </c>
      <c r="BI10" s="117" t="str">
        <f t="shared" si="18"/>
        <v>Romania</v>
      </c>
      <c r="BJ10" s="117">
        <v>1</v>
      </c>
      <c r="BK10" s="117">
        <v>3</v>
      </c>
      <c r="BM10" s="121">
        <f>IFERROR(VLOOKUP("131",$AD$7:$AG$42,2,FALSE),0) + IFERROR(VLOOKUP("131",$AH$7:$AK$42,2,FALSE),0)</f>
        <v>0</v>
      </c>
      <c r="BN10" s="121">
        <f>IFERROR(VLOOKUP("132",$AD$7:$AG$42,2,FALSE),0) + IFERROR(VLOOKUP("132",$AH$7:$AK$42,2,FALSE),0)</f>
        <v>1</v>
      </c>
      <c r="BP10" s="121">
        <f>IFERROR(VLOOKUP("134",$AD$7:$AG$42,2,FALSE),0) + IFERROR(VLOOKUP("134",$AH$7:$AK$42,2,FALSE),0)</f>
        <v>1</v>
      </c>
      <c r="BQ10" s="122">
        <f>SUM(BM10:BP10)</f>
        <v>2</v>
      </c>
      <c r="BR10" s="121">
        <f>IFERROR(VLOOKUP("131",$AD$7:$AG$42,3,FALSE),0) + IFERROR(VLOOKUP("131",$AH$7:$AK$42,3,FALSE),0)</f>
        <v>-2</v>
      </c>
      <c r="BS10" s="121">
        <f>IFERROR(VLOOKUP("132",$AD$7:$AG$42,3,FALSE),0) + IFERROR(VLOOKUP("132",$AH$7:$AK$42,3,FALSE),0)</f>
        <v>0</v>
      </c>
      <c r="BU10" s="121">
        <f>IFERROR(VLOOKUP("134",$AD$7:$AG$42,3,FALSE),0) + IFERROR(VLOOKUP("134",$AH$7:$AK$42,3,FALSE),0)</f>
        <v>0</v>
      </c>
      <c r="BV10" s="122">
        <f>SUM(BR10:BU10)</f>
        <v>-2</v>
      </c>
      <c r="BW10" s="122">
        <f>RANK(BV10,BV8:BV11)</f>
        <v>3</v>
      </c>
      <c r="BX10" s="121">
        <f>IFERROR(VLOOKUP("131",$AD$7:$AG$42,4,FALSE),0) + IFERROR(VLOOKUP("131",$AH$7:$AK$42,4,FALSE),0)</f>
        <v>0</v>
      </c>
      <c r="BY10" s="121">
        <f>IFERROR(VLOOKUP("132",$AD$7:$AG$42,4,FALSE),0) + IFERROR(VLOOKUP("132",$AH$7:$AK$42,4,FALSE),0)</f>
        <v>0</v>
      </c>
      <c r="CA10" s="121">
        <f>IFERROR(VLOOKUP("134",$AD$7:$AG$42,4,FALSE),0) + IFERROR(VLOOKUP("134",$AH$7:$AK$42,4,FALSE),0)</f>
        <v>0</v>
      </c>
      <c r="CB10" s="122">
        <f>SUM(BX10:CA10)</f>
        <v>0</v>
      </c>
      <c r="CC10" s="121">
        <f>IF(BM12=BQ10,BM10,0)</f>
        <v>0</v>
      </c>
      <c r="CD10" s="121">
        <f>IF(BN12=BQ10,BN10,0)</f>
        <v>1</v>
      </c>
      <c r="CF10" s="121">
        <f>IF(BP12=BQ10,BP10,0)</f>
        <v>0</v>
      </c>
      <c r="CG10" s="122">
        <f>SUM(CC10:CF10)</f>
        <v>1</v>
      </c>
      <c r="CH10" s="121">
        <f>IF(BM12=BQ10,BR10,0)</f>
        <v>0</v>
      </c>
      <c r="CI10" s="121">
        <f>IF(BN12=BQ10,BS10,0)</f>
        <v>0</v>
      </c>
      <c r="CK10" s="121">
        <f>IF(BP12=BQ10,BU10,0)</f>
        <v>0</v>
      </c>
      <c r="CL10" s="122">
        <f>SUM(CH10:CK10)</f>
        <v>0</v>
      </c>
      <c r="CM10" s="122">
        <f>RANK(CL10,CL8:CL11)</f>
        <v>1</v>
      </c>
      <c r="CN10" s="121">
        <f>IF(BM12=BQ10,BX10,0)</f>
        <v>0</v>
      </c>
      <c r="CO10" s="121">
        <f>IF(BN12=BQ10,BY10,0)</f>
        <v>0</v>
      </c>
      <c r="CQ10" s="121">
        <f>IF(BP12=BQ10,CA10,0)</f>
        <v>0</v>
      </c>
      <c r="CR10" s="122">
        <f>SUM(CN10:CQ10)</f>
        <v>0</v>
      </c>
      <c r="CS10" s="122">
        <f t="shared" si="19"/>
        <v>20104</v>
      </c>
      <c r="CT10" s="122">
        <f>RANK(CS10,CS8:CS11)</f>
        <v>3</v>
      </c>
      <c r="CU10" s="121">
        <f>IF(CU12=CT10,BM10,0)</f>
        <v>0</v>
      </c>
      <c r="CV10" s="121">
        <f>IF(CV12=CT10,BN10,0)</f>
        <v>1</v>
      </c>
      <c r="CX10" s="121">
        <f>IF(CX12=CT10,BP10,0)</f>
        <v>0</v>
      </c>
      <c r="CY10" s="122">
        <f t="shared" si="20"/>
        <v>1</v>
      </c>
      <c r="CZ10" s="122">
        <f t="shared" si="21"/>
        <v>20102.000140190001</v>
      </c>
      <c r="DA10" s="122">
        <f>RANK(CZ10,CZ8:CZ11)</f>
        <v>4</v>
      </c>
      <c r="DD10" s="168">
        <v>37</v>
      </c>
      <c r="DE10" s="90" t="str">
        <f>BC9</f>
        <v>2A</v>
      </c>
      <c r="DF10" s="61"/>
      <c r="DG10" s="126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</row>
    <row r="11" spans="1:129" x14ac:dyDescent="0.3">
      <c r="A11" s="70">
        <v>2</v>
      </c>
      <c r="B11" s="71" t="str">
        <f t="shared" si="22"/>
        <v>Lør</v>
      </c>
      <c r="C11" s="72" t="str">
        <f t="shared" si="23"/>
        <v>Jun 11, 2016</v>
      </c>
      <c r="D11" s="73">
        <f t="shared" ref="D11:D45" si="24">TIME(HOUR(U8),MINUTE(U8),0)</f>
        <v>0.625</v>
      </c>
      <c r="E11" s="74" t="str">
        <f>AN9</f>
        <v>Albania</v>
      </c>
      <c r="F11" s="57">
        <v>1</v>
      </c>
      <c r="G11" s="58">
        <v>3</v>
      </c>
      <c r="H11" s="81" t="str">
        <f>AN11</f>
        <v>Sveits</v>
      </c>
      <c r="I11" s="144" t="str">
        <f>INDEX(T,109,lang)</f>
        <v>Stade Bollaert-Delelis, Lens</v>
      </c>
      <c r="J11" s="145"/>
      <c r="K11" s="146"/>
      <c r="M11" s="23" t="str">
        <f>VLOOKUP(3,AM8:AW11,2,FALSE)</f>
        <v>Albania</v>
      </c>
      <c r="N11" s="29">
        <f>O11+P11+Q11</f>
        <v>1</v>
      </c>
      <c r="O11" s="29">
        <f>VLOOKUP(3,AM8:AW11,3,FALSE)</f>
        <v>0</v>
      </c>
      <c r="P11" s="29">
        <f>VLOOKUP(3,AM8:AW11,4,FALSE)</f>
        <v>0</v>
      </c>
      <c r="Q11" s="29">
        <f>VLOOKUP(3,AM8:AW11,5,FALSE)</f>
        <v>1</v>
      </c>
      <c r="R11" s="29" t="str">
        <f>VLOOKUP(3,AM8:AW11,6,FALSE) &amp; " - " &amp; VLOOKUP(3,AM8:AW11,7,FALSE)</f>
        <v>1 - 3</v>
      </c>
      <c r="S11" s="30">
        <f>O11*3+P11</f>
        <v>0</v>
      </c>
      <c r="U11" s="116">
        <f>DATE(2016,6,12)+TIME(2,0,0)+gmt_delta</f>
        <v>42533.625</v>
      </c>
      <c r="V11" s="118" t="str">
        <f t="shared" si="0"/>
        <v>Tyrkia_win</v>
      </c>
      <c r="W11" s="118" t="str">
        <f t="shared" si="1"/>
        <v>Kroatia_lose</v>
      </c>
      <c r="X11" s="117">
        <f t="shared" si="2"/>
        <v>0</v>
      </c>
      <c r="Y11" s="116">
        <f t="shared" si="3"/>
        <v>0</v>
      </c>
      <c r="Z11" s="116">
        <f t="shared" si="4"/>
        <v>0</v>
      </c>
      <c r="AA11" s="116">
        <f t="shared" si="5"/>
        <v>4</v>
      </c>
      <c r="AB11" s="116">
        <f t="shared" si="6"/>
        <v>3</v>
      </c>
      <c r="AC11" s="116">
        <f t="shared" si="7"/>
        <v>2</v>
      </c>
      <c r="AD11" s="116" t="str">
        <f t="shared" si="8"/>
        <v>432</v>
      </c>
      <c r="AE11" s="116">
        <f t="shared" si="9"/>
        <v>3</v>
      </c>
      <c r="AF11" s="116">
        <f t="shared" si="10"/>
        <v>1</v>
      </c>
      <c r="AG11" s="116">
        <f t="shared" si="11"/>
        <v>1</v>
      </c>
      <c r="AH11" s="116" t="str">
        <f t="shared" si="15"/>
        <v>423</v>
      </c>
      <c r="AI11" s="116">
        <f t="shared" si="12"/>
        <v>0</v>
      </c>
      <c r="AJ11" s="116">
        <f t="shared" si="13"/>
        <v>-1</v>
      </c>
      <c r="AK11" s="116">
        <f t="shared" si="14"/>
        <v>0</v>
      </c>
      <c r="AM11" s="116">
        <f t="shared" si="16"/>
        <v>1</v>
      </c>
      <c r="AN11" s="117" t="str">
        <f>INDEX(T,57,lang)</f>
        <v>Sveits</v>
      </c>
      <c r="AO11" s="116">
        <f>COUNTIF($V$7:$W$42,"=" &amp; AN11 &amp; "_win")</f>
        <v>1</v>
      </c>
      <c r="AP11" s="116">
        <f>COUNTIF($V$7:$W$42,"=" &amp; AN11 &amp; "_draw")</f>
        <v>0</v>
      </c>
      <c r="AQ11" s="116">
        <f>COUNTIF($V$7:$W$42,"=" &amp; AN11 &amp; "_lose")</f>
        <v>0</v>
      </c>
      <c r="AR11" s="116">
        <f>SUMIF($E$10:$E$45,$AN11,$F$10:$F$45) + SUMIF($H$10:$H$45,$AN11,$G$10:$G$45)</f>
        <v>3</v>
      </c>
      <c r="AS11" s="116">
        <f>SUMIF($E$10:$E$45,$AN11,$G$10:$G$45) + SUMIF($H$10:$H$45,$AN11,$F$10:$F$45)</f>
        <v>1</v>
      </c>
      <c r="AT11" s="116">
        <f>AW11*10000</f>
        <v>30000</v>
      </c>
      <c r="AU11" s="116">
        <f>AR11-AS11</f>
        <v>2</v>
      </c>
      <c r="AV11" s="116">
        <f>(AU11-AU13)/AU12</f>
        <v>0.8</v>
      </c>
      <c r="AW11" s="116">
        <f>AO11*3+AP11</f>
        <v>3</v>
      </c>
      <c r="AX11" s="116">
        <f>BD11/BD12*10+BE11/BE12+BH11/BH12*0.1+BF11/BF12*0.01</f>
        <v>0</v>
      </c>
      <c r="AY11" s="116">
        <f t="shared" si="17"/>
        <v>1</v>
      </c>
      <c r="BA11" s="116">
        <f>VLOOKUP(AN11,db_fifarank,2,FALSE)/2000000</f>
        <v>1.5626999999999999E-2</v>
      </c>
      <c r="BB11" s="117">
        <f>10000000*AW11/AW12+100000*AX11/AX12+100*AV11+10*AR11/AR12+1*AX11/AX12+BA11</f>
        <v>7500087.5156269995</v>
      </c>
      <c r="BD11" s="116">
        <f>SUMPRODUCT(($V$7:$V$42=AN11&amp;"_win")*($X$7:$X$42))+SUMPRODUCT(($W$7:$W$42=AN11&amp;"_win")*($X$7:$X$42))</f>
        <v>0</v>
      </c>
      <c r="BE11" s="121">
        <f>SUMPRODUCT(($V$7:$V$42=AN11&amp;"_draw")*($X$7:$X$42))+SUMPRODUCT(($W$7:$W$42=AN11&amp;"_draw")*($X$7:$X$42))</f>
        <v>0</v>
      </c>
      <c r="BF11" s="121">
        <f>SUMPRODUCT(($E$10:$E$45=AN11)*($X$7:$X$42)*($F$10:$F$45))+SUMPRODUCT(($H$10:$H$45=AN11)*($X$7:$X$42)*($G$10:$G$45))</f>
        <v>0</v>
      </c>
      <c r="BG11" s="121">
        <f>SUMPRODUCT(($E$10:$E$45=AN11)*($X$7:$X$42)*($G$10:$G$45))+SUMPRODUCT(($H$10:$H$45=AN11)*($X$7:$X$42)*($F$10:$F$45))</f>
        <v>0</v>
      </c>
      <c r="BH11" s="121">
        <f>BF11-BG11</f>
        <v>0</v>
      </c>
      <c r="BI11" s="117" t="str">
        <f t="shared" si="18"/>
        <v>Sveits</v>
      </c>
      <c r="BJ11" s="117">
        <v>1</v>
      </c>
      <c r="BK11" s="117">
        <v>4</v>
      </c>
      <c r="BM11" s="121">
        <f>IFERROR(VLOOKUP("141",$AD$7:$AG$42,2,FALSE),0) + IFERROR(VLOOKUP("141",$AH$7:$AK$42,2,FALSE),0)</f>
        <v>1</v>
      </c>
      <c r="BN11" s="121">
        <f>IFERROR(VLOOKUP("142",$AD$7:$AG$42,2,FALSE),0) + IFERROR(VLOOKUP("142",$AH$7:$AK$42,2,FALSE),0)</f>
        <v>3</v>
      </c>
      <c r="BO11" s="121">
        <f>IFERROR(VLOOKUP("143",$AD$7:$AG$42,2,FALSE),0) + IFERROR(VLOOKUP("143",$AH$7:$AK$42,2,FALSE),0)</f>
        <v>1</v>
      </c>
      <c r="BQ11" s="122">
        <f>SUM(BM11:BP11)</f>
        <v>5</v>
      </c>
      <c r="BR11" s="121">
        <f>IFERROR(VLOOKUP("141",$AD$7:$AG$42,3,FALSE),0) + IFERROR(VLOOKUP("141",$AH$7:$AK$42,3,FALSE),0)</f>
        <v>0</v>
      </c>
      <c r="BS11" s="121">
        <f>IFERROR(VLOOKUP("142",$AD$7:$AG$42,3,FALSE),0) + IFERROR(VLOOKUP("142",$AH$7:$AK$42,3,FALSE),0)</f>
        <v>2</v>
      </c>
      <c r="BT11" s="121">
        <f>IFERROR(VLOOKUP("143",$AD$7:$AG$42,3,FALSE),0) + IFERROR(VLOOKUP("143",$AH$7:$AK$42,3,FALSE),0)</f>
        <v>0</v>
      </c>
      <c r="BV11" s="122">
        <f>SUM(BR11:BU11)</f>
        <v>2</v>
      </c>
      <c r="BW11" s="122">
        <f>RANK(BV11,BV8:BV11)</f>
        <v>1</v>
      </c>
      <c r="BX11" s="121">
        <f>IFERROR(VLOOKUP("141",$AD$7:$AG$42,4,FALSE),0) + IFERROR(VLOOKUP("141",$AH$7:$AK$42,4,FALSE),0)</f>
        <v>0</v>
      </c>
      <c r="BY11" s="121">
        <f>IFERROR(VLOOKUP("142",$AD$7:$AG$42,4,FALSE),0) + IFERROR(VLOOKUP("142",$AH$7:$AK$42,4,FALSE),0)</f>
        <v>3</v>
      </c>
      <c r="BZ11" s="121">
        <f>IFERROR(VLOOKUP("143",$AD$7:$AG$42,4,FALSE),0) + IFERROR(VLOOKUP("143",$AH$7:$AK$42,4,FALSE),0)</f>
        <v>0</v>
      </c>
      <c r="CB11" s="122">
        <f>SUM(BX11:CA11)</f>
        <v>3</v>
      </c>
      <c r="CC11" s="121">
        <f>IF(BM12=BQ11,BM11,0)</f>
        <v>1</v>
      </c>
      <c r="CD11" s="121">
        <f>IF(BN12=BQ11,BN11,0)</f>
        <v>0</v>
      </c>
      <c r="CE11" s="121">
        <f>IF(BO12=BQ11,BO11,0)</f>
        <v>0</v>
      </c>
      <c r="CG11" s="122">
        <f>SUM(CC11:CF11)</f>
        <v>1</v>
      </c>
      <c r="CH11" s="121">
        <f>IF(BM12=BQ11,BR11,0)</f>
        <v>0</v>
      </c>
      <c r="CI11" s="121">
        <f>IF(BN12=BQ11,BS11,0)</f>
        <v>0</v>
      </c>
      <c r="CJ11" s="121">
        <f>IF(BO12=BQ11,BT11,0)</f>
        <v>0</v>
      </c>
      <c r="CL11" s="122">
        <f>SUM(CH11:CK11)</f>
        <v>0</v>
      </c>
      <c r="CM11" s="122">
        <f>RANK(CL11,CL8:CL11)</f>
        <v>1</v>
      </c>
      <c r="CN11" s="121">
        <f>IF(BM12=BQ11,BX11,0)</f>
        <v>0</v>
      </c>
      <c r="CO11" s="121">
        <f>IF(BN12=BQ11,BY11,0)</f>
        <v>0</v>
      </c>
      <c r="CP11" s="121">
        <f>IF(BO12=BQ11,BZ11,0)</f>
        <v>0</v>
      </c>
      <c r="CR11" s="122">
        <f>SUM(CN11:CQ11)</f>
        <v>0</v>
      </c>
      <c r="CS11" s="122">
        <f t="shared" si="19"/>
        <v>50104</v>
      </c>
      <c r="CT11" s="122">
        <f>RANK(CS11,CS8:CS11)</f>
        <v>1</v>
      </c>
      <c r="CU11" s="121">
        <f>IF(CU12=CT11,BM11,0)</f>
        <v>1</v>
      </c>
      <c r="CV11" s="121">
        <f>IF(CV12=CT11,BN11,0)</f>
        <v>0</v>
      </c>
      <c r="CW11" s="121">
        <f>IF(CW12=CT11,BO11,0)</f>
        <v>0</v>
      </c>
      <c r="CY11" s="122">
        <f t="shared" si="20"/>
        <v>1</v>
      </c>
      <c r="CZ11" s="122">
        <f t="shared" si="21"/>
        <v>40104.300156270001</v>
      </c>
      <c r="DA11" s="122">
        <f>RANK(CZ11,CZ8:CZ11)</f>
        <v>1</v>
      </c>
      <c r="DD11" s="169"/>
      <c r="DE11" s="91" t="str">
        <f>BC21</f>
        <v>2C</v>
      </c>
      <c r="DF11" s="59"/>
      <c r="DG11" s="127"/>
      <c r="DH11" s="86"/>
      <c r="DI11" s="83"/>
      <c r="DJ11" s="83" t="str">
        <f>INDEX(T,24+MONTH(U57),lang) &amp; " " &amp; DAY(U57) &amp; ", " &amp; YEAR(U57) &amp; "   " &amp; TEXT(TIME(HOUR(U57),MINUTE(U57),0),"hh:mm")</f>
        <v>Jun 30, 2016   hh:01</v>
      </c>
      <c r="DK11" s="83"/>
      <c r="DL11" s="83"/>
      <c r="DM11" s="9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</row>
    <row r="12" spans="1:129" x14ac:dyDescent="0.3">
      <c r="A12" s="70">
        <v>3</v>
      </c>
      <c r="B12" s="71" t="str">
        <f t="shared" si="22"/>
        <v>Lør</v>
      </c>
      <c r="C12" s="72" t="str">
        <f t="shared" si="23"/>
        <v>Jun 11, 2016</v>
      </c>
      <c r="D12" s="73">
        <f t="shared" si="24"/>
        <v>0.75</v>
      </c>
      <c r="E12" s="74" t="str">
        <f>AN15</f>
        <v>Wales</v>
      </c>
      <c r="F12" s="57">
        <v>3</v>
      </c>
      <c r="G12" s="58">
        <v>2</v>
      </c>
      <c r="H12" s="81" t="str">
        <f>AN17</f>
        <v>Slovakia</v>
      </c>
      <c r="I12" s="144" t="str">
        <f>INDEX(T,113,lang)</f>
        <v>Nouveau Stade de Bordeaux, Bordeaux</v>
      </c>
      <c r="J12" s="145"/>
      <c r="K12" s="146"/>
      <c r="M12" s="24" t="str">
        <f>VLOOKUP(4,AM8:AW11,2,FALSE)</f>
        <v>Romania</v>
      </c>
      <c r="N12" s="31">
        <f>O12+P12+Q12</f>
        <v>1</v>
      </c>
      <c r="O12" s="31">
        <f>VLOOKUP(4,AM8:AW11,3,FALSE)</f>
        <v>0</v>
      </c>
      <c r="P12" s="31">
        <f>VLOOKUP(4,AM8:AW11,4,FALSE)</f>
        <v>0</v>
      </c>
      <c r="Q12" s="31">
        <f>VLOOKUP(4,AM8:AW11,5,FALSE)</f>
        <v>1</v>
      </c>
      <c r="R12" s="31" t="str">
        <f>VLOOKUP(4,AM8:AW11,6,FALSE) &amp; " - " &amp; VLOOKUP(4,AM8:AW11,7,FALSE)</f>
        <v>0 - 2</v>
      </c>
      <c r="S12" s="32">
        <f>O12*3+P12</f>
        <v>0</v>
      </c>
      <c r="U12" s="116">
        <f>DATE(2016,6,12)+TIME(5,0,0)+gmt_delta</f>
        <v>42533.75</v>
      </c>
      <c r="V12" s="118" t="str">
        <f t="shared" si="0"/>
        <v>Polen_win</v>
      </c>
      <c r="W12" s="118" t="str">
        <f t="shared" si="1"/>
        <v>Nord-Irland_lose</v>
      </c>
      <c r="X12" s="117">
        <f t="shared" si="2"/>
        <v>0</v>
      </c>
      <c r="Y12" s="116">
        <f t="shared" si="3"/>
        <v>0</v>
      </c>
      <c r="Z12" s="116">
        <f t="shared" si="4"/>
        <v>0</v>
      </c>
      <c r="AA12" s="116">
        <f t="shared" si="5"/>
        <v>3</v>
      </c>
      <c r="AB12" s="116">
        <f t="shared" si="6"/>
        <v>3</v>
      </c>
      <c r="AC12" s="116">
        <f t="shared" si="7"/>
        <v>4</v>
      </c>
      <c r="AD12" s="116" t="str">
        <f t="shared" si="8"/>
        <v>334</v>
      </c>
      <c r="AE12" s="116">
        <f t="shared" si="9"/>
        <v>3</v>
      </c>
      <c r="AF12" s="116">
        <f t="shared" si="10"/>
        <v>1</v>
      </c>
      <c r="AG12" s="116">
        <f t="shared" si="11"/>
        <v>2</v>
      </c>
      <c r="AH12" s="116" t="str">
        <f t="shared" si="15"/>
        <v>343</v>
      </c>
      <c r="AI12" s="116">
        <f t="shared" si="12"/>
        <v>0</v>
      </c>
      <c r="AJ12" s="116">
        <f t="shared" si="13"/>
        <v>-1</v>
      </c>
      <c r="AK12" s="116">
        <f t="shared" si="14"/>
        <v>1</v>
      </c>
      <c r="AO12" s="116">
        <f t="shared" ref="AO12:AX12" si="25">MAX(AO8:AO11)-MIN(AO8:AO11)+1</f>
        <v>2</v>
      </c>
      <c r="AP12" s="116">
        <f t="shared" si="25"/>
        <v>1</v>
      </c>
      <c r="AQ12" s="116">
        <f t="shared" si="25"/>
        <v>2</v>
      </c>
      <c r="AR12" s="116">
        <f t="shared" si="25"/>
        <v>4</v>
      </c>
      <c r="AS12" s="116">
        <f t="shared" si="25"/>
        <v>4</v>
      </c>
      <c r="AT12" s="116">
        <f>MAX(AT8:AT11)-AT13+1</f>
        <v>30001</v>
      </c>
      <c r="AU12" s="116">
        <f>MAX(AU8:AU11)-AU13+1</f>
        <v>5</v>
      </c>
      <c r="AW12" s="116">
        <f t="shared" si="25"/>
        <v>4</v>
      </c>
      <c r="AX12" s="116">
        <f t="shared" si="25"/>
        <v>1</v>
      </c>
      <c r="BD12" s="116">
        <f>MAX(BD8:BD11)-MIN(BD8:BD11)+1</f>
        <v>1</v>
      </c>
      <c r="BE12" s="116">
        <f>MAX(BE8:BE11)-MIN(BE8:BE11)+1</f>
        <v>1</v>
      </c>
      <c r="BF12" s="116">
        <f>MAX(BF8:BF11)-MIN(BF8:BF11)+1</f>
        <v>1</v>
      </c>
      <c r="BG12" s="116">
        <f>MAX(BG8:BG11)-MIN(BG8:BG11)+1</f>
        <v>1</v>
      </c>
      <c r="BH12" s="116">
        <f>MAX(BH8:BH11)-MIN(BH8:BH11)+1</f>
        <v>1</v>
      </c>
      <c r="BI12" s="117" t="str">
        <f>AN14</f>
        <v>England</v>
      </c>
      <c r="BJ12" s="117">
        <v>2</v>
      </c>
      <c r="BK12" s="117">
        <v>1</v>
      </c>
      <c r="BM12" s="116">
        <f>BQ8</f>
        <v>5</v>
      </c>
      <c r="BN12" s="116">
        <f>BQ9</f>
        <v>2</v>
      </c>
      <c r="BO12" s="116">
        <f>BQ10</f>
        <v>2</v>
      </c>
      <c r="BP12" s="116">
        <f>BQ11</f>
        <v>5</v>
      </c>
      <c r="BR12" s="116"/>
      <c r="BS12" s="116"/>
      <c r="BT12" s="116"/>
      <c r="BU12" s="116"/>
      <c r="BX12" s="116"/>
      <c r="BY12" s="116"/>
      <c r="BZ12" s="116"/>
      <c r="CA12" s="116"/>
      <c r="CC12" s="116"/>
      <c r="CD12" s="116"/>
      <c r="CE12" s="116"/>
      <c r="CF12" s="116"/>
      <c r="CH12" s="116"/>
      <c r="CI12" s="116"/>
      <c r="CJ12" s="116"/>
      <c r="CK12" s="116"/>
      <c r="CN12" s="116"/>
      <c r="CO12" s="116"/>
      <c r="CP12" s="116"/>
      <c r="CQ12" s="116"/>
      <c r="CU12" s="116">
        <f>CT8</f>
        <v>1</v>
      </c>
      <c r="CV12" s="116">
        <f>CT9</f>
        <v>3</v>
      </c>
      <c r="CW12" s="116">
        <f>CT10</f>
        <v>3</v>
      </c>
      <c r="CX12" s="116">
        <f>CT11</f>
        <v>1</v>
      </c>
      <c r="CY12" s="122">
        <f t="shared" si="20"/>
        <v>8</v>
      </c>
      <c r="DD12" s="120"/>
      <c r="DE12" s="83"/>
      <c r="DF12" s="83"/>
      <c r="DG12" s="83"/>
      <c r="DH12" s="84"/>
      <c r="DI12" s="83"/>
      <c r="DJ12" s="170">
        <v>45</v>
      </c>
      <c r="DK12" s="90" t="str">
        <f>W46</f>
        <v>V37</v>
      </c>
      <c r="DL12" s="61"/>
      <c r="DM12" s="126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</row>
    <row r="13" spans="1:129" x14ac:dyDescent="0.3">
      <c r="A13" s="70">
        <v>4</v>
      </c>
      <c r="B13" s="71" t="str">
        <f t="shared" si="22"/>
        <v>Lør</v>
      </c>
      <c r="C13" s="72" t="str">
        <f t="shared" si="23"/>
        <v>Jun 11, 2016</v>
      </c>
      <c r="D13" s="73">
        <f t="shared" si="24"/>
        <v>0.875</v>
      </c>
      <c r="E13" s="74" t="str">
        <f>AN14</f>
        <v>England</v>
      </c>
      <c r="F13" s="57">
        <v>3</v>
      </c>
      <c r="G13" s="58">
        <v>0</v>
      </c>
      <c r="H13" s="81" t="str">
        <f>AN16</f>
        <v>Russland</v>
      </c>
      <c r="I13" s="144" t="str">
        <f>INDEX(T,106,lang)</f>
        <v>Stade Vélodrome, Marseille</v>
      </c>
      <c r="J13" s="145"/>
      <c r="K13" s="146"/>
      <c r="M13" s="33"/>
      <c r="N13" s="34"/>
      <c r="O13" s="34"/>
      <c r="P13" s="34"/>
      <c r="Q13" s="34"/>
      <c r="R13" s="34"/>
      <c r="S13" s="34"/>
      <c r="U13" s="116">
        <f>DATE(2016,6,12)+TIME(8,0,0)+gmt_delta</f>
        <v>42533.875</v>
      </c>
      <c r="V13" s="118" t="str">
        <f t="shared" si="0"/>
        <v>Tyskland_win</v>
      </c>
      <c r="W13" s="118" t="str">
        <f t="shared" si="1"/>
        <v>Ukraina_lose</v>
      </c>
      <c r="X13" s="117">
        <f t="shared" si="2"/>
        <v>0</v>
      </c>
      <c r="Y13" s="116">
        <f t="shared" si="3"/>
        <v>0</v>
      </c>
      <c r="Z13" s="116">
        <f t="shared" si="4"/>
        <v>0</v>
      </c>
      <c r="AA13" s="116">
        <f t="shared" si="5"/>
        <v>3</v>
      </c>
      <c r="AB13" s="116">
        <f t="shared" si="6"/>
        <v>1</v>
      </c>
      <c r="AC13" s="116">
        <f t="shared" si="7"/>
        <v>2</v>
      </c>
      <c r="AD13" s="116" t="str">
        <f t="shared" si="8"/>
        <v>312</v>
      </c>
      <c r="AE13" s="116">
        <f t="shared" si="9"/>
        <v>3</v>
      </c>
      <c r="AF13" s="116">
        <f t="shared" si="10"/>
        <v>2</v>
      </c>
      <c r="AG13" s="116">
        <f t="shared" si="11"/>
        <v>3</v>
      </c>
      <c r="AH13" s="116" t="str">
        <f t="shared" si="15"/>
        <v>321</v>
      </c>
      <c r="AI13" s="116">
        <f t="shared" si="12"/>
        <v>0</v>
      </c>
      <c r="AJ13" s="116">
        <f t="shared" si="13"/>
        <v>-2</v>
      </c>
      <c r="AK13" s="116">
        <f t="shared" si="14"/>
        <v>1</v>
      </c>
      <c r="AT13" s="116">
        <f>MIN(AT8:AT11)</f>
        <v>0</v>
      </c>
      <c r="AU13" s="116">
        <f>MIN(AU8:AU11)</f>
        <v>-2</v>
      </c>
      <c r="BI13" s="117" t="str">
        <f t="shared" ref="BI13:BI15" si="26">AN15</f>
        <v>Wales</v>
      </c>
      <c r="BJ13" s="117">
        <v>2</v>
      </c>
      <c r="BK13" s="117">
        <v>2</v>
      </c>
      <c r="DD13" s="120" t="str">
        <f>INDEX(T,24+MONTH(U48),lang) &amp; " " &amp; DAY(U48) &amp; ", " &amp; YEAR(U48) &amp; "   " &amp; TEXT(TIME(HOUR(U48),MINUTE(U48),0),"hh:mm")</f>
        <v>Jun 25, 2016   hh:01</v>
      </c>
      <c r="DE13" s="83"/>
      <c r="DF13" s="83"/>
      <c r="DG13" s="93"/>
      <c r="DH13" s="84"/>
      <c r="DI13" s="85"/>
      <c r="DJ13" s="171"/>
      <c r="DK13" s="91" t="str">
        <f>W47</f>
        <v>V39</v>
      </c>
      <c r="DL13" s="59"/>
      <c r="DM13" s="127"/>
      <c r="DN13" s="86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</row>
    <row r="14" spans="1:129" x14ac:dyDescent="0.3">
      <c r="A14" s="70">
        <v>5</v>
      </c>
      <c r="B14" s="71" t="str">
        <f t="shared" si="22"/>
        <v>Søn</v>
      </c>
      <c r="C14" s="72" t="str">
        <f t="shared" si="23"/>
        <v>Jun 12, 2016</v>
      </c>
      <c r="D14" s="73">
        <f t="shared" si="24"/>
        <v>0.625</v>
      </c>
      <c r="E14" s="74" t="str">
        <f>AN28</f>
        <v>Tyrkia</v>
      </c>
      <c r="F14" s="57">
        <v>1</v>
      </c>
      <c r="G14" s="58">
        <v>0</v>
      </c>
      <c r="H14" s="81" t="str">
        <f>AN27</f>
        <v>Kroatia</v>
      </c>
      <c r="I14" s="144" t="str">
        <f>INDEX(T,107,lang)</f>
        <v>Parc des Princes, Paris</v>
      </c>
      <c r="J14" s="145"/>
      <c r="K14" s="146"/>
      <c r="M14" s="55" t="str">
        <f>INDEX(T,9,lang) &amp; " " &amp; "B"</f>
        <v>Gruppe B</v>
      </c>
      <c r="N14" s="56" t="str">
        <f>INDEX(T,10,lang)</f>
        <v>S</v>
      </c>
      <c r="O14" s="56" t="str">
        <f>INDEX(T,11,lang)</f>
        <v>V</v>
      </c>
      <c r="P14" s="56" t="str">
        <f>INDEX(T,12,lang)</f>
        <v>T</v>
      </c>
      <c r="Q14" s="56" t="str">
        <f>INDEX(T,13,lang)</f>
        <v>U</v>
      </c>
      <c r="R14" s="56" t="str">
        <f>INDEX(T,14,lang)</f>
        <v>Mål</v>
      </c>
      <c r="S14" s="56" t="str">
        <f>INDEX(T,15,lang)</f>
        <v>P</v>
      </c>
      <c r="U14" s="116">
        <f>DATE(2016,6,13)+TIME(2,0,0)+gmt_delta</f>
        <v>42534.625</v>
      </c>
      <c r="V14" s="118" t="str">
        <f t="shared" si="0"/>
        <v/>
      </c>
      <c r="W14" s="118" t="str">
        <f t="shared" si="1"/>
        <v/>
      </c>
      <c r="X14" s="117">
        <f t="shared" si="2"/>
        <v>0</v>
      </c>
      <c r="Y14" s="116">
        <f t="shared" si="3"/>
        <v>0</v>
      </c>
      <c r="Z14" s="116">
        <f t="shared" si="4"/>
        <v>0</v>
      </c>
      <c r="AA14" s="116">
        <f t="shared" si="5"/>
        <v>4</v>
      </c>
      <c r="AB14" s="116">
        <f t="shared" si="6"/>
        <v>1</v>
      </c>
      <c r="AC14" s="116">
        <f t="shared" si="7"/>
        <v>4</v>
      </c>
      <c r="AD14" s="116" t="str">
        <f t="shared" si="8"/>
        <v>414</v>
      </c>
      <c r="AE14" s="116">
        <f t="shared" si="9"/>
        <v>1</v>
      </c>
      <c r="AF14" s="116">
        <f t="shared" si="10"/>
        <v>0</v>
      </c>
      <c r="AG14" s="116">
        <f t="shared" si="11"/>
        <v>0</v>
      </c>
      <c r="AH14" s="116" t="str">
        <f t="shared" si="15"/>
        <v>441</v>
      </c>
      <c r="AI14" s="116">
        <f t="shared" si="12"/>
        <v>1</v>
      </c>
      <c r="AJ14" s="116">
        <f t="shared" si="13"/>
        <v>0</v>
      </c>
      <c r="AK14" s="116">
        <f t="shared" si="14"/>
        <v>0</v>
      </c>
      <c r="AM14" s="116">
        <f>DA14</f>
        <v>1</v>
      </c>
      <c r="AN14" s="117" t="str">
        <f>INDEX(T,66,lang)</f>
        <v>England</v>
      </c>
      <c r="AO14" s="116">
        <f>COUNTIF($V$7:$W$42,"=" &amp; AN14 &amp; "_win")</f>
        <v>1</v>
      </c>
      <c r="AP14" s="116">
        <f>COUNTIF($V$7:$W$42,"=" &amp; AN14 &amp; "_draw")</f>
        <v>0</v>
      </c>
      <c r="AQ14" s="116">
        <f>COUNTIF($V$7:$W$42,"=" &amp; AN14 &amp; "_lose")</f>
        <v>0</v>
      </c>
      <c r="AR14" s="116">
        <f>SUMIF($E$10:$E$45,$AN14,$F$10:$F$45) + SUMIF($H$10:$H$45,$AN14,$G$10:$G$45)</f>
        <v>3</v>
      </c>
      <c r="AS14" s="116">
        <f>SUMIF($E$10:$E$45,$AN14,$G$10:$G$45) + SUMIF($H$10:$H$45,$AN14,$F$10:$F$45)</f>
        <v>0</v>
      </c>
      <c r="AT14" s="116">
        <f>AW14*10000</f>
        <v>30000</v>
      </c>
      <c r="AU14" s="116">
        <f>AR14-AS14</f>
        <v>3</v>
      </c>
      <c r="AV14" s="116">
        <f>(AU14-AU19)/AU18</f>
        <v>0.8571428571428571</v>
      </c>
      <c r="AW14" s="116">
        <f>AO14*3+AP14</f>
        <v>3</v>
      </c>
      <c r="AX14" s="116">
        <f>BD14/BD18*10+BE14/BE18+BH14/BH18*0.1+BF14/BF18*0.01</f>
        <v>0</v>
      </c>
      <c r="BA14" s="116">
        <f>VLOOKUP(AN14,db_fifarank,2,FALSE)/2000000</f>
        <v>1.7981500000000001E-2</v>
      </c>
      <c r="BB14" s="117">
        <f>10000000*AW14/AW18+100000*AX14/AX18+100*AV14+10*AR14/AR18+1*AX14/AX18+BA14</f>
        <v>7500093.2322672149</v>
      </c>
      <c r="BC14" s="117" t="str">
        <f>IF(SUM(AO14:AQ17)=12,M15,INDEX(T,72,lang))</f>
        <v>1B</v>
      </c>
      <c r="BD14" s="116">
        <f>SUMPRODUCT(($V$7:$V$42=AN14&amp;"_win")*($X$7:$X$42))+SUMPRODUCT(($W$7:$W$42=AN14&amp;"_win")*($X$7:$X$42))</f>
        <v>0</v>
      </c>
      <c r="BE14" s="121">
        <f>SUMPRODUCT(($V$7:$V$42=AN14&amp;"_draw")*($X$7:$X$42))+SUMPRODUCT(($W$7:$W$42=AN14&amp;"_draw")*($X$7:$X$42))</f>
        <v>0</v>
      </c>
      <c r="BF14" s="121">
        <f>SUMPRODUCT(($E$10:$E$45=AN14)*($X$7:$X$42)*($F$10:$F$45))+SUMPRODUCT(($H$10:$H$45=AN14)*($X$7:$X$42)*($G$10:$G$45))</f>
        <v>0</v>
      </c>
      <c r="BG14" s="121">
        <f>SUMPRODUCT(($E$10:$E$45=AN14)*($X$7:$X$42)*($G$10:$G$45))+SUMPRODUCT(($H$10:$H$45=AN14)*($X$7:$X$42)*($F$10:$F$45))</f>
        <v>0</v>
      </c>
      <c r="BH14" s="121">
        <f>BF14-BG14</f>
        <v>0</v>
      </c>
      <c r="BI14" s="117" t="str">
        <f t="shared" si="26"/>
        <v>Russland</v>
      </c>
      <c r="BJ14" s="117">
        <v>2</v>
      </c>
      <c r="BK14" s="117">
        <v>3</v>
      </c>
      <c r="BN14" s="121">
        <f>IFERROR(VLOOKUP("212",$AD$7:$AG$42,2,FALSE),0) + IFERROR(VLOOKUP("212",$AH$7:$AK$42,2,FALSE),0)</f>
        <v>1</v>
      </c>
      <c r="BO14" s="121">
        <f>IFERROR(VLOOKUP("213",$AD$7:$AG$42,2,FALSE),0) + IFERROR(VLOOKUP("213",$AH$7:$AK$42,2,FALSE),0)</f>
        <v>3</v>
      </c>
      <c r="BP14" s="121">
        <f>IFERROR(VLOOKUP("214",$AD$7:$AG$42,2,FALSE),0) + IFERROR(VLOOKUP("214",$AH$7:$AK$42,2,FALSE),0)</f>
        <v>1</v>
      </c>
      <c r="BQ14" s="122">
        <f>SUM(BM14:BP14)</f>
        <v>5</v>
      </c>
      <c r="BS14" s="121">
        <f>IFERROR(VLOOKUP("212",$AD$7:$AG$42,3,FALSE),0) + IFERROR(VLOOKUP("212",$AH$7:$AK$42,3,FALSE),0)</f>
        <v>0</v>
      </c>
      <c r="BT14" s="121">
        <f>IFERROR(VLOOKUP("213",$AD$7:$AG$42,3,FALSE),0) + IFERROR(VLOOKUP("213",$AH$7:$AK$42,3,FALSE),0)</f>
        <v>3</v>
      </c>
      <c r="BU14" s="121">
        <f>IFERROR(VLOOKUP("214",$AD$7:$AG$42,3,FALSE),0) + IFERROR(VLOOKUP("214",$AH$7:$AK$42,3,FALSE),0)</f>
        <v>0</v>
      </c>
      <c r="BV14" s="122">
        <f>SUM(BR14:BU14)</f>
        <v>3</v>
      </c>
      <c r="BW14" s="122">
        <f>RANK(BV14,BV14:BV17)</f>
        <v>1</v>
      </c>
      <c r="BY14" s="121">
        <f>IFERROR(VLOOKUP("212",$AD$7:$AG$42,4,FALSE),0) + IFERROR(VLOOKUP("212",$AH$7:$AK$42,4,FALSE),0)</f>
        <v>0</v>
      </c>
      <c r="BZ14" s="121">
        <f>IFERROR(VLOOKUP("213",$AD$7:$AG$42,4,FALSE),0) + IFERROR(VLOOKUP("213",$AH$7:$AK$42,4,FALSE),0)</f>
        <v>3</v>
      </c>
      <c r="CA14" s="121">
        <f>IFERROR(VLOOKUP("214",$AD$7:$AG$42,4,FALSE),0) + IFERROR(VLOOKUP("214",$AH$7:$AK$42,4,FALSE),0)</f>
        <v>0</v>
      </c>
      <c r="CB14" s="122">
        <f>SUM(BX14:CA14)</f>
        <v>3</v>
      </c>
      <c r="CD14" s="121">
        <f>IF(BN18=BQ14,BN14,0)</f>
        <v>1</v>
      </c>
      <c r="CE14" s="121">
        <f>IF(BO18=BQ14,BO14,0)</f>
        <v>0</v>
      </c>
      <c r="CF14" s="121">
        <f>IF(BP18=BQ14,BP14,0)</f>
        <v>0</v>
      </c>
      <c r="CG14" s="122">
        <f>SUM(CC14:CF14)</f>
        <v>1</v>
      </c>
      <c r="CI14" s="121">
        <f>IF(BN18=BQ14,BS14,0)</f>
        <v>0</v>
      </c>
      <c r="CJ14" s="121">
        <f>IF(BO18=BQ14,BT14,0)</f>
        <v>0</v>
      </c>
      <c r="CK14" s="121">
        <f>IF(BP18=BQ14,BU14,0)</f>
        <v>0</v>
      </c>
      <c r="CL14" s="122">
        <f>SUM(CH14:CK14)</f>
        <v>0</v>
      </c>
      <c r="CM14" s="122">
        <f>RANK(CL14,CL14:CL17)</f>
        <v>1</v>
      </c>
      <c r="CO14" s="121">
        <f>IF(BN18=BQ14,BY14,0)</f>
        <v>0</v>
      </c>
      <c r="CP14" s="121">
        <f>IF(BO18=BQ14,BZ14,0)</f>
        <v>0</v>
      </c>
      <c r="CQ14" s="121">
        <f>IF(BP18=BQ14,CA14,0)</f>
        <v>0</v>
      </c>
      <c r="CR14" s="122">
        <f>SUM(CN14:CQ14)</f>
        <v>0</v>
      </c>
      <c r="CS14" s="122">
        <f>BQ14*10000+CG14*100+(5-CM14)+CR14/10</f>
        <v>50104</v>
      </c>
      <c r="CT14" s="122">
        <f>RANK(CS14,CS14:CS17)</f>
        <v>1</v>
      </c>
      <c r="CV14" s="121">
        <f>IF(CV18=CT14,BN14,0)</f>
        <v>1</v>
      </c>
      <c r="CW14" s="121">
        <f>IF(CW18=CT14,BO14,0)</f>
        <v>0</v>
      </c>
      <c r="CX14" s="121">
        <f>IF(CX18=CT14,BP14,0)</f>
        <v>0</v>
      </c>
      <c r="CY14" s="122">
        <f>SUM(CU14:CX14)</f>
        <v>1</v>
      </c>
      <c r="CZ14" s="122">
        <f>(5-CT14)*10000+CY14*100+(5-BW14)+CB14/10+BA14/100</f>
        <v>40104.300179815</v>
      </c>
      <c r="DA14" s="122">
        <f>RANK(CZ14,CZ14:CZ17)</f>
        <v>1</v>
      </c>
      <c r="DD14" s="168">
        <v>39</v>
      </c>
      <c r="DE14" s="90" t="str">
        <f>BC26</f>
        <v>1D</v>
      </c>
      <c r="DF14" s="61"/>
      <c r="DG14" s="126"/>
      <c r="DH14" s="87"/>
      <c r="DI14" s="83"/>
      <c r="DJ14" s="83"/>
      <c r="DK14" s="83"/>
      <c r="DL14" s="83"/>
      <c r="DM14" s="83"/>
      <c r="DN14" s="84"/>
      <c r="DO14" s="83"/>
      <c r="DP14" s="83"/>
      <c r="DQ14" s="83"/>
      <c r="DR14" s="83"/>
      <c r="DS14" s="93"/>
      <c r="DT14" s="83"/>
      <c r="DU14" s="83"/>
      <c r="DV14" s="83"/>
      <c r="DW14" s="83"/>
      <c r="DX14" s="83"/>
      <c r="DY14" s="83"/>
    </row>
    <row r="15" spans="1:129" x14ac:dyDescent="0.3">
      <c r="A15" s="70">
        <v>6</v>
      </c>
      <c r="B15" s="71" t="str">
        <f t="shared" si="22"/>
        <v>Søn</v>
      </c>
      <c r="C15" s="72" t="str">
        <f t="shared" si="23"/>
        <v>Jun 12, 2016</v>
      </c>
      <c r="D15" s="73">
        <f t="shared" si="24"/>
        <v>0.75</v>
      </c>
      <c r="E15" s="74" t="str">
        <f>AN22</f>
        <v>Polen</v>
      </c>
      <c r="F15" s="57">
        <v>2</v>
      </c>
      <c r="G15" s="58">
        <v>1</v>
      </c>
      <c r="H15" s="81" t="str">
        <f>AN23</f>
        <v>Nord-Irland</v>
      </c>
      <c r="I15" s="144" t="str">
        <f>INDEX(T,103,lang)</f>
        <v>Allianz Riviera, Nice</v>
      </c>
      <c r="J15" s="156"/>
      <c r="K15" s="157"/>
      <c r="M15" s="22" t="str">
        <f>VLOOKUP(1,AM14:AW17,2,FALSE)</f>
        <v>England</v>
      </c>
      <c r="N15" s="27">
        <f>O15+P15+Q15</f>
        <v>1</v>
      </c>
      <c r="O15" s="27">
        <f>VLOOKUP(1,AM14:AW17,3,FALSE)</f>
        <v>1</v>
      </c>
      <c r="P15" s="27">
        <f>VLOOKUP(1,AM14:AW17,4,FALSE)</f>
        <v>0</v>
      </c>
      <c r="Q15" s="27">
        <f>VLOOKUP(1,AM14:AW17,5,FALSE)</f>
        <v>0</v>
      </c>
      <c r="R15" s="27" t="str">
        <f>VLOOKUP(1,AM14:AW17,6,FALSE) &amp; " - " &amp; VLOOKUP(1,AM14:AW17,7,FALSE)</f>
        <v>3 - 0</v>
      </c>
      <c r="S15" s="28">
        <f>O15*3+P15</f>
        <v>3</v>
      </c>
      <c r="U15" s="116">
        <f>DATE(2016,6,13)+TIME(5,0,0)+gmt_delta</f>
        <v>42534.75</v>
      </c>
      <c r="V15" s="118" t="str">
        <f t="shared" si="0"/>
        <v/>
      </c>
      <c r="W15" s="118" t="str">
        <f t="shared" si="1"/>
        <v/>
      </c>
      <c r="X15" s="117">
        <f t="shared" si="2"/>
        <v>0</v>
      </c>
      <c r="Y15" s="116">
        <f t="shared" si="3"/>
        <v>0</v>
      </c>
      <c r="Z15" s="116">
        <f t="shared" si="4"/>
        <v>0</v>
      </c>
      <c r="AA15" s="116">
        <f t="shared" si="5"/>
        <v>5</v>
      </c>
      <c r="AB15" s="116">
        <f t="shared" si="6"/>
        <v>2</v>
      </c>
      <c r="AC15" s="116">
        <f t="shared" si="7"/>
        <v>4</v>
      </c>
      <c r="AD15" s="116" t="str">
        <f t="shared" si="8"/>
        <v>524</v>
      </c>
      <c r="AE15" s="116">
        <f t="shared" si="9"/>
        <v>1</v>
      </c>
      <c r="AF15" s="116">
        <f t="shared" si="10"/>
        <v>0</v>
      </c>
      <c r="AG15" s="116">
        <f t="shared" si="11"/>
        <v>0</v>
      </c>
      <c r="AH15" s="116" t="str">
        <f t="shared" si="15"/>
        <v>542</v>
      </c>
      <c r="AI15" s="116">
        <f t="shared" si="12"/>
        <v>1</v>
      </c>
      <c r="AJ15" s="116">
        <f t="shared" si="13"/>
        <v>0</v>
      </c>
      <c r="AK15" s="116">
        <f t="shared" si="14"/>
        <v>0</v>
      </c>
      <c r="AM15" s="116">
        <f t="shared" ref="AM15:AM17" si="27">DA15</f>
        <v>2</v>
      </c>
      <c r="AN15" s="117" t="str">
        <f>INDEX(T,54,lang)</f>
        <v>Wales</v>
      </c>
      <c r="AO15" s="116">
        <f>COUNTIF($V$7:$W$42,"=" &amp; AN15 &amp; "_win")</f>
        <v>1</v>
      </c>
      <c r="AP15" s="116">
        <f>COUNTIF($V$7:$W$42,"=" &amp; AN15 &amp; "_draw")</f>
        <v>0</v>
      </c>
      <c r="AQ15" s="116">
        <f>COUNTIF($V$7:$W$42,"=" &amp; AN15 &amp; "_lose")</f>
        <v>0</v>
      </c>
      <c r="AR15" s="116">
        <f>SUMIF($E$10:$E$45,$AN15,$F$10:$F$45) + SUMIF($H$10:$H$45,$AN15,$G$10:$G$45)</f>
        <v>3</v>
      </c>
      <c r="AS15" s="116">
        <f>SUMIF($E$10:$E$45,$AN15,$G$10:$G$45) + SUMIF($H$10:$H$45,$AN15,$F$10:$F$45)</f>
        <v>2</v>
      </c>
      <c r="AT15" s="116">
        <f>AW15*10000</f>
        <v>30000</v>
      </c>
      <c r="AU15" s="116">
        <f>AR15-AS15</f>
        <v>1</v>
      </c>
      <c r="AV15" s="116">
        <f>(AU15-AU19)/AU18</f>
        <v>0.5714285714285714</v>
      </c>
      <c r="AW15" s="116">
        <f>AO15*3+AP15</f>
        <v>3</v>
      </c>
      <c r="AX15" s="116">
        <f>BD15/BD18*10+BE15/BE18+BH15/BH18*0.1+BF15/BF18*0.01</f>
        <v>0</v>
      </c>
      <c r="BA15" s="116">
        <f>VLOOKUP(AN15,db_fifarank,2,FALSE)/2000000</f>
        <v>1.2260500000000001E-2</v>
      </c>
      <c r="BB15" s="117">
        <f>10000000*AW15/AW18+100000*AX15/AX18+100*AV15+10*AR15/AR18+1*AX15/AX18+BA15</f>
        <v>7500064.6551176431</v>
      </c>
      <c r="BC15" s="117" t="str">
        <f>IF(SUM(AO14:AQ17)=12,M16,INDEX(T,73,lang))</f>
        <v>2B</v>
      </c>
      <c r="BD15" s="116">
        <f>SUMPRODUCT(($V$7:$V$42=AN15&amp;"_win")*($X$7:$X$42))+SUMPRODUCT(($W$7:$W$42=AN15&amp;"_win")*($X$7:$X$42))</f>
        <v>0</v>
      </c>
      <c r="BE15" s="121">
        <f>SUMPRODUCT(($V$7:$V$42=AN15&amp;"_draw")*($X$7:$X$42))+SUMPRODUCT(($W$7:$W$42=AN15&amp;"_draw")*($X$7:$X$42))</f>
        <v>0</v>
      </c>
      <c r="BF15" s="121">
        <f>SUMPRODUCT(($E$10:$E$45=AN15)*($X$7:$X$42)*($F$10:$F$45))+SUMPRODUCT(($H$10:$H$45=AN15)*($X$7:$X$42)*($G$10:$G$45))</f>
        <v>0</v>
      </c>
      <c r="BG15" s="121">
        <f>SUMPRODUCT(($E$10:$E$45=AN15)*($X$7:$X$42)*($G$10:$G$45))+SUMPRODUCT(($H$10:$H$45=AN15)*($X$7:$X$42)*($F$10:$F$45))</f>
        <v>0</v>
      </c>
      <c r="BH15" s="121">
        <f>BF15-BG15</f>
        <v>0</v>
      </c>
      <c r="BI15" s="117" t="str">
        <f t="shared" si="26"/>
        <v>Slovakia</v>
      </c>
      <c r="BJ15" s="117">
        <v>2</v>
      </c>
      <c r="BK15" s="117">
        <v>4</v>
      </c>
      <c r="BM15" s="121">
        <f>IFERROR(VLOOKUP("221",$AD$7:$AG$42,2,FALSE),0) + IFERROR(VLOOKUP("221",$AH$7:$AK$42,2,FALSE),0)</f>
        <v>1</v>
      </c>
      <c r="BO15" s="121">
        <f>IFERROR(VLOOKUP("223",$AD$7:$AG$42,2,FALSE),0) + IFERROR(VLOOKUP("223",$AH$7:$AK$42,2,FALSE),0)</f>
        <v>1</v>
      </c>
      <c r="BP15" s="121">
        <f>IFERROR(VLOOKUP("224",$AD$7:$AG$42,2,FALSE),0) + IFERROR(VLOOKUP("224",$AH$7:$AK$42,2,FALSE),0)</f>
        <v>3</v>
      </c>
      <c r="BQ15" s="122">
        <f>SUM(BM15:BP15)</f>
        <v>5</v>
      </c>
      <c r="BR15" s="121">
        <f>IFERROR(VLOOKUP("221",$AD$7:$AG$42,3,FALSE),0) + IFERROR(VLOOKUP("221",$AH$7:$AK$42,3,FALSE),0)</f>
        <v>0</v>
      </c>
      <c r="BT15" s="121">
        <f>IFERROR(VLOOKUP("223",$AD$7:$AG$42,3,FALSE),0) + IFERROR(VLOOKUP("223",$AH$7:$AK$42,3,FALSE),0)</f>
        <v>0</v>
      </c>
      <c r="BU15" s="121">
        <f>IFERROR(VLOOKUP("224",$AD$7:$AG$42,3,FALSE),0) + IFERROR(VLOOKUP("224",$AH$7:$AK$42,3,FALSE),0)</f>
        <v>1</v>
      </c>
      <c r="BV15" s="122">
        <f>SUM(BR15:BU15)</f>
        <v>1</v>
      </c>
      <c r="BW15" s="122">
        <f>RANK(BV15,BV14:BV17)</f>
        <v>2</v>
      </c>
      <c r="BX15" s="121">
        <f>IFERROR(VLOOKUP("221",$AD$7:$AG$42,4,FALSE),0) + IFERROR(VLOOKUP("221",$AH$7:$AK$42,4,FALSE),0)</f>
        <v>0</v>
      </c>
      <c r="BZ15" s="121">
        <f>IFERROR(VLOOKUP("223",$AD$7:$AG$42,4,FALSE),0) + IFERROR(VLOOKUP("223",$AH$7:$AK$42,4,FALSE),0)</f>
        <v>0</v>
      </c>
      <c r="CA15" s="121">
        <f>IFERROR(VLOOKUP("224",$AD$7:$AG$42,4,FALSE),0) + IFERROR(VLOOKUP("224",$AH$7:$AK$42,4,FALSE),0)</f>
        <v>3</v>
      </c>
      <c r="CB15" s="122">
        <f>SUM(BX15:CA15)</f>
        <v>3</v>
      </c>
      <c r="CC15" s="121">
        <f>IF(BM18=BQ15,BM15,0)</f>
        <v>1</v>
      </c>
      <c r="CE15" s="121">
        <f>IF(BO18=BQ15,BO15,0)</f>
        <v>0</v>
      </c>
      <c r="CF15" s="121">
        <f>IF(BP18=BQ15,BP15,0)</f>
        <v>0</v>
      </c>
      <c r="CG15" s="122">
        <f>SUM(CC15:CF15)</f>
        <v>1</v>
      </c>
      <c r="CH15" s="121">
        <f>IF(BM18=BQ15,BR15,0)</f>
        <v>0</v>
      </c>
      <c r="CJ15" s="121">
        <f>IF(BO18=BQ15,BT15,0)</f>
        <v>0</v>
      </c>
      <c r="CK15" s="121">
        <f>IF(BP18=BQ15,BU15,0)</f>
        <v>0</v>
      </c>
      <c r="CL15" s="122">
        <f>SUM(CH15:CK15)</f>
        <v>0</v>
      </c>
      <c r="CM15" s="122">
        <f>RANK(CL15,CL14:CL17)</f>
        <v>1</v>
      </c>
      <c r="CN15" s="121">
        <f>IF(BM18=BQ15,BX15,0)</f>
        <v>0</v>
      </c>
      <c r="CP15" s="121">
        <f>IF(BO18=BQ15,BZ15,0)</f>
        <v>0</v>
      </c>
      <c r="CQ15" s="121">
        <f>IF(BP18=BQ15,CA15,0)</f>
        <v>0</v>
      </c>
      <c r="CR15" s="122">
        <f>SUM(CN15:CQ15)</f>
        <v>0</v>
      </c>
      <c r="CS15" s="122">
        <f t="shared" ref="CS15:CS17" si="28">BQ15*10000+CG15*100+(5-CM15)+CR15/10</f>
        <v>50104</v>
      </c>
      <c r="CT15" s="122">
        <f>RANK(CS15,CS14:CS17)</f>
        <v>1</v>
      </c>
      <c r="CU15" s="121">
        <f>IF(CU18=CT15,BM15,0)</f>
        <v>1</v>
      </c>
      <c r="CW15" s="121">
        <f>IF(CW18=CT15,BO15,0)</f>
        <v>0</v>
      </c>
      <c r="CX15" s="121">
        <f>IF(CX18=CT15,BP15,0)</f>
        <v>0</v>
      </c>
      <c r="CY15" s="122">
        <f t="shared" ref="CY15:CY18" si="29">SUM(CU15:CX15)</f>
        <v>1</v>
      </c>
      <c r="CZ15" s="122">
        <f t="shared" ref="CZ15:CZ17" si="30">(5-CT15)*10000+CY15*100+(5-BW15)+CB15/10+BA15/100</f>
        <v>40103.300122605004</v>
      </c>
      <c r="DA15" s="122">
        <f>RANK(CZ15,CZ14:CZ17)</f>
        <v>2</v>
      </c>
      <c r="DD15" s="169"/>
      <c r="DE15" s="91" t="str">
        <f>VLOOKUP(lookup_3rd, tbl_lookup_3rd,5,FALSE)</f>
        <v>3F</v>
      </c>
      <c r="DF15" s="59"/>
      <c r="DG15" s="127"/>
      <c r="DH15" s="83"/>
      <c r="DI15" s="83"/>
      <c r="DJ15" s="83"/>
      <c r="DK15" s="83"/>
      <c r="DL15" s="83"/>
      <c r="DM15" s="83"/>
      <c r="DN15" s="84"/>
      <c r="DO15" s="83"/>
      <c r="DP15" s="83" t="str">
        <f>INDEX(T,24+MONTH(U64),lang) &amp; " " &amp; DAY(U64) &amp; ", " &amp; YEAR(U64) &amp; "   " &amp; TEXT(TIME(HOUR(U64),MINUTE(U64),0),"hh:mm")</f>
        <v>Jul 6, 2016   hh:01</v>
      </c>
      <c r="DQ15" s="83"/>
      <c r="DR15" s="83"/>
      <c r="DS15" s="93"/>
      <c r="DT15" s="83"/>
      <c r="DU15" s="83"/>
      <c r="DV15" s="83"/>
      <c r="DW15" s="83"/>
      <c r="DX15" s="83"/>
      <c r="DY15" s="83"/>
    </row>
    <row r="16" spans="1:129" x14ac:dyDescent="0.3">
      <c r="A16" s="70">
        <v>7</v>
      </c>
      <c r="B16" s="71" t="str">
        <f t="shared" si="22"/>
        <v>Søn</v>
      </c>
      <c r="C16" s="72" t="str">
        <f t="shared" si="23"/>
        <v>Jun 12, 2016</v>
      </c>
      <c r="D16" s="73">
        <f t="shared" si="24"/>
        <v>0.875</v>
      </c>
      <c r="E16" s="74" t="str">
        <f>AN20</f>
        <v>Tyskland</v>
      </c>
      <c r="F16" s="57">
        <v>3</v>
      </c>
      <c r="G16" s="58">
        <v>1</v>
      </c>
      <c r="H16" s="81" t="str">
        <f>AN21</f>
        <v>Ukraina</v>
      </c>
      <c r="I16" s="144" t="str">
        <f>INDEX(T,111,lang)</f>
        <v>Stade Pierre-Mauroy, Lille</v>
      </c>
      <c r="J16" s="156"/>
      <c r="K16" s="157"/>
      <c r="M16" s="23" t="str">
        <f>VLOOKUP(2,AM14:AW17,2,FALSE)</f>
        <v>Wales</v>
      </c>
      <c r="N16" s="29">
        <f>O16+P16+Q16</f>
        <v>1</v>
      </c>
      <c r="O16" s="29">
        <f>VLOOKUP(2,AM14:AW17,3,FALSE)</f>
        <v>1</v>
      </c>
      <c r="P16" s="29">
        <f>VLOOKUP(2,AM14:AW17,4,FALSE)</f>
        <v>0</v>
      </c>
      <c r="Q16" s="29">
        <f>VLOOKUP(2,AM14:AW17,5,FALSE)</f>
        <v>0</v>
      </c>
      <c r="R16" s="29" t="str">
        <f>VLOOKUP(2,AM14:AW17,6,FALSE) &amp; " - " &amp; VLOOKUP(2,AM14:AW17,7,FALSE)</f>
        <v>3 - 2</v>
      </c>
      <c r="S16" s="30">
        <f>O16*3+P16</f>
        <v>3</v>
      </c>
      <c r="U16" s="116">
        <f>DATE(2016,6,13)+TIME(8,0,0)+gmt_delta</f>
        <v>42534.875</v>
      </c>
      <c r="V16" s="118" t="str">
        <f t="shared" si="0"/>
        <v/>
      </c>
      <c r="W16" s="118" t="str">
        <f t="shared" si="1"/>
        <v/>
      </c>
      <c r="X16" s="117">
        <f t="shared" si="2"/>
        <v>0</v>
      </c>
      <c r="Y16" s="116">
        <f t="shared" si="3"/>
        <v>0</v>
      </c>
      <c r="Z16" s="116">
        <f t="shared" si="4"/>
        <v>0</v>
      </c>
      <c r="AA16" s="116">
        <f t="shared" si="5"/>
        <v>5</v>
      </c>
      <c r="AB16" s="116">
        <f t="shared" si="6"/>
        <v>1</v>
      </c>
      <c r="AC16" s="116">
        <f t="shared" si="7"/>
        <v>3</v>
      </c>
      <c r="AD16" s="116" t="str">
        <f t="shared" si="8"/>
        <v>513</v>
      </c>
      <c r="AE16" s="116">
        <f t="shared" si="9"/>
        <v>1</v>
      </c>
      <c r="AF16" s="116">
        <f t="shared" si="10"/>
        <v>0</v>
      </c>
      <c r="AG16" s="116">
        <f t="shared" si="11"/>
        <v>0</v>
      </c>
      <c r="AH16" s="116" t="str">
        <f t="shared" si="15"/>
        <v>531</v>
      </c>
      <c r="AI16" s="116">
        <f t="shared" si="12"/>
        <v>1</v>
      </c>
      <c r="AJ16" s="116">
        <f t="shared" si="13"/>
        <v>0</v>
      </c>
      <c r="AK16" s="116">
        <f t="shared" si="14"/>
        <v>0</v>
      </c>
      <c r="AM16" s="116">
        <f t="shared" si="27"/>
        <v>4</v>
      </c>
      <c r="AN16" s="117" t="str">
        <f>INDEX(T,69,lang)</f>
        <v>Russland</v>
      </c>
      <c r="AO16" s="116">
        <f>COUNTIF($V$7:$W$42,"=" &amp; AN16 &amp; "_win")</f>
        <v>0</v>
      </c>
      <c r="AP16" s="116">
        <f>COUNTIF($V$7:$W$42,"=" &amp; AN16 &amp; "_draw")</f>
        <v>0</v>
      </c>
      <c r="AQ16" s="116">
        <f>COUNTIF($V$7:$W$42,"=" &amp; AN16 &amp; "_lose")</f>
        <v>1</v>
      </c>
      <c r="AR16" s="116">
        <f>SUMIF($E$10:$E$45,$AN16,$F$10:$F$45) + SUMIF($H$10:$H$45,$AN16,$G$10:$G$45)</f>
        <v>0</v>
      </c>
      <c r="AS16" s="116">
        <f>SUMIF($E$10:$E$45,$AN16,$G$10:$G$45) + SUMIF($H$10:$H$45,$AN16,$F$10:$F$45)</f>
        <v>3</v>
      </c>
      <c r="AT16" s="116">
        <f>AW16*10000</f>
        <v>0</v>
      </c>
      <c r="AU16" s="116">
        <f>AR16-AS16</f>
        <v>-3</v>
      </c>
      <c r="AV16" s="116">
        <f>(AU16-AU19)/AU18</f>
        <v>0</v>
      </c>
      <c r="AW16" s="116">
        <f>AO16*3+AP16</f>
        <v>0</v>
      </c>
      <c r="AX16" s="116">
        <f>BD16/BD18*10+BE16/BE18+BH16/BH18*0.1+BF16/BF18*0.01</f>
        <v>0</v>
      </c>
      <c r="BA16" s="116">
        <f>VLOOKUP(AN16,db_fifarank,2,FALSE)/2000000</f>
        <v>1.5672499999999999E-2</v>
      </c>
      <c r="BB16" s="117">
        <f>10000000*AW16/AW18+100000*AX16/AX18+100*AV16+10*AR16/AR18+1*AX16/AX18+BA16</f>
        <v>1.5672499999999999E-2</v>
      </c>
      <c r="BC16" s="117" t="str">
        <f>IF(SUM(AO14:AQ17)&gt;0,M17,"3B")</f>
        <v>Slovakia</v>
      </c>
      <c r="BD16" s="116">
        <f>SUMPRODUCT(($V$7:$V$42=AN16&amp;"_win")*($X$7:$X$42))+SUMPRODUCT(($W$7:$W$42=AN16&amp;"_win")*($X$7:$X$42))</f>
        <v>0</v>
      </c>
      <c r="BE16" s="121">
        <f>SUMPRODUCT(($V$7:$V$42=AN16&amp;"_draw")*($X$7:$X$42))+SUMPRODUCT(($W$7:$W$42=AN16&amp;"_draw")*($X$7:$X$42))</f>
        <v>0</v>
      </c>
      <c r="BF16" s="121">
        <f>SUMPRODUCT(($E$10:$E$45=AN16)*($X$7:$X$42)*($F$10:$F$45))+SUMPRODUCT(($H$10:$H$45=AN16)*($X$7:$X$42)*($G$10:$G$45))</f>
        <v>0</v>
      </c>
      <c r="BG16" s="121">
        <f>SUMPRODUCT(($E$10:$E$45=AN16)*($X$7:$X$42)*($G$10:$G$45))+SUMPRODUCT(($H$10:$H$45=AN16)*($X$7:$X$42)*($F$10:$F$45))</f>
        <v>0</v>
      </c>
      <c r="BH16" s="121">
        <f>BF16-BG16</f>
        <v>0</v>
      </c>
      <c r="BI16" s="117" t="str">
        <f>AN20</f>
        <v>Tyskland</v>
      </c>
      <c r="BJ16" s="117">
        <v>3</v>
      </c>
      <c r="BK16" s="117">
        <v>1</v>
      </c>
      <c r="BM16" s="121">
        <f>IFERROR(VLOOKUP("231",$AD$7:$AG$42,2,FALSE),0) + IFERROR(VLOOKUP("231",$AH$7:$AK$42,2,FALSE),0)</f>
        <v>0</v>
      </c>
      <c r="BN16" s="121">
        <f>IFERROR(VLOOKUP("232",$AD$7:$AG$42,2,FALSE),0) + IFERROR(VLOOKUP("232",$AH$7:$AK$42,2,FALSE),0)</f>
        <v>1</v>
      </c>
      <c r="BP16" s="121">
        <f>IFERROR(VLOOKUP("234",$AD$7:$AG$42,2,FALSE),0) + IFERROR(VLOOKUP("234",$AH$7:$AK$42,2,FALSE),0)</f>
        <v>1</v>
      </c>
      <c r="BQ16" s="122">
        <f>SUM(BM16:BP16)</f>
        <v>2</v>
      </c>
      <c r="BR16" s="121">
        <f>IFERROR(VLOOKUP("231",$AD$7:$AG$42,3,FALSE),0) + IFERROR(VLOOKUP("231",$AH$7:$AK$42,3,FALSE),0)</f>
        <v>-3</v>
      </c>
      <c r="BS16" s="121">
        <f>IFERROR(VLOOKUP("232",$AD$7:$AG$42,3,FALSE),0) + IFERROR(VLOOKUP("232",$AH$7:$AK$42,3,FALSE),0)</f>
        <v>0</v>
      </c>
      <c r="BU16" s="121">
        <f>IFERROR(VLOOKUP("234",$AD$7:$AG$42,3,FALSE),0) + IFERROR(VLOOKUP("234",$AH$7:$AK$42,3,FALSE),0)</f>
        <v>0</v>
      </c>
      <c r="BV16" s="122">
        <f>SUM(BR16:BU16)</f>
        <v>-3</v>
      </c>
      <c r="BW16" s="122">
        <f>RANK(BV16,BV14:BV17)</f>
        <v>4</v>
      </c>
      <c r="BX16" s="121">
        <f>IFERROR(VLOOKUP("231",$AD$7:$AG$42,4,FALSE),0) + IFERROR(VLOOKUP("231",$AH$7:$AK$42,4,FALSE),0)</f>
        <v>0</v>
      </c>
      <c r="BY16" s="121">
        <f>IFERROR(VLOOKUP("232",$AD$7:$AG$42,4,FALSE),0) + IFERROR(VLOOKUP("232",$AH$7:$AK$42,4,FALSE),0)</f>
        <v>0</v>
      </c>
      <c r="CA16" s="121">
        <f>IFERROR(VLOOKUP("234",$AD$7:$AG$42,4,FALSE),0) + IFERROR(VLOOKUP("234",$AH$7:$AK$42,4,FALSE),0)</f>
        <v>0</v>
      </c>
      <c r="CB16" s="122">
        <f>SUM(BX16:CA16)</f>
        <v>0</v>
      </c>
      <c r="CC16" s="121">
        <f>IF(BM18=BQ16,BM16,0)</f>
        <v>0</v>
      </c>
      <c r="CD16" s="121">
        <f>IF(BN18=BQ16,BN16,0)</f>
        <v>0</v>
      </c>
      <c r="CF16" s="121">
        <f>IF(BP18=BQ16,BP16,0)</f>
        <v>1</v>
      </c>
      <c r="CG16" s="122">
        <f>SUM(CC16:CF16)</f>
        <v>1</v>
      </c>
      <c r="CH16" s="121">
        <f>IF(BM18=BQ16,BR16,0)</f>
        <v>0</v>
      </c>
      <c r="CI16" s="121">
        <f>IF(BN18=BQ16,BS16,0)</f>
        <v>0</v>
      </c>
      <c r="CK16" s="121">
        <f>IF(BP18=BQ16,BU16,0)</f>
        <v>0</v>
      </c>
      <c r="CL16" s="122">
        <f>SUM(CH16:CK16)</f>
        <v>0</v>
      </c>
      <c r="CM16" s="122">
        <f>RANK(CL16,CL14:CL17)</f>
        <v>1</v>
      </c>
      <c r="CN16" s="121">
        <f>IF(BM18=BQ16,BX16,0)</f>
        <v>0</v>
      </c>
      <c r="CO16" s="121">
        <f>IF(BN18=BQ16,BY16,0)</f>
        <v>0</v>
      </c>
      <c r="CQ16" s="121">
        <f>IF(BP18=BQ16,CA16,0)</f>
        <v>0</v>
      </c>
      <c r="CR16" s="122">
        <f>SUM(CN16:CQ16)</f>
        <v>0</v>
      </c>
      <c r="CS16" s="122">
        <f t="shared" si="28"/>
        <v>20104</v>
      </c>
      <c r="CT16" s="122">
        <f>RANK(CS16,CS14:CS17)</f>
        <v>3</v>
      </c>
      <c r="CU16" s="121">
        <f>IF(CU18=CT16,BM16,0)</f>
        <v>0</v>
      </c>
      <c r="CV16" s="121">
        <f>IF(CV18=CT16,BN16,0)</f>
        <v>0</v>
      </c>
      <c r="CX16" s="121">
        <f>IF(CX18=CT16,BP16,0)</f>
        <v>1</v>
      </c>
      <c r="CY16" s="122">
        <f t="shared" si="29"/>
        <v>1</v>
      </c>
      <c r="CZ16" s="122">
        <f t="shared" si="30"/>
        <v>20101.000156725</v>
      </c>
      <c r="DA16" s="122">
        <f>RANK(CZ16,CZ14:CZ17)</f>
        <v>4</v>
      </c>
      <c r="DD16" s="120"/>
      <c r="DE16" s="83"/>
      <c r="DF16" s="83"/>
      <c r="DG16" s="83"/>
      <c r="DH16" s="83"/>
      <c r="DI16" s="83"/>
      <c r="DJ16" s="83"/>
      <c r="DK16" s="83"/>
      <c r="DL16" s="83"/>
      <c r="DM16" s="83"/>
      <c r="DN16" s="84"/>
      <c r="DO16" s="83"/>
      <c r="DP16" s="170">
        <v>49</v>
      </c>
      <c r="DQ16" s="90" t="str">
        <f>W57</f>
        <v>V45</v>
      </c>
      <c r="DR16" s="61"/>
      <c r="DS16" s="126"/>
      <c r="DT16" s="83"/>
      <c r="DU16" s="88"/>
      <c r="DV16" s="83"/>
      <c r="DW16" s="83"/>
      <c r="DX16" s="83"/>
      <c r="DY16" s="83"/>
    </row>
    <row r="17" spans="1:129" x14ac:dyDescent="0.3">
      <c r="A17" s="70">
        <v>8</v>
      </c>
      <c r="B17" s="71" t="str">
        <f t="shared" si="22"/>
        <v>Man</v>
      </c>
      <c r="C17" s="72" t="str">
        <f t="shared" si="23"/>
        <v>Jun 13, 2016</v>
      </c>
      <c r="D17" s="73">
        <f t="shared" si="24"/>
        <v>0.625</v>
      </c>
      <c r="E17" s="74" t="str">
        <f>AN26</f>
        <v>Spania</v>
      </c>
      <c r="F17" s="57"/>
      <c r="G17" s="58"/>
      <c r="H17" s="81" t="str">
        <f>AN29</f>
        <v>Tsjekkisk Republikk</v>
      </c>
      <c r="I17" s="144" t="str">
        <f>INDEX(T,108,lang)</f>
        <v>Stadium Municipal, Toulouse</v>
      </c>
      <c r="J17" s="145"/>
      <c r="K17" s="146"/>
      <c r="M17" s="23" t="str">
        <f>VLOOKUP(3,AM14:AW17,2,FALSE)</f>
        <v>Slovakia</v>
      </c>
      <c r="N17" s="29">
        <f>O17+P17+Q17</f>
        <v>1</v>
      </c>
      <c r="O17" s="29">
        <f>VLOOKUP(3,AM14:AW17,3,FALSE)</f>
        <v>0</v>
      </c>
      <c r="P17" s="29">
        <f>VLOOKUP(3,AM14:AW17,4,FALSE)</f>
        <v>0</v>
      </c>
      <c r="Q17" s="29">
        <f>VLOOKUP(3,AM14:AW17,5,FALSE)</f>
        <v>1</v>
      </c>
      <c r="R17" s="29" t="str">
        <f>VLOOKUP(3,AM14:AW17,6,FALSE) &amp; " - " &amp; VLOOKUP(3,AM14:AW17,7,FALSE)</f>
        <v>2 - 3</v>
      </c>
      <c r="S17" s="30">
        <f>O17*3+P17</f>
        <v>0</v>
      </c>
      <c r="U17" s="116">
        <f>DATE(2016,6,14)+TIME(5,0,0)+gmt_delta</f>
        <v>42535.75</v>
      </c>
      <c r="V17" s="118" t="str">
        <f t="shared" si="0"/>
        <v/>
      </c>
      <c r="W17" s="118" t="str">
        <f t="shared" si="1"/>
        <v/>
      </c>
      <c r="X17" s="117">
        <f t="shared" si="2"/>
        <v>0</v>
      </c>
      <c r="Y17" s="116">
        <f t="shared" si="3"/>
        <v>0</v>
      </c>
      <c r="Z17" s="116">
        <f t="shared" si="4"/>
        <v>0</v>
      </c>
      <c r="AA17" s="116">
        <f t="shared" si="5"/>
        <v>6</v>
      </c>
      <c r="AB17" s="116">
        <f t="shared" si="6"/>
        <v>3</v>
      </c>
      <c r="AC17" s="116">
        <f t="shared" si="7"/>
        <v>4</v>
      </c>
      <c r="AD17" s="116" t="str">
        <f t="shared" si="8"/>
        <v>634</v>
      </c>
      <c r="AE17" s="116">
        <f t="shared" si="9"/>
        <v>1</v>
      </c>
      <c r="AF17" s="116">
        <f t="shared" si="10"/>
        <v>0</v>
      </c>
      <c r="AG17" s="116">
        <f t="shared" si="11"/>
        <v>0</v>
      </c>
      <c r="AH17" s="116" t="str">
        <f t="shared" si="15"/>
        <v>643</v>
      </c>
      <c r="AI17" s="116">
        <f t="shared" si="12"/>
        <v>1</v>
      </c>
      <c r="AJ17" s="116">
        <f t="shared" si="13"/>
        <v>0</v>
      </c>
      <c r="AK17" s="116">
        <f t="shared" si="14"/>
        <v>0</v>
      </c>
      <c r="AM17" s="116">
        <f t="shared" si="27"/>
        <v>3</v>
      </c>
      <c r="AN17" s="117" t="str">
        <f>INDEX(T,51,lang)</f>
        <v>Slovakia</v>
      </c>
      <c r="AO17" s="116">
        <f>COUNTIF($V$7:$W$42,"=" &amp; AN17 &amp; "_win")</f>
        <v>0</v>
      </c>
      <c r="AP17" s="116">
        <f>COUNTIF($V$7:$W$42,"=" &amp; AN17 &amp; "_draw")</f>
        <v>0</v>
      </c>
      <c r="AQ17" s="116">
        <f>COUNTIF($V$7:$W$42,"=" &amp; AN17 &amp; "_lose")</f>
        <v>1</v>
      </c>
      <c r="AR17" s="116">
        <f>SUMIF($E$10:$E$45,$AN17,$F$10:$F$45) + SUMIF($H$10:$H$45,$AN17,$G$10:$G$45)</f>
        <v>2</v>
      </c>
      <c r="AS17" s="116">
        <f>SUMIF($E$10:$E$45,$AN17,$G$10:$G$45) + SUMIF($H$10:$H$45,$AN17,$F$10:$F$45)</f>
        <v>3</v>
      </c>
      <c r="AT17" s="116">
        <f>AW17*10000</f>
        <v>0</v>
      </c>
      <c r="AU17" s="116">
        <f>AR17-AS17</f>
        <v>-1</v>
      </c>
      <c r="AV17" s="116">
        <f>(AU17-AU19)/AU18</f>
        <v>0.2857142857142857</v>
      </c>
      <c r="AW17" s="116">
        <f>AO17*3+AP17</f>
        <v>0</v>
      </c>
      <c r="AX17" s="116">
        <f>BD17/BD18*10+BE17/BE18+BH17/BH18*0.1+BF17/BF18*0.01</f>
        <v>0</v>
      </c>
      <c r="BA17" s="116">
        <f>VLOOKUP(AN17,db_fifarank,2,FALSE)/2000000</f>
        <v>1.35855E-2</v>
      </c>
      <c r="BB17" s="117">
        <f>10000000*AW17/AW18+100000*AX17/AX18+100*AV17+10*AR17/AR18+1*AX17/AX18+BA17</f>
        <v>33.585014071428567</v>
      </c>
      <c r="BD17" s="116">
        <f>SUMPRODUCT(($V$7:$V$42=AN17&amp;"_win")*($X$7:$X$42))+SUMPRODUCT(($W$7:$W$42=AN17&amp;"_win")*($X$7:$X$42))</f>
        <v>0</v>
      </c>
      <c r="BE17" s="121">
        <f>SUMPRODUCT(($V$7:$V$42=AN17&amp;"_draw")*($X$7:$X$42))+SUMPRODUCT(($W$7:$W$42=AN17&amp;"_draw")*($X$7:$X$42))</f>
        <v>0</v>
      </c>
      <c r="BF17" s="121">
        <f>SUMPRODUCT(($E$10:$E$45=AN17)*($X$7:$X$42)*($F$10:$F$45))+SUMPRODUCT(($H$10:$H$45=AN17)*($X$7:$X$42)*($G$10:$G$45))</f>
        <v>0</v>
      </c>
      <c r="BG17" s="121">
        <f>SUMPRODUCT(($E$10:$E$45=AN17)*($X$7:$X$42)*($G$10:$G$45))+SUMPRODUCT(($H$10:$H$45=AN17)*($X$7:$X$42)*($F$10:$F$45))</f>
        <v>0</v>
      </c>
      <c r="BH17" s="121">
        <f>BF17-BG17</f>
        <v>0</v>
      </c>
      <c r="BI17" s="117" t="str">
        <f t="shared" ref="BI17:BI19" si="31">AN21</f>
        <v>Ukraina</v>
      </c>
      <c r="BJ17" s="117">
        <v>3</v>
      </c>
      <c r="BK17" s="117">
        <v>2</v>
      </c>
      <c r="BM17" s="121">
        <f>IFERROR(VLOOKUP("241",$AD$7:$AG$42,2,FALSE),0) + IFERROR(VLOOKUP("241",$AH$7:$AK$42,2,FALSE),0)</f>
        <v>1</v>
      </c>
      <c r="BN17" s="121">
        <f>IFERROR(VLOOKUP("242",$AD$7:$AG$42,2,FALSE),0) + IFERROR(VLOOKUP("242",$AH$7:$AK$42,2,FALSE),0)</f>
        <v>0</v>
      </c>
      <c r="BO17" s="121">
        <f>IFERROR(VLOOKUP("243",$AD$7:$AG$42,2,FALSE),0) + IFERROR(VLOOKUP("243",$AH$7:$AK$42,2,FALSE),0)</f>
        <v>1</v>
      </c>
      <c r="BQ17" s="122">
        <f>SUM(BM17:BP17)</f>
        <v>2</v>
      </c>
      <c r="BR17" s="121">
        <f>IFERROR(VLOOKUP("241",$AD$7:$AG$42,3,FALSE),0) + IFERROR(VLOOKUP("241",$AH$7:$AK$42,3,FALSE),0)</f>
        <v>0</v>
      </c>
      <c r="BS17" s="121">
        <f>IFERROR(VLOOKUP("242",$AD$7:$AG$42,3,FALSE),0) + IFERROR(VLOOKUP("242",$AH$7:$AK$42,3,FALSE),0)</f>
        <v>-1</v>
      </c>
      <c r="BT17" s="121">
        <f>IFERROR(VLOOKUP("243",$AD$7:$AG$42,3,FALSE),0) + IFERROR(VLOOKUP("243",$AH$7:$AK$42,3,FALSE),0)</f>
        <v>0</v>
      </c>
      <c r="BV17" s="122">
        <f>SUM(BR17:BU17)</f>
        <v>-1</v>
      </c>
      <c r="BW17" s="122">
        <f>RANK(BV17,BV14:BV17)</f>
        <v>3</v>
      </c>
      <c r="BX17" s="121">
        <f>IFERROR(VLOOKUP("241",$AD$7:$AG$42,4,FALSE),0) + IFERROR(VLOOKUP("241",$AH$7:$AK$42,4,FALSE),0)</f>
        <v>0</v>
      </c>
      <c r="BY17" s="121">
        <f>IFERROR(VLOOKUP("242",$AD$7:$AG$42,4,FALSE),0) + IFERROR(VLOOKUP("242",$AH$7:$AK$42,4,FALSE),0)</f>
        <v>2</v>
      </c>
      <c r="BZ17" s="121">
        <f>IFERROR(VLOOKUP("243",$AD$7:$AG$42,4,FALSE),0) + IFERROR(VLOOKUP("243",$AH$7:$AK$42,4,FALSE),0)</f>
        <v>0</v>
      </c>
      <c r="CB17" s="122">
        <f>SUM(BX17:CA17)</f>
        <v>2</v>
      </c>
      <c r="CC17" s="121">
        <f>IF(BM18=BQ17,BM17,0)</f>
        <v>0</v>
      </c>
      <c r="CD17" s="121">
        <f>IF(BN18=BQ17,BN17,0)</f>
        <v>0</v>
      </c>
      <c r="CE17" s="121">
        <f>IF(BO18=BQ17,BO17,0)</f>
        <v>1</v>
      </c>
      <c r="CG17" s="122">
        <f>SUM(CC17:CF17)</f>
        <v>1</v>
      </c>
      <c r="CH17" s="121">
        <f>IF(BM18=BQ17,BR17,0)</f>
        <v>0</v>
      </c>
      <c r="CI17" s="121">
        <f>IF(BN18=BQ17,BS17,0)</f>
        <v>0</v>
      </c>
      <c r="CJ17" s="121">
        <f>IF(BO18=BQ17,BT17,0)</f>
        <v>0</v>
      </c>
      <c r="CL17" s="122">
        <f>SUM(CH17:CK17)</f>
        <v>0</v>
      </c>
      <c r="CM17" s="122">
        <f>RANK(CL17,CL14:CL17)</f>
        <v>1</v>
      </c>
      <c r="CN17" s="121">
        <f>IF(BM18=BQ17,BX17,0)</f>
        <v>0</v>
      </c>
      <c r="CO17" s="121">
        <f>IF(BN18=BQ17,BY17,0)</f>
        <v>0</v>
      </c>
      <c r="CP17" s="121">
        <f>IF(BO18=BQ17,BZ17,0)</f>
        <v>0</v>
      </c>
      <c r="CR17" s="122">
        <f>SUM(CN17:CQ17)</f>
        <v>0</v>
      </c>
      <c r="CS17" s="122">
        <f t="shared" si="28"/>
        <v>20104</v>
      </c>
      <c r="CT17" s="122">
        <f>RANK(CS17,CS14:CS17)</f>
        <v>3</v>
      </c>
      <c r="CU17" s="121">
        <f>IF(CU18=CT17,BM17,0)</f>
        <v>0</v>
      </c>
      <c r="CV17" s="121">
        <f>IF(CV18=CT17,BN17,0)</f>
        <v>0</v>
      </c>
      <c r="CW17" s="121">
        <f>IF(CW18=CT17,BO17,0)</f>
        <v>1</v>
      </c>
      <c r="CY17" s="122">
        <f t="shared" si="29"/>
        <v>1</v>
      </c>
      <c r="CZ17" s="122">
        <f t="shared" si="30"/>
        <v>20102.200135855001</v>
      </c>
      <c r="DA17" s="122">
        <f>RANK(CZ17,CZ14:CZ17)</f>
        <v>3</v>
      </c>
      <c r="DD17" s="120" t="str">
        <f>INDEX(T,24+MONTH(U47),lang) &amp; " " &amp; DAY(U47) &amp; ", " &amp; YEAR(U47) &amp; "   " &amp; TEXT(TIME(HOUR(U47),MINUTE(U47),0),"hh:mm")</f>
        <v>Jun 25, 2016   hh:01</v>
      </c>
      <c r="DE17" s="83"/>
      <c r="DF17" s="83"/>
      <c r="DG17" s="93"/>
      <c r="DH17" s="83"/>
      <c r="DI17" s="83"/>
      <c r="DJ17" s="83"/>
      <c r="DK17" s="83"/>
      <c r="DL17" s="83"/>
      <c r="DM17" s="83"/>
      <c r="DN17" s="84"/>
      <c r="DO17" s="85"/>
      <c r="DP17" s="171"/>
      <c r="DQ17" s="91" t="str">
        <f>W58</f>
        <v>V46</v>
      </c>
      <c r="DR17" s="59"/>
      <c r="DS17" s="127"/>
      <c r="DT17" s="86"/>
      <c r="DU17" s="89"/>
      <c r="DV17" s="83"/>
      <c r="DW17" s="83"/>
      <c r="DX17" s="83"/>
      <c r="DY17" s="83"/>
    </row>
    <row r="18" spans="1:129" x14ac:dyDescent="0.3">
      <c r="A18" s="70">
        <v>9</v>
      </c>
      <c r="B18" s="71" t="str">
        <f t="shared" si="22"/>
        <v>Man</v>
      </c>
      <c r="C18" s="72" t="str">
        <f t="shared" si="23"/>
        <v>Jun 13, 2016</v>
      </c>
      <c r="D18" s="73">
        <f t="shared" si="24"/>
        <v>0.75</v>
      </c>
      <c r="E18" s="74" t="str">
        <f>AN33</f>
        <v>Republikken Irland</v>
      </c>
      <c r="F18" s="57"/>
      <c r="G18" s="58"/>
      <c r="H18" s="81" t="str">
        <f>AN35</f>
        <v>Sverige</v>
      </c>
      <c r="I18" s="144" t="str">
        <f>INDEX(T,114,lang)</f>
        <v>Stade de France, Saint-Denis</v>
      </c>
      <c r="J18" s="145"/>
      <c r="K18" s="146"/>
      <c r="M18" s="24" t="str">
        <f>VLOOKUP(4,AM14:AW17,2,FALSE)</f>
        <v>Russland</v>
      </c>
      <c r="N18" s="31">
        <f>O18+P18+Q18</f>
        <v>1</v>
      </c>
      <c r="O18" s="31">
        <f>VLOOKUP(4,AM14:AW17,3,FALSE)</f>
        <v>0</v>
      </c>
      <c r="P18" s="31">
        <f>VLOOKUP(4,AM14:AW17,4,FALSE)</f>
        <v>0</v>
      </c>
      <c r="Q18" s="31">
        <f>VLOOKUP(4,AM14:AW17,5,FALSE)</f>
        <v>1</v>
      </c>
      <c r="R18" s="31" t="str">
        <f>VLOOKUP(4,AM14:AW17,6,FALSE) &amp; " - " &amp; VLOOKUP(4,AM14:AW17,7,FALSE)</f>
        <v>0 - 3</v>
      </c>
      <c r="S18" s="32">
        <f>O18*3+P18</f>
        <v>0</v>
      </c>
      <c r="U18" s="116">
        <f>DATE(2016,6,14)+TIME(8,0,0)+gmt_delta</f>
        <v>42535.875</v>
      </c>
      <c r="V18" s="118" t="str">
        <f t="shared" si="0"/>
        <v/>
      </c>
      <c r="W18" s="118" t="str">
        <f t="shared" si="1"/>
        <v/>
      </c>
      <c r="X18" s="117">
        <f t="shared" si="2"/>
        <v>0</v>
      </c>
      <c r="Y18" s="116">
        <f t="shared" si="3"/>
        <v>0</v>
      </c>
      <c r="Z18" s="116">
        <f t="shared" si="4"/>
        <v>0</v>
      </c>
      <c r="AA18" s="116">
        <f t="shared" si="5"/>
        <v>6</v>
      </c>
      <c r="AB18" s="116">
        <f t="shared" si="6"/>
        <v>1</v>
      </c>
      <c r="AC18" s="116">
        <f t="shared" si="7"/>
        <v>2</v>
      </c>
      <c r="AD18" s="116" t="str">
        <f t="shared" si="8"/>
        <v>612</v>
      </c>
      <c r="AE18" s="116">
        <f t="shared" si="9"/>
        <v>1</v>
      </c>
      <c r="AF18" s="116">
        <f t="shared" si="10"/>
        <v>0</v>
      </c>
      <c r="AG18" s="116">
        <f t="shared" si="11"/>
        <v>0</v>
      </c>
      <c r="AH18" s="116" t="str">
        <f t="shared" si="15"/>
        <v>621</v>
      </c>
      <c r="AI18" s="116">
        <f t="shared" si="12"/>
        <v>1</v>
      </c>
      <c r="AJ18" s="116">
        <f t="shared" si="13"/>
        <v>0</v>
      </c>
      <c r="AK18" s="116">
        <f t="shared" si="14"/>
        <v>0</v>
      </c>
      <c r="AO18" s="116">
        <f t="shared" ref="AO18:AX18" si="32">MAX(AO14:AO17)-MIN(AO14:AO17)+1</f>
        <v>2</v>
      </c>
      <c r="AP18" s="116">
        <f t="shared" si="32"/>
        <v>1</v>
      </c>
      <c r="AQ18" s="116">
        <f t="shared" si="32"/>
        <v>2</v>
      </c>
      <c r="AR18" s="116">
        <f t="shared" si="32"/>
        <v>4</v>
      </c>
      <c r="AS18" s="116">
        <f t="shared" si="32"/>
        <v>4</v>
      </c>
      <c r="AT18" s="116">
        <f>MAX(AT14:AT17)-AT19+1</f>
        <v>30001</v>
      </c>
      <c r="AU18" s="116">
        <f>MAX(AU14:AU17)-AU19+1</f>
        <v>7</v>
      </c>
      <c r="AW18" s="116">
        <f t="shared" si="32"/>
        <v>4</v>
      </c>
      <c r="AX18" s="116">
        <f t="shared" si="32"/>
        <v>1</v>
      </c>
      <c r="BD18" s="116">
        <f>MAX(BD14:BD17)-MIN(BD14:BD17)+1</f>
        <v>1</v>
      </c>
      <c r="BE18" s="116">
        <f>MAX(BE14:BE17)-MIN(BE14:BE17)+1</f>
        <v>1</v>
      </c>
      <c r="BF18" s="116">
        <f>MAX(BF14:BF17)-MIN(BF14:BF17)+1</f>
        <v>1</v>
      </c>
      <c r="BG18" s="116">
        <f>MAX(BG14:BG17)-MIN(BG14:BG17)+1</f>
        <v>1</v>
      </c>
      <c r="BH18" s="116">
        <f>MAX(BH14:BH17)-MIN(BH14:BH17)+1</f>
        <v>1</v>
      </c>
      <c r="BI18" s="117" t="str">
        <f t="shared" si="31"/>
        <v>Polen</v>
      </c>
      <c r="BJ18" s="117">
        <v>3</v>
      </c>
      <c r="BK18" s="117">
        <v>3</v>
      </c>
      <c r="BM18" s="116">
        <f>BQ14</f>
        <v>5</v>
      </c>
      <c r="BN18" s="116">
        <f>BQ15</f>
        <v>5</v>
      </c>
      <c r="BO18" s="116">
        <f>BQ16</f>
        <v>2</v>
      </c>
      <c r="BP18" s="116">
        <f>BQ17</f>
        <v>2</v>
      </c>
      <c r="BR18" s="116"/>
      <c r="BS18" s="116"/>
      <c r="BT18" s="116"/>
      <c r="BU18" s="116"/>
      <c r="BX18" s="116"/>
      <c r="BY18" s="116"/>
      <c r="BZ18" s="116"/>
      <c r="CA18" s="116"/>
      <c r="CC18" s="116"/>
      <c r="CD18" s="116"/>
      <c r="CE18" s="116"/>
      <c r="CF18" s="116"/>
      <c r="CH18" s="116"/>
      <c r="CI18" s="116"/>
      <c r="CJ18" s="116"/>
      <c r="CK18" s="116"/>
      <c r="CN18" s="116"/>
      <c r="CO18" s="116"/>
      <c r="CP18" s="116"/>
      <c r="CQ18" s="116"/>
      <c r="CU18" s="116">
        <f>CT14</f>
        <v>1</v>
      </c>
      <c r="CV18" s="116">
        <f>CT15</f>
        <v>1</v>
      </c>
      <c r="CW18" s="116">
        <f>CT16</f>
        <v>3</v>
      </c>
      <c r="CX18" s="116">
        <f>CT17</f>
        <v>3</v>
      </c>
      <c r="CY18" s="122">
        <f t="shared" si="29"/>
        <v>8</v>
      </c>
      <c r="DD18" s="168">
        <v>38</v>
      </c>
      <c r="DE18" s="90" t="str">
        <f>BC14</f>
        <v>1B</v>
      </c>
      <c r="DF18" s="61"/>
      <c r="DG18" s="126"/>
      <c r="DH18" s="83"/>
      <c r="DI18" s="83"/>
      <c r="DJ18" s="83"/>
      <c r="DK18" s="83"/>
      <c r="DL18" s="83"/>
      <c r="DM18" s="83"/>
      <c r="DN18" s="84"/>
      <c r="DO18" s="83"/>
      <c r="DP18" s="83"/>
      <c r="DQ18" s="83"/>
      <c r="DR18" s="83"/>
      <c r="DS18" s="83"/>
      <c r="DT18" s="84"/>
      <c r="DU18" s="83"/>
      <c r="DV18" s="83"/>
      <c r="DW18" s="83"/>
      <c r="DX18" s="83"/>
      <c r="DY18" s="83"/>
    </row>
    <row r="19" spans="1:129" x14ac:dyDescent="0.3">
      <c r="A19" s="70">
        <v>10</v>
      </c>
      <c r="B19" s="71" t="str">
        <f t="shared" si="22"/>
        <v>Man</v>
      </c>
      <c r="C19" s="72" t="str">
        <f t="shared" si="23"/>
        <v>Jun 13, 2016</v>
      </c>
      <c r="D19" s="73">
        <f t="shared" si="24"/>
        <v>0.875</v>
      </c>
      <c r="E19" s="74" t="str">
        <f>AN32</f>
        <v>Belgia</v>
      </c>
      <c r="F19" s="57"/>
      <c r="G19" s="58"/>
      <c r="H19" s="81" t="str">
        <f>AN34</f>
        <v>Italia</v>
      </c>
      <c r="I19" s="144" t="str">
        <f>INDEX(T,110,lang)</f>
        <v>Parc Olympique Lyonnais, Lyon</v>
      </c>
      <c r="J19" s="145"/>
      <c r="K19" s="146"/>
      <c r="M19" s="33"/>
      <c r="N19" s="34"/>
      <c r="O19" s="34"/>
      <c r="P19" s="34"/>
      <c r="Q19" s="34"/>
      <c r="R19" s="34"/>
      <c r="S19" s="34"/>
      <c r="U19" s="116">
        <f>DATE(2016,6,15)+TIME(2,0,0)+gmt_delta</f>
        <v>42536.625</v>
      </c>
      <c r="V19" s="118" t="str">
        <f t="shared" si="0"/>
        <v/>
      </c>
      <c r="W19" s="118" t="str">
        <f t="shared" si="1"/>
        <v/>
      </c>
      <c r="X19" s="117">
        <f t="shared" si="2"/>
        <v>0</v>
      </c>
      <c r="Y19" s="116">
        <f t="shared" si="3"/>
        <v>0</v>
      </c>
      <c r="Z19" s="116">
        <f t="shared" si="4"/>
        <v>0</v>
      </c>
      <c r="AA19" s="116">
        <f t="shared" si="5"/>
        <v>2</v>
      </c>
      <c r="AB19" s="116">
        <f t="shared" si="6"/>
        <v>3</v>
      </c>
      <c r="AC19" s="116">
        <f t="shared" si="7"/>
        <v>4</v>
      </c>
      <c r="AD19" s="116" t="str">
        <f t="shared" si="8"/>
        <v>234</v>
      </c>
      <c r="AE19" s="116">
        <f t="shared" si="9"/>
        <v>1</v>
      </c>
      <c r="AF19" s="116">
        <f t="shared" si="10"/>
        <v>0</v>
      </c>
      <c r="AG19" s="116">
        <f t="shared" si="11"/>
        <v>0</v>
      </c>
      <c r="AH19" s="116" t="str">
        <f t="shared" si="15"/>
        <v>243</v>
      </c>
      <c r="AI19" s="116">
        <f t="shared" si="12"/>
        <v>1</v>
      </c>
      <c r="AJ19" s="116">
        <f t="shared" si="13"/>
        <v>0</v>
      </c>
      <c r="AK19" s="116">
        <f t="shared" si="14"/>
        <v>0</v>
      </c>
      <c r="AT19" s="116">
        <f>MIN(AT14:AT17)</f>
        <v>0</v>
      </c>
      <c r="AU19" s="116">
        <f>MIN(AU14:AU17)</f>
        <v>-3</v>
      </c>
      <c r="BI19" s="117" t="str">
        <f t="shared" si="31"/>
        <v>Nord-Irland</v>
      </c>
      <c r="BJ19" s="117">
        <v>3</v>
      </c>
      <c r="BK19" s="117">
        <v>4</v>
      </c>
      <c r="DD19" s="169"/>
      <c r="DE19" s="91" t="str">
        <f>VLOOKUP(lookup_3rd, tbl_lookup_3rd,3,FALSE)</f>
        <v>Tsjekkisk Republikk</v>
      </c>
      <c r="DF19" s="59"/>
      <c r="DG19" s="127"/>
      <c r="DH19" s="86"/>
      <c r="DI19" s="83"/>
      <c r="DJ19" s="83" t="str">
        <f>INDEX(T,24+MONTH(U58),lang) &amp; " " &amp; DAY(U58) &amp; ", " &amp; YEAR(U58) &amp; "   " &amp; TEXT(TIME(HOUR(U58),MINUTE(U58),0),"hh:mm")</f>
        <v>Jul 1, 2016   hh:01</v>
      </c>
      <c r="DK19" s="83"/>
      <c r="DL19" s="83"/>
      <c r="DM19" s="93"/>
      <c r="DN19" s="84"/>
      <c r="DO19" s="83"/>
      <c r="DP19" s="83"/>
      <c r="DQ19" s="83"/>
      <c r="DR19" s="83"/>
      <c r="DS19" s="83"/>
      <c r="DT19" s="84"/>
      <c r="DU19" s="83"/>
      <c r="DV19" s="83"/>
      <c r="DW19" s="83"/>
      <c r="DX19" s="83"/>
      <c r="DY19" s="83"/>
    </row>
    <row r="20" spans="1:129" x14ac:dyDescent="0.3">
      <c r="A20" s="70">
        <v>11</v>
      </c>
      <c r="B20" s="71" t="str">
        <f t="shared" si="22"/>
        <v>Tirs</v>
      </c>
      <c r="C20" s="72" t="str">
        <f t="shared" si="23"/>
        <v>Jun 14, 2016</v>
      </c>
      <c r="D20" s="73">
        <f t="shared" si="24"/>
        <v>0.75</v>
      </c>
      <c r="E20" s="74" t="str">
        <f>AN40</f>
        <v>Østerrike</v>
      </c>
      <c r="F20" s="57"/>
      <c r="G20" s="58"/>
      <c r="H20" s="81" t="str">
        <f>AN41</f>
        <v>Ungarn</v>
      </c>
      <c r="I20" s="144" t="str">
        <f>INDEX(T,113,lang)</f>
        <v>Nouveau Stade de Bordeaux, Bordeaux</v>
      </c>
      <c r="J20" s="145"/>
      <c r="K20" s="146"/>
      <c r="M20" s="55" t="str">
        <f>INDEX(T,9,lang) &amp; " " &amp; "C"</f>
        <v>Gruppe C</v>
      </c>
      <c r="N20" s="56" t="str">
        <f>INDEX(T,10,lang)</f>
        <v>S</v>
      </c>
      <c r="O20" s="56" t="str">
        <f>INDEX(T,11,lang)</f>
        <v>V</v>
      </c>
      <c r="P20" s="56" t="str">
        <f>INDEX(T,12,lang)</f>
        <v>T</v>
      </c>
      <c r="Q20" s="56" t="str">
        <f>INDEX(T,13,lang)</f>
        <v>U</v>
      </c>
      <c r="R20" s="56" t="str">
        <f>INDEX(T,14,lang)</f>
        <v>Mål</v>
      </c>
      <c r="S20" s="56" t="str">
        <f>INDEX(T,15,lang)</f>
        <v>P</v>
      </c>
      <c r="U20" s="116">
        <f>DATE(2016,6,15)+TIME(5,0,0)+gmt_delta</f>
        <v>42536.75</v>
      </c>
      <c r="V20" s="118" t="str">
        <f t="shared" si="0"/>
        <v/>
      </c>
      <c r="W20" s="118" t="str">
        <f t="shared" si="1"/>
        <v/>
      </c>
      <c r="X20" s="117">
        <f t="shared" si="2"/>
        <v>0</v>
      </c>
      <c r="Y20" s="116">
        <f t="shared" si="3"/>
        <v>0</v>
      </c>
      <c r="Z20" s="116">
        <f t="shared" si="4"/>
        <v>0</v>
      </c>
      <c r="AA20" s="116">
        <f t="shared" si="5"/>
        <v>1</v>
      </c>
      <c r="AB20" s="116">
        <f t="shared" si="6"/>
        <v>3</v>
      </c>
      <c r="AC20" s="116">
        <f t="shared" si="7"/>
        <v>4</v>
      </c>
      <c r="AD20" s="116" t="str">
        <f t="shared" si="8"/>
        <v>134</v>
      </c>
      <c r="AE20" s="116">
        <f t="shared" si="9"/>
        <v>1</v>
      </c>
      <c r="AF20" s="116">
        <f t="shared" si="10"/>
        <v>0</v>
      </c>
      <c r="AG20" s="116">
        <f t="shared" si="11"/>
        <v>0</v>
      </c>
      <c r="AH20" s="116" t="str">
        <f t="shared" si="15"/>
        <v>143</v>
      </c>
      <c r="AI20" s="116">
        <f t="shared" si="12"/>
        <v>1</v>
      </c>
      <c r="AJ20" s="116">
        <f t="shared" si="13"/>
        <v>0</v>
      </c>
      <c r="AK20" s="116">
        <f t="shared" si="14"/>
        <v>0</v>
      </c>
      <c r="AM20" s="116">
        <f>DA20</f>
        <v>1</v>
      </c>
      <c r="AN20" s="117" t="str">
        <f>INDEX(T,52,lang)</f>
        <v>Tyskland</v>
      </c>
      <c r="AO20" s="116">
        <f>COUNTIF($V$7:$W$42,"=" &amp; AN20 &amp; "_win")</f>
        <v>1</v>
      </c>
      <c r="AP20" s="116">
        <f>COUNTIF($V$7:$W$42,"=" &amp; AN20 &amp; "_draw")</f>
        <v>0</v>
      </c>
      <c r="AQ20" s="116">
        <f>COUNTIF($V$7:$W$42,"=" &amp; AN20 &amp; "_lose")</f>
        <v>0</v>
      </c>
      <c r="AR20" s="116">
        <f>SUMIF($E$10:$E$45,$AN20,$F$10:$F$45) + SUMIF($H$10:$H$45,$AN20,$G$10:$G$45)</f>
        <v>3</v>
      </c>
      <c r="AS20" s="116">
        <f>SUMIF($E$10:$E$45,$AN20,$G$10:$G$45) + SUMIF($H$10:$H$45,$AN20,$F$10:$F$45)</f>
        <v>1</v>
      </c>
      <c r="AT20" s="116">
        <f>AW20*10000</f>
        <v>30000</v>
      </c>
      <c r="AU20" s="116">
        <f>AR20-AS20</f>
        <v>2</v>
      </c>
      <c r="AV20" s="116">
        <f>(AU20-AU25)/AU24</f>
        <v>0.8</v>
      </c>
      <c r="AW20" s="116">
        <f>AO20*3+AP20</f>
        <v>3</v>
      </c>
      <c r="AX20" s="116">
        <f>BD20/BD24*10+BE20/BE24+BH20/BH24*0.1+BF20/BF24*0.01</f>
        <v>0</v>
      </c>
      <c r="BA20" s="116">
        <f>VLOOKUP(AN20,db_fifarank,2,FALSE)/2000000</f>
        <v>2.0118E-2</v>
      </c>
      <c r="BB20" s="117">
        <f>10000000*AW20/AW24+100000*AX20/AX24+100*AV20+10*AR20/AR24+1*AX20/AX24+BA20</f>
        <v>7500090.020118</v>
      </c>
      <c r="BC20" s="117" t="str">
        <f>IF(SUM(AO20:AQ23)=12,M21,INDEX(T,74,lang))</f>
        <v>1C</v>
      </c>
      <c r="BD20" s="116">
        <f>SUMPRODUCT(($V$7:$V$42=AN20&amp;"_win")*($X$7:$X$42))+SUMPRODUCT(($W$7:$W$42=AN20&amp;"_win")*($X$7:$X$42))</f>
        <v>0</v>
      </c>
      <c r="BE20" s="121">
        <f>SUMPRODUCT(($V$7:$V$42=AN20&amp;"_draw")*($X$7:$X$42))+SUMPRODUCT(($W$7:$W$42=AN20&amp;"_draw")*($X$7:$X$42))</f>
        <v>0</v>
      </c>
      <c r="BF20" s="121">
        <f>SUMPRODUCT(($E$10:$E$45=AN20)*($X$7:$X$42)*($F$10:$F$45))+SUMPRODUCT(($H$10:$H$45=AN20)*($X$7:$X$42)*($G$10:$G$45))</f>
        <v>0</v>
      </c>
      <c r="BG20" s="121">
        <f>SUMPRODUCT(($E$10:$E$45=AN20)*($X$7:$X$42)*($G$10:$G$45))+SUMPRODUCT(($H$10:$H$45=AN20)*($X$7:$X$42)*($F$10:$F$45))</f>
        <v>0</v>
      </c>
      <c r="BH20" s="121">
        <f>BF20-BG20</f>
        <v>0</v>
      </c>
      <c r="BI20" s="117" t="str">
        <f>AN26</f>
        <v>Spania</v>
      </c>
      <c r="BJ20" s="117">
        <v>4</v>
      </c>
      <c r="BK20" s="117">
        <v>1</v>
      </c>
      <c r="BN20" s="121">
        <f>IFERROR(VLOOKUP("312",$AD$7:$AG$42,2,FALSE),0) + IFERROR(VLOOKUP("312",$AH$7:$AK$42,2,FALSE),0)</f>
        <v>3</v>
      </c>
      <c r="BO20" s="121">
        <f>IFERROR(VLOOKUP("313",$AD$7:$AG$42,2,FALSE),0) + IFERROR(VLOOKUP("313",$AH$7:$AK$42,2,FALSE),0)</f>
        <v>1</v>
      </c>
      <c r="BP20" s="121">
        <f>IFERROR(VLOOKUP("314",$AD$7:$AG$42,2,FALSE),0) + IFERROR(VLOOKUP("314",$AH$7:$AK$42,2,FALSE),0)</f>
        <v>1</v>
      </c>
      <c r="BQ20" s="122">
        <f>SUM(BM20:BP20)</f>
        <v>5</v>
      </c>
      <c r="BS20" s="121">
        <f>IFERROR(VLOOKUP("312",$AD$7:$AG$42,3,FALSE),0) + IFERROR(VLOOKUP("312",$AH$7:$AK$42,3,FALSE),0)</f>
        <v>2</v>
      </c>
      <c r="BT20" s="121">
        <f>IFERROR(VLOOKUP("313",$AD$7:$AG$42,3,FALSE),0) + IFERROR(VLOOKUP("313",$AH$7:$AK$42,3,FALSE),0)</f>
        <v>0</v>
      </c>
      <c r="BU20" s="121">
        <f>IFERROR(VLOOKUP("314",$AD$7:$AG$42,3,FALSE),0) + IFERROR(VLOOKUP("314",$AH$7:$AK$42,3,FALSE),0)</f>
        <v>0</v>
      </c>
      <c r="BV20" s="122">
        <f>SUM(BR20:BU20)</f>
        <v>2</v>
      </c>
      <c r="BW20" s="122">
        <f>RANK(BV20,BV20:BV23)</f>
        <v>1</v>
      </c>
      <c r="BY20" s="121">
        <f>IFERROR(VLOOKUP("312",$AD$7:$AG$42,4,FALSE),0) + IFERROR(VLOOKUP("312",$AH$7:$AK$42,4,FALSE),0)</f>
        <v>3</v>
      </c>
      <c r="BZ20" s="121">
        <f>IFERROR(VLOOKUP("313",$AD$7:$AG$42,4,FALSE),0) + IFERROR(VLOOKUP("313",$AH$7:$AK$42,4,FALSE),0)</f>
        <v>0</v>
      </c>
      <c r="CA20" s="121">
        <f>IFERROR(VLOOKUP("314",$AD$7:$AG$42,4,FALSE),0) + IFERROR(VLOOKUP("314",$AH$7:$AK$42,4,FALSE),0)</f>
        <v>0</v>
      </c>
      <c r="CB20" s="122">
        <f>SUM(BX20:CA20)</f>
        <v>3</v>
      </c>
      <c r="CD20" s="121">
        <f>IF(BN24=BQ20,BN20,0)</f>
        <v>0</v>
      </c>
      <c r="CE20" s="121">
        <f>IF(BO24=BQ20,BO20,0)</f>
        <v>1</v>
      </c>
      <c r="CF20" s="121">
        <f>IF(BP24=BQ20,BP20,0)</f>
        <v>0</v>
      </c>
      <c r="CG20" s="122">
        <f>SUM(CC20:CF20)</f>
        <v>1</v>
      </c>
      <c r="CI20" s="121">
        <f>IF(BN24=BQ20,BS20,0)</f>
        <v>0</v>
      </c>
      <c r="CJ20" s="121">
        <f>IF(BO24=BQ20,BT20,0)</f>
        <v>0</v>
      </c>
      <c r="CK20" s="121">
        <f>IF(BP24=BQ20,BU20,0)</f>
        <v>0</v>
      </c>
      <c r="CL20" s="122">
        <f>SUM(CH20:CK20)</f>
        <v>0</v>
      </c>
      <c r="CM20" s="122">
        <f>RANK(CL20,CL20:CL23)</f>
        <v>1</v>
      </c>
      <c r="CO20" s="121">
        <f>IF(BN24=BQ20,BY20,0)</f>
        <v>0</v>
      </c>
      <c r="CP20" s="121">
        <f>IF(BO24=BQ20,BZ20,0)</f>
        <v>0</v>
      </c>
      <c r="CQ20" s="121">
        <f>IF(BP24=BQ20,CA20,0)</f>
        <v>0</v>
      </c>
      <c r="CR20" s="122">
        <f>SUM(CN20:CQ20)</f>
        <v>0</v>
      </c>
      <c r="CS20" s="122">
        <f>BQ20*10000+CG20*100+(5-CM20)+CR20/10</f>
        <v>50104</v>
      </c>
      <c r="CT20" s="122">
        <f>RANK(CS20,CS20:CS23)</f>
        <v>1</v>
      </c>
      <c r="CV20" s="121">
        <f>IF(CV24=CT20,BN20,0)</f>
        <v>0</v>
      </c>
      <c r="CW20" s="121">
        <f>IF(CW24=CT20,BO20,0)</f>
        <v>1</v>
      </c>
      <c r="CX20" s="121">
        <f>IF(CX24=CT20,BP20,0)</f>
        <v>0</v>
      </c>
      <c r="CY20" s="122">
        <f>SUM(CU20:CX20)</f>
        <v>1</v>
      </c>
      <c r="CZ20" s="122">
        <f>(5-CT20)*10000+CY20*100+(5-BW20)+CB20/10+BA20/100</f>
        <v>40104.300201180005</v>
      </c>
      <c r="DA20" s="122">
        <f>RANK(CZ20,CZ20:CZ23)</f>
        <v>1</v>
      </c>
      <c r="DD20" s="120"/>
      <c r="DE20" s="83"/>
      <c r="DF20" s="83"/>
      <c r="DG20" s="83"/>
      <c r="DH20" s="84"/>
      <c r="DI20" s="83"/>
      <c r="DJ20" s="170">
        <v>46</v>
      </c>
      <c r="DK20" s="90" t="str">
        <f>W50</f>
        <v>V38</v>
      </c>
      <c r="DL20" s="61"/>
      <c r="DM20" s="126"/>
      <c r="DN20" s="87"/>
      <c r="DO20" s="83"/>
      <c r="DP20" s="83"/>
      <c r="DQ20" s="83"/>
      <c r="DR20" s="83"/>
      <c r="DS20" s="83"/>
      <c r="DT20" s="84"/>
      <c r="DU20" s="83"/>
      <c r="DV20" s="83"/>
      <c r="DW20" s="83"/>
      <c r="DX20" s="83"/>
      <c r="DY20" s="83"/>
    </row>
    <row r="21" spans="1:129" x14ac:dyDescent="0.3">
      <c r="A21" s="70">
        <v>12</v>
      </c>
      <c r="B21" s="71" t="str">
        <f t="shared" si="22"/>
        <v>Tirs</v>
      </c>
      <c r="C21" s="72" t="str">
        <f t="shared" si="23"/>
        <v>Jun 14, 2016</v>
      </c>
      <c r="D21" s="73">
        <f t="shared" si="24"/>
        <v>0.875</v>
      </c>
      <c r="E21" s="74" t="str">
        <f>AN38</f>
        <v>Portugal</v>
      </c>
      <c r="F21" s="57"/>
      <c r="G21" s="58"/>
      <c r="H21" s="81" t="str">
        <f>AN39</f>
        <v>Island</v>
      </c>
      <c r="I21" s="144" t="str">
        <f>INDEX(T,112,lang)</f>
        <v>Stade Geoffroy-Guichard, Saint-Étienne</v>
      </c>
      <c r="J21" s="145"/>
      <c r="K21" s="146"/>
      <c r="M21" s="22" t="str">
        <f>VLOOKUP(1,AM20:AW23,2,FALSE)</f>
        <v>Tyskland</v>
      </c>
      <c r="N21" s="27">
        <f>O21+P21+Q21</f>
        <v>1</v>
      </c>
      <c r="O21" s="27">
        <f>VLOOKUP(1,AM20:AW23,3,FALSE)</f>
        <v>1</v>
      </c>
      <c r="P21" s="27">
        <f>VLOOKUP(1,AM20:AW23,4,FALSE)</f>
        <v>0</v>
      </c>
      <c r="Q21" s="27">
        <f>VLOOKUP(1,AM20:AW23,5,FALSE)</f>
        <v>0</v>
      </c>
      <c r="R21" s="27" t="str">
        <f>VLOOKUP(1,AM20:AW23,6,FALSE) &amp; " - " &amp; VLOOKUP(1,AM20:AW23,7,FALSE)</f>
        <v>3 - 1</v>
      </c>
      <c r="S21" s="28">
        <f>O21*3+P21</f>
        <v>3</v>
      </c>
      <c r="U21" s="116">
        <f>DATE(2016,6,15)+TIME(8,0,0)+gmt_delta</f>
        <v>42536.875</v>
      </c>
      <c r="V21" s="118" t="str">
        <f t="shared" si="0"/>
        <v/>
      </c>
      <c r="W21" s="118" t="str">
        <f t="shared" si="1"/>
        <v/>
      </c>
      <c r="X21" s="117">
        <f t="shared" si="2"/>
        <v>0</v>
      </c>
      <c r="Y21" s="116">
        <f t="shared" si="3"/>
        <v>0</v>
      </c>
      <c r="Z21" s="116">
        <f t="shared" si="4"/>
        <v>0</v>
      </c>
      <c r="AA21" s="116">
        <f t="shared" si="5"/>
        <v>1</v>
      </c>
      <c r="AB21" s="116">
        <f t="shared" si="6"/>
        <v>1</v>
      </c>
      <c r="AC21" s="116">
        <f t="shared" si="7"/>
        <v>2</v>
      </c>
      <c r="AD21" s="116" t="str">
        <f t="shared" si="8"/>
        <v>112</v>
      </c>
      <c r="AE21" s="116">
        <f t="shared" si="9"/>
        <v>1</v>
      </c>
      <c r="AF21" s="116">
        <f t="shared" si="10"/>
        <v>0</v>
      </c>
      <c r="AG21" s="116">
        <f t="shared" si="11"/>
        <v>0</v>
      </c>
      <c r="AH21" s="116" t="str">
        <f t="shared" si="15"/>
        <v>121</v>
      </c>
      <c r="AI21" s="116">
        <f t="shared" si="12"/>
        <v>1</v>
      </c>
      <c r="AJ21" s="116">
        <f t="shared" si="13"/>
        <v>0</v>
      </c>
      <c r="AK21" s="116">
        <f t="shared" si="14"/>
        <v>0</v>
      </c>
      <c r="AM21" s="116">
        <f t="shared" ref="AM21:AM23" si="33">DA21</f>
        <v>4</v>
      </c>
      <c r="AN21" s="117" t="str">
        <f>INDEX(T,45,lang)</f>
        <v>Ukraina</v>
      </c>
      <c r="AO21" s="116">
        <f>COUNTIF($V$7:$W$42,"=" &amp; AN21 &amp; "_win")</f>
        <v>0</v>
      </c>
      <c r="AP21" s="116">
        <f>COUNTIF($V$7:$W$42,"=" &amp; AN21 &amp; "_draw")</f>
        <v>0</v>
      </c>
      <c r="AQ21" s="116">
        <f>COUNTIF($V$7:$W$42,"=" &amp; AN21 &amp; "_lose")</f>
        <v>1</v>
      </c>
      <c r="AR21" s="116">
        <f>SUMIF($E$10:$E$45,$AN21,$F$10:$F$45) + SUMIF($H$10:$H$45,$AN21,$G$10:$G$45)</f>
        <v>1</v>
      </c>
      <c r="AS21" s="116">
        <f>SUMIF($E$10:$E$45,$AN21,$G$10:$G$45) + SUMIF($H$10:$H$45,$AN21,$F$10:$F$45)</f>
        <v>3</v>
      </c>
      <c r="AT21" s="116">
        <f>AW21*10000</f>
        <v>0</v>
      </c>
      <c r="AU21" s="116">
        <f>AR21-AS21</f>
        <v>-2</v>
      </c>
      <c r="AV21" s="116">
        <f>(AU21-AU25)/AU24</f>
        <v>0</v>
      </c>
      <c r="AW21" s="116">
        <f>AO21*3+AP21</f>
        <v>0</v>
      </c>
      <c r="AX21" s="116">
        <f>BD21/BD24*10+BE21/BE24+BH21/BH24*0.1+BF21/BF24*0.01</f>
        <v>0</v>
      </c>
      <c r="BA21" s="116">
        <f>VLOOKUP(AN21,db_fifarank,2,FALSE)/2000000</f>
        <v>1.51565E-2</v>
      </c>
      <c r="BB21" s="117">
        <f>10000000*AW21/AW24+100000*AX21/AX24+100*AV21+10*AR21/AR24+1*AX21/AX24+BA21</f>
        <v>3.3484898333333333</v>
      </c>
      <c r="BC21" s="117" t="str">
        <f>IF(SUM(AO20:AQ23)=12,M22,INDEX(T,75,lang))</f>
        <v>2C</v>
      </c>
      <c r="BD21" s="116">
        <f>SUMPRODUCT(($V$7:$V$42=AN21&amp;"_win")*($X$7:$X$42))+SUMPRODUCT(($W$7:$W$42=AN21&amp;"_win")*($X$7:$X$42))</f>
        <v>0</v>
      </c>
      <c r="BE21" s="121">
        <f>SUMPRODUCT(($V$7:$V$42=AN21&amp;"_draw")*($X$7:$X$42))+SUMPRODUCT(($W$7:$W$42=AN21&amp;"_draw")*($X$7:$X$42))</f>
        <v>0</v>
      </c>
      <c r="BF21" s="121">
        <f>SUMPRODUCT(($E$10:$E$45=AN21)*($X$7:$X$42)*($F$10:$F$45))+SUMPRODUCT(($H$10:$H$45=AN21)*($X$7:$X$42)*($G$10:$G$45))</f>
        <v>0</v>
      </c>
      <c r="BG21" s="121">
        <f>SUMPRODUCT(($E$10:$E$45=AN21)*($X$7:$X$42)*($G$10:$G$45))+SUMPRODUCT(($H$10:$H$45=AN21)*($X$7:$X$42)*($F$10:$F$45))</f>
        <v>0</v>
      </c>
      <c r="BH21" s="121">
        <f>BF21-BG21</f>
        <v>0</v>
      </c>
      <c r="BI21" s="117" t="str">
        <f t="shared" ref="BI21:BI23" si="34">AN27</f>
        <v>Kroatia</v>
      </c>
      <c r="BJ21" s="117">
        <v>4</v>
      </c>
      <c r="BK21" s="117">
        <v>2</v>
      </c>
      <c r="BM21" s="121">
        <f>IFERROR(VLOOKUP("321",$AD$7:$AG$42,2,FALSE),0) + IFERROR(VLOOKUP("321",$AH$7:$AK$42,2,FALSE),0)</f>
        <v>0</v>
      </c>
      <c r="BO21" s="121">
        <f>IFERROR(VLOOKUP("323",$AD$7:$AG$42,2,FALSE),0) + IFERROR(VLOOKUP("323",$AH$7:$AK$42,2,FALSE),0)</f>
        <v>1</v>
      </c>
      <c r="BP21" s="121">
        <f>IFERROR(VLOOKUP("324",$AD$7:$AG$42,2,FALSE),0) + IFERROR(VLOOKUP("324",$AH$7:$AK$42,2,FALSE),0)</f>
        <v>1</v>
      </c>
      <c r="BQ21" s="122">
        <f>SUM(BM21:BP21)</f>
        <v>2</v>
      </c>
      <c r="BR21" s="121">
        <f>IFERROR(VLOOKUP("321",$AD$7:$AG$42,3,FALSE),0) + IFERROR(VLOOKUP("321",$AH$7:$AK$42,3,FALSE),0)</f>
        <v>-2</v>
      </c>
      <c r="BT21" s="121">
        <f>IFERROR(VLOOKUP("323",$AD$7:$AG$42,3,FALSE),0) + IFERROR(VLOOKUP("323",$AH$7:$AK$42,3,FALSE),0)</f>
        <v>0</v>
      </c>
      <c r="BU21" s="121">
        <f>IFERROR(VLOOKUP("324",$AD$7:$AG$42,3,FALSE),0) + IFERROR(VLOOKUP("324",$AH$7:$AK$42,3,FALSE),0)</f>
        <v>0</v>
      </c>
      <c r="BV21" s="122">
        <f>SUM(BR21:BU21)</f>
        <v>-2</v>
      </c>
      <c r="BW21" s="122">
        <f>RANK(BV21,BV20:BV23)</f>
        <v>4</v>
      </c>
      <c r="BX21" s="121">
        <f>IFERROR(VLOOKUP("321",$AD$7:$AG$42,4,FALSE),0) + IFERROR(VLOOKUP("321",$AH$7:$AK$42,4,FALSE),0)</f>
        <v>1</v>
      </c>
      <c r="BZ21" s="121">
        <f>IFERROR(VLOOKUP("323",$AD$7:$AG$42,4,FALSE),0) + IFERROR(VLOOKUP("323",$AH$7:$AK$42,4,FALSE),0)</f>
        <v>0</v>
      </c>
      <c r="CA21" s="121">
        <f>IFERROR(VLOOKUP("324",$AD$7:$AG$42,4,FALSE),0) + IFERROR(VLOOKUP("324",$AH$7:$AK$42,4,FALSE),0)</f>
        <v>0</v>
      </c>
      <c r="CB21" s="122">
        <f>SUM(BX21:CA21)</f>
        <v>1</v>
      </c>
      <c r="CC21" s="121">
        <f>IF(BM24=BQ21,BM21,0)</f>
        <v>0</v>
      </c>
      <c r="CE21" s="121">
        <f>IF(BO24=BQ21,BO21,0)</f>
        <v>0</v>
      </c>
      <c r="CF21" s="121">
        <f>IF(BP24=BQ21,BP21,0)</f>
        <v>1</v>
      </c>
      <c r="CG21" s="122">
        <f>SUM(CC21:CF21)</f>
        <v>1</v>
      </c>
      <c r="CH21" s="121">
        <f>IF(BM24=BQ21,BR21,0)</f>
        <v>0</v>
      </c>
      <c r="CJ21" s="121">
        <f>IF(BO24=BQ21,BT21,0)</f>
        <v>0</v>
      </c>
      <c r="CK21" s="121">
        <f>IF(BP24=BQ21,BU21,0)</f>
        <v>0</v>
      </c>
      <c r="CL21" s="122">
        <f>SUM(CH21:CK21)</f>
        <v>0</v>
      </c>
      <c r="CM21" s="122">
        <f>RANK(CL21,CL20:CL23)</f>
        <v>1</v>
      </c>
      <c r="CN21" s="121">
        <f>IF(BM24=BQ21,BX21,0)</f>
        <v>0</v>
      </c>
      <c r="CP21" s="121">
        <f>IF(BO24=BQ21,BZ21,0)</f>
        <v>0</v>
      </c>
      <c r="CQ21" s="121">
        <f>IF(BP24=BQ21,CA21,0)</f>
        <v>0</v>
      </c>
      <c r="CR21" s="122">
        <f>SUM(CN21:CQ21)</f>
        <v>0</v>
      </c>
      <c r="CS21" s="122">
        <f t="shared" ref="CS21:CS23" si="35">BQ21*10000+CG21*100+(5-CM21)+CR21/10</f>
        <v>20104</v>
      </c>
      <c r="CT21" s="122">
        <f>RANK(CS21,CS20:CS23)</f>
        <v>3</v>
      </c>
      <c r="CU21" s="121">
        <f>IF(CU24=CT21,BM21,0)</f>
        <v>0</v>
      </c>
      <c r="CW21" s="121">
        <f>IF(CW24=CT21,BO21,0)</f>
        <v>0</v>
      </c>
      <c r="CX21" s="121">
        <f>IF(CX24=CT21,BP21,0)</f>
        <v>1</v>
      </c>
      <c r="CY21" s="122">
        <f t="shared" ref="CY21:CY24" si="36">SUM(CU21:CX21)</f>
        <v>1</v>
      </c>
      <c r="CZ21" s="122">
        <f t="shared" ref="CZ21:CZ23" si="37">(5-CT21)*10000+CY21*100+(5-BW21)+CB21/10+BA21/100</f>
        <v>20101.100151564999</v>
      </c>
      <c r="DA21" s="122">
        <f>RANK(CZ21,CZ20:CZ23)</f>
        <v>4</v>
      </c>
      <c r="DD21" s="120" t="str">
        <f>INDEX(T,24+MONTH(U51),lang) &amp; " " &amp; DAY(U51) &amp; ", " &amp; YEAR(U51) &amp; "   " &amp; TEXT(TIME(HOUR(U51),MINUTE(U51),0),"hh:mm")</f>
        <v>Jun 26, 2016   hh:01</v>
      </c>
      <c r="DE21" s="83"/>
      <c r="DF21" s="83"/>
      <c r="DG21" s="93"/>
      <c r="DH21" s="84"/>
      <c r="DI21" s="85"/>
      <c r="DJ21" s="171"/>
      <c r="DK21" s="91" t="str">
        <f>W51</f>
        <v>V42</v>
      </c>
      <c r="DL21" s="59"/>
      <c r="DM21" s="127"/>
      <c r="DN21" s="83"/>
      <c r="DO21" s="83"/>
      <c r="DP21" s="83"/>
      <c r="DQ21" s="83"/>
      <c r="DR21" s="83"/>
      <c r="DS21" s="83"/>
      <c r="DT21" s="84"/>
      <c r="DU21" s="83"/>
      <c r="DV21" s="83"/>
      <c r="DW21" s="83"/>
      <c r="DX21" s="83"/>
      <c r="DY21" s="83"/>
    </row>
    <row r="22" spans="1:129" x14ac:dyDescent="0.3">
      <c r="A22" s="70">
        <v>13</v>
      </c>
      <c r="B22" s="71" t="str">
        <f t="shared" si="22"/>
        <v>Ons</v>
      </c>
      <c r="C22" s="72" t="str">
        <f t="shared" si="23"/>
        <v>Jun 15, 2016</v>
      </c>
      <c r="D22" s="73">
        <f t="shared" si="24"/>
        <v>0.625</v>
      </c>
      <c r="E22" s="74" t="str">
        <f>AN16</f>
        <v>Russland</v>
      </c>
      <c r="F22" s="57"/>
      <c r="G22" s="58"/>
      <c r="H22" s="81" t="str">
        <f>AN17</f>
        <v>Slovakia</v>
      </c>
      <c r="I22" s="144" t="str">
        <f>INDEX(T,111,lang)</f>
        <v>Stade Pierre-Mauroy, Lille</v>
      </c>
      <c r="J22" s="156"/>
      <c r="K22" s="157"/>
      <c r="M22" s="23" t="str">
        <f>VLOOKUP(2,AM20:AW23,2,FALSE)</f>
        <v>Polen</v>
      </c>
      <c r="N22" s="29">
        <f>O22+P22+Q22</f>
        <v>1</v>
      </c>
      <c r="O22" s="29">
        <f>VLOOKUP(2,AM20:AW23,3,FALSE)</f>
        <v>1</v>
      </c>
      <c r="P22" s="29">
        <f>VLOOKUP(2,AM20:AW23,4,FALSE)</f>
        <v>0</v>
      </c>
      <c r="Q22" s="29">
        <f>VLOOKUP(2,AM20:AW23,5,FALSE)</f>
        <v>0</v>
      </c>
      <c r="R22" s="29" t="str">
        <f>VLOOKUP(2,AM20:AW23,6,FALSE) &amp; " - " &amp; VLOOKUP(2,AM20:AW23,7,FALSE)</f>
        <v>2 - 1</v>
      </c>
      <c r="S22" s="30">
        <f>O22*3+P22</f>
        <v>3</v>
      </c>
      <c r="U22" s="116">
        <f>DATE(2016,6,16)+TIME(2,0,0)+gmt_delta</f>
        <v>42537.625</v>
      </c>
      <c r="V22" s="118" t="str">
        <f t="shared" si="0"/>
        <v/>
      </c>
      <c r="W22" s="118" t="str">
        <f t="shared" si="1"/>
        <v/>
      </c>
      <c r="X22" s="117">
        <f t="shared" si="2"/>
        <v>0</v>
      </c>
      <c r="Y22" s="116">
        <f t="shared" si="3"/>
        <v>0</v>
      </c>
      <c r="Z22" s="116">
        <f t="shared" si="4"/>
        <v>0</v>
      </c>
      <c r="AA22" s="116">
        <f t="shared" si="5"/>
        <v>2</v>
      </c>
      <c r="AB22" s="116">
        <f t="shared" si="6"/>
        <v>1</v>
      </c>
      <c r="AC22" s="116">
        <f t="shared" si="7"/>
        <v>2</v>
      </c>
      <c r="AD22" s="116" t="str">
        <f t="shared" si="8"/>
        <v>212</v>
      </c>
      <c r="AE22" s="116">
        <f t="shared" si="9"/>
        <v>1</v>
      </c>
      <c r="AF22" s="116">
        <f t="shared" si="10"/>
        <v>0</v>
      </c>
      <c r="AG22" s="116">
        <f t="shared" si="11"/>
        <v>0</v>
      </c>
      <c r="AH22" s="116" t="str">
        <f t="shared" si="15"/>
        <v>221</v>
      </c>
      <c r="AI22" s="116">
        <f t="shared" si="12"/>
        <v>1</v>
      </c>
      <c r="AJ22" s="116">
        <f t="shared" si="13"/>
        <v>0</v>
      </c>
      <c r="AK22" s="116">
        <f t="shared" si="14"/>
        <v>0</v>
      </c>
      <c r="AM22" s="116">
        <f t="shared" si="33"/>
        <v>2</v>
      </c>
      <c r="AN22" s="117" t="str">
        <f>INDEX(T,64,lang)</f>
        <v>Polen</v>
      </c>
      <c r="AO22" s="116">
        <f>COUNTIF($V$7:$W$42,"=" &amp; AN22 &amp; "_win")</f>
        <v>1</v>
      </c>
      <c r="AP22" s="116">
        <f>COUNTIF($V$7:$W$42,"=" &amp; AN22 &amp; "_draw")</f>
        <v>0</v>
      </c>
      <c r="AQ22" s="116">
        <f>COUNTIF($V$7:$W$42,"=" &amp; AN22 &amp; "_lose")</f>
        <v>0</v>
      </c>
      <c r="AR22" s="116">
        <f>SUMIF($E$10:$E$45,$AN22,$F$10:$F$45) + SUMIF($H$10:$H$45,$AN22,$G$10:$G$45)</f>
        <v>2</v>
      </c>
      <c r="AS22" s="116">
        <f>SUMIF($E$10:$E$45,$AN22,$G$10:$G$45) + SUMIF($H$10:$H$45,$AN22,$F$10:$F$45)</f>
        <v>1</v>
      </c>
      <c r="AT22" s="116">
        <f>AW22*10000</f>
        <v>30000</v>
      </c>
      <c r="AU22" s="116">
        <f>AR22-AS22</f>
        <v>1</v>
      </c>
      <c r="AV22" s="116">
        <f>(AU22-AU25)/AU24</f>
        <v>0.6</v>
      </c>
      <c r="AW22" s="116">
        <f>AO22*3+AP22</f>
        <v>3</v>
      </c>
      <c r="AX22" s="116">
        <f>BD22/BD24*10+BE22/BE24+BH22/BH24*0.1+BF22/BF24*0.01</f>
        <v>0</v>
      </c>
      <c r="BA22" s="116">
        <f>VLOOKUP(AN22,db_fifarank,2,FALSE)/2000000</f>
        <v>1.4153000000000001E-2</v>
      </c>
      <c r="BB22" s="117">
        <f>10000000*AW22/AW24+100000*AX22/AX24+100*AV22+10*AR22/AR24+1*AX22/AX24+BA22</f>
        <v>7500066.6808196669</v>
      </c>
      <c r="BC22" s="117" t="str">
        <f>IF(SUM(AO20:AQ23)&gt;0,M23,"3C")</f>
        <v>Nord-Irland</v>
      </c>
      <c r="BD22" s="116">
        <f>SUMPRODUCT(($V$7:$V$42=AN22&amp;"_win")*($X$7:$X$42))+SUMPRODUCT(($W$7:$W$42=AN22&amp;"_win")*($X$7:$X$42))</f>
        <v>0</v>
      </c>
      <c r="BE22" s="121">
        <f>SUMPRODUCT(($V$7:$V$42=AN22&amp;"_draw")*($X$7:$X$42))+SUMPRODUCT(($W$7:$W$42=AN22&amp;"_draw")*($X$7:$X$42))</f>
        <v>0</v>
      </c>
      <c r="BF22" s="121">
        <f>SUMPRODUCT(($E$10:$E$45=AN22)*($X$7:$X$42)*($F$10:$F$45))+SUMPRODUCT(($H$10:$H$45=AN22)*($X$7:$X$42)*($G$10:$G$45))</f>
        <v>0</v>
      </c>
      <c r="BG22" s="121">
        <f>SUMPRODUCT(($E$10:$E$45=AN22)*($X$7:$X$42)*($G$10:$G$45))+SUMPRODUCT(($H$10:$H$45=AN22)*($X$7:$X$42)*($F$10:$F$45))</f>
        <v>0</v>
      </c>
      <c r="BH22" s="121">
        <f>BF22-BG22</f>
        <v>0</v>
      </c>
      <c r="BI22" s="117" t="str">
        <f t="shared" si="34"/>
        <v>Tyrkia</v>
      </c>
      <c r="BJ22" s="117">
        <v>4</v>
      </c>
      <c r="BK22" s="117">
        <v>3</v>
      </c>
      <c r="BM22" s="121">
        <f>IFERROR(VLOOKUP("331",$AD$7:$AG$42,2,FALSE),0) + IFERROR(VLOOKUP("331",$AH$7:$AK$42,2,FALSE),0)</f>
        <v>1</v>
      </c>
      <c r="BN22" s="121">
        <f>IFERROR(VLOOKUP("332",$AD$7:$AG$42,2,FALSE),0) + IFERROR(VLOOKUP("332",$AH$7:$AK$42,2,FALSE),0)</f>
        <v>1</v>
      </c>
      <c r="BP22" s="121">
        <f>IFERROR(VLOOKUP("334",$AD$7:$AG$42,2,FALSE),0) + IFERROR(VLOOKUP("334",$AH$7:$AK$42,2,FALSE),0)</f>
        <v>3</v>
      </c>
      <c r="BQ22" s="122">
        <f>SUM(BM22:BP22)</f>
        <v>5</v>
      </c>
      <c r="BR22" s="121">
        <f>IFERROR(VLOOKUP("331",$AD$7:$AG$42,3,FALSE),0) + IFERROR(VLOOKUP("331",$AH$7:$AK$42,3,FALSE),0)</f>
        <v>0</v>
      </c>
      <c r="BS22" s="121">
        <f>IFERROR(VLOOKUP("332",$AD$7:$AG$42,3,FALSE),0) + IFERROR(VLOOKUP("332",$AH$7:$AK$42,3,FALSE),0)</f>
        <v>0</v>
      </c>
      <c r="BU22" s="121">
        <f>IFERROR(VLOOKUP("334",$AD$7:$AG$42,3,FALSE),0) + IFERROR(VLOOKUP("334",$AH$7:$AK$42,3,FALSE),0)</f>
        <v>1</v>
      </c>
      <c r="BV22" s="122">
        <f>SUM(BR22:BU22)</f>
        <v>1</v>
      </c>
      <c r="BW22" s="122">
        <f>RANK(BV22,BV20:BV23)</f>
        <v>2</v>
      </c>
      <c r="BX22" s="121">
        <f>IFERROR(VLOOKUP("331",$AD$7:$AG$42,4,FALSE),0) + IFERROR(VLOOKUP("331",$AH$7:$AK$42,4,FALSE),0)</f>
        <v>0</v>
      </c>
      <c r="BY22" s="121">
        <f>IFERROR(VLOOKUP("332",$AD$7:$AG$42,4,FALSE),0) + IFERROR(VLOOKUP("332",$AH$7:$AK$42,4,FALSE),0)</f>
        <v>0</v>
      </c>
      <c r="CA22" s="121">
        <f>IFERROR(VLOOKUP("334",$AD$7:$AG$42,4,FALSE),0) + IFERROR(VLOOKUP("334",$AH$7:$AK$42,4,FALSE),0)</f>
        <v>2</v>
      </c>
      <c r="CB22" s="122">
        <f>SUM(BX22:CA22)</f>
        <v>2</v>
      </c>
      <c r="CC22" s="121">
        <f>IF(BM24=BQ22,BM22,0)</f>
        <v>1</v>
      </c>
      <c r="CD22" s="121">
        <f>IF(BN24=BQ22,BN22,0)</f>
        <v>0</v>
      </c>
      <c r="CF22" s="121">
        <f>IF(BP24=BQ22,BP22,0)</f>
        <v>0</v>
      </c>
      <c r="CG22" s="122">
        <f>SUM(CC22:CF22)</f>
        <v>1</v>
      </c>
      <c r="CH22" s="121">
        <f>IF(BM24=BQ22,BR22,0)</f>
        <v>0</v>
      </c>
      <c r="CI22" s="121">
        <f>IF(BN24=BQ22,BS22,0)</f>
        <v>0</v>
      </c>
      <c r="CK22" s="121">
        <f>IF(BP24=BQ22,BU22,0)</f>
        <v>0</v>
      </c>
      <c r="CL22" s="122">
        <f>SUM(CH22:CK22)</f>
        <v>0</v>
      </c>
      <c r="CM22" s="122">
        <f>RANK(CL22,CL20:CL23)</f>
        <v>1</v>
      </c>
      <c r="CN22" s="121">
        <f>IF(BM24=BQ22,BX22,0)</f>
        <v>0</v>
      </c>
      <c r="CO22" s="121">
        <f>IF(BN24=BQ22,BY22,0)</f>
        <v>0</v>
      </c>
      <c r="CQ22" s="121">
        <f>IF(BP24=BQ22,CA22,0)</f>
        <v>0</v>
      </c>
      <c r="CR22" s="122">
        <f>SUM(CN22:CQ22)</f>
        <v>0</v>
      </c>
      <c r="CS22" s="122">
        <f t="shared" si="35"/>
        <v>50104</v>
      </c>
      <c r="CT22" s="122">
        <f>RANK(CS22,CS20:CS23)</f>
        <v>1</v>
      </c>
      <c r="CU22" s="121">
        <f>IF(CU24=CT22,BM22,0)</f>
        <v>1</v>
      </c>
      <c r="CV22" s="121">
        <f>IF(CV24=CT22,BN22,0)</f>
        <v>0</v>
      </c>
      <c r="CX22" s="121">
        <f>IF(CX24=CT22,BP22,0)</f>
        <v>0</v>
      </c>
      <c r="CY22" s="122">
        <f t="shared" si="36"/>
        <v>1</v>
      </c>
      <c r="CZ22" s="122">
        <f t="shared" si="37"/>
        <v>40103.200141529996</v>
      </c>
      <c r="DA22" s="122">
        <f>RANK(CZ22,CZ20:CZ23)</f>
        <v>2</v>
      </c>
      <c r="DD22" s="168">
        <v>42</v>
      </c>
      <c r="DE22" s="90" t="str">
        <f>BC38</f>
        <v>1F</v>
      </c>
      <c r="DF22" s="61"/>
      <c r="DG22" s="126"/>
      <c r="DH22" s="87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4"/>
      <c r="DU22" s="83"/>
      <c r="DV22" s="83" t="str">
        <f>INDEX(T,24+MONTH(U73),lang) &amp; " " &amp; DAY(U73) &amp; ", " &amp; YEAR(U73) &amp; "   " &amp; TEXT(TIME(HOUR(U73),MINUTE(U73),0),"hh:mm")</f>
        <v>Jul 10, 2016   hh:01</v>
      </c>
      <c r="DW22" s="83"/>
      <c r="DX22" s="83"/>
      <c r="DY22" s="93"/>
    </row>
    <row r="23" spans="1:129" x14ac:dyDescent="0.3">
      <c r="A23" s="70">
        <v>14</v>
      </c>
      <c r="B23" s="71" t="str">
        <f t="shared" si="22"/>
        <v>Ons</v>
      </c>
      <c r="C23" s="72" t="str">
        <f t="shared" si="23"/>
        <v>Jun 15, 2016</v>
      </c>
      <c r="D23" s="73">
        <f t="shared" si="24"/>
        <v>0.75</v>
      </c>
      <c r="E23" s="74" t="str">
        <f>AN10</f>
        <v>Romania</v>
      </c>
      <c r="F23" s="57"/>
      <c r="G23" s="58"/>
      <c r="H23" s="81" t="str">
        <f>AN11</f>
        <v>Sveits</v>
      </c>
      <c r="I23" s="144" t="str">
        <f>INDEX(T,107,lang)</f>
        <v>Parc des Princes, Paris</v>
      </c>
      <c r="J23" s="145"/>
      <c r="K23" s="146"/>
      <c r="M23" s="23" t="str">
        <f>VLOOKUP(3,AM20:AW23,2,FALSE)</f>
        <v>Nord-Irland</v>
      </c>
      <c r="N23" s="29">
        <f>O23+P23+Q23</f>
        <v>1</v>
      </c>
      <c r="O23" s="29">
        <f>VLOOKUP(3,AM20:AW23,3,FALSE)</f>
        <v>0</v>
      </c>
      <c r="P23" s="29">
        <f>VLOOKUP(3,AM20:AW23,4,FALSE)</f>
        <v>0</v>
      </c>
      <c r="Q23" s="29">
        <f>VLOOKUP(3,AM20:AW23,5,FALSE)</f>
        <v>1</v>
      </c>
      <c r="R23" s="29" t="str">
        <f>VLOOKUP(3,AM20:AW23,6,FALSE) &amp; " - " &amp; VLOOKUP(3,AM20:AW23,7,FALSE)</f>
        <v>1 - 2</v>
      </c>
      <c r="S23" s="30">
        <f>O23*3+P23</f>
        <v>0</v>
      </c>
      <c r="U23" s="116">
        <f>DATE(2016,6,16)+TIME(5,0,0)+gmt_delta</f>
        <v>42537.75</v>
      </c>
      <c r="V23" s="118" t="str">
        <f t="shared" si="0"/>
        <v/>
      </c>
      <c r="W23" s="118" t="str">
        <f t="shared" si="1"/>
        <v/>
      </c>
      <c r="X23" s="117">
        <f t="shared" si="2"/>
        <v>0</v>
      </c>
      <c r="Y23" s="116">
        <f t="shared" si="3"/>
        <v>0</v>
      </c>
      <c r="Z23" s="116">
        <f t="shared" si="4"/>
        <v>0</v>
      </c>
      <c r="AA23" s="116">
        <f t="shared" si="5"/>
        <v>3</v>
      </c>
      <c r="AB23" s="116">
        <f t="shared" si="6"/>
        <v>2</v>
      </c>
      <c r="AC23" s="116">
        <f t="shared" si="7"/>
        <v>4</v>
      </c>
      <c r="AD23" s="116" t="str">
        <f t="shared" si="8"/>
        <v>324</v>
      </c>
      <c r="AE23" s="116">
        <f t="shared" si="9"/>
        <v>1</v>
      </c>
      <c r="AF23" s="116">
        <f t="shared" si="10"/>
        <v>0</v>
      </c>
      <c r="AG23" s="116">
        <f t="shared" si="11"/>
        <v>0</v>
      </c>
      <c r="AH23" s="116" t="str">
        <f t="shared" si="15"/>
        <v>342</v>
      </c>
      <c r="AI23" s="116">
        <f t="shared" si="12"/>
        <v>1</v>
      </c>
      <c r="AJ23" s="116">
        <f t="shared" si="13"/>
        <v>0</v>
      </c>
      <c r="AK23" s="116">
        <f t="shared" si="14"/>
        <v>0</v>
      </c>
      <c r="AM23" s="116">
        <f t="shared" si="33"/>
        <v>3</v>
      </c>
      <c r="AN23" s="117" t="str">
        <f>INDEX(T,56,lang)</f>
        <v>Nord-Irland</v>
      </c>
      <c r="AO23" s="116">
        <f>COUNTIF($V$7:$W$42,"=" &amp; AN23 &amp; "_win")</f>
        <v>0</v>
      </c>
      <c r="AP23" s="116">
        <f>COUNTIF($V$7:$W$42,"=" &amp; AN23 &amp; "_draw")</f>
        <v>0</v>
      </c>
      <c r="AQ23" s="116">
        <f>COUNTIF($V$7:$W$42,"=" &amp; AN23 &amp; "_lose")</f>
        <v>1</v>
      </c>
      <c r="AR23" s="116">
        <f>SUMIF($E$10:$E$45,$AN23,$F$10:$F$45) + SUMIF($H$10:$H$45,$AN23,$G$10:$G$45)</f>
        <v>1</v>
      </c>
      <c r="AS23" s="116">
        <f>SUMIF($E$10:$E$45,$AN23,$G$10:$G$45) + SUMIF($H$10:$H$45,$AN23,$F$10:$F$45)</f>
        <v>2</v>
      </c>
      <c r="AT23" s="116">
        <f>AW23*10000</f>
        <v>0</v>
      </c>
      <c r="AU23" s="116">
        <f>AR23-AS23</f>
        <v>-1</v>
      </c>
      <c r="AV23" s="116">
        <f>(AU23-AU25)/AU24</f>
        <v>0.2</v>
      </c>
      <c r="AW23" s="116">
        <f>AO23*3+AP23</f>
        <v>0</v>
      </c>
      <c r="AX23" s="116">
        <f>BD23/BD24*10+BE23/BE24+BH23/BH24*0.1+BF23/BF24*0.01</f>
        <v>0</v>
      </c>
      <c r="BA23" s="116">
        <f>VLOOKUP(AN23,db_fifarank,2,FALSE)/2000000</f>
        <v>1.1480499999999999E-2</v>
      </c>
      <c r="BB23" s="117">
        <f>10000000*AW23/AW24+100000*AX23/AX24+100*AV23+10*AR23/AR24+1*AX23/AX24+BA23</f>
        <v>23.344813833333333</v>
      </c>
      <c r="BD23" s="116">
        <f>SUMPRODUCT(($V$7:$V$42=AN23&amp;"_win")*($X$7:$X$42))+SUMPRODUCT(($W$7:$W$42=AN23&amp;"_win")*($X$7:$X$42))</f>
        <v>0</v>
      </c>
      <c r="BE23" s="121">
        <f>SUMPRODUCT(($V$7:$V$42=AN23&amp;"_draw")*($X$7:$X$42))+SUMPRODUCT(($W$7:$W$42=AN23&amp;"_draw")*($X$7:$X$42))</f>
        <v>0</v>
      </c>
      <c r="BF23" s="121">
        <f>SUMPRODUCT(($E$10:$E$45=AN23)*($X$7:$X$42)*($F$10:$F$45))+SUMPRODUCT(($H$10:$H$45=AN23)*($X$7:$X$42)*($G$10:$G$45))</f>
        <v>0</v>
      </c>
      <c r="BG23" s="121">
        <f>SUMPRODUCT(($E$10:$E$45=AN23)*($X$7:$X$42)*($G$10:$G$45))+SUMPRODUCT(($H$10:$H$45=AN23)*($X$7:$X$42)*($F$10:$F$45))</f>
        <v>0</v>
      </c>
      <c r="BH23" s="121">
        <f>BF23-BG23</f>
        <v>0</v>
      </c>
      <c r="BI23" s="117" t="str">
        <f t="shared" si="34"/>
        <v>Tsjekkisk Republikk</v>
      </c>
      <c r="BJ23" s="117">
        <v>4</v>
      </c>
      <c r="BK23" s="117">
        <v>4</v>
      </c>
      <c r="BM23" s="121">
        <f>IFERROR(VLOOKUP("341",$AD$7:$AG$42,2,FALSE),0) + IFERROR(VLOOKUP("341",$AH$7:$AK$42,2,FALSE),0)</f>
        <v>1</v>
      </c>
      <c r="BN23" s="121">
        <f>IFERROR(VLOOKUP("342",$AD$7:$AG$42,2,FALSE),0) + IFERROR(VLOOKUP("342",$AH$7:$AK$42,2,FALSE),0)</f>
        <v>1</v>
      </c>
      <c r="BO23" s="121">
        <f>IFERROR(VLOOKUP("343",$AD$7:$AG$42,2,FALSE),0) + IFERROR(VLOOKUP("343",$AH$7:$AK$42,2,FALSE),0)</f>
        <v>0</v>
      </c>
      <c r="BQ23" s="122">
        <f>SUM(BM23:BP23)</f>
        <v>2</v>
      </c>
      <c r="BR23" s="121">
        <f>IFERROR(VLOOKUP("341",$AD$7:$AG$42,3,FALSE),0) + IFERROR(VLOOKUP("341",$AH$7:$AK$42,3,FALSE),0)</f>
        <v>0</v>
      </c>
      <c r="BS23" s="121">
        <f>IFERROR(VLOOKUP("342",$AD$7:$AG$42,3,FALSE),0) + IFERROR(VLOOKUP("342",$AH$7:$AK$42,3,FALSE),0)</f>
        <v>0</v>
      </c>
      <c r="BT23" s="121">
        <f>IFERROR(VLOOKUP("343",$AD$7:$AG$42,3,FALSE),0) + IFERROR(VLOOKUP("343",$AH$7:$AK$42,3,FALSE),0)</f>
        <v>-1</v>
      </c>
      <c r="BV23" s="122">
        <f>SUM(BR23:BU23)</f>
        <v>-1</v>
      </c>
      <c r="BW23" s="122">
        <f>RANK(BV23,BV20:BV23)</f>
        <v>3</v>
      </c>
      <c r="BX23" s="121">
        <f>IFERROR(VLOOKUP("341",$AD$7:$AG$42,4,FALSE),0) + IFERROR(VLOOKUP("341",$AH$7:$AK$42,4,FALSE),0)</f>
        <v>0</v>
      </c>
      <c r="BY23" s="121">
        <f>IFERROR(VLOOKUP("342",$AD$7:$AG$42,4,FALSE),0) + IFERROR(VLOOKUP("342",$AH$7:$AK$42,4,FALSE),0)</f>
        <v>0</v>
      </c>
      <c r="BZ23" s="121">
        <f>IFERROR(VLOOKUP("343",$AD$7:$AG$42,4,FALSE),0) + IFERROR(VLOOKUP("343",$AH$7:$AK$42,4,FALSE),0)</f>
        <v>1</v>
      </c>
      <c r="CB23" s="122">
        <f>SUM(BX23:CA23)</f>
        <v>1</v>
      </c>
      <c r="CC23" s="121">
        <f>IF(BM24=BQ23,BM23,0)</f>
        <v>0</v>
      </c>
      <c r="CD23" s="121">
        <f>IF(BN24=BQ23,BN23,0)</f>
        <v>1</v>
      </c>
      <c r="CE23" s="121">
        <f>IF(BO24=BQ23,BO23,0)</f>
        <v>0</v>
      </c>
      <c r="CG23" s="122">
        <f>SUM(CC23:CF23)</f>
        <v>1</v>
      </c>
      <c r="CH23" s="121">
        <f>IF(BM24=BQ23,BR23,0)</f>
        <v>0</v>
      </c>
      <c r="CI23" s="121">
        <f>IF(BN24=BQ23,BS23,0)</f>
        <v>0</v>
      </c>
      <c r="CJ23" s="121">
        <f>IF(BO24=BQ23,BT23,0)</f>
        <v>0</v>
      </c>
      <c r="CL23" s="122">
        <f>SUM(CH23:CK23)</f>
        <v>0</v>
      </c>
      <c r="CM23" s="122">
        <f>RANK(CL23,CL20:CL23)</f>
        <v>1</v>
      </c>
      <c r="CN23" s="121">
        <f>IF(BM24=BQ23,BX23,0)</f>
        <v>0</v>
      </c>
      <c r="CO23" s="121">
        <f>IF(BN24=BQ23,BY23,0)</f>
        <v>0</v>
      </c>
      <c r="CP23" s="121">
        <f>IF(BO24=BQ23,BZ23,0)</f>
        <v>0</v>
      </c>
      <c r="CR23" s="122">
        <f>SUM(CN23:CQ23)</f>
        <v>0</v>
      </c>
      <c r="CS23" s="122">
        <f t="shared" si="35"/>
        <v>20104</v>
      </c>
      <c r="CT23" s="122">
        <f>RANK(CS23,CS20:CS23)</f>
        <v>3</v>
      </c>
      <c r="CU23" s="121">
        <f>IF(CU24=CT23,BM23,0)</f>
        <v>0</v>
      </c>
      <c r="CV23" s="121">
        <f>IF(CV24=CT23,BN23,0)</f>
        <v>1</v>
      </c>
      <c r="CW23" s="121">
        <f>IF(CW24=CT23,BO23,0)</f>
        <v>0</v>
      </c>
      <c r="CY23" s="122">
        <f t="shared" si="36"/>
        <v>1</v>
      </c>
      <c r="CZ23" s="122">
        <f t="shared" si="37"/>
        <v>20102.100114804998</v>
      </c>
      <c r="DA23" s="122">
        <f>RANK(CZ23,CZ20:CZ23)</f>
        <v>3</v>
      </c>
      <c r="DD23" s="169"/>
      <c r="DE23" s="91" t="str">
        <f>BC33</f>
        <v>2E</v>
      </c>
      <c r="DF23" s="59"/>
      <c r="DG23" s="127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4"/>
      <c r="DU23" s="83"/>
      <c r="DV23" s="170">
        <v>51</v>
      </c>
      <c r="DW23" s="90" t="str">
        <f>W64</f>
        <v>V49</v>
      </c>
      <c r="DX23" s="61"/>
      <c r="DY23" s="126"/>
    </row>
    <row r="24" spans="1:129" x14ac:dyDescent="0.3">
      <c r="A24" s="70">
        <v>15</v>
      </c>
      <c r="B24" s="71" t="str">
        <f t="shared" si="22"/>
        <v>Ons</v>
      </c>
      <c r="C24" s="72" t="str">
        <f t="shared" si="23"/>
        <v>Jun 15, 2016</v>
      </c>
      <c r="D24" s="73">
        <f t="shared" si="24"/>
        <v>0.875</v>
      </c>
      <c r="E24" s="74" t="str">
        <f>AN8</f>
        <v>Frankrike</v>
      </c>
      <c r="F24" s="57"/>
      <c r="G24" s="58"/>
      <c r="H24" s="81" t="str">
        <f>AN9</f>
        <v>Albania</v>
      </c>
      <c r="I24" s="144" t="str">
        <f>INDEX(T,106,lang)</f>
        <v>Stade Vélodrome, Marseille</v>
      </c>
      <c r="J24" s="145"/>
      <c r="K24" s="146"/>
      <c r="M24" s="24" t="str">
        <f>VLOOKUP(4,AM20:AW23,2,FALSE)</f>
        <v>Ukraina</v>
      </c>
      <c r="N24" s="31">
        <f>O24+P24+Q24</f>
        <v>1</v>
      </c>
      <c r="O24" s="31">
        <f>VLOOKUP(4,AM20:AW23,3,FALSE)</f>
        <v>0</v>
      </c>
      <c r="P24" s="31">
        <f>VLOOKUP(4,AM20:AW23,4,FALSE)</f>
        <v>0</v>
      </c>
      <c r="Q24" s="31">
        <f>VLOOKUP(4,AM20:AW23,5,FALSE)</f>
        <v>1</v>
      </c>
      <c r="R24" s="31" t="str">
        <f>VLOOKUP(4,AM20:AW23,6,FALSE) &amp; " - " &amp; VLOOKUP(4,AM20:AW23,7,FALSE)</f>
        <v>1 - 3</v>
      </c>
      <c r="S24" s="32">
        <f>O24*3+P24</f>
        <v>0</v>
      </c>
      <c r="U24" s="116">
        <f>DATE(2016,6,16)+TIME(8,0,0)+gmt_delta</f>
        <v>42537.875</v>
      </c>
      <c r="V24" s="118" t="str">
        <f t="shared" si="0"/>
        <v/>
      </c>
      <c r="W24" s="118" t="str">
        <f t="shared" si="1"/>
        <v/>
      </c>
      <c r="X24" s="117">
        <f t="shared" si="2"/>
        <v>0</v>
      </c>
      <c r="Y24" s="116">
        <f t="shared" si="3"/>
        <v>0</v>
      </c>
      <c r="Z24" s="116">
        <f t="shared" si="4"/>
        <v>0</v>
      </c>
      <c r="AA24" s="116">
        <f t="shared" si="5"/>
        <v>3</v>
      </c>
      <c r="AB24" s="116">
        <f t="shared" si="6"/>
        <v>1</v>
      </c>
      <c r="AC24" s="116">
        <f t="shared" si="7"/>
        <v>3</v>
      </c>
      <c r="AD24" s="116" t="str">
        <f t="shared" si="8"/>
        <v>313</v>
      </c>
      <c r="AE24" s="116">
        <f t="shared" si="9"/>
        <v>1</v>
      </c>
      <c r="AF24" s="116">
        <f t="shared" si="10"/>
        <v>0</v>
      </c>
      <c r="AG24" s="116">
        <f t="shared" si="11"/>
        <v>0</v>
      </c>
      <c r="AH24" s="116" t="str">
        <f t="shared" si="15"/>
        <v>331</v>
      </c>
      <c r="AI24" s="116">
        <f t="shared" si="12"/>
        <v>1</v>
      </c>
      <c r="AJ24" s="116">
        <f t="shared" si="13"/>
        <v>0</v>
      </c>
      <c r="AK24" s="116">
        <f t="shared" si="14"/>
        <v>0</v>
      </c>
      <c r="AO24" s="116">
        <f t="shared" ref="AO24:AX24" si="38">MAX(AO20:AO23)-MIN(AO20:AO23)+1</f>
        <v>2</v>
      </c>
      <c r="AP24" s="116">
        <f t="shared" si="38"/>
        <v>1</v>
      </c>
      <c r="AQ24" s="116">
        <f t="shared" si="38"/>
        <v>2</v>
      </c>
      <c r="AR24" s="116">
        <f t="shared" si="38"/>
        <v>3</v>
      </c>
      <c r="AS24" s="116">
        <f t="shared" si="38"/>
        <v>3</v>
      </c>
      <c r="AT24" s="116">
        <f>MAX(AT20:AT23)-AT25+1</f>
        <v>30001</v>
      </c>
      <c r="AU24" s="116">
        <f>MAX(AU20:AU23)-AU25+1</f>
        <v>5</v>
      </c>
      <c r="AW24" s="116">
        <f t="shared" si="38"/>
        <v>4</v>
      </c>
      <c r="AX24" s="116">
        <f t="shared" si="38"/>
        <v>1</v>
      </c>
      <c r="BD24" s="116">
        <f>MAX(BD20:BD23)-MIN(BD20:BD23)+1</f>
        <v>1</v>
      </c>
      <c r="BE24" s="116">
        <f>MAX(BE20:BE23)-MIN(BE20:BE23)+1</f>
        <v>1</v>
      </c>
      <c r="BF24" s="116">
        <f>MAX(BF20:BF23)-MIN(BF20:BF23)+1</f>
        <v>1</v>
      </c>
      <c r="BG24" s="116">
        <f>MAX(BG20:BG23)-MIN(BG20:BG23)+1</f>
        <v>1</v>
      </c>
      <c r="BH24" s="116">
        <f>MAX(BH20:BH23)-MIN(BH20:BH23)+1</f>
        <v>1</v>
      </c>
      <c r="BI24" s="117" t="str">
        <f>AN32</f>
        <v>Belgia</v>
      </c>
      <c r="BJ24" s="117">
        <v>5</v>
      </c>
      <c r="BK24" s="117">
        <v>1</v>
      </c>
      <c r="BM24" s="116">
        <f>BQ20</f>
        <v>5</v>
      </c>
      <c r="BN24" s="116">
        <f>BQ21</f>
        <v>2</v>
      </c>
      <c r="BO24" s="116">
        <f>BQ22</f>
        <v>5</v>
      </c>
      <c r="BP24" s="116">
        <f>BQ23</f>
        <v>2</v>
      </c>
      <c r="BR24" s="116"/>
      <c r="BS24" s="116"/>
      <c r="BT24" s="116"/>
      <c r="BU24" s="116"/>
      <c r="BX24" s="116"/>
      <c r="BY24" s="116"/>
      <c r="BZ24" s="116"/>
      <c r="CA24" s="116"/>
      <c r="CC24" s="116"/>
      <c r="CD24" s="116"/>
      <c r="CE24" s="116"/>
      <c r="CF24" s="116"/>
      <c r="CH24" s="116"/>
      <c r="CI24" s="116"/>
      <c r="CJ24" s="116"/>
      <c r="CK24" s="116"/>
      <c r="CN24" s="116"/>
      <c r="CO24" s="116"/>
      <c r="CP24" s="116"/>
      <c r="CQ24" s="116"/>
      <c r="CU24" s="116">
        <f>CT20</f>
        <v>1</v>
      </c>
      <c r="CV24" s="116">
        <f>CT21</f>
        <v>3</v>
      </c>
      <c r="CW24" s="116">
        <f>CT22</f>
        <v>1</v>
      </c>
      <c r="CX24" s="116">
        <f>CT23</f>
        <v>3</v>
      </c>
      <c r="CY24" s="122">
        <f t="shared" si="36"/>
        <v>8</v>
      </c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4"/>
      <c r="DU24" s="85"/>
      <c r="DV24" s="171"/>
      <c r="DW24" s="91" t="str">
        <f>W65</f>
        <v>V50</v>
      </c>
      <c r="DX24" s="59"/>
      <c r="DY24" s="127"/>
    </row>
    <row r="25" spans="1:129" x14ac:dyDescent="0.3">
      <c r="A25" s="70">
        <v>16</v>
      </c>
      <c r="B25" s="71" t="str">
        <f t="shared" si="22"/>
        <v>Tors</v>
      </c>
      <c r="C25" s="72" t="str">
        <f t="shared" si="23"/>
        <v>Jun 16, 2016</v>
      </c>
      <c r="D25" s="73">
        <f t="shared" si="24"/>
        <v>0.625</v>
      </c>
      <c r="E25" s="74" t="str">
        <f>AN14</f>
        <v>England</v>
      </c>
      <c r="F25" s="57"/>
      <c r="G25" s="58"/>
      <c r="H25" s="81" t="str">
        <f>AN15</f>
        <v>Wales</v>
      </c>
      <c r="I25" s="144" t="str">
        <f>INDEX(T,109,lang)</f>
        <v>Stade Bollaert-Delelis, Lens</v>
      </c>
      <c r="J25" s="145"/>
      <c r="K25" s="146"/>
      <c r="M25" s="33"/>
      <c r="N25" s="34"/>
      <c r="O25" s="34"/>
      <c r="P25" s="34"/>
      <c r="Q25" s="34"/>
      <c r="R25" s="34"/>
      <c r="S25" s="34"/>
      <c r="U25" s="116">
        <f>DATE(2016,6,17)+TIME(2,0,0)+gmt_delta</f>
        <v>42538.625</v>
      </c>
      <c r="V25" s="118" t="str">
        <f t="shared" si="0"/>
        <v/>
      </c>
      <c r="W25" s="118" t="str">
        <f t="shared" si="1"/>
        <v/>
      </c>
      <c r="X25" s="117">
        <f t="shared" si="2"/>
        <v>0</v>
      </c>
      <c r="Y25" s="116">
        <f t="shared" si="3"/>
        <v>0</v>
      </c>
      <c r="Z25" s="116">
        <f t="shared" si="4"/>
        <v>0</v>
      </c>
      <c r="AA25" s="116">
        <f t="shared" si="5"/>
        <v>5</v>
      </c>
      <c r="AB25" s="116">
        <f t="shared" si="6"/>
        <v>3</v>
      </c>
      <c r="AC25" s="116">
        <f t="shared" si="7"/>
        <v>4</v>
      </c>
      <c r="AD25" s="116" t="str">
        <f t="shared" si="8"/>
        <v>534</v>
      </c>
      <c r="AE25" s="116">
        <f t="shared" si="9"/>
        <v>1</v>
      </c>
      <c r="AF25" s="116">
        <f t="shared" si="10"/>
        <v>0</v>
      </c>
      <c r="AG25" s="116">
        <f t="shared" si="11"/>
        <v>0</v>
      </c>
      <c r="AH25" s="116" t="str">
        <f t="shared" si="15"/>
        <v>543</v>
      </c>
      <c r="AI25" s="116">
        <f t="shared" si="12"/>
        <v>1</v>
      </c>
      <c r="AJ25" s="116">
        <f t="shared" si="13"/>
        <v>0</v>
      </c>
      <c r="AK25" s="116">
        <f t="shared" si="14"/>
        <v>0</v>
      </c>
      <c r="AT25" s="116">
        <f>MIN(AT20:AT23)</f>
        <v>0</v>
      </c>
      <c r="AU25" s="116">
        <f>MIN(AU20:AU23)</f>
        <v>-2</v>
      </c>
      <c r="BI25" s="117" t="str">
        <f t="shared" ref="BI25:BI27" si="39">AN33</f>
        <v>Republikken Irland</v>
      </c>
      <c r="BJ25" s="117">
        <v>5</v>
      </c>
      <c r="BK25" s="117">
        <v>2</v>
      </c>
      <c r="DD25" s="120" t="str">
        <f>INDEX(T,24+MONTH(U50),lang) &amp; " " &amp; DAY(U50) &amp; ", " &amp; YEAR(U50) &amp; "   " &amp; TEXT(TIME(HOUR(U50),MINUTE(U50),0),"hh:mm")</f>
        <v>Jun 26, 2016   hh:01</v>
      </c>
      <c r="DE25" s="83"/>
      <c r="DF25" s="83"/>
      <c r="DG25" s="94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4"/>
      <c r="DU25" s="83"/>
      <c r="DV25" s="83"/>
      <c r="DW25" s="83"/>
      <c r="DX25" s="83"/>
      <c r="DY25" s="83"/>
    </row>
    <row r="26" spans="1:129" x14ac:dyDescent="0.3">
      <c r="A26" s="70">
        <v>17</v>
      </c>
      <c r="B26" s="71" t="str">
        <f t="shared" si="22"/>
        <v>Tors</v>
      </c>
      <c r="C26" s="72" t="str">
        <f t="shared" si="23"/>
        <v>Jun 16, 2016</v>
      </c>
      <c r="D26" s="73">
        <f t="shared" si="24"/>
        <v>0.75</v>
      </c>
      <c r="E26" s="74" t="str">
        <f>AN21</f>
        <v>Ukraina</v>
      </c>
      <c r="F26" s="57"/>
      <c r="G26" s="58"/>
      <c r="H26" s="81" t="str">
        <f>AN23</f>
        <v>Nord-Irland</v>
      </c>
      <c r="I26" s="144" t="str">
        <f>INDEX(T,110,lang)</f>
        <v>Parc Olympique Lyonnais, Lyon</v>
      </c>
      <c r="J26" s="145"/>
      <c r="K26" s="146"/>
      <c r="M26" s="55" t="str">
        <f>INDEX(T,9,lang) &amp; " " &amp; "D"</f>
        <v>Gruppe D</v>
      </c>
      <c r="N26" s="56" t="str">
        <f>INDEX(T,10,lang)</f>
        <v>S</v>
      </c>
      <c r="O26" s="56" t="str">
        <f>INDEX(T,11,lang)</f>
        <v>V</v>
      </c>
      <c r="P26" s="56" t="str">
        <f>INDEX(T,12,lang)</f>
        <v>T</v>
      </c>
      <c r="Q26" s="56" t="str">
        <f>INDEX(T,13,lang)</f>
        <v>U</v>
      </c>
      <c r="R26" s="56" t="str">
        <f>INDEX(T,14,lang)</f>
        <v>Mål</v>
      </c>
      <c r="S26" s="56" t="str">
        <f>INDEX(T,15,lang)</f>
        <v>P</v>
      </c>
      <c r="U26" s="116">
        <f>DATE(2016,6,17)+TIME(5,0,0)+gmt_delta</f>
        <v>42538.75</v>
      </c>
      <c r="V26" s="118" t="str">
        <f t="shared" si="0"/>
        <v/>
      </c>
      <c r="W26" s="118" t="str">
        <f t="shared" si="1"/>
        <v/>
      </c>
      <c r="X26" s="117">
        <f t="shared" si="2"/>
        <v>0</v>
      </c>
      <c r="Y26" s="116">
        <f t="shared" si="3"/>
        <v>0</v>
      </c>
      <c r="Z26" s="116">
        <f t="shared" si="4"/>
        <v>0</v>
      </c>
      <c r="AA26" s="116">
        <f t="shared" si="5"/>
        <v>4</v>
      </c>
      <c r="AB26" s="116">
        <f t="shared" si="6"/>
        <v>4</v>
      </c>
      <c r="AC26" s="116">
        <f t="shared" si="7"/>
        <v>2</v>
      </c>
      <c r="AD26" s="116" t="str">
        <f t="shared" si="8"/>
        <v>442</v>
      </c>
      <c r="AE26" s="116">
        <f t="shared" si="9"/>
        <v>1</v>
      </c>
      <c r="AF26" s="116">
        <f t="shared" si="10"/>
        <v>0</v>
      </c>
      <c r="AG26" s="116">
        <f t="shared" si="11"/>
        <v>0</v>
      </c>
      <c r="AH26" s="116" t="str">
        <f t="shared" si="15"/>
        <v>424</v>
      </c>
      <c r="AI26" s="116">
        <f t="shared" si="12"/>
        <v>1</v>
      </c>
      <c r="AJ26" s="116">
        <f t="shared" si="13"/>
        <v>0</v>
      </c>
      <c r="AK26" s="116">
        <f t="shared" si="14"/>
        <v>0</v>
      </c>
      <c r="AM26" s="116">
        <f>DA26</f>
        <v>2</v>
      </c>
      <c r="AN26" s="117" t="str">
        <f>INDEX(T,40,lang)</f>
        <v>Spania</v>
      </c>
      <c r="AO26" s="116">
        <f>COUNTIF($V$7:$W$42,"=" &amp; AN26 &amp; "_win")</f>
        <v>0</v>
      </c>
      <c r="AP26" s="116">
        <f>COUNTIF($V$7:$W$42,"=" &amp; AN26 &amp; "_draw")</f>
        <v>0</v>
      </c>
      <c r="AQ26" s="116">
        <f>COUNTIF($V$7:$W$42,"=" &amp; AN26 &amp; "_lose")</f>
        <v>0</v>
      </c>
      <c r="AR26" s="116">
        <f>SUMIF($E$10:$E$45,$AN26,$F$10:$F$45) + SUMIF($H$10:$H$45,$AN26,$G$10:$G$45)</f>
        <v>0</v>
      </c>
      <c r="AS26" s="116">
        <f>SUMIF($E$10:$E$45,$AN26,$G$10:$G$45) + SUMIF($H$10:$H$45,$AN26,$F$10:$F$45)</f>
        <v>0</v>
      </c>
      <c r="AT26" s="116">
        <f>AW26*10000</f>
        <v>0</v>
      </c>
      <c r="AU26" s="116">
        <f>AR26-AS26</f>
        <v>0</v>
      </c>
      <c r="AV26" s="116">
        <f>(AU26-AU31)/AU30</f>
        <v>0.33333333333333331</v>
      </c>
      <c r="AW26" s="116">
        <f>AO26*3+AP26</f>
        <v>0</v>
      </c>
      <c r="AX26" s="116">
        <f>BD26/BD30*10+BE26/BE30+BH26/BH30*0.1+BF26/BF30*0.01</f>
        <v>0</v>
      </c>
      <c r="BA26" s="116">
        <f>VLOOKUP(AN26,db_fifarank,2,FALSE)/2000000</f>
        <v>1.8981000000000001E-2</v>
      </c>
      <c r="BB26" s="117">
        <f>10000000*AW26/AW30+100000*AX26/AX30+100*AV26+10*AR26/AR30+1*AX26/AX30+BA26</f>
        <v>33.352314333333325</v>
      </c>
      <c r="BC26" s="117" t="str">
        <f>IF(SUM(AO26:AQ29)=12,M27,INDEX(T,76,lang))</f>
        <v>1D</v>
      </c>
      <c r="BD26" s="116">
        <f>SUMPRODUCT(($V$7:$V$42=AN26&amp;"_win")*($X$7:$X$42))+SUMPRODUCT(($W$7:$W$42=AN26&amp;"_win")*($X$7:$X$42))</f>
        <v>0</v>
      </c>
      <c r="BE26" s="121">
        <f>SUMPRODUCT(($V$7:$V$42=AN26&amp;"_draw")*($X$7:$X$42))+SUMPRODUCT(($W$7:$W$42=AN26&amp;"_draw")*($X$7:$X$42))</f>
        <v>0</v>
      </c>
      <c r="BF26" s="121">
        <f>SUMPRODUCT(($E$10:$E$45=AN26)*($X$7:$X$42)*($F$10:$F$45))+SUMPRODUCT(($H$10:$H$45=AN26)*($X$7:$X$42)*($G$10:$G$45))</f>
        <v>0</v>
      </c>
      <c r="BG26" s="121">
        <f>SUMPRODUCT(($E$10:$E$45=AN26)*($X$7:$X$42)*($G$10:$G$45))+SUMPRODUCT(($H$10:$H$45=AN26)*($X$7:$X$42)*($F$10:$F$45))</f>
        <v>0</v>
      </c>
      <c r="BH26" s="121">
        <f>BF26-BG26</f>
        <v>0</v>
      </c>
      <c r="BI26" s="117" t="str">
        <f t="shared" si="39"/>
        <v>Italia</v>
      </c>
      <c r="BJ26" s="117">
        <v>5</v>
      </c>
      <c r="BK26" s="117">
        <v>3</v>
      </c>
      <c r="BN26" s="121">
        <f>IFERROR(VLOOKUP("412",$AD$7:$AG$42,2,FALSE),0) + IFERROR(VLOOKUP("412",$AH$7:$AK$42,2,FALSE),0)</f>
        <v>1</v>
      </c>
      <c r="BO26" s="121">
        <f>IFERROR(VLOOKUP("413",$AD$7:$AG$42,2,FALSE),0) + IFERROR(VLOOKUP("413",$AH$7:$AK$42,2,FALSE),0)</f>
        <v>1</v>
      </c>
      <c r="BP26" s="121">
        <f>IFERROR(VLOOKUP("414",$AD$7:$AG$42,2,FALSE),0) + IFERROR(VLOOKUP("414",$AH$7:$AK$42,2,FALSE),0)</f>
        <v>1</v>
      </c>
      <c r="BQ26" s="122">
        <f>SUM(BM26:BP26)</f>
        <v>3</v>
      </c>
      <c r="BS26" s="121">
        <f>IFERROR(VLOOKUP("412",$AD$7:$AG$42,3,FALSE),0) + IFERROR(VLOOKUP("412",$AH$7:$AK$42,3,FALSE),0)</f>
        <v>0</v>
      </c>
      <c r="BT26" s="121">
        <f>IFERROR(VLOOKUP("413",$AD$7:$AG$42,3,FALSE),0) + IFERROR(VLOOKUP("413",$AH$7:$AK$42,3,FALSE),0)</f>
        <v>0</v>
      </c>
      <c r="BU26" s="121">
        <f>IFERROR(VLOOKUP("414",$AD$7:$AG$42,3,FALSE),0) + IFERROR(VLOOKUP("414",$AH$7:$AK$42,3,FALSE),0)</f>
        <v>0</v>
      </c>
      <c r="BV26" s="122">
        <f>SUM(BR26:BU26)</f>
        <v>0</v>
      </c>
      <c r="BW26" s="122">
        <f>RANK(BV26,BV26:BV29)</f>
        <v>2</v>
      </c>
      <c r="BY26" s="121">
        <f>IFERROR(VLOOKUP("412",$AD$7:$AG$42,4,FALSE),0) + IFERROR(VLOOKUP("412",$AH$7:$AK$42,4,FALSE),0)</f>
        <v>0</v>
      </c>
      <c r="BZ26" s="121">
        <f>IFERROR(VLOOKUP("413",$AD$7:$AG$42,4,FALSE),0) + IFERROR(VLOOKUP("413",$AH$7:$AK$42,4,FALSE),0)</f>
        <v>0</v>
      </c>
      <c r="CA26" s="121">
        <f>IFERROR(VLOOKUP("414",$AD$7:$AG$42,4,FALSE),0) + IFERROR(VLOOKUP("414",$AH$7:$AK$42,4,FALSE),0)</f>
        <v>0</v>
      </c>
      <c r="CB26" s="122">
        <f>SUM(BX26:CA26)</f>
        <v>0</v>
      </c>
      <c r="CD26" s="121">
        <f>IF(BN30=BQ26,BN26,0)</f>
        <v>0</v>
      </c>
      <c r="CE26" s="121">
        <f>IF(BO30=BQ26,BO26,0)</f>
        <v>0</v>
      </c>
      <c r="CF26" s="121">
        <f>IF(BP30=BQ26,BP26,0)</f>
        <v>1</v>
      </c>
      <c r="CG26" s="122">
        <f>SUM(CC26:CF26)</f>
        <v>1</v>
      </c>
      <c r="CI26" s="121">
        <f>IF(BN30=BQ26,BS26,0)</f>
        <v>0</v>
      </c>
      <c r="CJ26" s="121">
        <f>IF(BO30=BQ26,BT26,0)</f>
        <v>0</v>
      </c>
      <c r="CK26" s="121">
        <f>IF(BP30=BQ26,BU26,0)</f>
        <v>0</v>
      </c>
      <c r="CL26" s="122">
        <f>SUM(CH26:CK26)</f>
        <v>0</v>
      </c>
      <c r="CM26" s="122">
        <f>RANK(CL26,CL26:CL29)</f>
        <v>1</v>
      </c>
      <c r="CO26" s="121">
        <f>IF(BN30=BQ26,BY26,0)</f>
        <v>0</v>
      </c>
      <c r="CP26" s="121">
        <f>IF(BO30=BQ26,BZ26,0)</f>
        <v>0</v>
      </c>
      <c r="CQ26" s="121">
        <f>IF(BP30=BQ26,CA26,0)</f>
        <v>0</v>
      </c>
      <c r="CR26" s="122">
        <f>SUM(CN26:CQ26)</f>
        <v>0</v>
      </c>
      <c r="CS26" s="122">
        <f>BQ26*10000+CG26*100+(5-CM26)+CR26/10</f>
        <v>30104</v>
      </c>
      <c r="CT26" s="122">
        <f>RANK(CS26,CS26:CS29)</f>
        <v>2</v>
      </c>
      <c r="CV26" s="121">
        <f>IF(CV30=CT26,BN26,0)</f>
        <v>0</v>
      </c>
      <c r="CW26" s="121">
        <f>IF(CW30=CT26,BO26,0)</f>
        <v>0</v>
      </c>
      <c r="CX26" s="121">
        <f>IF(CX30=CT26,BP26,0)</f>
        <v>1</v>
      </c>
      <c r="CY26" s="122">
        <f>SUM(CU26:CX26)</f>
        <v>1</v>
      </c>
      <c r="CZ26" s="122">
        <f>(5-CT26)*10000+CY26*100+(5-BW26)+CB26/10+BA26/100</f>
        <v>30103.000189810002</v>
      </c>
      <c r="DA26" s="122">
        <f>RANK(CZ26,CZ26:CZ29)</f>
        <v>2</v>
      </c>
      <c r="DD26" s="168">
        <v>41</v>
      </c>
      <c r="DE26" s="90" t="str">
        <f>BC20</f>
        <v>1C</v>
      </c>
      <c r="DF26" s="61"/>
      <c r="DG26" s="126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4"/>
      <c r="DU26" s="83"/>
      <c r="DV26" s="83"/>
      <c r="DW26" s="83"/>
      <c r="DX26" s="83"/>
      <c r="DY26" s="83"/>
    </row>
    <row r="27" spans="1:129" x14ac:dyDescent="0.3">
      <c r="A27" s="70">
        <v>18</v>
      </c>
      <c r="B27" s="71" t="str">
        <f t="shared" si="22"/>
        <v>Tors</v>
      </c>
      <c r="C27" s="72" t="str">
        <f t="shared" si="23"/>
        <v>Jun 16, 2016</v>
      </c>
      <c r="D27" s="73">
        <f t="shared" si="24"/>
        <v>0.875</v>
      </c>
      <c r="E27" s="74" t="str">
        <f>AN20</f>
        <v>Tyskland</v>
      </c>
      <c r="F27" s="57"/>
      <c r="G27" s="58"/>
      <c r="H27" s="81" t="str">
        <f>AN22</f>
        <v>Polen</v>
      </c>
      <c r="I27" s="144" t="str">
        <f>INDEX(T,114,lang)</f>
        <v>Stade de France, Saint-Denis</v>
      </c>
      <c r="J27" s="145"/>
      <c r="K27" s="146"/>
      <c r="M27" s="22" t="str">
        <f>VLOOKUP(1,AM26:AW29,2,FALSE)</f>
        <v>Tyrkia</v>
      </c>
      <c r="N27" s="27">
        <f>O27+P27+Q27</f>
        <v>1</v>
      </c>
      <c r="O27" s="27">
        <f>VLOOKUP(1,AM26:AW29,3,FALSE)</f>
        <v>1</v>
      </c>
      <c r="P27" s="27">
        <f>VLOOKUP(1,AM26:AW29,4,FALSE)</f>
        <v>0</v>
      </c>
      <c r="Q27" s="27">
        <f>VLOOKUP(1,AM26:AW29,5,FALSE)</f>
        <v>0</v>
      </c>
      <c r="R27" s="27" t="str">
        <f>VLOOKUP(1,AM26:AW29,6,FALSE) &amp; " - " &amp; VLOOKUP(1,AM26:AW29,7,FALSE)</f>
        <v>1 - 0</v>
      </c>
      <c r="S27" s="28">
        <f>O27*3+P27</f>
        <v>3</v>
      </c>
      <c r="U27" s="116">
        <f>DATE(2016,6,17)+TIME(8,0,0)+gmt_delta</f>
        <v>42538.875</v>
      </c>
      <c r="V27" s="118" t="str">
        <f t="shared" si="0"/>
        <v/>
      </c>
      <c r="W27" s="118" t="str">
        <f t="shared" si="1"/>
        <v/>
      </c>
      <c r="X27" s="117">
        <f t="shared" si="2"/>
        <v>0</v>
      </c>
      <c r="Y27" s="116">
        <f t="shared" si="3"/>
        <v>0</v>
      </c>
      <c r="Z27" s="116">
        <f t="shared" si="4"/>
        <v>0</v>
      </c>
      <c r="AA27" s="116">
        <f t="shared" si="5"/>
        <v>4</v>
      </c>
      <c r="AB27" s="116">
        <f t="shared" si="6"/>
        <v>1</v>
      </c>
      <c r="AC27" s="116">
        <f t="shared" si="7"/>
        <v>3</v>
      </c>
      <c r="AD27" s="116" t="str">
        <f t="shared" si="8"/>
        <v>413</v>
      </c>
      <c r="AE27" s="116">
        <f t="shared" si="9"/>
        <v>1</v>
      </c>
      <c r="AF27" s="116">
        <f t="shared" si="10"/>
        <v>0</v>
      </c>
      <c r="AG27" s="116">
        <f t="shared" si="11"/>
        <v>0</v>
      </c>
      <c r="AH27" s="116" t="str">
        <f t="shared" si="15"/>
        <v>431</v>
      </c>
      <c r="AI27" s="116">
        <f t="shared" si="12"/>
        <v>1</v>
      </c>
      <c r="AJ27" s="116">
        <f t="shared" si="13"/>
        <v>0</v>
      </c>
      <c r="AK27" s="116">
        <f t="shared" si="14"/>
        <v>0</v>
      </c>
      <c r="AM27" s="116">
        <f t="shared" ref="AM27:AM29" si="40">DA27</f>
        <v>4</v>
      </c>
      <c r="AN27" s="117" t="str">
        <f>INDEX(T,55,lang)</f>
        <v>Kroatia</v>
      </c>
      <c r="AO27" s="116">
        <f>COUNTIF($V$7:$W$42,"=" &amp; AN27 &amp; "_win")</f>
        <v>0</v>
      </c>
      <c r="AP27" s="116">
        <f>COUNTIF($V$7:$W$42,"=" &amp; AN27 &amp; "_draw")</f>
        <v>0</v>
      </c>
      <c r="AQ27" s="116">
        <f>COUNTIF($V$7:$W$42,"=" &amp; AN27 &amp; "_lose")</f>
        <v>1</v>
      </c>
      <c r="AR27" s="116">
        <f>SUMIF($E$10:$E$45,$AN27,$F$10:$F$45) + SUMIF($H$10:$H$45,$AN27,$G$10:$G$45)</f>
        <v>0</v>
      </c>
      <c r="AS27" s="116">
        <f>SUMIF($E$10:$E$45,$AN27,$G$10:$G$45) + SUMIF($H$10:$H$45,$AN27,$F$10:$F$45)</f>
        <v>1</v>
      </c>
      <c r="AT27" s="116">
        <f>AW27*10000</f>
        <v>0</v>
      </c>
      <c r="AU27" s="116">
        <f>AR27-AS27</f>
        <v>-1</v>
      </c>
      <c r="AV27" s="116">
        <f>(AU27-AU31)/AU30</f>
        <v>0</v>
      </c>
      <c r="AW27" s="116">
        <f>AO27*3+AP27</f>
        <v>0</v>
      </c>
      <c r="AX27" s="116">
        <f>BD27/BD30*10+BE27/BE30+BH27/BH30*0.1+BF27/BF30*0.01</f>
        <v>0</v>
      </c>
      <c r="BA27" s="116">
        <f>VLOOKUP(AN27,db_fifarank,2,FALSE)/2000000</f>
        <v>1.5321E-2</v>
      </c>
      <c r="BB27" s="117">
        <f>10000000*AW27/AW30+100000*AX27/AX30+100*AV27+10*AR27/AR30+1*AX27/AX30+BA27</f>
        <v>1.5321E-2</v>
      </c>
      <c r="BC27" s="117" t="str">
        <f>IF(SUM(AO26:AQ29)=12,M28,INDEX(T,77,lang))</f>
        <v>2D</v>
      </c>
      <c r="BD27" s="116">
        <f>SUMPRODUCT(($V$7:$V$42=AN27&amp;"_win")*($X$7:$X$42))+SUMPRODUCT(($W$7:$W$42=AN27&amp;"_win")*($X$7:$X$42))</f>
        <v>0</v>
      </c>
      <c r="BE27" s="121">
        <f>SUMPRODUCT(($V$7:$V$42=AN27&amp;"_draw")*($X$7:$X$42))+SUMPRODUCT(($W$7:$W$42=AN27&amp;"_draw")*($X$7:$X$42))</f>
        <v>0</v>
      </c>
      <c r="BF27" s="121">
        <f>SUMPRODUCT(($E$10:$E$45=AN27)*($X$7:$X$42)*($F$10:$F$45))+SUMPRODUCT(($H$10:$H$45=AN27)*($X$7:$X$42)*($G$10:$G$45))</f>
        <v>0</v>
      </c>
      <c r="BG27" s="121">
        <f>SUMPRODUCT(($E$10:$E$45=AN27)*($X$7:$X$42)*($G$10:$G$45))+SUMPRODUCT(($H$10:$H$45=AN27)*($X$7:$X$42)*($F$10:$F$45))</f>
        <v>0</v>
      </c>
      <c r="BH27" s="121">
        <f>BF27-BG27</f>
        <v>0</v>
      </c>
      <c r="BI27" s="117" t="str">
        <f t="shared" si="39"/>
        <v>Sverige</v>
      </c>
      <c r="BJ27" s="117">
        <v>5</v>
      </c>
      <c r="BK27" s="117">
        <v>4</v>
      </c>
      <c r="BM27" s="121">
        <f>IFERROR(VLOOKUP("421",$AD$7:$AG$42,2,FALSE),0) + IFERROR(VLOOKUP("421",$AH$7:$AK$42,2,FALSE),0)</f>
        <v>1</v>
      </c>
      <c r="BO27" s="121">
        <f>IFERROR(VLOOKUP("423",$AD$7:$AG$42,2,FALSE),0) + IFERROR(VLOOKUP("423",$AH$7:$AK$42,2,FALSE),0)</f>
        <v>0</v>
      </c>
      <c r="BP27" s="121">
        <f>IFERROR(VLOOKUP("424",$AD$7:$AG$42,2,FALSE),0) + IFERROR(VLOOKUP("424",$AH$7:$AK$42,2,FALSE),0)</f>
        <v>1</v>
      </c>
      <c r="BQ27" s="122">
        <f>SUM(BM27:BP27)</f>
        <v>2</v>
      </c>
      <c r="BR27" s="121">
        <f>IFERROR(VLOOKUP("421",$AD$7:$AG$42,3,FALSE),0) + IFERROR(VLOOKUP("421",$AH$7:$AK$42,3,FALSE),0)</f>
        <v>0</v>
      </c>
      <c r="BT27" s="121">
        <f>IFERROR(VLOOKUP("423",$AD$7:$AG$42,3,FALSE),0) + IFERROR(VLOOKUP("423",$AH$7:$AK$42,3,FALSE),0)</f>
        <v>-1</v>
      </c>
      <c r="BU27" s="121">
        <f>IFERROR(VLOOKUP("424",$AD$7:$AG$42,3,FALSE),0) + IFERROR(VLOOKUP("424",$AH$7:$AK$42,3,FALSE),0)</f>
        <v>0</v>
      </c>
      <c r="BV27" s="122">
        <f>SUM(BR27:BU27)</f>
        <v>-1</v>
      </c>
      <c r="BW27" s="122">
        <f>RANK(BV27,BV26:BV29)</f>
        <v>4</v>
      </c>
      <c r="BX27" s="121">
        <f>IFERROR(VLOOKUP("421",$AD$7:$AG$42,4,FALSE),0) + IFERROR(VLOOKUP("421",$AH$7:$AK$42,4,FALSE),0)</f>
        <v>0</v>
      </c>
      <c r="BZ27" s="121">
        <f>IFERROR(VLOOKUP("423",$AD$7:$AG$42,4,FALSE),0) + IFERROR(VLOOKUP("423",$AH$7:$AK$42,4,FALSE),0)</f>
        <v>0</v>
      </c>
      <c r="CA27" s="121">
        <f>IFERROR(VLOOKUP("424",$AD$7:$AG$42,4,FALSE),0) + IFERROR(VLOOKUP("424",$AH$7:$AK$42,4,FALSE),0)</f>
        <v>0</v>
      </c>
      <c r="CB27" s="122">
        <f>SUM(BX27:CA27)</f>
        <v>0</v>
      </c>
      <c r="CC27" s="121">
        <f>IF(BM30=BQ27,BM27,0)</f>
        <v>0</v>
      </c>
      <c r="CE27" s="121">
        <f>IF(BO30=BQ27,BO27,0)</f>
        <v>0</v>
      </c>
      <c r="CF27" s="121">
        <f>IF(BP30=BQ27,BP27,0)</f>
        <v>0</v>
      </c>
      <c r="CG27" s="122">
        <f>SUM(CC27:CF27)</f>
        <v>0</v>
      </c>
      <c r="CH27" s="121">
        <f>IF(BM30=BQ27,BR27,0)</f>
        <v>0</v>
      </c>
      <c r="CJ27" s="121">
        <f>IF(BO30=BQ27,BT27,0)</f>
        <v>0</v>
      </c>
      <c r="CK27" s="121">
        <f>IF(BP30=BQ27,BU27,0)</f>
        <v>0</v>
      </c>
      <c r="CL27" s="122">
        <f>SUM(CH27:CK27)</f>
        <v>0</v>
      </c>
      <c r="CM27" s="122">
        <f>RANK(CL27,CL26:CL29)</f>
        <v>1</v>
      </c>
      <c r="CN27" s="121">
        <f>IF(BM30=BQ27,BX27,0)</f>
        <v>0</v>
      </c>
      <c r="CP27" s="121">
        <f>IF(BO30=BQ27,BZ27,0)</f>
        <v>0</v>
      </c>
      <c r="CQ27" s="121">
        <f>IF(BP30=BQ27,CA27,0)</f>
        <v>0</v>
      </c>
      <c r="CR27" s="122">
        <f>SUM(CN27:CQ27)</f>
        <v>0</v>
      </c>
      <c r="CS27" s="122">
        <f t="shared" ref="CS27:CS29" si="41">BQ27*10000+CG27*100+(5-CM27)+CR27/10</f>
        <v>20004</v>
      </c>
      <c r="CT27" s="122">
        <f>RANK(CS27,CS26:CS29)</f>
        <v>4</v>
      </c>
      <c r="CU27" s="121">
        <f>IF(CU30=CT27,BM27,0)</f>
        <v>0</v>
      </c>
      <c r="CW27" s="121">
        <f>IF(CW30=CT27,BO27,0)</f>
        <v>0</v>
      </c>
      <c r="CX27" s="121">
        <f>IF(CX30=CT27,BP27,0)</f>
        <v>0</v>
      </c>
      <c r="CY27" s="122">
        <f t="shared" ref="CY27:CY30" si="42">SUM(CU27:CX27)</f>
        <v>0</v>
      </c>
      <c r="CZ27" s="122">
        <f t="shared" ref="CZ27:CZ29" si="43">(5-CT27)*10000+CY27*100+(5-BW27)+CB27/10+BA27/100</f>
        <v>10001.00015321</v>
      </c>
      <c r="DA27" s="122">
        <f>RANK(CZ27,CZ26:CZ29)</f>
        <v>4</v>
      </c>
      <c r="DD27" s="169"/>
      <c r="DE27" s="91" t="str">
        <f>VLOOKUP(lookup_3rd, tbl_lookup_3rd,4,FALSE)</f>
        <v>Slovakia</v>
      </c>
      <c r="DF27" s="59"/>
      <c r="DG27" s="127"/>
      <c r="DH27" s="86"/>
      <c r="DI27" s="83"/>
      <c r="DJ27" s="83" t="str">
        <f>INDEX(T,24+MONTH(U59),lang) &amp; " " &amp; DAY(U59) &amp; ", " &amp; YEAR(U59) &amp; "   " &amp; TEXT(TIME(HOUR(U59),MINUTE(U59),0),"hh:mm")</f>
        <v>Jul 2, 2016   hh:01</v>
      </c>
      <c r="DK27" s="83"/>
      <c r="DL27" s="83"/>
      <c r="DM27" s="93"/>
      <c r="DN27" s="83"/>
      <c r="DO27" s="83"/>
      <c r="DP27" s="83"/>
      <c r="DQ27" s="83"/>
      <c r="DR27" s="83"/>
      <c r="DS27" s="83"/>
      <c r="DT27" s="84"/>
      <c r="DU27" s="83"/>
      <c r="DV27" s="83"/>
      <c r="DW27" s="83"/>
      <c r="DX27" s="83"/>
      <c r="DY27" s="83"/>
    </row>
    <row r="28" spans="1:129" x14ac:dyDescent="0.3">
      <c r="A28" s="70">
        <v>19</v>
      </c>
      <c r="B28" s="71" t="str">
        <f t="shared" si="22"/>
        <v>Fre</v>
      </c>
      <c r="C28" s="72" t="str">
        <f t="shared" si="23"/>
        <v>Jun 17, 2016</v>
      </c>
      <c r="D28" s="73">
        <f t="shared" si="24"/>
        <v>0.625</v>
      </c>
      <c r="E28" s="74" t="str">
        <f>AN34</f>
        <v>Italia</v>
      </c>
      <c r="F28" s="57"/>
      <c r="G28" s="58"/>
      <c r="H28" s="81" t="str">
        <f>AN35</f>
        <v>Sverige</v>
      </c>
      <c r="I28" s="144" t="str">
        <f>INDEX(T,108,lang)</f>
        <v>Stadium Municipal, Toulouse</v>
      </c>
      <c r="J28" s="145"/>
      <c r="K28" s="146"/>
      <c r="M28" s="23" t="str">
        <f>VLOOKUP(2,AM26:AW29,2,FALSE)</f>
        <v>Spania</v>
      </c>
      <c r="N28" s="29">
        <f>O28+P28+Q28</f>
        <v>0</v>
      </c>
      <c r="O28" s="29">
        <f>VLOOKUP(2,AM26:AW29,3,FALSE)</f>
        <v>0</v>
      </c>
      <c r="P28" s="29">
        <f>VLOOKUP(2,AM26:AW29,4,FALSE)</f>
        <v>0</v>
      </c>
      <c r="Q28" s="29">
        <f>VLOOKUP(2,AM26:AW29,5,FALSE)</f>
        <v>0</v>
      </c>
      <c r="R28" s="29" t="str">
        <f>VLOOKUP(2,AM26:AW29,6,FALSE) &amp; " - " &amp; VLOOKUP(2,AM26:AW29,7,FALSE)</f>
        <v>0 - 0</v>
      </c>
      <c r="S28" s="30">
        <f>O28*3+P28</f>
        <v>0</v>
      </c>
      <c r="U28" s="116">
        <f>DATE(2016,6,18)+TIME(2,0,0)+gmt_delta</f>
        <v>42539.625</v>
      </c>
      <c r="V28" s="118" t="str">
        <f t="shared" si="0"/>
        <v/>
      </c>
      <c r="W28" s="118" t="str">
        <f t="shared" si="1"/>
        <v/>
      </c>
      <c r="X28" s="117">
        <f t="shared" si="2"/>
        <v>0</v>
      </c>
      <c r="Y28" s="116">
        <f t="shared" si="3"/>
        <v>0</v>
      </c>
      <c r="Z28" s="116">
        <f t="shared" si="4"/>
        <v>0</v>
      </c>
      <c r="AA28" s="116">
        <f t="shared" si="5"/>
        <v>5</v>
      </c>
      <c r="AB28" s="116">
        <f t="shared" si="6"/>
        <v>1</v>
      </c>
      <c r="AC28" s="116">
        <f t="shared" si="7"/>
        <v>2</v>
      </c>
      <c r="AD28" s="116" t="str">
        <f t="shared" si="8"/>
        <v>512</v>
      </c>
      <c r="AE28" s="116">
        <f t="shared" si="9"/>
        <v>1</v>
      </c>
      <c r="AF28" s="116">
        <f t="shared" si="10"/>
        <v>0</v>
      </c>
      <c r="AG28" s="116">
        <f t="shared" si="11"/>
        <v>0</v>
      </c>
      <c r="AH28" s="116" t="str">
        <f t="shared" si="15"/>
        <v>521</v>
      </c>
      <c r="AI28" s="116">
        <f t="shared" si="12"/>
        <v>1</v>
      </c>
      <c r="AJ28" s="116">
        <f t="shared" si="13"/>
        <v>0</v>
      </c>
      <c r="AK28" s="116">
        <f t="shared" si="14"/>
        <v>0</v>
      </c>
      <c r="AM28" s="116">
        <f t="shared" si="40"/>
        <v>1</v>
      </c>
      <c r="AN28" s="117" t="str">
        <f>INDEX(T,46,lang)</f>
        <v>Tyrkia</v>
      </c>
      <c r="AO28" s="116">
        <f>COUNTIF($V$7:$W$42,"=" &amp; AN28 &amp; "_win")</f>
        <v>1</v>
      </c>
      <c r="AP28" s="116">
        <f>COUNTIF($V$7:$W$42,"=" &amp; AN28 &amp; "_draw")</f>
        <v>0</v>
      </c>
      <c r="AQ28" s="116">
        <f>COUNTIF($V$7:$W$42,"=" &amp; AN28 &amp; "_lose")</f>
        <v>0</v>
      </c>
      <c r="AR28" s="116">
        <f>SUMIF($E$10:$E$45,$AN28,$F$10:$F$45) + SUMIF($H$10:$H$45,$AN28,$G$10:$G$45)</f>
        <v>1</v>
      </c>
      <c r="AS28" s="116">
        <f>SUMIF($E$10:$E$45,$AN28,$G$10:$G$45) + SUMIF($H$10:$H$45,$AN28,$F$10:$F$45)</f>
        <v>0</v>
      </c>
      <c r="AT28" s="116">
        <f>AW28*10000</f>
        <v>30000</v>
      </c>
      <c r="AU28" s="116">
        <f>AR28-AS28</f>
        <v>1</v>
      </c>
      <c r="AV28" s="116">
        <f>(AU28-AU31)/AU30</f>
        <v>0.66666666666666663</v>
      </c>
      <c r="AW28" s="116">
        <f>AO28*3+AP28</f>
        <v>3</v>
      </c>
      <c r="AX28" s="116">
        <f>BD28/BD30*10+BE28/BE30+BH28/BH30*0.1+BF28/BF30*0.01</f>
        <v>0</v>
      </c>
      <c r="BA28" s="116">
        <f>VLOOKUP(AN28,db_fifarank,2,FALSE)/2000000</f>
        <v>1.3516500000000001E-2</v>
      </c>
      <c r="BB28" s="117">
        <f>10000000*AW28/AW30+100000*AX28/AX30+100*AV28+10*AR28/AR30+1*AX28/AX30+BA28</f>
        <v>7500071.6801831666</v>
      </c>
      <c r="BC28" s="117" t="str">
        <f>IF(SUM(AO26:AQ29)&gt;0,M29,"3D")</f>
        <v>Tsjekkisk Republikk</v>
      </c>
      <c r="BD28" s="116">
        <f>SUMPRODUCT(($V$7:$V$42=AN28&amp;"_win")*($X$7:$X$42))+SUMPRODUCT(($W$7:$W$42=AN28&amp;"_win")*($X$7:$X$42))</f>
        <v>0</v>
      </c>
      <c r="BE28" s="121">
        <f>SUMPRODUCT(($V$7:$V$42=AN28&amp;"_draw")*($X$7:$X$42))+SUMPRODUCT(($W$7:$W$42=AN28&amp;"_draw")*($X$7:$X$42))</f>
        <v>0</v>
      </c>
      <c r="BF28" s="121">
        <f>SUMPRODUCT(($E$10:$E$45=AN28)*($X$7:$X$42)*($F$10:$F$45))+SUMPRODUCT(($H$10:$H$45=AN28)*($X$7:$X$42)*($G$10:$G$45))</f>
        <v>0</v>
      </c>
      <c r="BG28" s="121">
        <f>SUMPRODUCT(($E$10:$E$45=AN28)*($X$7:$X$42)*($G$10:$G$45))+SUMPRODUCT(($H$10:$H$45=AN28)*($X$7:$X$42)*($F$10:$F$45))</f>
        <v>0</v>
      </c>
      <c r="BH28" s="121">
        <f>BF28-BG28</f>
        <v>0</v>
      </c>
      <c r="BI28" s="117" t="str">
        <f>AN38</f>
        <v>Portugal</v>
      </c>
      <c r="BJ28" s="117">
        <v>6</v>
      </c>
      <c r="BK28" s="117">
        <v>1</v>
      </c>
      <c r="BM28" s="121">
        <f>IFERROR(VLOOKUP("431",$AD$7:$AG$42,2,FALSE),0) + IFERROR(VLOOKUP("431",$AH$7:$AK$42,2,FALSE),0)</f>
        <v>1</v>
      </c>
      <c r="BN28" s="121">
        <f>IFERROR(VLOOKUP("432",$AD$7:$AG$42,2,FALSE),0) + IFERROR(VLOOKUP("432",$AH$7:$AK$42,2,FALSE),0)</f>
        <v>3</v>
      </c>
      <c r="BP28" s="121">
        <f>IFERROR(VLOOKUP("434",$AD$7:$AG$42,2,FALSE),0) + IFERROR(VLOOKUP("434",$AH$7:$AK$42,2,FALSE),0)</f>
        <v>1</v>
      </c>
      <c r="BQ28" s="122">
        <f>SUM(BM28:BP28)</f>
        <v>5</v>
      </c>
      <c r="BR28" s="121">
        <f>IFERROR(VLOOKUP("431",$AD$7:$AG$42,3,FALSE),0) + IFERROR(VLOOKUP("431",$AH$7:$AK$42,3,FALSE),0)</f>
        <v>0</v>
      </c>
      <c r="BS28" s="121">
        <f>IFERROR(VLOOKUP("432",$AD$7:$AG$42,3,FALSE),0) + IFERROR(VLOOKUP("432",$AH$7:$AK$42,3,FALSE),0)</f>
        <v>1</v>
      </c>
      <c r="BU28" s="121">
        <f>IFERROR(VLOOKUP("434",$AD$7:$AG$42,3,FALSE),0) + IFERROR(VLOOKUP("434",$AH$7:$AK$42,3,FALSE),0)</f>
        <v>0</v>
      </c>
      <c r="BV28" s="122">
        <f>SUM(BR28:BU28)</f>
        <v>1</v>
      </c>
      <c r="BW28" s="122">
        <f>RANK(BV28,BV26:BV29)</f>
        <v>1</v>
      </c>
      <c r="BX28" s="121">
        <f>IFERROR(VLOOKUP("431",$AD$7:$AG$42,4,FALSE),0) + IFERROR(VLOOKUP("431",$AH$7:$AK$42,4,FALSE),0)</f>
        <v>0</v>
      </c>
      <c r="BY28" s="121">
        <f>IFERROR(VLOOKUP("432",$AD$7:$AG$42,4,FALSE),0) + IFERROR(VLOOKUP("432",$AH$7:$AK$42,4,FALSE),0)</f>
        <v>1</v>
      </c>
      <c r="CA28" s="121">
        <f>IFERROR(VLOOKUP("434",$AD$7:$AG$42,4,FALSE),0) + IFERROR(VLOOKUP("434",$AH$7:$AK$42,4,FALSE),0)</f>
        <v>0</v>
      </c>
      <c r="CB28" s="122">
        <f>SUM(BX28:CA28)</f>
        <v>1</v>
      </c>
      <c r="CC28" s="121">
        <f>IF(BM30=BQ28,BM28,0)</f>
        <v>0</v>
      </c>
      <c r="CD28" s="121">
        <f>IF(BN30=BQ28,BN28,0)</f>
        <v>0</v>
      </c>
      <c r="CF28" s="121">
        <f>IF(BP30=BQ28,BP28,0)</f>
        <v>0</v>
      </c>
      <c r="CG28" s="122">
        <f>SUM(CC28:CF28)</f>
        <v>0</v>
      </c>
      <c r="CH28" s="121">
        <f>IF(BM30=BQ28,BR28,0)</f>
        <v>0</v>
      </c>
      <c r="CI28" s="121">
        <f>IF(BN30=BQ28,BS28,0)</f>
        <v>0</v>
      </c>
      <c r="CK28" s="121">
        <f>IF(BP30=BQ28,BU28,0)</f>
        <v>0</v>
      </c>
      <c r="CL28" s="122">
        <f>SUM(CH28:CK28)</f>
        <v>0</v>
      </c>
      <c r="CM28" s="122">
        <f>RANK(CL28,CL26:CL29)</f>
        <v>1</v>
      </c>
      <c r="CN28" s="121">
        <f>IF(BM30=BQ28,BX28,0)</f>
        <v>0</v>
      </c>
      <c r="CO28" s="121">
        <f>IF(BN30=BQ28,BY28,0)</f>
        <v>0</v>
      </c>
      <c r="CQ28" s="121">
        <f>IF(BP30=BQ28,CA28,0)</f>
        <v>0</v>
      </c>
      <c r="CR28" s="122">
        <f>SUM(CN28:CQ28)</f>
        <v>0</v>
      </c>
      <c r="CS28" s="122">
        <f t="shared" si="41"/>
        <v>50004</v>
      </c>
      <c r="CT28" s="122">
        <f>RANK(CS28,CS26:CS29)</f>
        <v>1</v>
      </c>
      <c r="CU28" s="121">
        <f>IF(CU30=CT28,BM28,0)</f>
        <v>0</v>
      </c>
      <c r="CV28" s="121">
        <f>IF(CV30=CT28,BN28,0)</f>
        <v>0</v>
      </c>
      <c r="CX28" s="121">
        <f>IF(CX30=CT28,BP28,0)</f>
        <v>0</v>
      </c>
      <c r="CY28" s="122">
        <f t="shared" si="42"/>
        <v>0</v>
      </c>
      <c r="CZ28" s="122">
        <f t="shared" si="43"/>
        <v>40004.100135164997</v>
      </c>
      <c r="DA28" s="122">
        <f>RANK(CZ28,CZ26:CZ29)</f>
        <v>1</v>
      </c>
      <c r="DD28" s="120"/>
      <c r="DE28" s="83"/>
      <c r="DF28" s="83"/>
      <c r="DG28" s="83"/>
      <c r="DH28" s="84"/>
      <c r="DI28" s="83"/>
      <c r="DJ28" s="170">
        <v>47</v>
      </c>
      <c r="DK28" s="90" t="str">
        <f>W48</f>
        <v>V41</v>
      </c>
      <c r="DL28" s="61"/>
      <c r="DM28" s="126"/>
      <c r="DN28" s="83"/>
      <c r="DO28" s="83"/>
      <c r="DP28" s="83"/>
      <c r="DQ28" s="83"/>
      <c r="DR28" s="83"/>
      <c r="DS28" s="83"/>
      <c r="DT28" s="84"/>
      <c r="DU28" s="83"/>
      <c r="DV28" s="83"/>
      <c r="DW28" s="83"/>
      <c r="DX28" s="83"/>
      <c r="DY28" s="83"/>
    </row>
    <row r="29" spans="1:129" ht="12.75" customHeight="1" x14ac:dyDescent="0.3">
      <c r="A29" s="70">
        <v>20</v>
      </c>
      <c r="B29" s="71" t="str">
        <f t="shared" si="22"/>
        <v>Fre</v>
      </c>
      <c r="C29" s="72" t="str">
        <f t="shared" si="23"/>
        <v>Jun 17, 2016</v>
      </c>
      <c r="D29" s="73">
        <f t="shared" si="24"/>
        <v>0.75</v>
      </c>
      <c r="E29" s="74" t="str">
        <f>AN29</f>
        <v>Tsjekkisk Republikk</v>
      </c>
      <c r="F29" s="57"/>
      <c r="G29" s="58"/>
      <c r="H29" s="81" t="str">
        <f>AN27</f>
        <v>Kroatia</v>
      </c>
      <c r="I29" s="144" t="str">
        <f>INDEX(T,112,lang)</f>
        <v>Stade Geoffroy-Guichard, Saint-Étienne</v>
      </c>
      <c r="J29" s="145"/>
      <c r="K29" s="146"/>
      <c r="M29" s="23" t="str">
        <f>VLOOKUP(3,AM26:AW29,2,FALSE)</f>
        <v>Tsjekkisk Republikk</v>
      </c>
      <c r="N29" s="29">
        <f>O29+P29+Q29</f>
        <v>0</v>
      </c>
      <c r="O29" s="29">
        <f>VLOOKUP(3,AM26:AW29,3,FALSE)</f>
        <v>0</v>
      </c>
      <c r="P29" s="29">
        <f>VLOOKUP(3,AM26:AW29,4,FALSE)</f>
        <v>0</v>
      </c>
      <c r="Q29" s="29">
        <f>VLOOKUP(3,AM26:AW29,5,FALSE)</f>
        <v>0</v>
      </c>
      <c r="R29" s="29" t="str">
        <f>VLOOKUP(3,AM26:AW29,6,FALSE) &amp; " - " &amp; VLOOKUP(3,AM26:AW29,7,FALSE)</f>
        <v>0 - 0</v>
      </c>
      <c r="S29" s="30">
        <f>O29*3+P29</f>
        <v>0</v>
      </c>
      <c r="U29" s="116">
        <f>DATE(2016,6,18)+TIME(5,0,0)+gmt_delta</f>
        <v>42539.75</v>
      </c>
      <c r="V29" s="118" t="str">
        <f t="shared" si="0"/>
        <v/>
      </c>
      <c r="W29" s="118" t="str">
        <f t="shared" si="1"/>
        <v/>
      </c>
      <c r="X29" s="117">
        <f t="shared" si="2"/>
        <v>0</v>
      </c>
      <c r="Y29" s="116">
        <f t="shared" si="3"/>
        <v>0</v>
      </c>
      <c r="Z29" s="116">
        <f t="shared" si="4"/>
        <v>0</v>
      </c>
      <c r="AA29" s="116">
        <f t="shared" si="5"/>
        <v>6</v>
      </c>
      <c r="AB29" s="116">
        <f t="shared" si="6"/>
        <v>2</v>
      </c>
      <c r="AC29" s="116">
        <f t="shared" si="7"/>
        <v>4</v>
      </c>
      <c r="AD29" s="116" t="str">
        <f t="shared" si="8"/>
        <v>624</v>
      </c>
      <c r="AE29" s="116">
        <f t="shared" si="9"/>
        <v>1</v>
      </c>
      <c r="AF29" s="116">
        <f t="shared" si="10"/>
        <v>0</v>
      </c>
      <c r="AG29" s="116">
        <f t="shared" si="11"/>
        <v>0</v>
      </c>
      <c r="AH29" s="116" t="str">
        <f t="shared" si="15"/>
        <v>642</v>
      </c>
      <c r="AI29" s="116">
        <f t="shared" si="12"/>
        <v>1</v>
      </c>
      <c r="AJ29" s="116">
        <f t="shared" si="13"/>
        <v>0</v>
      </c>
      <c r="AK29" s="116">
        <f t="shared" si="14"/>
        <v>0</v>
      </c>
      <c r="AM29" s="116">
        <f t="shared" si="40"/>
        <v>3</v>
      </c>
      <c r="AN29" s="117" t="str">
        <f>INDEX(T,58,lang)</f>
        <v>Tsjekkisk Republikk</v>
      </c>
      <c r="AO29" s="116">
        <f>COUNTIF($V$7:$W$42,"=" &amp; AN29 &amp; "_win")</f>
        <v>0</v>
      </c>
      <c r="AP29" s="116">
        <f>COUNTIF($V$7:$W$42,"=" &amp; AN29 &amp; "_draw")</f>
        <v>0</v>
      </c>
      <c r="AQ29" s="116">
        <f>COUNTIF($V$7:$W$42,"=" &amp; AN29 &amp; "_lose")</f>
        <v>0</v>
      </c>
      <c r="AR29" s="116">
        <f>SUMIF($E$10:$E$45,$AN29,$F$10:$F$45) + SUMIF($H$10:$H$45,$AN29,$G$10:$G$45)</f>
        <v>0</v>
      </c>
      <c r="AS29" s="116">
        <f>SUMIF($E$10:$E$45,$AN29,$G$10:$G$45) + SUMIF($H$10:$H$45,$AN29,$F$10:$F$45)</f>
        <v>0</v>
      </c>
      <c r="AT29" s="116">
        <f>AW29*10000</f>
        <v>0</v>
      </c>
      <c r="AU29" s="116">
        <f>AR29-AS29</f>
        <v>0</v>
      </c>
      <c r="AV29" s="116">
        <f>(AU29-AU31)/AU30</f>
        <v>0.33333333333333331</v>
      </c>
      <c r="AW29" s="116">
        <f>AO29*3+AP29</f>
        <v>0</v>
      </c>
      <c r="AX29" s="116">
        <f>BD29/BD30*10+BE29/BE30+BH29/BH30*0.1+BF29/BF30*0.01</f>
        <v>0</v>
      </c>
      <c r="BA29" s="116">
        <f>VLOOKUP(AN29,db_fifarank,2,FALSE)/2000000</f>
        <v>1.4701499999999999E-2</v>
      </c>
      <c r="BB29" s="117">
        <f>10000000*AW29/AW30+100000*AX29/AX30+100*AV29+10*AR29/AR30+1*AX29/AX30+BA29</f>
        <v>33.34803483333333</v>
      </c>
      <c r="BD29" s="116">
        <f>SUMPRODUCT(($V$7:$V$42=AN29&amp;"_win")*($X$7:$X$42))+SUMPRODUCT(($W$7:$W$42=AN29&amp;"_win")*($X$7:$X$42))</f>
        <v>0</v>
      </c>
      <c r="BE29" s="121">
        <f>SUMPRODUCT(($V$7:$V$42=AN29&amp;"_draw")*($X$7:$X$42))+SUMPRODUCT(($W$7:$W$42=AN29&amp;"_draw")*($X$7:$X$42))</f>
        <v>0</v>
      </c>
      <c r="BF29" s="121">
        <f>SUMPRODUCT(($E$10:$E$45=AN29)*($X$7:$X$42)*($F$10:$F$45))+SUMPRODUCT(($H$10:$H$45=AN29)*($X$7:$X$42)*($G$10:$G$45))</f>
        <v>0</v>
      </c>
      <c r="BG29" s="121">
        <f>SUMPRODUCT(($E$10:$E$45=AN29)*($X$7:$X$42)*($G$10:$G$45))+SUMPRODUCT(($H$10:$H$45=AN29)*($X$7:$X$42)*($F$10:$F$45))</f>
        <v>0</v>
      </c>
      <c r="BH29" s="121">
        <f>BF29-BG29</f>
        <v>0</v>
      </c>
      <c r="BI29" s="117" t="str">
        <f t="shared" ref="BI29:BI31" si="44">AN39</f>
        <v>Island</v>
      </c>
      <c r="BJ29" s="117">
        <v>6</v>
      </c>
      <c r="BK29" s="117">
        <v>2</v>
      </c>
      <c r="BM29" s="121">
        <f>IFERROR(VLOOKUP("441",$AD$7:$AG$42,2,FALSE),0) + IFERROR(VLOOKUP("441",$AH$7:$AK$42,2,FALSE),0)</f>
        <v>1</v>
      </c>
      <c r="BN29" s="121">
        <f>IFERROR(VLOOKUP("442",$AD$7:$AG$42,2,FALSE),0) + IFERROR(VLOOKUP("442",$AH$7:$AK$42,2,FALSE),0)</f>
        <v>1</v>
      </c>
      <c r="BO29" s="121">
        <f>IFERROR(VLOOKUP("443",$AD$7:$AG$42,2,FALSE),0) + IFERROR(VLOOKUP("443",$AH$7:$AK$42,2,FALSE),0)</f>
        <v>1</v>
      </c>
      <c r="BQ29" s="122">
        <f>SUM(BM29:BP29)</f>
        <v>3</v>
      </c>
      <c r="BR29" s="121">
        <f>IFERROR(VLOOKUP("441",$AD$7:$AG$42,3,FALSE),0) + IFERROR(VLOOKUP("441",$AH$7:$AK$42,3,FALSE),0)</f>
        <v>0</v>
      </c>
      <c r="BS29" s="121">
        <f>IFERROR(VLOOKUP("442",$AD$7:$AG$42,3,FALSE),0) + IFERROR(VLOOKUP("442",$AH$7:$AK$42,3,FALSE),0)</f>
        <v>0</v>
      </c>
      <c r="BT29" s="121">
        <f>IFERROR(VLOOKUP("443",$AD$7:$AG$42,3,FALSE),0) + IFERROR(VLOOKUP("443",$AH$7:$AK$42,3,FALSE),0)</f>
        <v>0</v>
      </c>
      <c r="BV29" s="122">
        <f>SUM(BR29:BU29)</f>
        <v>0</v>
      </c>
      <c r="BW29" s="122">
        <f>RANK(BV29,BV26:BV29)</f>
        <v>2</v>
      </c>
      <c r="BX29" s="121">
        <f>IFERROR(VLOOKUP("441",$AD$7:$AG$42,4,FALSE),0) + IFERROR(VLOOKUP("441",$AH$7:$AK$42,4,FALSE),0)</f>
        <v>0</v>
      </c>
      <c r="BY29" s="121">
        <f>IFERROR(VLOOKUP("442",$AD$7:$AG$42,4,FALSE),0) + IFERROR(VLOOKUP("442",$AH$7:$AK$42,4,FALSE),0)</f>
        <v>0</v>
      </c>
      <c r="BZ29" s="121">
        <f>IFERROR(VLOOKUP("443",$AD$7:$AG$42,4,FALSE),0) + IFERROR(VLOOKUP("443",$AH$7:$AK$42,4,FALSE),0)</f>
        <v>0</v>
      </c>
      <c r="CB29" s="122">
        <f>SUM(BX29:CA29)</f>
        <v>0</v>
      </c>
      <c r="CC29" s="121">
        <f>IF(BM30=BQ29,BM29,0)</f>
        <v>1</v>
      </c>
      <c r="CD29" s="121">
        <f>IF(BN30=BQ29,BN29,0)</f>
        <v>0</v>
      </c>
      <c r="CE29" s="121">
        <f>IF(BO30=BQ29,BO29,0)</f>
        <v>0</v>
      </c>
      <c r="CG29" s="122">
        <f>SUM(CC29:CF29)</f>
        <v>1</v>
      </c>
      <c r="CH29" s="121">
        <f>IF(BM30=BQ29,BR29,0)</f>
        <v>0</v>
      </c>
      <c r="CI29" s="121">
        <f>IF(BN30=BQ29,BS29,0)</f>
        <v>0</v>
      </c>
      <c r="CJ29" s="121">
        <f>IF(BO30=BQ29,BT29,0)</f>
        <v>0</v>
      </c>
      <c r="CL29" s="122">
        <f>SUM(CH29:CK29)</f>
        <v>0</v>
      </c>
      <c r="CM29" s="122">
        <f>RANK(CL29,CL26:CL29)</f>
        <v>1</v>
      </c>
      <c r="CN29" s="121">
        <f>IF(BM30=BQ29,BX29,0)</f>
        <v>0</v>
      </c>
      <c r="CO29" s="121">
        <f>IF(BN30=BQ29,BY29,0)</f>
        <v>0</v>
      </c>
      <c r="CP29" s="121">
        <f>IF(BO30=BQ29,BZ29,0)</f>
        <v>0</v>
      </c>
      <c r="CR29" s="122">
        <f>SUM(CN29:CQ29)</f>
        <v>0</v>
      </c>
      <c r="CS29" s="122">
        <f t="shared" si="41"/>
        <v>30104</v>
      </c>
      <c r="CT29" s="122">
        <f>RANK(CS29,CS26:CS29)</f>
        <v>2</v>
      </c>
      <c r="CU29" s="121">
        <f>IF(CU30=CT29,BM29,0)</f>
        <v>1</v>
      </c>
      <c r="CV29" s="121">
        <f>IF(CV30=CT29,BN29,0)</f>
        <v>0</v>
      </c>
      <c r="CW29" s="121">
        <f>IF(CW30=CT29,BO29,0)</f>
        <v>0</v>
      </c>
      <c r="CY29" s="122">
        <f t="shared" si="42"/>
        <v>1</v>
      </c>
      <c r="CZ29" s="122">
        <f t="shared" si="43"/>
        <v>30103.000147014998</v>
      </c>
      <c r="DA29" s="122">
        <f>RANK(CZ29,CZ26:CZ29)</f>
        <v>3</v>
      </c>
      <c r="DD29" s="120" t="str">
        <f>INDEX(T,24+MONTH(U52),lang) &amp; " " &amp; DAY(U52) &amp; ", " &amp; YEAR(U52) &amp; "   " &amp; TEXT(TIME(HOUR(U52),MINUTE(U52),0),"hh:mm")</f>
        <v>Jun 27, 2016   hh:01</v>
      </c>
      <c r="DE29" s="83"/>
      <c r="DF29" s="83"/>
      <c r="DG29" s="93"/>
      <c r="DH29" s="84"/>
      <c r="DI29" s="85"/>
      <c r="DJ29" s="171"/>
      <c r="DK29" s="91" t="str">
        <f>W49</f>
        <v>V43</v>
      </c>
      <c r="DL29" s="59"/>
      <c r="DM29" s="127"/>
      <c r="DN29" s="86"/>
      <c r="DO29" s="83"/>
      <c r="DP29" s="83"/>
      <c r="DQ29" s="83"/>
      <c r="DR29" s="83"/>
      <c r="DS29" s="83"/>
      <c r="DT29" s="84"/>
      <c r="DU29" s="83"/>
      <c r="DV29" s="83"/>
      <c r="DW29" s="83"/>
      <c r="DX29" s="83"/>
      <c r="DY29" s="83"/>
    </row>
    <row r="30" spans="1:129" ht="12.75" customHeight="1" x14ac:dyDescent="0.3">
      <c r="A30" s="70">
        <v>21</v>
      </c>
      <c r="B30" s="71" t="str">
        <f t="shared" si="22"/>
        <v>Fre</v>
      </c>
      <c r="C30" s="72" t="str">
        <f t="shared" si="23"/>
        <v>Jun 17, 2016</v>
      </c>
      <c r="D30" s="73">
        <f t="shared" si="24"/>
        <v>0.875</v>
      </c>
      <c r="E30" s="74" t="str">
        <f>AN26</f>
        <v>Spania</v>
      </c>
      <c r="F30" s="57"/>
      <c r="G30" s="58"/>
      <c r="H30" s="81" t="str">
        <f>AN28</f>
        <v>Tyrkia</v>
      </c>
      <c r="I30" s="144" t="str">
        <f>INDEX(T,103,lang)</f>
        <v>Allianz Riviera, Nice</v>
      </c>
      <c r="J30" s="156"/>
      <c r="K30" s="157"/>
      <c r="M30" s="24" t="str">
        <f>VLOOKUP(4,AM26:AW29,2,FALSE)</f>
        <v>Kroatia</v>
      </c>
      <c r="N30" s="31">
        <f>O30+P30+Q30</f>
        <v>1</v>
      </c>
      <c r="O30" s="31">
        <f>VLOOKUP(4,AM26:AW29,3,FALSE)</f>
        <v>0</v>
      </c>
      <c r="P30" s="31">
        <f>VLOOKUP(4,AM26:AW29,4,FALSE)</f>
        <v>0</v>
      </c>
      <c r="Q30" s="31">
        <f>VLOOKUP(4,AM26:AW29,5,FALSE)</f>
        <v>1</v>
      </c>
      <c r="R30" s="31" t="str">
        <f>VLOOKUP(4,AM26:AW29,6,FALSE) &amp; " - " &amp; VLOOKUP(4,AM26:AW29,7,FALSE)</f>
        <v>0 - 1</v>
      </c>
      <c r="S30" s="32">
        <f>O30*3+P30</f>
        <v>0</v>
      </c>
      <c r="U30" s="116">
        <f>DATE(2016,6,18)+TIME(8,0,0)+gmt_delta</f>
        <v>42539.875</v>
      </c>
      <c r="V30" s="118" t="str">
        <f t="shared" si="0"/>
        <v/>
      </c>
      <c r="W30" s="118" t="str">
        <f t="shared" si="1"/>
        <v/>
      </c>
      <c r="X30" s="117">
        <f t="shared" si="2"/>
        <v>0</v>
      </c>
      <c r="Y30" s="116">
        <f t="shared" si="3"/>
        <v>0</v>
      </c>
      <c r="Z30" s="116">
        <f t="shared" si="4"/>
        <v>0</v>
      </c>
      <c r="AA30" s="116">
        <f t="shared" si="5"/>
        <v>6</v>
      </c>
      <c r="AB30" s="116">
        <f t="shared" si="6"/>
        <v>1</v>
      </c>
      <c r="AC30" s="116">
        <f t="shared" si="7"/>
        <v>3</v>
      </c>
      <c r="AD30" s="116" t="str">
        <f t="shared" si="8"/>
        <v>613</v>
      </c>
      <c r="AE30" s="116">
        <f t="shared" si="9"/>
        <v>1</v>
      </c>
      <c r="AF30" s="116">
        <f t="shared" si="10"/>
        <v>0</v>
      </c>
      <c r="AG30" s="116">
        <f t="shared" si="11"/>
        <v>0</v>
      </c>
      <c r="AH30" s="116" t="str">
        <f t="shared" si="15"/>
        <v>631</v>
      </c>
      <c r="AI30" s="116">
        <f t="shared" si="12"/>
        <v>1</v>
      </c>
      <c r="AJ30" s="116">
        <f t="shared" si="13"/>
        <v>0</v>
      </c>
      <c r="AK30" s="116">
        <f t="shared" si="14"/>
        <v>0</v>
      </c>
      <c r="AO30" s="116">
        <f t="shared" ref="AO30:AX30" si="45">MAX(AO26:AO29)-MIN(AO26:AO29)+1</f>
        <v>2</v>
      </c>
      <c r="AP30" s="116">
        <f t="shared" si="45"/>
        <v>1</v>
      </c>
      <c r="AQ30" s="116">
        <f t="shared" si="45"/>
        <v>2</v>
      </c>
      <c r="AR30" s="116">
        <f t="shared" si="45"/>
        <v>2</v>
      </c>
      <c r="AS30" s="116">
        <f t="shared" si="45"/>
        <v>2</v>
      </c>
      <c r="AT30" s="116">
        <f>MAX(AT26:AT29)-AT31+1</f>
        <v>30001</v>
      </c>
      <c r="AU30" s="116">
        <f>MAX(AU26:AU29)-AU31+1</f>
        <v>3</v>
      </c>
      <c r="AW30" s="116">
        <f t="shared" si="45"/>
        <v>4</v>
      </c>
      <c r="AX30" s="116">
        <f t="shared" si="45"/>
        <v>1</v>
      </c>
      <c r="BD30" s="116">
        <f>MAX(BD26:BD29)-MIN(BD26:BD29)+1</f>
        <v>1</v>
      </c>
      <c r="BE30" s="116">
        <f>MAX(BE26:BE29)-MIN(BE26:BE29)+1</f>
        <v>1</v>
      </c>
      <c r="BF30" s="116">
        <f>MAX(BF26:BF29)-MIN(BF26:BF29)+1</f>
        <v>1</v>
      </c>
      <c r="BG30" s="116">
        <f>MAX(BG26:BG29)-MIN(BG26:BG29)+1</f>
        <v>1</v>
      </c>
      <c r="BH30" s="116">
        <f>MAX(BH26:BH29)-MIN(BH26:BH29)+1</f>
        <v>1</v>
      </c>
      <c r="BI30" s="117" t="str">
        <f t="shared" si="44"/>
        <v>Østerrike</v>
      </c>
      <c r="BJ30" s="117">
        <v>6</v>
      </c>
      <c r="BK30" s="117">
        <v>3</v>
      </c>
      <c r="BM30" s="116">
        <f>BQ26</f>
        <v>3</v>
      </c>
      <c r="BN30" s="116">
        <f>BQ27</f>
        <v>2</v>
      </c>
      <c r="BO30" s="116">
        <f>BQ28</f>
        <v>5</v>
      </c>
      <c r="BP30" s="116">
        <f>BQ29</f>
        <v>3</v>
      </c>
      <c r="BR30" s="116"/>
      <c r="BS30" s="116"/>
      <c r="BT30" s="116"/>
      <c r="BU30" s="116"/>
      <c r="BX30" s="116"/>
      <c r="BY30" s="116"/>
      <c r="BZ30" s="116"/>
      <c r="CA30" s="116"/>
      <c r="CC30" s="116"/>
      <c r="CD30" s="116"/>
      <c r="CE30" s="116"/>
      <c r="CF30" s="116"/>
      <c r="CH30" s="116"/>
      <c r="CI30" s="116"/>
      <c r="CJ30" s="116"/>
      <c r="CK30" s="116"/>
      <c r="CN30" s="116"/>
      <c r="CO30" s="116"/>
      <c r="CP30" s="116"/>
      <c r="CQ30" s="116"/>
      <c r="CU30" s="116">
        <f>CT26</f>
        <v>2</v>
      </c>
      <c r="CV30" s="116">
        <f>CT27</f>
        <v>4</v>
      </c>
      <c r="CW30" s="116">
        <f>CT28</f>
        <v>1</v>
      </c>
      <c r="CX30" s="116">
        <f>CT29</f>
        <v>2</v>
      </c>
      <c r="CY30" s="122">
        <f t="shared" si="42"/>
        <v>9</v>
      </c>
      <c r="DD30" s="168">
        <v>43</v>
      </c>
      <c r="DE30" s="90" t="str">
        <f>BC32</f>
        <v>1E</v>
      </c>
      <c r="DF30" s="61"/>
      <c r="DG30" s="126"/>
      <c r="DH30" s="87"/>
      <c r="DI30" s="83"/>
      <c r="DJ30" s="83"/>
      <c r="DK30" s="83"/>
      <c r="DL30" s="83"/>
      <c r="DM30" s="83"/>
      <c r="DN30" s="84"/>
      <c r="DO30" s="83"/>
      <c r="DP30" s="83"/>
      <c r="DQ30" s="83"/>
      <c r="DR30" s="83"/>
      <c r="DS30" s="83"/>
      <c r="DT30" s="84"/>
      <c r="DU30" s="83"/>
      <c r="DV30" s="83"/>
      <c r="DW30" s="83"/>
      <c r="DX30" s="83"/>
      <c r="DY30" s="83"/>
    </row>
    <row r="31" spans="1:129" ht="12.75" customHeight="1" x14ac:dyDescent="0.3">
      <c r="A31" s="70">
        <v>22</v>
      </c>
      <c r="B31" s="71" t="str">
        <f t="shared" si="22"/>
        <v>Lør</v>
      </c>
      <c r="C31" s="72" t="str">
        <f t="shared" si="23"/>
        <v>Jun 18, 2016</v>
      </c>
      <c r="D31" s="73">
        <f t="shared" si="24"/>
        <v>0.625</v>
      </c>
      <c r="E31" s="74" t="str">
        <f>AN32</f>
        <v>Belgia</v>
      </c>
      <c r="F31" s="57"/>
      <c r="G31" s="58"/>
      <c r="H31" s="81" t="str">
        <f>AN33</f>
        <v>Republikken Irland</v>
      </c>
      <c r="I31" s="144" t="str">
        <f>INDEX(T,113,lang)</f>
        <v>Nouveau Stade de Bordeaux, Bordeaux</v>
      </c>
      <c r="J31" s="145"/>
      <c r="K31" s="146"/>
      <c r="U31" s="116">
        <f>DATE(2016,6,19)+TIME(8,0,0)+gmt_delta</f>
        <v>42540.875</v>
      </c>
      <c r="V31" s="118" t="str">
        <f t="shared" si="0"/>
        <v/>
      </c>
      <c r="W31" s="118" t="str">
        <f t="shared" si="1"/>
        <v/>
      </c>
      <c r="X31" s="117">
        <f t="shared" si="2"/>
        <v>0</v>
      </c>
      <c r="Y31" s="116">
        <f t="shared" si="3"/>
        <v>0</v>
      </c>
      <c r="Z31" s="116">
        <f t="shared" si="4"/>
        <v>0</v>
      </c>
      <c r="AA31" s="116">
        <f t="shared" si="5"/>
        <v>1</v>
      </c>
      <c r="AB31" s="116">
        <f t="shared" si="6"/>
        <v>3</v>
      </c>
      <c r="AC31" s="116">
        <f t="shared" si="7"/>
        <v>2</v>
      </c>
      <c r="AD31" s="116" t="str">
        <f t="shared" si="8"/>
        <v>132</v>
      </c>
      <c r="AE31" s="116">
        <f t="shared" si="9"/>
        <v>1</v>
      </c>
      <c r="AF31" s="116">
        <f t="shared" si="10"/>
        <v>0</v>
      </c>
      <c r="AG31" s="116">
        <f t="shared" si="11"/>
        <v>0</v>
      </c>
      <c r="AH31" s="116" t="str">
        <f t="shared" si="15"/>
        <v>123</v>
      </c>
      <c r="AI31" s="116">
        <f t="shared" si="12"/>
        <v>1</v>
      </c>
      <c r="AJ31" s="116">
        <f t="shared" si="13"/>
        <v>0</v>
      </c>
      <c r="AK31" s="116">
        <f t="shared" si="14"/>
        <v>0</v>
      </c>
      <c r="AT31" s="116">
        <f>MIN(AT26:AT29)</f>
        <v>0</v>
      </c>
      <c r="AU31" s="116">
        <f>MIN(AU26:AU29)</f>
        <v>-1</v>
      </c>
      <c r="BI31" s="117" t="str">
        <f t="shared" si="44"/>
        <v>Ungarn</v>
      </c>
      <c r="BJ31" s="117">
        <v>6</v>
      </c>
      <c r="BK31" s="117">
        <v>4</v>
      </c>
      <c r="DD31" s="169"/>
      <c r="DE31" s="91" t="str">
        <f>BC27</f>
        <v>2D</v>
      </c>
      <c r="DF31" s="59"/>
      <c r="DG31" s="127"/>
      <c r="DH31" s="83"/>
      <c r="DI31" s="83"/>
      <c r="DJ31" s="83"/>
      <c r="DK31" s="83"/>
      <c r="DL31" s="83"/>
      <c r="DM31" s="83"/>
      <c r="DN31" s="84"/>
      <c r="DO31" s="83"/>
      <c r="DP31" s="83" t="str">
        <f>INDEX(T,24+MONTH(U65),lang) &amp; " " &amp; DAY(U65) &amp; ", " &amp; YEAR(U65) &amp; "   " &amp; TEXT(TIME(HOUR(U65),MINUTE(U65),0),"hh:mm")</f>
        <v>Jul 7, 2016   hh:01</v>
      </c>
      <c r="DQ31" s="83"/>
      <c r="DR31" s="83"/>
      <c r="DS31" s="93"/>
      <c r="DT31" s="84"/>
      <c r="DU31" s="88"/>
    </row>
    <row r="32" spans="1:129" ht="12.75" customHeight="1" x14ac:dyDescent="0.3">
      <c r="A32" s="70">
        <v>23</v>
      </c>
      <c r="B32" s="71" t="str">
        <f t="shared" si="22"/>
        <v>Lør</v>
      </c>
      <c r="C32" s="72" t="str">
        <f t="shared" si="23"/>
        <v>Jun 18, 2016</v>
      </c>
      <c r="D32" s="73">
        <f t="shared" si="24"/>
        <v>0.75</v>
      </c>
      <c r="E32" s="74" t="str">
        <f>AN39</f>
        <v>Island</v>
      </c>
      <c r="F32" s="57"/>
      <c r="G32" s="58"/>
      <c r="H32" s="81" t="str">
        <f>AN41</f>
        <v>Ungarn</v>
      </c>
      <c r="I32" s="144" t="str">
        <f>INDEX(T,106,lang)</f>
        <v>Stade Vélodrome, Marseille</v>
      </c>
      <c r="J32" s="145"/>
      <c r="K32" s="146"/>
      <c r="M32" s="55" t="str">
        <f>INDEX(T,9,lang) &amp; " " &amp; "E"</f>
        <v>Gruppe E</v>
      </c>
      <c r="N32" s="56" t="str">
        <f>INDEX(T,10,lang)</f>
        <v>S</v>
      </c>
      <c r="O32" s="56" t="str">
        <f>INDEX(T,11,lang)</f>
        <v>V</v>
      </c>
      <c r="P32" s="56" t="str">
        <f>INDEX(T,12,lang)</f>
        <v>T</v>
      </c>
      <c r="Q32" s="56" t="str">
        <f>INDEX(T,13,lang)</f>
        <v>U</v>
      </c>
      <c r="R32" s="56" t="str">
        <f>INDEX(T,14,lang)</f>
        <v>Mål</v>
      </c>
      <c r="S32" s="56" t="str">
        <f>INDEX(T,15,lang)</f>
        <v>P</v>
      </c>
      <c r="U32" s="116">
        <f>DATE(2016,6,19)+TIME(8,0,0)+gmt_delta</f>
        <v>42540.875</v>
      </c>
      <c r="V32" s="118" t="str">
        <f t="shared" si="0"/>
        <v/>
      </c>
      <c r="W32" s="118" t="str">
        <f t="shared" si="1"/>
        <v/>
      </c>
      <c r="X32" s="117">
        <f t="shared" si="2"/>
        <v>0</v>
      </c>
      <c r="Y32" s="116">
        <f t="shared" si="3"/>
        <v>0</v>
      </c>
      <c r="Z32" s="116">
        <f t="shared" si="4"/>
        <v>0</v>
      </c>
      <c r="AA32" s="116">
        <f t="shared" si="5"/>
        <v>1</v>
      </c>
      <c r="AB32" s="116">
        <f t="shared" si="6"/>
        <v>4</v>
      </c>
      <c r="AC32" s="116">
        <f t="shared" si="7"/>
        <v>1</v>
      </c>
      <c r="AD32" s="116" t="str">
        <f t="shared" si="8"/>
        <v>141</v>
      </c>
      <c r="AE32" s="116">
        <f t="shared" si="9"/>
        <v>1</v>
      </c>
      <c r="AF32" s="116">
        <f t="shared" si="10"/>
        <v>0</v>
      </c>
      <c r="AG32" s="116">
        <f t="shared" si="11"/>
        <v>0</v>
      </c>
      <c r="AH32" s="116" t="str">
        <f t="shared" si="15"/>
        <v>114</v>
      </c>
      <c r="AI32" s="116">
        <f t="shared" si="12"/>
        <v>1</v>
      </c>
      <c r="AJ32" s="116">
        <f t="shared" si="13"/>
        <v>0</v>
      </c>
      <c r="AK32" s="116">
        <f t="shared" si="14"/>
        <v>0</v>
      </c>
      <c r="AM32" s="116">
        <f>DA32</f>
        <v>1</v>
      </c>
      <c r="AN32" s="117" t="str">
        <f>INDEX(T,67,lang)</f>
        <v>Belgia</v>
      </c>
      <c r="AO32" s="116">
        <f>COUNTIF($V$7:$W$42,"=" &amp; AN32 &amp; "_win")</f>
        <v>0</v>
      </c>
      <c r="AP32" s="116">
        <f>COUNTIF($V$7:$W$42,"=" &amp; AN32 &amp; "_draw")</f>
        <v>0</v>
      </c>
      <c r="AQ32" s="116">
        <f>COUNTIF($V$7:$W$42,"=" &amp; AN32 &amp; "_lose")</f>
        <v>0</v>
      </c>
      <c r="AR32" s="116">
        <f>SUMIF($E$10:$E$45,$AN32,$F$10:$F$45) + SUMIF($H$10:$H$45,$AN32,$G$10:$G$45)</f>
        <v>0</v>
      </c>
      <c r="AS32" s="116">
        <f>SUMIF($E$10:$E$45,$AN32,$G$10:$G$45) + SUMIF($H$10:$H$45,$AN32,$F$10:$F$45)</f>
        <v>0</v>
      </c>
      <c r="AT32" s="116">
        <f>AW32*10000</f>
        <v>0</v>
      </c>
      <c r="AU32" s="116">
        <f>AR32-AS32</f>
        <v>0</v>
      </c>
      <c r="AV32" s="116">
        <f>(AU32-AU37)/AU36</f>
        <v>0</v>
      </c>
      <c r="AW32" s="116">
        <f>AO32*3+AP32</f>
        <v>0</v>
      </c>
      <c r="AX32" s="116">
        <f>BD32/BD36*10+BE32/BE36+BH32/BH36*0.1+BF32/BF36*0.01</f>
        <v>0</v>
      </c>
      <c r="BA32" s="116">
        <f>VLOOKUP(AN32,db_fifarank,2,FALSE)/2000000</f>
        <v>1.7221E-2</v>
      </c>
      <c r="BB32" s="117">
        <f>10000000*AW32/AW36+100000*AX32/AX36+100*AV32+10*AR32/AR36+1*AX32/AX36+BA32</f>
        <v>1.7221E-2</v>
      </c>
      <c r="BC32" s="117" t="str">
        <f>IF(SUM(AO32:AQ35)=12,M33,INDEX(T,78,lang))</f>
        <v>1E</v>
      </c>
      <c r="BD32" s="116">
        <f>SUMPRODUCT(($V$7:$V$42=AN32&amp;"_win")*($X$7:$X$42))+SUMPRODUCT(($W$7:$W$42=AN32&amp;"_win")*($X$7:$X$42))</f>
        <v>0</v>
      </c>
      <c r="BE32" s="121">
        <f>SUMPRODUCT(($V$7:$V$42=AN32&amp;"_draw")*($X$7:$X$42))+SUMPRODUCT(($W$7:$W$42=AN32&amp;"_draw")*($X$7:$X$42))</f>
        <v>0</v>
      </c>
      <c r="BF32" s="121">
        <f>SUMPRODUCT(($E$10:$E$45=AN32)*($X$7:$X$42)*($F$10:$F$45))+SUMPRODUCT(($H$10:$H$45=AN32)*($X$7:$X$42)*($G$10:$G$45))</f>
        <v>0</v>
      </c>
      <c r="BG32" s="121">
        <f>SUMPRODUCT(($E$10:$E$45=AN32)*($X$7:$X$42)*($G$10:$G$45))+SUMPRODUCT(($H$10:$H$45=AN32)*($X$7:$X$42)*($F$10:$F$45))</f>
        <v>0</v>
      </c>
      <c r="BH32" s="121">
        <f>BF32-BG32</f>
        <v>0</v>
      </c>
      <c r="BN32" s="121">
        <f>IFERROR(VLOOKUP("512",$AD$7:$AG$42,2,FALSE),0) + IFERROR(VLOOKUP("512",$AH$7:$AK$42,2,FALSE),0)</f>
        <v>1</v>
      </c>
      <c r="BO32" s="121">
        <f>IFERROR(VLOOKUP("513",$AD$7:$AG$42,2,FALSE),0) + IFERROR(VLOOKUP("513",$AH$7:$AK$42,2,FALSE),0)</f>
        <v>1</v>
      </c>
      <c r="BP32" s="121">
        <f>IFERROR(VLOOKUP("514",$AD$7:$AG$42,2,FALSE),0) + IFERROR(VLOOKUP("514",$AH$7:$AK$42,2,FALSE),0)</f>
        <v>1</v>
      </c>
      <c r="BQ32" s="122">
        <f>SUM(BM32:BP32)</f>
        <v>3</v>
      </c>
      <c r="BS32" s="121">
        <f>IFERROR(VLOOKUP("512",$AD$7:$AG$42,3,FALSE),0) + IFERROR(VLOOKUP("512",$AH$7:$AK$42,3,FALSE),0)</f>
        <v>0</v>
      </c>
      <c r="BT32" s="121">
        <f>IFERROR(VLOOKUP("513",$AD$7:$AG$42,3,FALSE),0) + IFERROR(VLOOKUP("513",$AH$7:$AK$42,3,FALSE),0)</f>
        <v>0</v>
      </c>
      <c r="BU32" s="121">
        <f>IFERROR(VLOOKUP("514",$AD$7:$AG$42,3,FALSE),0) + IFERROR(VLOOKUP("514",$AH$7:$AK$42,3,FALSE),0)</f>
        <v>0</v>
      </c>
      <c r="BV32" s="122">
        <f>SUM(BR32:BU32)</f>
        <v>0</v>
      </c>
      <c r="BW32" s="122">
        <f>RANK(BV32,BV32:BV35)</f>
        <v>1</v>
      </c>
      <c r="BY32" s="121">
        <f>IFERROR(VLOOKUP("512",$AD$7:$AG$42,4,FALSE),0) + IFERROR(VLOOKUP("512",$AH$7:$AK$42,4,FALSE),0)</f>
        <v>0</v>
      </c>
      <c r="BZ32" s="121">
        <f>IFERROR(VLOOKUP("513",$AD$7:$AG$42,4,FALSE),0) + IFERROR(VLOOKUP("513",$AH$7:$AK$42,4,FALSE),0)</f>
        <v>0</v>
      </c>
      <c r="CA32" s="121">
        <f>IFERROR(VLOOKUP("514",$AD$7:$AG$42,4,FALSE),0) + IFERROR(VLOOKUP("514",$AH$7:$AK$42,4,FALSE),0)</f>
        <v>0</v>
      </c>
      <c r="CB32" s="122">
        <f>SUM(BX32:CA32)</f>
        <v>0</v>
      </c>
      <c r="CD32" s="121">
        <f>IF(BN36=BQ32,BN32,0)</f>
        <v>1</v>
      </c>
      <c r="CE32" s="121">
        <f>IF(BO36=BQ32,BO32,0)</f>
        <v>1</v>
      </c>
      <c r="CF32" s="121">
        <f>IF(BP36=BQ32,BP32,0)</f>
        <v>1</v>
      </c>
      <c r="CG32" s="122">
        <f>SUM(CC32:CF32)</f>
        <v>3</v>
      </c>
      <c r="CI32" s="121">
        <f>IF(BN36=BQ32,BS32,0)</f>
        <v>0</v>
      </c>
      <c r="CJ32" s="121">
        <f>IF(BO36=BQ32,BT32,0)</f>
        <v>0</v>
      </c>
      <c r="CK32" s="121">
        <f>IF(BP36=BQ32,BU32,0)</f>
        <v>0</v>
      </c>
      <c r="CL32" s="122">
        <f>SUM(CH32:CK32)</f>
        <v>0</v>
      </c>
      <c r="CM32" s="122">
        <f>RANK(CL32,CL32:CL35)</f>
        <v>1</v>
      </c>
      <c r="CO32" s="121">
        <f>IF(BN36=BQ32,BY32,0)</f>
        <v>0</v>
      </c>
      <c r="CP32" s="121">
        <f>IF(BO36=BQ32,BZ32,0)</f>
        <v>0</v>
      </c>
      <c r="CQ32" s="121">
        <f>IF(BP36=BQ32,CA32,0)</f>
        <v>0</v>
      </c>
      <c r="CR32" s="122">
        <f>SUM(CN32:CQ32)</f>
        <v>0</v>
      </c>
      <c r="CS32" s="122">
        <f>BQ32*10000+CG32*100+(5-CM32)+CR32/10</f>
        <v>30304</v>
      </c>
      <c r="CT32" s="122">
        <f>RANK(CS32,CS32:CS35)</f>
        <v>1</v>
      </c>
      <c r="CV32" s="121">
        <f>IF(CV36=CT32,BN32,0)</f>
        <v>1</v>
      </c>
      <c r="CW32" s="121">
        <f>IF(CW36=CT32,BO32,0)</f>
        <v>1</v>
      </c>
      <c r="CX32" s="121">
        <f>IF(CX36=CT32,BP32,0)</f>
        <v>1</v>
      </c>
      <c r="CY32" s="122">
        <f>SUM(CU32:CX32)</f>
        <v>3</v>
      </c>
      <c r="CZ32" s="122">
        <f>(5-CT32)*10000+CY32*100+(5-BW32)+CB32/10+BA32/100</f>
        <v>40304.000172209999</v>
      </c>
      <c r="DA32" s="122">
        <f>RANK(CZ32,CZ32:CZ35)</f>
        <v>1</v>
      </c>
      <c r="DD32" s="120"/>
      <c r="DE32" s="83"/>
      <c r="DF32" s="83"/>
      <c r="DG32" s="83"/>
      <c r="DH32" s="83"/>
      <c r="DI32" s="83"/>
      <c r="DJ32" s="83"/>
      <c r="DK32" s="83"/>
      <c r="DL32" s="83"/>
      <c r="DM32" s="83"/>
      <c r="DN32" s="84"/>
      <c r="DO32" s="83"/>
      <c r="DP32" s="170">
        <v>50</v>
      </c>
      <c r="DQ32" s="90" t="str">
        <f>W59</f>
        <v>V47</v>
      </c>
      <c r="DR32" s="61"/>
      <c r="DS32" s="126"/>
      <c r="DT32" s="87"/>
      <c r="DU32" s="88"/>
    </row>
    <row r="33" spans="1:129" x14ac:dyDescent="0.3">
      <c r="A33" s="70">
        <v>24</v>
      </c>
      <c r="B33" s="71" t="str">
        <f t="shared" si="22"/>
        <v>Lør</v>
      </c>
      <c r="C33" s="72" t="str">
        <f t="shared" si="23"/>
        <v>Jun 18, 2016</v>
      </c>
      <c r="D33" s="73">
        <f t="shared" si="24"/>
        <v>0.875</v>
      </c>
      <c r="E33" s="74" t="str">
        <f>AN38</f>
        <v>Portugal</v>
      </c>
      <c r="F33" s="57"/>
      <c r="G33" s="58"/>
      <c r="H33" s="81" t="str">
        <f>AN40</f>
        <v>Østerrike</v>
      </c>
      <c r="I33" s="144" t="str">
        <f>INDEX(T,107,lang)</f>
        <v>Parc des Princes, Paris</v>
      </c>
      <c r="J33" s="145"/>
      <c r="K33" s="146"/>
      <c r="M33" s="22" t="str">
        <f>VLOOKUP(1,AM32:AW35,2,FALSE)</f>
        <v>Belgia</v>
      </c>
      <c r="N33" s="27">
        <f>O33+P33+Q33</f>
        <v>0</v>
      </c>
      <c r="O33" s="27">
        <f>VLOOKUP(1,AM32:AW35,3,FALSE)</f>
        <v>0</v>
      </c>
      <c r="P33" s="27">
        <f>VLOOKUP(1,AM32:AW35,4,FALSE)</f>
        <v>0</v>
      </c>
      <c r="Q33" s="27">
        <f>VLOOKUP(1,AM32:AW35,5,FALSE)</f>
        <v>0</v>
      </c>
      <c r="R33" s="27" t="str">
        <f>VLOOKUP(1,AM32:AW35,6,FALSE) &amp; " - " &amp; VLOOKUP(1,AM32:AW35,7,FALSE)</f>
        <v>0 - 0</v>
      </c>
      <c r="S33" s="28">
        <f>O33*3+P33</f>
        <v>0</v>
      </c>
      <c r="U33" s="116">
        <f>DATE(2016,6,20)+TIME(8,0,0)+gmt_delta</f>
        <v>42541.875</v>
      </c>
      <c r="V33" s="118" t="str">
        <f t="shared" si="0"/>
        <v/>
      </c>
      <c r="W33" s="118" t="str">
        <f t="shared" si="1"/>
        <v/>
      </c>
      <c r="X33" s="117">
        <f t="shared" si="2"/>
        <v>0</v>
      </c>
      <c r="Y33" s="116">
        <f t="shared" si="3"/>
        <v>0</v>
      </c>
      <c r="Z33" s="116">
        <f t="shared" si="4"/>
        <v>0</v>
      </c>
      <c r="AA33" s="116">
        <f t="shared" si="5"/>
        <v>2</v>
      </c>
      <c r="AB33" s="116">
        <f t="shared" si="6"/>
        <v>3</v>
      </c>
      <c r="AC33" s="116">
        <f t="shared" si="7"/>
        <v>2</v>
      </c>
      <c r="AD33" s="116" t="str">
        <f t="shared" si="8"/>
        <v>232</v>
      </c>
      <c r="AE33" s="116">
        <f t="shared" si="9"/>
        <v>1</v>
      </c>
      <c r="AF33" s="116">
        <f t="shared" si="10"/>
        <v>0</v>
      </c>
      <c r="AG33" s="116">
        <f t="shared" si="11"/>
        <v>0</v>
      </c>
      <c r="AH33" s="116" t="str">
        <f t="shared" si="15"/>
        <v>223</v>
      </c>
      <c r="AI33" s="116">
        <f t="shared" si="12"/>
        <v>1</v>
      </c>
      <c r="AJ33" s="116">
        <f t="shared" si="13"/>
        <v>0</v>
      </c>
      <c r="AK33" s="116">
        <f t="shared" si="14"/>
        <v>0</v>
      </c>
      <c r="AM33" s="116">
        <f t="shared" ref="AM33:AM35" si="46">DA33</f>
        <v>4</v>
      </c>
      <c r="AN33" s="117" t="str">
        <f>INDEX(T,59,lang)</f>
        <v>Republikken Irland</v>
      </c>
      <c r="AO33" s="116">
        <f>COUNTIF($V$7:$W$42,"=" &amp; AN33 &amp; "_win")</f>
        <v>0</v>
      </c>
      <c r="AP33" s="116">
        <f>COUNTIF($V$7:$W$42,"=" &amp; AN33 &amp; "_draw")</f>
        <v>0</v>
      </c>
      <c r="AQ33" s="116">
        <f>COUNTIF($V$7:$W$42,"=" &amp; AN33 &amp; "_lose")</f>
        <v>0</v>
      </c>
      <c r="AR33" s="116">
        <f>SUMIF($E$10:$E$45,$AN33,$F$10:$F$45) + SUMIF($H$10:$H$45,$AN33,$G$10:$G$45)</f>
        <v>0</v>
      </c>
      <c r="AS33" s="116">
        <f>SUMIF($E$10:$E$45,$AN33,$G$10:$G$45) + SUMIF($H$10:$H$45,$AN33,$F$10:$F$45)</f>
        <v>0</v>
      </c>
      <c r="AT33" s="116">
        <f>AW33*10000</f>
        <v>0</v>
      </c>
      <c r="AU33" s="116">
        <f>AR33-AS33</f>
        <v>0</v>
      </c>
      <c r="AV33" s="116">
        <f>(AU33-AU37)/AU36</f>
        <v>0</v>
      </c>
      <c r="AW33" s="116">
        <f>AO33*3+AP33</f>
        <v>0</v>
      </c>
      <c r="AX33" s="116">
        <f>BD33/BD36*10+BE33/BE36+BH33/BH36*0.1+BF33/BF36*0.01</f>
        <v>0</v>
      </c>
      <c r="BA33" s="116">
        <f>VLOOKUP(AN33,db_fifarank,2,FALSE)/2000000</f>
        <v>1.3450999999999999E-2</v>
      </c>
      <c r="BB33" s="117">
        <f>10000000*AW33/AW36+100000*AX33/AX36+100*AV33+10*AR33/AR36+1*AX33/AX36+BA33</f>
        <v>1.3450999999999999E-2</v>
      </c>
      <c r="BC33" s="117" t="str">
        <f>IF(SUM(AO32:AQ35)=12,M34,INDEX(T,79,lang))</f>
        <v>2E</v>
      </c>
      <c r="BD33" s="116">
        <f>SUMPRODUCT(($V$7:$V$42=AN33&amp;"_win")*($X$7:$X$42))+SUMPRODUCT(($W$7:$W$42=AN33&amp;"_win")*($X$7:$X$42))</f>
        <v>0</v>
      </c>
      <c r="BE33" s="121">
        <f>SUMPRODUCT(($V$7:$V$42=AN33&amp;"_draw")*($X$7:$X$42))+SUMPRODUCT(($W$7:$W$42=AN33&amp;"_draw")*($X$7:$X$42))</f>
        <v>0</v>
      </c>
      <c r="BF33" s="121">
        <f>SUMPRODUCT(($E$10:$E$45=AN33)*($X$7:$X$42)*($F$10:$F$45))+SUMPRODUCT(($H$10:$H$45=AN33)*($X$7:$X$42)*($G$10:$G$45))</f>
        <v>0</v>
      </c>
      <c r="BG33" s="121">
        <f>SUMPRODUCT(($E$10:$E$45=AN33)*($X$7:$X$42)*($G$10:$G$45))+SUMPRODUCT(($H$10:$H$45=AN33)*($X$7:$X$42)*($F$10:$F$45))</f>
        <v>0</v>
      </c>
      <c r="BH33" s="121">
        <f>BF33-BG33</f>
        <v>0</v>
      </c>
      <c r="BM33" s="121">
        <f>IFERROR(VLOOKUP("521",$AD$7:$AG$42,2,FALSE),0) + IFERROR(VLOOKUP("521",$AH$7:$AK$42,2,FALSE),0)</f>
        <v>1</v>
      </c>
      <c r="BO33" s="121">
        <f>IFERROR(VLOOKUP("523",$AD$7:$AG$42,2,FALSE),0) + IFERROR(VLOOKUP("523",$AH$7:$AK$42,2,FALSE),0)</f>
        <v>1</v>
      </c>
      <c r="BP33" s="121">
        <f>IFERROR(VLOOKUP("524",$AD$7:$AG$42,2,FALSE),0) + IFERROR(VLOOKUP("524",$AH$7:$AK$42,2,FALSE),0)</f>
        <v>1</v>
      </c>
      <c r="BQ33" s="122">
        <f>SUM(BM33:BP33)</f>
        <v>3</v>
      </c>
      <c r="BR33" s="121">
        <f>IFERROR(VLOOKUP("521",$AD$7:$AG$42,3,FALSE),0) + IFERROR(VLOOKUP("521",$AH$7:$AK$42,3,FALSE),0)</f>
        <v>0</v>
      </c>
      <c r="BT33" s="121">
        <f>IFERROR(VLOOKUP("523",$AD$7:$AG$42,3,FALSE),0) + IFERROR(VLOOKUP("523",$AH$7:$AK$42,3,FALSE),0)</f>
        <v>0</v>
      </c>
      <c r="BU33" s="121">
        <f>IFERROR(VLOOKUP("524",$AD$7:$AG$42,3,FALSE),0) + IFERROR(VLOOKUP("524",$AH$7:$AK$42,3,FALSE),0)</f>
        <v>0</v>
      </c>
      <c r="BV33" s="122">
        <f>SUM(BR33:BU33)</f>
        <v>0</v>
      </c>
      <c r="BW33" s="122">
        <f>RANK(BV33,BV32:BV35)</f>
        <v>1</v>
      </c>
      <c r="BX33" s="121">
        <f>IFERROR(VLOOKUP("521",$AD$7:$AG$42,4,FALSE),0) + IFERROR(VLOOKUP("521",$AH$7:$AK$42,4,FALSE),0)</f>
        <v>0</v>
      </c>
      <c r="BZ33" s="121">
        <f>IFERROR(VLOOKUP("523",$AD$7:$AG$42,4,FALSE),0) + IFERROR(VLOOKUP("523",$AH$7:$AK$42,4,FALSE),0)</f>
        <v>0</v>
      </c>
      <c r="CA33" s="121">
        <f>IFERROR(VLOOKUP("524",$AD$7:$AG$42,4,FALSE),0) + IFERROR(VLOOKUP("524",$AH$7:$AK$42,4,FALSE),0)</f>
        <v>0</v>
      </c>
      <c r="CB33" s="122">
        <f>SUM(BX33:CA33)</f>
        <v>0</v>
      </c>
      <c r="CC33" s="121">
        <f>IF(BM36=BQ33,BM33,0)</f>
        <v>1</v>
      </c>
      <c r="CE33" s="121">
        <f>IF(BO36=BQ33,BO33,0)</f>
        <v>1</v>
      </c>
      <c r="CF33" s="121">
        <f>IF(BP36=BQ33,BP33,0)</f>
        <v>1</v>
      </c>
      <c r="CG33" s="122">
        <f>SUM(CC33:CF33)</f>
        <v>3</v>
      </c>
      <c r="CH33" s="121">
        <f>IF(BM36=BQ33,BR33,0)</f>
        <v>0</v>
      </c>
      <c r="CJ33" s="121">
        <f>IF(BO36=BQ33,BT33,0)</f>
        <v>0</v>
      </c>
      <c r="CK33" s="121">
        <f>IF(BP36=BQ33,BU33,0)</f>
        <v>0</v>
      </c>
      <c r="CL33" s="122">
        <f>SUM(CH33:CK33)</f>
        <v>0</v>
      </c>
      <c r="CM33" s="122">
        <f>RANK(CL33,CL32:CL35)</f>
        <v>1</v>
      </c>
      <c r="CN33" s="121">
        <f>IF(BM36=BQ33,BX33,0)</f>
        <v>0</v>
      </c>
      <c r="CP33" s="121">
        <f>IF(BO36=BQ33,BZ33,0)</f>
        <v>0</v>
      </c>
      <c r="CQ33" s="121">
        <f>IF(BP36=BQ33,CA33,0)</f>
        <v>0</v>
      </c>
      <c r="CR33" s="122">
        <f>SUM(CN33:CQ33)</f>
        <v>0</v>
      </c>
      <c r="CS33" s="122">
        <f t="shared" ref="CS33:CS35" si="47">BQ33*10000+CG33*100+(5-CM33)+CR33/10</f>
        <v>30304</v>
      </c>
      <c r="CT33" s="122">
        <f>RANK(CS33,CS32:CS35)</f>
        <v>1</v>
      </c>
      <c r="CU33" s="121">
        <f>IF(CU36=CT33,BM33,0)</f>
        <v>1</v>
      </c>
      <c r="CW33" s="121">
        <f>IF(CW36=CT33,BO33,0)</f>
        <v>1</v>
      </c>
      <c r="CX33" s="121">
        <f>IF(CX36=CT33,BP33,0)</f>
        <v>1</v>
      </c>
      <c r="CY33" s="122">
        <f t="shared" ref="CY33:CY36" si="48">SUM(CU33:CX33)</f>
        <v>3</v>
      </c>
      <c r="CZ33" s="122">
        <f t="shared" ref="CZ33:CZ35" si="49">(5-CT33)*10000+CY33*100+(5-BW33)+CB33/10+BA33/100</f>
        <v>40304.000134510003</v>
      </c>
      <c r="DA33" s="122">
        <f>RANK(CZ33,CZ32:CZ35)</f>
        <v>4</v>
      </c>
      <c r="DD33" s="120" t="str">
        <f>INDEX(T,24+MONTH(U49),lang) &amp; " " &amp; DAY(U49) &amp; ", " &amp; YEAR(U49) &amp; "   " &amp; TEXT(TIME(HOUR(U49),MINUTE(U49),0),"hh:mm")</f>
        <v>Jun 26, 2016   hh:01</v>
      </c>
      <c r="DE33" s="83"/>
      <c r="DF33" s="83"/>
      <c r="DG33" s="93"/>
      <c r="DH33" s="83"/>
      <c r="DI33" s="83"/>
      <c r="DJ33" s="83"/>
      <c r="DK33" s="83"/>
      <c r="DL33" s="83"/>
      <c r="DM33" s="83"/>
      <c r="DN33" s="84"/>
      <c r="DO33" s="85"/>
      <c r="DP33" s="171"/>
      <c r="DQ33" s="91" t="str">
        <f>W60</f>
        <v>V48</v>
      </c>
      <c r="DR33" s="59"/>
      <c r="DS33" s="127"/>
      <c r="DT33" s="88"/>
      <c r="DU33" s="88"/>
    </row>
    <row r="34" spans="1:129" x14ac:dyDescent="0.3">
      <c r="A34" s="70">
        <v>25</v>
      </c>
      <c r="B34" s="71" t="str">
        <f t="shared" si="22"/>
        <v>Søn</v>
      </c>
      <c r="C34" s="72" t="str">
        <f t="shared" si="23"/>
        <v>Jun 19, 2016</v>
      </c>
      <c r="D34" s="73">
        <f t="shared" si="24"/>
        <v>0.875</v>
      </c>
      <c r="E34" s="74" t="str">
        <f>AN10</f>
        <v>Romania</v>
      </c>
      <c r="F34" s="57"/>
      <c r="G34" s="58"/>
      <c r="H34" s="81" t="str">
        <f>AN9</f>
        <v>Albania</v>
      </c>
      <c r="I34" s="144" t="str">
        <f>INDEX(T,110,lang)</f>
        <v>Parc Olympique Lyonnais, Lyon</v>
      </c>
      <c r="J34" s="145"/>
      <c r="K34" s="146"/>
      <c r="M34" s="23" t="str">
        <f>VLOOKUP(2,AM32:AW35,2,FALSE)</f>
        <v>Italia</v>
      </c>
      <c r="N34" s="29">
        <f>O34+P34+Q34</f>
        <v>0</v>
      </c>
      <c r="O34" s="29">
        <f>VLOOKUP(2,AM32:AW35,3,FALSE)</f>
        <v>0</v>
      </c>
      <c r="P34" s="29">
        <f>VLOOKUP(2,AM32:AW35,4,FALSE)</f>
        <v>0</v>
      </c>
      <c r="Q34" s="29">
        <f>VLOOKUP(2,AM32:AW35,5,FALSE)</f>
        <v>0</v>
      </c>
      <c r="R34" s="29" t="str">
        <f>VLOOKUP(2,AM32:AW35,6,FALSE) &amp; " - " &amp; VLOOKUP(2,AM32:AW35,7,FALSE)</f>
        <v>0 - 0</v>
      </c>
      <c r="S34" s="30">
        <f>O34*3+P34</f>
        <v>0</v>
      </c>
      <c r="U34" s="116">
        <f>DATE(2016,6,20)+TIME(8,0,0)+gmt_delta</f>
        <v>42541.875</v>
      </c>
      <c r="V34" s="118" t="str">
        <f t="shared" si="0"/>
        <v/>
      </c>
      <c r="W34" s="118" t="str">
        <f t="shared" si="1"/>
        <v/>
      </c>
      <c r="X34" s="117">
        <f t="shared" si="2"/>
        <v>0</v>
      </c>
      <c r="Y34" s="116">
        <f t="shared" si="3"/>
        <v>0</v>
      </c>
      <c r="Z34" s="116">
        <f t="shared" si="4"/>
        <v>0</v>
      </c>
      <c r="AA34" s="116">
        <f t="shared" si="5"/>
        <v>2</v>
      </c>
      <c r="AB34" s="116">
        <f t="shared" si="6"/>
        <v>4</v>
      </c>
      <c r="AC34" s="116">
        <f t="shared" si="7"/>
        <v>1</v>
      </c>
      <c r="AD34" s="116" t="str">
        <f t="shared" si="8"/>
        <v>241</v>
      </c>
      <c r="AE34" s="116">
        <f t="shared" si="9"/>
        <v>1</v>
      </c>
      <c r="AF34" s="116">
        <f t="shared" si="10"/>
        <v>0</v>
      </c>
      <c r="AG34" s="116">
        <f t="shared" si="11"/>
        <v>0</v>
      </c>
      <c r="AH34" s="116" t="str">
        <f t="shared" si="15"/>
        <v>214</v>
      </c>
      <c r="AI34" s="116">
        <f t="shared" si="12"/>
        <v>1</v>
      </c>
      <c r="AJ34" s="116">
        <f t="shared" si="13"/>
        <v>0</v>
      </c>
      <c r="AK34" s="116">
        <f t="shared" si="14"/>
        <v>0</v>
      </c>
      <c r="AM34" s="116">
        <f t="shared" si="46"/>
        <v>2</v>
      </c>
      <c r="AN34" s="117" t="str">
        <f>INDEX(T,41,lang)</f>
        <v>Italia</v>
      </c>
      <c r="AO34" s="116">
        <f>COUNTIF($V$7:$W$42,"=" &amp; AN34 &amp; "_win")</f>
        <v>0</v>
      </c>
      <c r="AP34" s="116">
        <f>COUNTIF($V$7:$W$42,"=" &amp; AN34 &amp; "_draw")</f>
        <v>0</v>
      </c>
      <c r="AQ34" s="116">
        <f>COUNTIF($V$7:$W$42,"=" &amp; AN34 &amp; "_lose")</f>
        <v>0</v>
      </c>
      <c r="AR34" s="116">
        <f>SUMIF($E$10:$E$45,$AN34,$F$10:$F$45) + SUMIF($H$10:$H$45,$AN34,$G$10:$G$45)</f>
        <v>0</v>
      </c>
      <c r="AS34" s="116">
        <f>SUMIF($E$10:$E$45,$AN34,$G$10:$G$45) + SUMIF($H$10:$H$45,$AN34,$F$10:$F$45)</f>
        <v>0</v>
      </c>
      <c r="AT34" s="116">
        <f>AW34*10000</f>
        <v>0</v>
      </c>
      <c r="AU34" s="116">
        <f>AR34-AS34</f>
        <v>0</v>
      </c>
      <c r="AV34" s="116">
        <f>(AU34-AU37)/AU36</f>
        <v>0</v>
      </c>
      <c r="AW34" s="116">
        <f>AO34*3+AP34</f>
        <v>0</v>
      </c>
      <c r="AX34" s="116">
        <f>BD34/BD36*10+BE34/BE36+BH34/BH36*0.1+BF34/BF36*0.01</f>
        <v>0</v>
      </c>
      <c r="BA34" s="116">
        <f>VLOOKUP(AN34,db_fifarank,2,FALSE)/2000000</f>
        <v>1.71725E-2</v>
      </c>
      <c r="BB34" s="117">
        <f>10000000*AW34/AW36+100000*AX34/AX36+100*AV34+10*AR34/AR36+1*AX34/AX36+BA34</f>
        <v>1.71725E-2</v>
      </c>
      <c r="BC34" s="117" t="str">
        <f>IF(SUM(AO32:AQ35)&gt;0,M35,"3E")</f>
        <v>3E</v>
      </c>
      <c r="BD34" s="116">
        <f>SUMPRODUCT(($V$7:$V$42=AN34&amp;"_win")*($X$7:$X$42))+SUMPRODUCT(($W$7:$W$42=AN34&amp;"_win")*($X$7:$X$42))</f>
        <v>0</v>
      </c>
      <c r="BE34" s="121">
        <f>SUMPRODUCT(($V$7:$V$42=AN34&amp;"_draw")*($X$7:$X$42))+SUMPRODUCT(($W$7:$W$42=AN34&amp;"_draw")*($X$7:$X$42))</f>
        <v>0</v>
      </c>
      <c r="BF34" s="121">
        <f>SUMPRODUCT(($E$10:$E$45=AN34)*($X$7:$X$42)*($F$10:$F$45))+SUMPRODUCT(($H$10:$H$45=AN34)*($X$7:$X$42)*($G$10:$G$45))</f>
        <v>0</v>
      </c>
      <c r="BG34" s="121">
        <f>SUMPRODUCT(($E$10:$E$45=AN34)*($X$7:$X$42)*($G$10:$G$45))+SUMPRODUCT(($H$10:$H$45=AN34)*($X$7:$X$42)*($F$10:$F$45))</f>
        <v>0</v>
      </c>
      <c r="BH34" s="121">
        <f>BF34-BG34</f>
        <v>0</v>
      </c>
      <c r="BM34" s="121">
        <f>IFERROR(VLOOKUP("531",$AD$7:$AG$42,2,FALSE),0) + IFERROR(VLOOKUP("531",$AH$7:$AK$42,2,FALSE),0)</f>
        <v>1</v>
      </c>
      <c r="BN34" s="121">
        <f>IFERROR(VLOOKUP("532",$AD$7:$AG$42,2,FALSE),0) + IFERROR(VLOOKUP("532",$AH$7:$AK$42,2,FALSE),0)</f>
        <v>1</v>
      </c>
      <c r="BP34" s="121">
        <f>IFERROR(VLOOKUP("534",$AD$7:$AG$42,2,FALSE),0) + IFERROR(VLOOKUP("534",$AH$7:$AK$42,2,FALSE),0)</f>
        <v>1</v>
      </c>
      <c r="BQ34" s="122">
        <f>SUM(BM34:BP34)</f>
        <v>3</v>
      </c>
      <c r="BR34" s="121">
        <f>IFERROR(VLOOKUP("531",$AD$7:$AG$42,3,FALSE),0) + IFERROR(VLOOKUP("531",$AH$7:$AK$42,3,FALSE),0)</f>
        <v>0</v>
      </c>
      <c r="BS34" s="121">
        <f>IFERROR(VLOOKUP("532",$AD$7:$AG$42,3,FALSE),0) + IFERROR(VLOOKUP("532",$AH$7:$AK$42,3,FALSE),0)</f>
        <v>0</v>
      </c>
      <c r="BU34" s="121">
        <f>IFERROR(VLOOKUP("534",$AD$7:$AG$42,3,FALSE),0) + IFERROR(VLOOKUP("534",$AH$7:$AK$42,3,FALSE),0)</f>
        <v>0</v>
      </c>
      <c r="BV34" s="122">
        <f>SUM(BR34:BU34)</f>
        <v>0</v>
      </c>
      <c r="BW34" s="122">
        <f>RANK(BV34,BV32:BV35)</f>
        <v>1</v>
      </c>
      <c r="BX34" s="121">
        <f>IFERROR(VLOOKUP("531",$AD$7:$AG$42,4,FALSE),0) + IFERROR(VLOOKUP("531",$AH$7:$AK$42,4,FALSE),0)</f>
        <v>0</v>
      </c>
      <c r="BY34" s="121">
        <f>IFERROR(VLOOKUP("532",$AD$7:$AG$42,4,FALSE),0) + IFERROR(VLOOKUP("532",$AH$7:$AK$42,4,FALSE),0)</f>
        <v>0</v>
      </c>
      <c r="CA34" s="121">
        <f>IFERROR(VLOOKUP("534",$AD$7:$AG$42,4,FALSE),0) + IFERROR(VLOOKUP("534",$AH$7:$AK$42,4,FALSE),0)</f>
        <v>0</v>
      </c>
      <c r="CB34" s="122">
        <f>SUM(BX34:CA34)</f>
        <v>0</v>
      </c>
      <c r="CC34" s="121">
        <f>IF(BM36=BQ34,BM34,0)</f>
        <v>1</v>
      </c>
      <c r="CD34" s="121">
        <f>IF(BN36=BQ34,BN34,0)</f>
        <v>1</v>
      </c>
      <c r="CF34" s="121">
        <f>IF(BP36=BQ34,BP34,0)</f>
        <v>1</v>
      </c>
      <c r="CG34" s="122">
        <f>SUM(CC34:CF34)</f>
        <v>3</v>
      </c>
      <c r="CH34" s="121">
        <f>IF(BM36=BQ34,BR34,0)</f>
        <v>0</v>
      </c>
      <c r="CI34" s="121">
        <f>IF(BN36=BQ34,BS34,0)</f>
        <v>0</v>
      </c>
      <c r="CK34" s="121">
        <f>IF(BP36=BQ34,BU34,0)</f>
        <v>0</v>
      </c>
      <c r="CL34" s="122">
        <f>SUM(CH34:CK34)</f>
        <v>0</v>
      </c>
      <c r="CM34" s="122">
        <f>RANK(CL34,CL32:CL35)</f>
        <v>1</v>
      </c>
      <c r="CN34" s="121">
        <f>IF(BM36=BQ34,BX34,0)</f>
        <v>0</v>
      </c>
      <c r="CO34" s="121">
        <f>IF(BN36=BQ34,BY34,0)</f>
        <v>0</v>
      </c>
      <c r="CQ34" s="121">
        <f>IF(BP36=BQ34,CA34,0)</f>
        <v>0</v>
      </c>
      <c r="CR34" s="122">
        <f>SUM(CN34:CQ34)</f>
        <v>0</v>
      </c>
      <c r="CS34" s="122">
        <f t="shared" si="47"/>
        <v>30304</v>
      </c>
      <c r="CT34" s="122">
        <f>RANK(CS34,CS32:CS35)</f>
        <v>1</v>
      </c>
      <c r="CU34" s="121">
        <f>IF(CU36=CT34,BM34,0)</f>
        <v>1</v>
      </c>
      <c r="CV34" s="121">
        <f>IF(CV36=CT34,BN34,0)</f>
        <v>1</v>
      </c>
      <c r="CX34" s="121">
        <f>IF(CX36=CT34,BP34,0)</f>
        <v>1</v>
      </c>
      <c r="CY34" s="122">
        <f t="shared" si="48"/>
        <v>3</v>
      </c>
      <c r="CZ34" s="122">
        <f t="shared" si="49"/>
        <v>40304.000171724998</v>
      </c>
      <c r="DA34" s="122">
        <f>RANK(CZ34,CZ32:CZ35)</f>
        <v>2</v>
      </c>
      <c r="DD34" s="168">
        <v>40</v>
      </c>
      <c r="DE34" s="90" t="str">
        <f>BC8</f>
        <v>1A</v>
      </c>
      <c r="DF34" s="61"/>
      <c r="DG34" s="126"/>
      <c r="DH34" s="83"/>
      <c r="DI34" s="83"/>
      <c r="DJ34" s="83"/>
      <c r="DK34" s="83"/>
      <c r="DL34" s="83"/>
      <c r="DM34" s="83"/>
      <c r="DN34" s="84"/>
      <c r="DO34" s="83"/>
      <c r="DP34" s="83"/>
      <c r="DQ34" s="83"/>
      <c r="DR34" s="83"/>
      <c r="DS34" s="83"/>
      <c r="DT34" s="83"/>
      <c r="DU34" s="83"/>
    </row>
    <row r="35" spans="1:129" x14ac:dyDescent="0.3">
      <c r="A35" s="70">
        <v>26</v>
      </c>
      <c r="B35" s="71" t="str">
        <f t="shared" si="22"/>
        <v>Søn</v>
      </c>
      <c r="C35" s="72" t="str">
        <f t="shared" si="23"/>
        <v>Jun 19, 2016</v>
      </c>
      <c r="D35" s="73">
        <f t="shared" si="24"/>
        <v>0.875</v>
      </c>
      <c r="E35" s="74" t="str">
        <f>AN11</f>
        <v>Sveits</v>
      </c>
      <c r="F35" s="57"/>
      <c r="G35" s="58"/>
      <c r="H35" s="81" t="str">
        <f>AN8</f>
        <v>Frankrike</v>
      </c>
      <c r="I35" s="144" t="str">
        <f>INDEX(T,111,lang)</f>
        <v>Stade Pierre-Mauroy, Lille</v>
      </c>
      <c r="J35" s="156"/>
      <c r="K35" s="157"/>
      <c r="M35" s="23" t="str">
        <f>VLOOKUP(3,AM32:AW35,2,FALSE)</f>
        <v>Sverige</v>
      </c>
      <c r="N35" s="29">
        <f>O35+P35+Q35</f>
        <v>0</v>
      </c>
      <c r="O35" s="29">
        <f>VLOOKUP(3,AM32:AW35,3,FALSE)</f>
        <v>0</v>
      </c>
      <c r="P35" s="29">
        <f>VLOOKUP(3,AM32:AW35,4,FALSE)</f>
        <v>0</v>
      </c>
      <c r="Q35" s="29">
        <f>VLOOKUP(3,AM32:AW35,5,FALSE)</f>
        <v>0</v>
      </c>
      <c r="R35" s="29" t="str">
        <f>VLOOKUP(3,AM32:AW35,6,FALSE) &amp; " - " &amp; VLOOKUP(3,AM32:AW35,7,FALSE)</f>
        <v>0 - 0</v>
      </c>
      <c r="S35" s="30">
        <f>O35*3+P35</f>
        <v>0</v>
      </c>
      <c r="U35" s="116">
        <f>DATE(2016,6,21)+TIME(5,0,0)+gmt_delta</f>
        <v>42542.75</v>
      </c>
      <c r="V35" s="118" t="str">
        <f t="shared" si="0"/>
        <v/>
      </c>
      <c r="W35" s="118" t="str">
        <f t="shared" si="1"/>
        <v/>
      </c>
      <c r="X35" s="117">
        <f t="shared" si="2"/>
        <v>0</v>
      </c>
      <c r="Y35" s="116">
        <f t="shared" si="3"/>
        <v>0</v>
      </c>
      <c r="Z35" s="116">
        <f t="shared" si="4"/>
        <v>0</v>
      </c>
      <c r="AA35" s="116">
        <f t="shared" si="5"/>
        <v>3</v>
      </c>
      <c r="AB35" s="116">
        <f t="shared" si="6"/>
        <v>2</v>
      </c>
      <c r="AC35" s="116">
        <f t="shared" si="7"/>
        <v>3</v>
      </c>
      <c r="AD35" s="116" t="str">
        <f t="shared" si="8"/>
        <v>323</v>
      </c>
      <c r="AE35" s="116">
        <f t="shared" si="9"/>
        <v>1</v>
      </c>
      <c r="AF35" s="116">
        <f t="shared" si="10"/>
        <v>0</v>
      </c>
      <c r="AG35" s="116">
        <f t="shared" si="11"/>
        <v>0</v>
      </c>
      <c r="AH35" s="116" t="str">
        <f t="shared" si="15"/>
        <v>332</v>
      </c>
      <c r="AI35" s="116">
        <f t="shared" si="12"/>
        <v>1</v>
      </c>
      <c r="AJ35" s="116">
        <f t="shared" si="13"/>
        <v>0</v>
      </c>
      <c r="AK35" s="116">
        <f t="shared" si="14"/>
        <v>0</v>
      </c>
      <c r="AM35" s="116">
        <f t="shared" si="46"/>
        <v>3</v>
      </c>
      <c r="AN35" s="117" t="str">
        <f>INDEX(T,68,lang)</f>
        <v>Sverige</v>
      </c>
      <c r="AO35" s="116">
        <f>COUNTIF($V$7:$W$42,"=" &amp; AN35 &amp; "_win")</f>
        <v>0</v>
      </c>
      <c r="AP35" s="116">
        <f>COUNTIF($V$7:$W$42,"=" &amp; AN35 &amp; "_draw")</f>
        <v>0</v>
      </c>
      <c r="AQ35" s="116">
        <f>COUNTIF($V$7:$W$42,"=" &amp; AN35 &amp; "_lose")</f>
        <v>0</v>
      </c>
      <c r="AR35" s="116">
        <f>SUMIF($E$10:$E$45,$AN35,$F$10:$F$45) + SUMIF($H$10:$H$45,$AN35,$G$10:$G$45)</f>
        <v>0</v>
      </c>
      <c r="AS35" s="116">
        <f>SUMIF($E$10:$E$45,$AN35,$G$10:$G$45) + SUMIF($H$10:$H$45,$AN35,$F$10:$F$45)</f>
        <v>0</v>
      </c>
      <c r="AT35" s="116">
        <f>AW35*10000</f>
        <v>0</v>
      </c>
      <c r="AU35" s="116">
        <f>AR35-AS35</f>
        <v>0</v>
      </c>
      <c r="AV35" s="116">
        <f>(AU35-AU37)/AU36</f>
        <v>0</v>
      </c>
      <c r="AW35" s="116">
        <f>AO35*3+AP35</f>
        <v>0</v>
      </c>
      <c r="AX35" s="116">
        <f>BD35/BD36*10+BE35/BE36+BH35/BH36*0.1+BF35/BF36*0.01</f>
        <v>0</v>
      </c>
      <c r="BA35" s="116">
        <f>VLOOKUP(AN35,db_fifarank,2,FALSE)/2000000</f>
        <v>1.4514000000000001E-2</v>
      </c>
      <c r="BB35" s="117">
        <f>10000000*AW35/AW36+100000*AX35/AX36+100*AV35+10*AR35/AR36+1*AX35/AX36+BA35</f>
        <v>1.4514000000000001E-2</v>
      </c>
      <c r="BD35" s="116">
        <f>SUMPRODUCT(($V$7:$V$42=AN35&amp;"_win")*($X$7:$X$42))+SUMPRODUCT(($W$7:$W$42=AN35&amp;"_win")*($X$7:$X$42))</f>
        <v>0</v>
      </c>
      <c r="BE35" s="121">
        <f>SUMPRODUCT(($V$7:$V$42=AN35&amp;"_draw")*($X$7:$X$42))+SUMPRODUCT(($W$7:$W$42=AN35&amp;"_draw")*($X$7:$X$42))</f>
        <v>0</v>
      </c>
      <c r="BF35" s="121">
        <f>SUMPRODUCT(($E$10:$E$45=AN35)*($X$7:$X$42)*($F$10:$F$45))+SUMPRODUCT(($H$10:$H$45=AN35)*($X$7:$X$42)*($G$10:$G$45))</f>
        <v>0</v>
      </c>
      <c r="BG35" s="121">
        <f>SUMPRODUCT(($E$10:$E$45=AN35)*($X$7:$X$42)*($G$10:$G$45))+SUMPRODUCT(($H$10:$H$45=AN35)*($X$7:$X$42)*($F$10:$F$45))</f>
        <v>0</v>
      </c>
      <c r="BH35" s="121">
        <f>BF35-BG35</f>
        <v>0</v>
      </c>
      <c r="BM35" s="121">
        <f>IFERROR(VLOOKUP("541",$AD$7:$AG$42,2,FALSE),0) + IFERROR(VLOOKUP("541",$AH$7:$AK$42,2,FALSE),0)</f>
        <v>1</v>
      </c>
      <c r="BN35" s="121">
        <f>IFERROR(VLOOKUP("542",$AD$7:$AG$42,2,FALSE),0) + IFERROR(VLOOKUP("542",$AH$7:$AK$42,2,FALSE),0)</f>
        <v>1</v>
      </c>
      <c r="BO35" s="121">
        <f>IFERROR(VLOOKUP("543",$AD$7:$AG$42,2,FALSE),0) + IFERROR(VLOOKUP("543",$AH$7:$AK$42,2,FALSE),0)</f>
        <v>1</v>
      </c>
      <c r="BQ35" s="122">
        <f>SUM(BM35:BP35)</f>
        <v>3</v>
      </c>
      <c r="BR35" s="121">
        <f>IFERROR(VLOOKUP("541",$AD$7:$AG$42,3,FALSE),0) + IFERROR(VLOOKUP("541",$AH$7:$AK$42,3,FALSE),0)</f>
        <v>0</v>
      </c>
      <c r="BS35" s="121">
        <f>IFERROR(VLOOKUP("542",$AD$7:$AG$42,3,FALSE),0) + IFERROR(VLOOKUP("542",$AH$7:$AK$42,3,FALSE),0)</f>
        <v>0</v>
      </c>
      <c r="BT35" s="121">
        <f>IFERROR(VLOOKUP("543",$AD$7:$AG$42,3,FALSE),0) + IFERROR(VLOOKUP("543",$AH$7:$AK$42,3,FALSE),0)</f>
        <v>0</v>
      </c>
      <c r="BV35" s="122">
        <f>SUM(BR35:BU35)</f>
        <v>0</v>
      </c>
      <c r="BW35" s="122">
        <f>RANK(BV35,BV32:BV35)</f>
        <v>1</v>
      </c>
      <c r="BX35" s="121">
        <f>IFERROR(VLOOKUP("541",$AD$7:$AG$42,4,FALSE),0) + IFERROR(VLOOKUP("541",$AH$7:$AK$42,4,FALSE),0)</f>
        <v>0</v>
      </c>
      <c r="BY35" s="121">
        <f>IFERROR(VLOOKUP("542",$AD$7:$AG$42,4,FALSE),0) + IFERROR(VLOOKUP("542",$AH$7:$AK$42,4,FALSE),0)</f>
        <v>0</v>
      </c>
      <c r="BZ35" s="121">
        <f>IFERROR(VLOOKUP("543",$AD$7:$AG$42,4,FALSE),0) + IFERROR(VLOOKUP("543",$AH$7:$AK$42,4,FALSE),0)</f>
        <v>0</v>
      </c>
      <c r="CB35" s="122">
        <f>SUM(BX35:CA35)</f>
        <v>0</v>
      </c>
      <c r="CC35" s="121">
        <f>IF(BM36=BQ35,BM35,0)</f>
        <v>1</v>
      </c>
      <c r="CD35" s="121">
        <f>IF(BN36=BQ35,BN35,0)</f>
        <v>1</v>
      </c>
      <c r="CE35" s="121">
        <f>IF(BO36=BQ35,BO35,0)</f>
        <v>1</v>
      </c>
      <c r="CG35" s="122">
        <f>SUM(CC35:CF35)</f>
        <v>3</v>
      </c>
      <c r="CH35" s="121">
        <f>IF(BM36=BQ35,BR35,0)</f>
        <v>0</v>
      </c>
      <c r="CI35" s="121">
        <f>IF(BN36=BQ35,BS35,0)</f>
        <v>0</v>
      </c>
      <c r="CJ35" s="121">
        <f>IF(BO36=BQ35,BT35,0)</f>
        <v>0</v>
      </c>
      <c r="CL35" s="122">
        <f>SUM(CH35:CK35)</f>
        <v>0</v>
      </c>
      <c r="CM35" s="122">
        <f>RANK(CL35,CL32:CL35)</f>
        <v>1</v>
      </c>
      <c r="CN35" s="121">
        <f>IF(BM36=BQ35,BX35,0)</f>
        <v>0</v>
      </c>
      <c r="CO35" s="121">
        <f>IF(BN36=BQ35,BY35,0)</f>
        <v>0</v>
      </c>
      <c r="CP35" s="121">
        <f>IF(BO36=BQ35,BZ35,0)</f>
        <v>0</v>
      </c>
      <c r="CR35" s="122">
        <f>SUM(CN35:CQ35)</f>
        <v>0</v>
      </c>
      <c r="CS35" s="122">
        <f t="shared" si="47"/>
        <v>30304</v>
      </c>
      <c r="CT35" s="122">
        <f>RANK(CS35,CS32:CS35)</f>
        <v>1</v>
      </c>
      <c r="CU35" s="121">
        <f>IF(CU36=CT35,BM35,0)</f>
        <v>1</v>
      </c>
      <c r="CV35" s="121">
        <f>IF(CV36=CT35,BN35,0)</f>
        <v>1</v>
      </c>
      <c r="CW35" s="121">
        <f>IF(CW36=CT35,BO35,0)</f>
        <v>1</v>
      </c>
      <c r="CY35" s="122">
        <f t="shared" si="48"/>
        <v>3</v>
      </c>
      <c r="CZ35" s="122">
        <f t="shared" si="49"/>
        <v>40304.000145140002</v>
      </c>
      <c r="DA35" s="122">
        <f>RANK(CZ35,CZ32:CZ35)</f>
        <v>3</v>
      </c>
      <c r="DD35" s="169"/>
      <c r="DE35" s="91" t="str">
        <f>VLOOKUP(lookup_3rd, tbl_lookup_3rd,2,FALSE)</f>
        <v>3E</v>
      </c>
      <c r="DF35" s="59"/>
      <c r="DG35" s="127"/>
      <c r="DH35" s="86"/>
      <c r="DI35" s="83"/>
      <c r="DJ35" s="83" t="str">
        <f>INDEX(T,24+MONTH(U60),lang) &amp; " " &amp; DAY(U60) &amp; ", " &amp; YEAR(U60) &amp; "   " &amp; TEXT(TIME(HOUR(U60),MINUTE(U60),0),"hh:mm")</f>
        <v>Jul 3, 2016   hh:01</v>
      </c>
      <c r="DK35" s="83"/>
      <c r="DL35" s="83"/>
      <c r="DM35" s="93"/>
      <c r="DN35" s="84"/>
      <c r="DO35" s="83"/>
      <c r="DP35" s="83"/>
      <c r="DQ35" s="83"/>
      <c r="DR35" s="83"/>
      <c r="DS35" s="83"/>
      <c r="DT35" s="83"/>
      <c r="DU35" s="83"/>
    </row>
    <row r="36" spans="1:129" x14ac:dyDescent="0.3">
      <c r="A36" s="70">
        <v>27</v>
      </c>
      <c r="B36" s="71" t="str">
        <f t="shared" si="22"/>
        <v>Man</v>
      </c>
      <c r="C36" s="72" t="str">
        <f t="shared" si="23"/>
        <v>Jun 20, 2016</v>
      </c>
      <c r="D36" s="73">
        <f t="shared" si="24"/>
        <v>0.875</v>
      </c>
      <c r="E36" s="74" t="str">
        <f>AN16</f>
        <v>Russland</v>
      </c>
      <c r="F36" s="57"/>
      <c r="G36" s="58"/>
      <c r="H36" s="81" t="str">
        <f>AN15</f>
        <v>Wales</v>
      </c>
      <c r="I36" s="144" t="str">
        <f>INDEX(T,108,lang)</f>
        <v>Stadium Municipal, Toulouse</v>
      </c>
      <c r="J36" s="145"/>
      <c r="K36" s="146"/>
      <c r="M36" s="24" t="str">
        <f>VLOOKUP(4,AM32:AW35,2,FALSE)</f>
        <v>Republikken Irland</v>
      </c>
      <c r="N36" s="31">
        <f>O36+P36+Q36</f>
        <v>0</v>
      </c>
      <c r="O36" s="31">
        <f>VLOOKUP(4,AM32:AW35,3,FALSE)</f>
        <v>0</v>
      </c>
      <c r="P36" s="31">
        <f>VLOOKUP(4,AM32:AW35,4,FALSE)</f>
        <v>0</v>
      </c>
      <c r="Q36" s="31">
        <f>VLOOKUP(4,AM32:AW35,5,FALSE)</f>
        <v>0</v>
      </c>
      <c r="R36" s="31" t="str">
        <f>VLOOKUP(4,AM32:AW35,6,FALSE) &amp; " - " &amp; VLOOKUP(4,AM32:AW35,7,FALSE)</f>
        <v>0 - 0</v>
      </c>
      <c r="S36" s="32">
        <f>O36*3+P36</f>
        <v>0</v>
      </c>
      <c r="U36" s="116">
        <f>DATE(2016,6,21)+TIME(5,0,0)+gmt_delta</f>
        <v>42542.75</v>
      </c>
      <c r="V36" s="118" t="str">
        <f t="shared" si="0"/>
        <v/>
      </c>
      <c r="W36" s="118" t="str">
        <f t="shared" si="1"/>
        <v/>
      </c>
      <c r="X36" s="117">
        <f t="shared" si="2"/>
        <v>0</v>
      </c>
      <c r="Y36" s="116">
        <f t="shared" si="3"/>
        <v>0</v>
      </c>
      <c r="Z36" s="116">
        <f t="shared" si="4"/>
        <v>0</v>
      </c>
      <c r="AA36" s="116">
        <f t="shared" si="5"/>
        <v>3</v>
      </c>
      <c r="AB36" s="116">
        <f t="shared" si="6"/>
        <v>4</v>
      </c>
      <c r="AC36" s="116">
        <f t="shared" si="7"/>
        <v>1</v>
      </c>
      <c r="AD36" s="116" t="str">
        <f t="shared" si="8"/>
        <v>341</v>
      </c>
      <c r="AE36" s="116">
        <f t="shared" si="9"/>
        <v>1</v>
      </c>
      <c r="AF36" s="116">
        <f t="shared" si="10"/>
        <v>0</v>
      </c>
      <c r="AG36" s="116">
        <f t="shared" si="11"/>
        <v>0</v>
      </c>
      <c r="AH36" s="116" t="str">
        <f t="shared" si="15"/>
        <v>314</v>
      </c>
      <c r="AI36" s="116">
        <f t="shared" si="12"/>
        <v>1</v>
      </c>
      <c r="AJ36" s="116">
        <f t="shared" si="13"/>
        <v>0</v>
      </c>
      <c r="AK36" s="116">
        <f t="shared" si="14"/>
        <v>0</v>
      </c>
      <c r="AO36" s="116">
        <f t="shared" ref="AO36:AX36" si="50">MAX(AO32:AO35)-MIN(AO32:AO35)+1</f>
        <v>1</v>
      </c>
      <c r="AP36" s="116">
        <f t="shared" si="50"/>
        <v>1</v>
      </c>
      <c r="AQ36" s="116">
        <f t="shared" si="50"/>
        <v>1</v>
      </c>
      <c r="AR36" s="116">
        <f t="shared" si="50"/>
        <v>1</v>
      </c>
      <c r="AS36" s="116">
        <f t="shared" si="50"/>
        <v>1</v>
      </c>
      <c r="AT36" s="116">
        <f>MAX(AT32:AT35)-AT37+1</f>
        <v>1</v>
      </c>
      <c r="AU36" s="116">
        <f>MAX(AU32:AU35)-AU37+1</f>
        <v>1</v>
      </c>
      <c r="AW36" s="116">
        <f t="shared" si="50"/>
        <v>1</v>
      </c>
      <c r="AX36" s="116">
        <f t="shared" si="50"/>
        <v>1</v>
      </c>
      <c r="BD36" s="116">
        <f>MAX(BD32:BD35)-MIN(BD32:BD35)+1</f>
        <v>1</v>
      </c>
      <c r="BE36" s="116">
        <f>MAX(BE32:BE35)-MIN(BE32:BE35)+1</f>
        <v>1</v>
      </c>
      <c r="BF36" s="116">
        <f>MAX(BF32:BF35)-MIN(BF32:BF35)+1</f>
        <v>1</v>
      </c>
      <c r="BG36" s="116">
        <f>MAX(BG32:BG35)-MIN(BG32:BG35)+1</f>
        <v>1</v>
      </c>
      <c r="BH36" s="116">
        <f>MAX(BH32:BH35)-MIN(BH32:BH35)+1</f>
        <v>1</v>
      </c>
      <c r="BM36" s="116">
        <f>BQ32</f>
        <v>3</v>
      </c>
      <c r="BN36" s="116">
        <f>BQ33</f>
        <v>3</v>
      </c>
      <c r="BO36" s="116">
        <f>BQ34</f>
        <v>3</v>
      </c>
      <c r="BP36" s="116">
        <f>BQ35</f>
        <v>3</v>
      </c>
      <c r="BR36" s="116"/>
      <c r="BS36" s="116"/>
      <c r="BT36" s="116"/>
      <c r="BU36" s="116"/>
      <c r="BX36" s="116"/>
      <c r="BY36" s="116"/>
      <c r="BZ36" s="116"/>
      <c r="CA36" s="116"/>
      <c r="CC36" s="116"/>
      <c r="CD36" s="116"/>
      <c r="CE36" s="116"/>
      <c r="CF36" s="116"/>
      <c r="CH36" s="116"/>
      <c r="CI36" s="116"/>
      <c r="CJ36" s="116"/>
      <c r="CK36" s="116"/>
      <c r="CN36" s="116"/>
      <c r="CO36" s="116"/>
      <c r="CP36" s="116"/>
      <c r="CQ36" s="116"/>
      <c r="CU36" s="116">
        <f>CT32</f>
        <v>1</v>
      </c>
      <c r="CV36" s="116">
        <f>CT33</f>
        <v>1</v>
      </c>
      <c r="CW36" s="116">
        <f>CT34</f>
        <v>1</v>
      </c>
      <c r="CX36" s="116">
        <f>CT35</f>
        <v>1</v>
      </c>
      <c r="CY36" s="122">
        <f t="shared" si="48"/>
        <v>4</v>
      </c>
      <c r="DD36" s="120"/>
      <c r="DE36" s="83"/>
      <c r="DF36" s="83"/>
      <c r="DG36" s="83"/>
      <c r="DH36" s="84"/>
      <c r="DI36" s="83"/>
      <c r="DJ36" s="170">
        <v>48</v>
      </c>
      <c r="DK36" s="90" t="str">
        <f>W52</f>
        <v>V40</v>
      </c>
      <c r="DL36" s="61"/>
      <c r="DM36" s="126"/>
      <c r="DN36" s="87"/>
      <c r="DO36" s="83"/>
      <c r="DP36" s="83"/>
      <c r="DQ36" s="83"/>
      <c r="DR36" s="83"/>
      <c r="DS36" s="83"/>
      <c r="DT36" s="83"/>
      <c r="DU36" s="83"/>
    </row>
    <row r="37" spans="1:129" x14ac:dyDescent="0.3">
      <c r="A37" s="70">
        <v>28</v>
      </c>
      <c r="B37" s="71" t="str">
        <f t="shared" si="22"/>
        <v>Man</v>
      </c>
      <c r="C37" s="72" t="str">
        <f t="shared" si="23"/>
        <v>Jun 20, 2016</v>
      </c>
      <c r="D37" s="73">
        <f t="shared" si="24"/>
        <v>0.875</v>
      </c>
      <c r="E37" s="74" t="str">
        <f>AN17</f>
        <v>Slovakia</v>
      </c>
      <c r="F37" s="57"/>
      <c r="G37" s="58"/>
      <c r="H37" s="81" t="str">
        <f>AN14</f>
        <v>England</v>
      </c>
      <c r="I37" s="144" t="str">
        <f>INDEX(T,112,lang)</f>
        <v>Stade Geoffroy-Guichard, Saint-Étienne</v>
      </c>
      <c r="J37" s="145"/>
      <c r="K37" s="146"/>
      <c r="U37" s="116">
        <f>DATE(2016,6,21)+TIME(8,0,0)+gmt_delta</f>
        <v>42542.875</v>
      </c>
      <c r="V37" s="118" t="str">
        <f t="shared" si="0"/>
        <v/>
      </c>
      <c r="W37" s="118" t="str">
        <f t="shared" si="1"/>
        <v/>
      </c>
      <c r="X37" s="117">
        <f t="shared" si="2"/>
        <v>0</v>
      </c>
      <c r="Y37" s="116">
        <f t="shared" si="3"/>
        <v>0</v>
      </c>
      <c r="Z37" s="116">
        <f t="shared" si="4"/>
        <v>0</v>
      </c>
      <c r="AA37" s="116">
        <f t="shared" si="5"/>
        <v>4</v>
      </c>
      <c r="AB37" s="116">
        <f t="shared" si="6"/>
        <v>4</v>
      </c>
      <c r="AC37" s="116">
        <f t="shared" si="7"/>
        <v>3</v>
      </c>
      <c r="AD37" s="116" t="str">
        <f t="shared" si="8"/>
        <v>443</v>
      </c>
      <c r="AE37" s="116">
        <f t="shared" si="9"/>
        <v>1</v>
      </c>
      <c r="AF37" s="116">
        <f t="shared" si="10"/>
        <v>0</v>
      </c>
      <c r="AG37" s="116">
        <f t="shared" si="11"/>
        <v>0</v>
      </c>
      <c r="AH37" s="116" t="str">
        <f t="shared" si="15"/>
        <v>434</v>
      </c>
      <c r="AI37" s="116">
        <f t="shared" si="12"/>
        <v>1</v>
      </c>
      <c r="AJ37" s="116">
        <f t="shared" si="13"/>
        <v>0</v>
      </c>
      <c r="AK37" s="116">
        <f t="shared" si="14"/>
        <v>0</v>
      </c>
      <c r="AT37" s="116">
        <f>MIN(AT32:AT35)</f>
        <v>0</v>
      </c>
      <c r="AU37" s="116">
        <f>MIN(AU32:AU35)</f>
        <v>0</v>
      </c>
      <c r="DD37" s="120" t="str">
        <f>INDEX(T,24+MONTH(U53),lang) &amp; " " &amp; DAY(U53) &amp; ", " &amp; YEAR(U53) &amp; "   " &amp; TEXT(TIME(HOUR(U53),MINUTE(U53),0),"hh:mm")</f>
        <v>Jun 27, 2016   hh:01</v>
      </c>
      <c r="DE37" s="83"/>
      <c r="DF37" s="83"/>
      <c r="DG37" s="93"/>
      <c r="DH37" s="84"/>
      <c r="DI37" s="85"/>
      <c r="DJ37" s="171"/>
      <c r="DK37" s="91" t="str">
        <f>W53</f>
        <v>V44</v>
      </c>
      <c r="DL37" s="59"/>
      <c r="DM37" s="127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</row>
    <row r="38" spans="1:129" x14ac:dyDescent="0.3">
      <c r="A38" s="70">
        <v>29</v>
      </c>
      <c r="B38" s="71" t="str">
        <f t="shared" si="22"/>
        <v>Tirs</v>
      </c>
      <c r="C38" s="72" t="str">
        <f t="shared" si="23"/>
        <v>Jun 21, 2016</v>
      </c>
      <c r="D38" s="73">
        <f t="shared" si="24"/>
        <v>0.75</v>
      </c>
      <c r="E38" s="74" t="str">
        <f>AN21</f>
        <v>Ukraina</v>
      </c>
      <c r="F38" s="57"/>
      <c r="G38" s="58"/>
      <c r="H38" s="81" t="str">
        <f>AN22</f>
        <v>Polen</v>
      </c>
      <c r="I38" s="144" t="str">
        <f>INDEX(T,106,lang)</f>
        <v>Stade Vélodrome, Marseille</v>
      </c>
      <c r="J38" s="145"/>
      <c r="K38" s="146"/>
      <c r="M38" s="55" t="str">
        <f>INDEX(T,9,lang) &amp; " " &amp; "F"</f>
        <v>Gruppe F</v>
      </c>
      <c r="N38" s="56" t="str">
        <f>INDEX(T,10,lang)</f>
        <v>S</v>
      </c>
      <c r="O38" s="56" t="str">
        <f>INDEX(T,11,lang)</f>
        <v>V</v>
      </c>
      <c r="P38" s="56" t="str">
        <f>INDEX(T,12,lang)</f>
        <v>T</v>
      </c>
      <c r="Q38" s="56" t="str">
        <f>INDEX(T,13,lang)</f>
        <v>U</v>
      </c>
      <c r="R38" s="56" t="str">
        <f>INDEX(T,14,lang)</f>
        <v>Mål</v>
      </c>
      <c r="S38" s="56" t="str">
        <f>INDEX(T,15,lang)</f>
        <v>P</v>
      </c>
      <c r="U38" s="116">
        <f>DATE(2016,6,21)+TIME(8,0,0)+gmt_delta</f>
        <v>42542.875</v>
      </c>
      <c r="V38" s="118" t="str">
        <f t="shared" si="0"/>
        <v/>
      </c>
      <c r="W38" s="118" t="str">
        <f t="shared" si="1"/>
        <v/>
      </c>
      <c r="X38" s="117">
        <f t="shared" si="2"/>
        <v>0</v>
      </c>
      <c r="Y38" s="116">
        <f t="shared" si="3"/>
        <v>0</v>
      </c>
      <c r="Z38" s="116">
        <f t="shared" si="4"/>
        <v>0</v>
      </c>
      <c r="AA38" s="116">
        <f t="shared" si="5"/>
        <v>4</v>
      </c>
      <c r="AB38" s="116">
        <f t="shared" si="6"/>
        <v>2</v>
      </c>
      <c r="AC38" s="116">
        <f t="shared" si="7"/>
        <v>1</v>
      </c>
      <c r="AD38" s="116" t="str">
        <f t="shared" si="8"/>
        <v>421</v>
      </c>
      <c r="AE38" s="116">
        <f t="shared" si="9"/>
        <v>1</v>
      </c>
      <c r="AF38" s="116">
        <f t="shared" si="10"/>
        <v>0</v>
      </c>
      <c r="AG38" s="116">
        <f t="shared" si="11"/>
        <v>0</v>
      </c>
      <c r="AH38" s="116" t="str">
        <f t="shared" si="15"/>
        <v>412</v>
      </c>
      <c r="AI38" s="116">
        <f t="shared" si="12"/>
        <v>1</v>
      </c>
      <c r="AJ38" s="116">
        <f t="shared" si="13"/>
        <v>0</v>
      </c>
      <c r="AK38" s="116">
        <f t="shared" si="14"/>
        <v>0</v>
      </c>
      <c r="AM38" s="116">
        <f>DA38</f>
        <v>1</v>
      </c>
      <c r="AN38" s="117" t="str">
        <f>INDEX(T,42,lang)</f>
        <v>Portugal</v>
      </c>
      <c r="AO38" s="116">
        <f>COUNTIF($V$7:$W$42,"=" &amp; AN38 &amp; "_win")</f>
        <v>0</v>
      </c>
      <c r="AP38" s="116">
        <f>COUNTIF($V$7:$W$42,"=" &amp; AN38 &amp; "_draw")</f>
        <v>0</v>
      </c>
      <c r="AQ38" s="116">
        <f>COUNTIF($V$7:$W$42,"=" &amp; AN38 &amp; "_lose")</f>
        <v>0</v>
      </c>
      <c r="AR38" s="116">
        <f>SUMIF($E$10:$E$45,$AN38,$F$10:$F$45) + SUMIF($H$10:$H$45,$AN38,$G$10:$G$45)</f>
        <v>0</v>
      </c>
      <c r="AS38" s="116">
        <f>SUMIF($E$10:$E$45,$AN38,$G$10:$G$45) + SUMIF($H$10:$H$45,$AN38,$F$10:$F$45)</f>
        <v>0</v>
      </c>
      <c r="AT38" s="116">
        <f>AW38*10000</f>
        <v>0</v>
      </c>
      <c r="AU38" s="116">
        <f>AR38-AS38</f>
        <v>0</v>
      </c>
      <c r="AV38" s="116">
        <f>(AU38-AU43)/AU42</f>
        <v>0</v>
      </c>
      <c r="AW38" s="116">
        <f>AO38*3+AP38</f>
        <v>0</v>
      </c>
      <c r="AX38" s="116">
        <f>BD38/BD42*10+BE38/BE42+BH38/BH42*0.1+BF38/BF42*0.01</f>
        <v>0</v>
      </c>
      <c r="BA38" s="116">
        <f>VLOOKUP(AN38,db_fifarank,2,FALSE)/2000000</f>
        <v>1.7569000000000001E-2</v>
      </c>
      <c r="BB38" s="117">
        <f>10000000*AW38/AW42+100000*AX38/AX42+100*AV38+10*AR38/AR42+1*AX38/AX42+BA38</f>
        <v>1.7569000000000001E-2</v>
      </c>
      <c r="BC38" s="117" t="str">
        <f>IF(SUM(AO38:AQ41)=12,M39,INDEX(T,80,lang))</f>
        <v>1F</v>
      </c>
      <c r="BD38" s="116">
        <f>SUMPRODUCT(($V$7:$V$42=AN38&amp;"_win")*($X$7:$X$42))+SUMPRODUCT(($W$7:$W$42=AN38&amp;"_win")*($X$7:$X$42))</f>
        <v>0</v>
      </c>
      <c r="BE38" s="121">
        <f>SUMPRODUCT(($V$7:$V$42=AN38&amp;"_draw")*($X$7:$X$42))+SUMPRODUCT(($W$7:$W$42=AN38&amp;"_draw")*($X$7:$X$42))</f>
        <v>0</v>
      </c>
      <c r="BF38" s="121">
        <f>SUMPRODUCT(($E$10:$E$45=AN38)*($X$7:$X$42)*($F$10:$F$45))+SUMPRODUCT(($H$10:$H$45=AN38)*($X$7:$X$42)*($G$10:$G$45))</f>
        <v>0</v>
      </c>
      <c r="BG38" s="121">
        <f>SUMPRODUCT(($E$10:$E$45=AN38)*($X$7:$X$42)*($G$10:$G$45))+SUMPRODUCT(($H$10:$H$45=AN38)*($X$7:$X$42)*($F$10:$F$45))</f>
        <v>0</v>
      </c>
      <c r="BH38" s="121">
        <f>BF38-BG38</f>
        <v>0</v>
      </c>
      <c r="BN38" s="121">
        <f>IFERROR(VLOOKUP("612",$AD$7:$AG$42,2,FALSE),0) + IFERROR(VLOOKUP("612",$AH$7:$AK$42,2,FALSE),0)</f>
        <v>1</v>
      </c>
      <c r="BO38" s="121">
        <f>IFERROR(VLOOKUP("613",$AD$7:$AG$42,2,FALSE),0) + IFERROR(VLOOKUP("613",$AH$7:$AK$42,2,FALSE),0)</f>
        <v>1</v>
      </c>
      <c r="BP38" s="121">
        <f>IFERROR(VLOOKUP("614",$AD$7:$AG$42,2,FALSE),0) + IFERROR(VLOOKUP("614",$AH$7:$AK$42,2,FALSE),0)</f>
        <v>1</v>
      </c>
      <c r="BQ38" s="122">
        <f>SUM(BM38:BP38)</f>
        <v>3</v>
      </c>
      <c r="BS38" s="121">
        <f>IFERROR(VLOOKUP("612",$AD$7:$AG$42,3,FALSE),0) + IFERROR(VLOOKUP("612",$AH$7:$AK$42,3,FALSE),0)</f>
        <v>0</v>
      </c>
      <c r="BT38" s="121">
        <f>IFERROR(VLOOKUP("613",$AD$7:$AG$42,3,FALSE),0) + IFERROR(VLOOKUP("613",$AH$7:$AK$42,3,FALSE),0)</f>
        <v>0</v>
      </c>
      <c r="BU38" s="121">
        <f>IFERROR(VLOOKUP("614",$AD$7:$AG$42,3,FALSE),0) + IFERROR(VLOOKUP("614",$AH$7:$AK$42,3,FALSE),0)</f>
        <v>0</v>
      </c>
      <c r="BV38" s="122">
        <f>SUM(BR38:BU38)</f>
        <v>0</v>
      </c>
      <c r="BW38" s="122">
        <f>RANK(BV38,BV38:BV41)</f>
        <v>1</v>
      </c>
      <c r="BY38" s="121">
        <f>IFERROR(VLOOKUP("612",$AD$7:$AG$42,4,FALSE),0) + IFERROR(VLOOKUP("612",$AH$7:$AK$42,4,FALSE),0)</f>
        <v>0</v>
      </c>
      <c r="BZ38" s="121">
        <f>IFERROR(VLOOKUP("613",$AD$7:$AG$42,4,FALSE),0) + IFERROR(VLOOKUP("613",$AH$7:$AK$42,4,FALSE),0)</f>
        <v>0</v>
      </c>
      <c r="CA38" s="121">
        <f>IFERROR(VLOOKUP("614",$AD$7:$AG$42,4,FALSE),0) + IFERROR(VLOOKUP("614",$AH$7:$AK$42,4,FALSE),0)</f>
        <v>0</v>
      </c>
      <c r="CB38" s="122">
        <f>SUM(BX38:CA38)</f>
        <v>0</v>
      </c>
      <c r="CD38" s="121">
        <f>IF(BN42=BQ38,BN38,0)</f>
        <v>1</v>
      </c>
      <c r="CE38" s="121">
        <f>IF(BO42=BQ38,BO38,0)</f>
        <v>1</v>
      </c>
      <c r="CF38" s="121">
        <f>IF(BP42=BQ38,BP38,0)</f>
        <v>1</v>
      </c>
      <c r="CG38" s="122">
        <f>SUM(CC38:CF38)</f>
        <v>3</v>
      </c>
      <c r="CI38" s="121">
        <f>IF(BN42=BQ38,BS38,0)</f>
        <v>0</v>
      </c>
      <c r="CJ38" s="121">
        <f>IF(BO42=BQ38,BT38,0)</f>
        <v>0</v>
      </c>
      <c r="CK38" s="121">
        <f>IF(BP42=BQ38,BU38,0)</f>
        <v>0</v>
      </c>
      <c r="CL38" s="122">
        <f>SUM(CH38:CK38)</f>
        <v>0</v>
      </c>
      <c r="CM38" s="122">
        <f>RANK(CL38,CL38:CL41)</f>
        <v>1</v>
      </c>
      <c r="CO38" s="121">
        <f>IF(BN42=BQ38,BY38,0)</f>
        <v>0</v>
      </c>
      <c r="CP38" s="121">
        <f>IF(BO42=BQ38,BZ38,0)</f>
        <v>0</v>
      </c>
      <c r="CQ38" s="121">
        <f>IF(BP42=BQ38,CA38,0)</f>
        <v>0</v>
      </c>
      <c r="CR38" s="122">
        <f>SUM(CN38:CQ38)</f>
        <v>0</v>
      </c>
      <c r="CS38" s="122">
        <f>BQ38*10000+CG38*100+(5-CM38)+CR38/10</f>
        <v>30304</v>
      </c>
      <c r="CT38" s="122">
        <f>RANK(CS38,CS38:CS41)</f>
        <v>1</v>
      </c>
      <c r="CV38" s="121">
        <f>IF(CV42=CT38,BN38,0)</f>
        <v>1</v>
      </c>
      <c r="CW38" s="121">
        <f>IF(CW42=CT38,BO38,0)</f>
        <v>1</v>
      </c>
      <c r="CX38" s="121">
        <f>IF(CX42=CT38,BP38,0)</f>
        <v>1</v>
      </c>
      <c r="CY38" s="122">
        <f>SUM(CU38:CX38)</f>
        <v>3</v>
      </c>
      <c r="CZ38" s="122">
        <f>(5-CT38)*10000+CY38*100+(5-BW38)+CB38/10+BA38/100</f>
        <v>40304.000175690002</v>
      </c>
      <c r="DA38" s="122">
        <f>RANK(CZ38,CZ38:CZ41)</f>
        <v>1</v>
      </c>
      <c r="DD38" s="168">
        <v>44</v>
      </c>
      <c r="DE38" s="90" t="str">
        <f>BC15</f>
        <v>2B</v>
      </c>
      <c r="DF38" s="61"/>
      <c r="DG38" s="126"/>
      <c r="DH38" s="87"/>
      <c r="DI38" s="83"/>
      <c r="DN38" s="83"/>
      <c r="DO38" s="83"/>
      <c r="DP38" s="83"/>
      <c r="DQ38" s="83"/>
      <c r="DR38" s="83"/>
      <c r="DS38" s="83"/>
      <c r="DT38" s="83"/>
      <c r="DU38" s="83"/>
      <c r="DV38" s="83"/>
      <c r="DW38" s="83"/>
      <c r="DX38" s="83"/>
      <c r="DY38" s="83"/>
    </row>
    <row r="39" spans="1:129" x14ac:dyDescent="0.3">
      <c r="A39" s="70">
        <v>30</v>
      </c>
      <c r="B39" s="71" t="str">
        <f t="shared" si="22"/>
        <v>Tirs</v>
      </c>
      <c r="C39" s="72" t="str">
        <f t="shared" si="23"/>
        <v>Jun 21, 2016</v>
      </c>
      <c r="D39" s="73">
        <f t="shared" si="24"/>
        <v>0.75</v>
      </c>
      <c r="E39" s="74" t="str">
        <f>AN23</f>
        <v>Nord-Irland</v>
      </c>
      <c r="F39" s="57"/>
      <c r="G39" s="58"/>
      <c r="H39" s="81" t="str">
        <f>AN20</f>
        <v>Tyskland</v>
      </c>
      <c r="I39" s="144" t="str">
        <f>INDEX(T,107,lang)</f>
        <v>Parc des Princes, Paris</v>
      </c>
      <c r="J39" s="145"/>
      <c r="K39" s="146"/>
      <c r="M39" s="22" t="str">
        <f>VLOOKUP(1,AM38:AW41,2,FALSE)</f>
        <v>Portugal</v>
      </c>
      <c r="N39" s="27">
        <f>O39+P39+Q39</f>
        <v>0</v>
      </c>
      <c r="O39" s="27">
        <f>VLOOKUP(1,AM38:AW41,3,FALSE)</f>
        <v>0</v>
      </c>
      <c r="P39" s="27">
        <f>VLOOKUP(1,AM38:AW41,4,FALSE)</f>
        <v>0</v>
      </c>
      <c r="Q39" s="27">
        <f>VLOOKUP(1,AM38:AW41,5,FALSE)</f>
        <v>0</v>
      </c>
      <c r="R39" s="27" t="str">
        <f>VLOOKUP(1,AM38:AW41,6,FALSE) &amp; " - " &amp; VLOOKUP(1,AM38:AW41,7,FALSE)</f>
        <v>0 - 0</v>
      </c>
      <c r="S39" s="28">
        <f>O39*3+P39</f>
        <v>0</v>
      </c>
      <c r="U39" s="116">
        <f>DATE(2016,6,22)+TIME(5,0,0)+gmt_delta</f>
        <v>42543.75</v>
      </c>
      <c r="V39" s="118" t="str">
        <f t="shared" si="0"/>
        <v/>
      </c>
      <c r="W39" s="118" t="str">
        <f t="shared" si="1"/>
        <v/>
      </c>
      <c r="X39" s="117">
        <f t="shared" si="2"/>
        <v>0</v>
      </c>
      <c r="Y39" s="116">
        <f t="shared" si="3"/>
        <v>0</v>
      </c>
      <c r="Z39" s="116">
        <f t="shared" si="4"/>
        <v>0</v>
      </c>
      <c r="AA39" s="116">
        <f t="shared" si="5"/>
        <v>6</v>
      </c>
      <c r="AB39" s="116">
        <f t="shared" si="6"/>
        <v>2</v>
      </c>
      <c r="AC39" s="116">
        <f t="shared" si="7"/>
        <v>3</v>
      </c>
      <c r="AD39" s="116" t="str">
        <f t="shared" si="8"/>
        <v>623</v>
      </c>
      <c r="AE39" s="116">
        <f t="shared" si="9"/>
        <v>1</v>
      </c>
      <c r="AF39" s="116">
        <f t="shared" si="10"/>
        <v>0</v>
      </c>
      <c r="AG39" s="116">
        <f t="shared" si="11"/>
        <v>0</v>
      </c>
      <c r="AH39" s="116" t="str">
        <f t="shared" si="15"/>
        <v>632</v>
      </c>
      <c r="AI39" s="116">
        <f t="shared" si="12"/>
        <v>1</v>
      </c>
      <c r="AJ39" s="116">
        <f t="shared" si="13"/>
        <v>0</v>
      </c>
      <c r="AK39" s="116">
        <f t="shared" si="14"/>
        <v>0</v>
      </c>
      <c r="AM39" s="116">
        <f t="shared" ref="AM39:AM41" si="51">DA39</f>
        <v>4</v>
      </c>
      <c r="AN39" s="117" t="str">
        <f>INDEX(T,60,lang)</f>
        <v>Island</v>
      </c>
      <c r="AO39" s="116">
        <f>COUNTIF($V$7:$W$42,"=" &amp; AN39 &amp; "_win")</f>
        <v>0</v>
      </c>
      <c r="AP39" s="116">
        <f>COUNTIF($V$7:$W$42,"=" &amp; AN39 &amp; "_draw")</f>
        <v>0</v>
      </c>
      <c r="AQ39" s="116">
        <f>COUNTIF($V$7:$W$42,"=" &amp; AN39 &amp; "_lose")</f>
        <v>0</v>
      </c>
      <c r="AR39" s="116">
        <f>SUMIF($E$10:$E$45,$AN39,$F$10:$F$45) + SUMIF($H$10:$H$45,$AN39,$G$10:$G$45)</f>
        <v>0</v>
      </c>
      <c r="AS39" s="116">
        <f>SUMIF($E$10:$E$45,$AN39,$G$10:$G$45) + SUMIF($H$10:$H$45,$AN39,$F$10:$F$45)</f>
        <v>0</v>
      </c>
      <c r="AT39" s="116">
        <f>AW39*10000</f>
        <v>0</v>
      </c>
      <c r="AU39" s="116">
        <f>AR39-AS39</f>
        <v>0</v>
      </c>
      <c r="AV39" s="116">
        <f>(AU39-AU43)/AU42</f>
        <v>0</v>
      </c>
      <c r="AW39" s="116">
        <f>AO39*3+AP39</f>
        <v>0</v>
      </c>
      <c r="AX39" s="116">
        <f>BD39/BD42*10+BE39/BE42+BH39/BH42*0.1+BF39/BF42*0.01</f>
        <v>0</v>
      </c>
      <c r="BA39" s="116">
        <f>VLOOKUP(AN39,db_fifarank,2,FALSE)/2000000</f>
        <v>1.2694E-2</v>
      </c>
      <c r="BB39" s="117">
        <f>10000000*AW39/AW42+100000*AX39/AX42+100*AV39+10*AR39/AR42+1*AX39/AX42+BA39</f>
        <v>1.2694E-2</v>
      </c>
      <c r="BC39" s="117" t="str">
        <f>IF(SUM(AO38:AQ41)=12,M40,INDEX(T,81,lang))</f>
        <v>2F</v>
      </c>
      <c r="BD39" s="116">
        <f>SUMPRODUCT(($V$7:$V$42=AN39&amp;"_win")*($X$7:$X$42))+SUMPRODUCT(($W$7:$W$42=AN39&amp;"_win")*($X$7:$X$42))</f>
        <v>0</v>
      </c>
      <c r="BE39" s="121">
        <f>SUMPRODUCT(($V$7:$V$42=AN39&amp;"_draw")*($X$7:$X$42))+SUMPRODUCT(($W$7:$W$42=AN39&amp;"_draw")*($X$7:$X$42))</f>
        <v>0</v>
      </c>
      <c r="BF39" s="121">
        <f>SUMPRODUCT(($E$10:$E$45=AN39)*($X$7:$X$42)*($F$10:$F$45))+SUMPRODUCT(($H$10:$H$45=AN39)*($X$7:$X$42)*($G$10:$G$45))</f>
        <v>0</v>
      </c>
      <c r="BG39" s="121">
        <f>SUMPRODUCT(($E$10:$E$45=AN39)*($X$7:$X$42)*($G$10:$G$45))+SUMPRODUCT(($H$10:$H$45=AN39)*($X$7:$X$42)*($F$10:$F$45))</f>
        <v>0</v>
      </c>
      <c r="BH39" s="121">
        <f>BF39-BG39</f>
        <v>0</v>
      </c>
      <c r="BM39" s="121">
        <f>IFERROR(VLOOKUP("621",$AD$7:$AG$42,2,FALSE),0) + IFERROR(VLOOKUP("621",$AH$7:$AK$42,2,FALSE),0)</f>
        <v>1</v>
      </c>
      <c r="BO39" s="121">
        <f>IFERROR(VLOOKUP("623",$AD$7:$AG$42,2,FALSE),0) + IFERROR(VLOOKUP("623",$AH$7:$AK$42,2,FALSE),0)</f>
        <v>1</v>
      </c>
      <c r="BP39" s="121">
        <f>IFERROR(VLOOKUP("624",$AD$7:$AG$42,2,FALSE),0) + IFERROR(VLOOKUP("624",$AH$7:$AK$42,2,FALSE),0)</f>
        <v>1</v>
      </c>
      <c r="BQ39" s="122">
        <f>SUM(BM39:BP39)</f>
        <v>3</v>
      </c>
      <c r="BR39" s="121">
        <f>IFERROR(VLOOKUP("621",$AD$7:$AG$42,3,FALSE),0) + IFERROR(VLOOKUP("621",$AH$7:$AK$42,3,FALSE),0)</f>
        <v>0</v>
      </c>
      <c r="BT39" s="121">
        <f>IFERROR(VLOOKUP("623",$AD$7:$AG$42,3,FALSE),0) + IFERROR(VLOOKUP("623",$AH$7:$AK$42,3,FALSE),0)</f>
        <v>0</v>
      </c>
      <c r="BU39" s="121">
        <f>IFERROR(VLOOKUP("624",$AD$7:$AG$42,3,FALSE),0) + IFERROR(VLOOKUP("624",$AH$7:$AK$42,3,FALSE),0)</f>
        <v>0</v>
      </c>
      <c r="BV39" s="122">
        <f>SUM(BR39:BU39)</f>
        <v>0</v>
      </c>
      <c r="BW39" s="122">
        <f>RANK(BV39,BV38:BV41)</f>
        <v>1</v>
      </c>
      <c r="BX39" s="121">
        <f>IFERROR(VLOOKUP("621",$AD$7:$AG$42,4,FALSE),0) + IFERROR(VLOOKUP("621",$AH$7:$AK$42,4,FALSE),0)</f>
        <v>0</v>
      </c>
      <c r="BZ39" s="121">
        <f>IFERROR(VLOOKUP("623",$AD$7:$AG$42,4,FALSE),0) + IFERROR(VLOOKUP("623",$AH$7:$AK$42,4,FALSE),0)</f>
        <v>0</v>
      </c>
      <c r="CA39" s="121">
        <f>IFERROR(VLOOKUP("624",$AD$7:$AG$42,4,FALSE),0) + IFERROR(VLOOKUP("624",$AH$7:$AK$42,4,FALSE),0)</f>
        <v>0</v>
      </c>
      <c r="CB39" s="122">
        <f>SUM(BX39:CA39)</f>
        <v>0</v>
      </c>
      <c r="CC39" s="121">
        <f>IF(BM42=BQ39,BM39,0)</f>
        <v>1</v>
      </c>
      <c r="CE39" s="121">
        <f>IF(BO42=BQ39,BO39,0)</f>
        <v>1</v>
      </c>
      <c r="CF39" s="121">
        <f>IF(BP42=BQ39,BP39,0)</f>
        <v>1</v>
      </c>
      <c r="CG39" s="122">
        <f>SUM(CC39:CF39)</f>
        <v>3</v>
      </c>
      <c r="CH39" s="121">
        <f>IF(BM42=BQ39,BR39,0)</f>
        <v>0</v>
      </c>
      <c r="CJ39" s="121">
        <f>IF(BO42=BQ39,BT39,0)</f>
        <v>0</v>
      </c>
      <c r="CK39" s="121">
        <f>IF(BP42=BQ39,BU39,0)</f>
        <v>0</v>
      </c>
      <c r="CL39" s="122">
        <f>SUM(CH39:CK39)</f>
        <v>0</v>
      </c>
      <c r="CM39" s="122">
        <f>RANK(CL39,CL38:CL41)</f>
        <v>1</v>
      </c>
      <c r="CN39" s="121">
        <f>IF(BM42=BQ39,BX39,0)</f>
        <v>0</v>
      </c>
      <c r="CP39" s="121">
        <f>IF(BO42=BQ39,BZ39,0)</f>
        <v>0</v>
      </c>
      <c r="CQ39" s="121">
        <f>IF(BP42=BQ39,CA39,0)</f>
        <v>0</v>
      </c>
      <c r="CR39" s="122">
        <f>SUM(CN39:CQ39)</f>
        <v>0</v>
      </c>
      <c r="CS39" s="122">
        <f t="shared" ref="CS39:CS41" si="52">BQ39*10000+CG39*100+(5-CM39)+CR39/10</f>
        <v>30304</v>
      </c>
      <c r="CT39" s="122">
        <f>RANK(CS39,CS38:CS41)</f>
        <v>1</v>
      </c>
      <c r="CU39" s="121">
        <f>IF(CU42=CT39,BM39,0)</f>
        <v>1</v>
      </c>
      <c r="CW39" s="121">
        <f>IF(CW42=CT39,BO39,0)</f>
        <v>1</v>
      </c>
      <c r="CX39" s="121">
        <f>IF(CX42=CT39,BP39,0)</f>
        <v>1</v>
      </c>
      <c r="CY39" s="122">
        <f t="shared" ref="CY39:CY42" si="53">SUM(CU39:CX39)</f>
        <v>3</v>
      </c>
      <c r="CZ39" s="122">
        <f t="shared" ref="CZ39:CZ41" si="54">(5-CT39)*10000+CY39*100+(5-BW39)+CB39/10+BA39/100</f>
        <v>40304.000126940002</v>
      </c>
      <c r="DA39" s="122">
        <f>RANK(CZ39,CZ38:CZ41)</f>
        <v>4</v>
      </c>
      <c r="DD39" s="169"/>
      <c r="DE39" s="91" t="str">
        <f>BC39</f>
        <v>2F</v>
      </c>
      <c r="DF39" s="59"/>
      <c r="DG39" s="127"/>
      <c r="DH39" s="83"/>
      <c r="DI39" s="83"/>
      <c r="DP39" s="83"/>
      <c r="DQ39" s="83"/>
      <c r="DR39" s="83"/>
      <c r="DS39" s="83"/>
      <c r="DT39" s="83"/>
      <c r="DU39" s="83"/>
      <c r="DV39" s="83"/>
      <c r="DW39" s="83"/>
      <c r="DX39" s="83"/>
      <c r="DY39" s="83"/>
    </row>
    <row r="40" spans="1:129" ht="13.5" thickBot="1" x14ac:dyDescent="0.35">
      <c r="A40" s="70">
        <v>31</v>
      </c>
      <c r="B40" s="71" t="str">
        <f t="shared" si="22"/>
        <v>Tirs</v>
      </c>
      <c r="C40" s="72" t="str">
        <f t="shared" si="23"/>
        <v>Jun 21, 2016</v>
      </c>
      <c r="D40" s="73">
        <f t="shared" si="24"/>
        <v>0.875</v>
      </c>
      <c r="E40" s="74" t="str">
        <f>AN29</f>
        <v>Tsjekkisk Republikk</v>
      </c>
      <c r="F40" s="57"/>
      <c r="G40" s="58"/>
      <c r="H40" s="81" t="str">
        <f>AN28</f>
        <v>Tyrkia</v>
      </c>
      <c r="I40" s="144" t="str">
        <f>INDEX(T,109,lang)</f>
        <v>Stade Bollaert-Delelis, Lens</v>
      </c>
      <c r="J40" s="145"/>
      <c r="K40" s="146"/>
      <c r="M40" s="23" t="str">
        <f>VLOOKUP(2,AM38:AW41,2,FALSE)</f>
        <v>Østerrike</v>
      </c>
      <c r="N40" s="29">
        <f>O40+P40+Q40</f>
        <v>0</v>
      </c>
      <c r="O40" s="29">
        <f>VLOOKUP(2,AM38:AW41,3,FALSE)</f>
        <v>0</v>
      </c>
      <c r="P40" s="29">
        <f>VLOOKUP(2,AM38:AW41,4,FALSE)</f>
        <v>0</v>
      </c>
      <c r="Q40" s="29">
        <f>VLOOKUP(2,AM38:AW41,5,FALSE)</f>
        <v>0</v>
      </c>
      <c r="R40" s="29" t="str">
        <f>VLOOKUP(2,AM38:AW41,6,FALSE) &amp; " - " &amp; VLOOKUP(2,AM38:AW41,7,FALSE)</f>
        <v>0 - 0</v>
      </c>
      <c r="S40" s="30">
        <f>O40*3+P40</f>
        <v>0</v>
      </c>
      <c r="U40" s="116">
        <f>DATE(2016,6,22)+TIME(5,0,0)+gmt_delta</f>
        <v>42543.75</v>
      </c>
      <c r="V40" s="118" t="str">
        <f t="shared" si="0"/>
        <v/>
      </c>
      <c r="W40" s="118" t="str">
        <f t="shared" si="1"/>
        <v/>
      </c>
      <c r="X40" s="117">
        <f t="shared" si="2"/>
        <v>0</v>
      </c>
      <c r="Y40" s="116">
        <f t="shared" si="3"/>
        <v>0</v>
      </c>
      <c r="Z40" s="116">
        <f t="shared" si="4"/>
        <v>0</v>
      </c>
      <c r="AA40" s="116">
        <f t="shared" si="5"/>
        <v>6</v>
      </c>
      <c r="AB40" s="116">
        <f t="shared" si="6"/>
        <v>4</v>
      </c>
      <c r="AC40" s="116">
        <f t="shared" si="7"/>
        <v>1</v>
      </c>
      <c r="AD40" s="116" t="str">
        <f t="shared" si="8"/>
        <v>641</v>
      </c>
      <c r="AE40" s="116">
        <f t="shared" si="9"/>
        <v>1</v>
      </c>
      <c r="AF40" s="116">
        <f t="shared" si="10"/>
        <v>0</v>
      </c>
      <c r="AG40" s="116">
        <f t="shared" si="11"/>
        <v>0</v>
      </c>
      <c r="AH40" s="116" t="str">
        <f t="shared" si="15"/>
        <v>614</v>
      </c>
      <c r="AI40" s="116">
        <f t="shared" si="12"/>
        <v>1</v>
      </c>
      <c r="AJ40" s="116">
        <f t="shared" si="13"/>
        <v>0</v>
      </c>
      <c r="AK40" s="116">
        <f t="shared" si="14"/>
        <v>0</v>
      </c>
      <c r="AM40" s="116">
        <f t="shared" si="51"/>
        <v>2</v>
      </c>
      <c r="AN40" s="117" t="str">
        <f>INDEX(T,61,lang)</f>
        <v>Østerrike</v>
      </c>
      <c r="AO40" s="116">
        <f>COUNTIF($V$7:$W$42,"=" &amp; AN40 &amp; "_win")</f>
        <v>0</v>
      </c>
      <c r="AP40" s="116">
        <f>COUNTIF($V$7:$W$42,"=" &amp; AN40 &amp; "_draw")</f>
        <v>0</v>
      </c>
      <c r="AQ40" s="116">
        <f>COUNTIF($V$7:$W$42,"=" &amp; AN40 &amp; "_lose")</f>
        <v>0</v>
      </c>
      <c r="AR40" s="116">
        <f>SUMIF($E$10:$E$45,$AN40,$F$10:$F$45) + SUMIF($H$10:$H$45,$AN40,$G$10:$G$45)</f>
        <v>0</v>
      </c>
      <c r="AS40" s="116">
        <f>SUMIF($E$10:$E$45,$AN40,$G$10:$G$45) + SUMIF($H$10:$H$45,$AN40,$F$10:$F$45)</f>
        <v>0</v>
      </c>
      <c r="AT40" s="116">
        <f>AW40*10000</f>
        <v>0</v>
      </c>
      <c r="AU40" s="116">
        <f>AR40-AS40</f>
        <v>0</v>
      </c>
      <c r="AV40" s="116">
        <f>(AU40-AU43)/AU42</f>
        <v>0</v>
      </c>
      <c r="AW40" s="116">
        <f>AO40*3+AP40</f>
        <v>0</v>
      </c>
      <c r="AX40" s="116">
        <f>BD40/BD42*10+BE40/BE42+BH40/BH42*0.1+BF40/BF42*0.01</f>
        <v>0</v>
      </c>
      <c r="BA40" s="116">
        <f>VLOOKUP(AN40,db_fifarank,2,FALSE)/2000000</f>
        <v>1.5466000000000001E-2</v>
      </c>
      <c r="BB40" s="117">
        <f>10000000*AW40/AW42+100000*AX40/AX42+100*AV40+10*AR40/AR42+1*AX40/AX42+BA40</f>
        <v>1.5466000000000001E-2</v>
      </c>
      <c r="BC40" s="117" t="str">
        <f>IF(SUM(AO38:AQ41)&gt;0,M41,"3F")</f>
        <v>3F</v>
      </c>
      <c r="BD40" s="116">
        <f>SUMPRODUCT(($V$7:$V$42=AN40&amp;"_win")*($X$7:$X$42))+SUMPRODUCT(($W$7:$W$42=AN40&amp;"_win")*($X$7:$X$42))</f>
        <v>0</v>
      </c>
      <c r="BE40" s="121">
        <f>SUMPRODUCT(($V$7:$V$42=AN40&amp;"_draw")*($X$7:$X$42))+SUMPRODUCT(($W$7:$W$42=AN40&amp;"_draw")*($X$7:$X$42))</f>
        <v>0</v>
      </c>
      <c r="BF40" s="121">
        <f>SUMPRODUCT(($E$10:$E$45=AN40)*($X$7:$X$42)*($F$10:$F$45))+SUMPRODUCT(($H$10:$H$45=AN40)*($X$7:$X$42)*($G$10:$G$45))</f>
        <v>0</v>
      </c>
      <c r="BG40" s="121">
        <f>SUMPRODUCT(($E$10:$E$45=AN40)*($X$7:$X$42)*($G$10:$G$45))+SUMPRODUCT(($H$10:$H$45=AN40)*($X$7:$X$42)*($F$10:$F$45))</f>
        <v>0</v>
      </c>
      <c r="BH40" s="121">
        <f>BF40-BG40</f>
        <v>0</v>
      </c>
      <c r="BM40" s="121">
        <f>IFERROR(VLOOKUP("631",$AD$7:$AG$42,2,FALSE),0) + IFERROR(VLOOKUP("631",$AH$7:$AK$42,2,FALSE),0)</f>
        <v>1</v>
      </c>
      <c r="BN40" s="121">
        <f>IFERROR(VLOOKUP("632",$AD$7:$AG$42,2,FALSE),0) + IFERROR(VLOOKUP("632",$AH$7:$AK$42,2,FALSE),0)</f>
        <v>1</v>
      </c>
      <c r="BP40" s="121">
        <f>IFERROR(VLOOKUP("634",$AD$7:$AG$42,2,FALSE),0) + IFERROR(VLOOKUP("634",$AH$7:$AK$42,2,FALSE),0)</f>
        <v>1</v>
      </c>
      <c r="BQ40" s="122">
        <f>SUM(BM40:BP40)</f>
        <v>3</v>
      </c>
      <c r="BR40" s="121">
        <f>IFERROR(VLOOKUP("631",$AD$7:$AG$42,3,FALSE),0) + IFERROR(VLOOKUP("631",$AH$7:$AK$42,3,FALSE),0)</f>
        <v>0</v>
      </c>
      <c r="BS40" s="121">
        <f>IFERROR(VLOOKUP("632",$AD$7:$AG$42,3,FALSE),0) + IFERROR(VLOOKUP("632",$AH$7:$AK$42,3,FALSE),0)</f>
        <v>0</v>
      </c>
      <c r="BU40" s="121">
        <f>IFERROR(VLOOKUP("634",$AD$7:$AG$42,3,FALSE),0) + IFERROR(VLOOKUP("634",$AH$7:$AK$42,3,FALSE),0)</f>
        <v>0</v>
      </c>
      <c r="BV40" s="122">
        <f>SUM(BR40:BU40)</f>
        <v>0</v>
      </c>
      <c r="BW40" s="122">
        <f>RANK(BV40,BV38:BV41)</f>
        <v>1</v>
      </c>
      <c r="BX40" s="121">
        <f>IFERROR(VLOOKUP("631",$AD$7:$AG$42,4,FALSE),0) + IFERROR(VLOOKUP("631",$AH$7:$AK$42,4,FALSE),0)</f>
        <v>0</v>
      </c>
      <c r="BY40" s="121">
        <f>IFERROR(VLOOKUP("632",$AD$7:$AG$42,4,FALSE),0) + IFERROR(VLOOKUP("632",$AH$7:$AK$42,4,FALSE),0)</f>
        <v>0</v>
      </c>
      <c r="CA40" s="121">
        <f>IFERROR(VLOOKUP("634",$AD$7:$AG$42,4,FALSE),0) + IFERROR(VLOOKUP("634",$AH$7:$AK$42,4,FALSE),0)</f>
        <v>0</v>
      </c>
      <c r="CB40" s="122">
        <f>SUM(BX40:CA40)</f>
        <v>0</v>
      </c>
      <c r="CC40" s="121">
        <f>IF(BM42=BQ40,BM40,0)</f>
        <v>1</v>
      </c>
      <c r="CD40" s="121">
        <f>IF(BN42=BQ40,BN40,0)</f>
        <v>1</v>
      </c>
      <c r="CF40" s="121">
        <f>IF(BP42=BQ40,BP40,0)</f>
        <v>1</v>
      </c>
      <c r="CG40" s="122">
        <f>SUM(CC40:CF40)</f>
        <v>3</v>
      </c>
      <c r="CH40" s="121">
        <f>IF(BM42=BQ40,BR40,0)</f>
        <v>0</v>
      </c>
      <c r="CI40" s="121">
        <f>IF(BN42=BQ40,BS40,0)</f>
        <v>0</v>
      </c>
      <c r="CK40" s="121">
        <f>IF(BP42=BQ40,BU40,0)</f>
        <v>0</v>
      </c>
      <c r="CL40" s="122">
        <f>SUM(CH40:CK40)</f>
        <v>0</v>
      </c>
      <c r="CM40" s="122">
        <f>RANK(CL40,CL38:CL41)</f>
        <v>1</v>
      </c>
      <c r="CN40" s="121">
        <f>IF(BM42=BQ40,BX40,0)</f>
        <v>0</v>
      </c>
      <c r="CO40" s="121">
        <f>IF(BN42=BQ40,BY40,0)</f>
        <v>0</v>
      </c>
      <c r="CQ40" s="121">
        <f>IF(BP42=BQ40,CA40,0)</f>
        <v>0</v>
      </c>
      <c r="CR40" s="122">
        <f>SUM(CN40:CQ40)</f>
        <v>0</v>
      </c>
      <c r="CS40" s="122">
        <f t="shared" si="52"/>
        <v>30304</v>
      </c>
      <c r="CT40" s="122">
        <f>RANK(CS40,CS38:CS41)</f>
        <v>1</v>
      </c>
      <c r="CU40" s="121">
        <f>IF(CU42=CT40,BM40,0)</f>
        <v>1</v>
      </c>
      <c r="CV40" s="121">
        <f>IF(CV42=CT40,BN40,0)</f>
        <v>1</v>
      </c>
      <c r="CX40" s="121">
        <f>IF(CX42=CT40,BP40,0)</f>
        <v>1</v>
      </c>
      <c r="CY40" s="122">
        <f t="shared" si="53"/>
        <v>3</v>
      </c>
      <c r="CZ40" s="122">
        <f t="shared" si="54"/>
        <v>40304.000154660003</v>
      </c>
      <c r="DA40" s="122">
        <f>RANK(CZ40,CZ38:CZ41)</f>
        <v>2</v>
      </c>
    </row>
    <row r="41" spans="1:129" x14ac:dyDescent="0.3">
      <c r="A41" s="70">
        <v>32</v>
      </c>
      <c r="B41" s="71" t="str">
        <f t="shared" si="22"/>
        <v>Tirs</v>
      </c>
      <c r="C41" s="72" t="str">
        <f t="shared" si="23"/>
        <v>Jun 21, 2016</v>
      </c>
      <c r="D41" s="73">
        <f t="shared" si="24"/>
        <v>0.875</v>
      </c>
      <c r="E41" s="74" t="str">
        <f>AN27</f>
        <v>Kroatia</v>
      </c>
      <c r="F41" s="57"/>
      <c r="G41" s="58"/>
      <c r="H41" s="81" t="str">
        <f>AN26</f>
        <v>Spania</v>
      </c>
      <c r="I41" s="144" t="str">
        <f>INDEX(T,113,lang)</f>
        <v>Nouveau Stade de Bordeaux, Bordeaux</v>
      </c>
      <c r="J41" s="145"/>
      <c r="K41" s="146"/>
      <c r="M41" s="23" t="str">
        <f>VLOOKUP(3,AM38:AW41,2,FALSE)</f>
        <v>Ungarn</v>
      </c>
      <c r="N41" s="29">
        <f>O41+P41+Q41</f>
        <v>0</v>
      </c>
      <c r="O41" s="29">
        <f>VLOOKUP(3,AM38:AW41,3,FALSE)</f>
        <v>0</v>
      </c>
      <c r="P41" s="29">
        <f>VLOOKUP(3,AM38:AW41,4,FALSE)</f>
        <v>0</v>
      </c>
      <c r="Q41" s="29">
        <f>VLOOKUP(3,AM38:AW41,5,FALSE)</f>
        <v>0</v>
      </c>
      <c r="R41" s="29" t="str">
        <f>VLOOKUP(3,AM38:AW41,6,FALSE) &amp; " - " &amp; VLOOKUP(3,AM38:AW41,7,FALSE)</f>
        <v>0 - 0</v>
      </c>
      <c r="S41" s="30">
        <f>O41*3+P41</f>
        <v>0</v>
      </c>
      <c r="U41" s="116">
        <f>DATE(2016,6,22)+TIME(8,0,0)+gmt_delta</f>
        <v>42543.875</v>
      </c>
      <c r="V41" s="118" t="str">
        <f t="shared" si="0"/>
        <v/>
      </c>
      <c r="W41" s="118" t="str">
        <f t="shared" si="1"/>
        <v/>
      </c>
      <c r="X41" s="117">
        <f t="shared" si="2"/>
        <v>0</v>
      </c>
      <c r="Y41" s="116">
        <f t="shared" si="3"/>
        <v>0</v>
      </c>
      <c r="Z41" s="116">
        <f t="shared" si="4"/>
        <v>0</v>
      </c>
      <c r="AA41" s="116">
        <f t="shared" si="5"/>
        <v>5</v>
      </c>
      <c r="AB41" s="116">
        <f t="shared" si="6"/>
        <v>3</v>
      </c>
      <c r="AC41" s="116">
        <f t="shared" si="7"/>
        <v>2</v>
      </c>
      <c r="AD41" s="116" t="str">
        <f t="shared" si="8"/>
        <v>532</v>
      </c>
      <c r="AE41" s="116">
        <f t="shared" si="9"/>
        <v>1</v>
      </c>
      <c r="AF41" s="116">
        <f t="shared" si="10"/>
        <v>0</v>
      </c>
      <c r="AG41" s="116">
        <f t="shared" si="11"/>
        <v>0</v>
      </c>
      <c r="AH41" s="116" t="str">
        <f t="shared" si="15"/>
        <v>523</v>
      </c>
      <c r="AI41" s="116">
        <f t="shared" si="12"/>
        <v>1</v>
      </c>
      <c r="AJ41" s="116">
        <f t="shared" si="13"/>
        <v>0</v>
      </c>
      <c r="AK41" s="116">
        <f t="shared" si="14"/>
        <v>0</v>
      </c>
      <c r="AM41" s="116">
        <f t="shared" si="51"/>
        <v>3</v>
      </c>
      <c r="AN41" s="117" t="str">
        <f>INDEX(T,43,lang)</f>
        <v>Ungarn</v>
      </c>
      <c r="AO41" s="116">
        <f>COUNTIF($V$7:$W$42,"=" &amp; AN41 &amp; "_win")</f>
        <v>0</v>
      </c>
      <c r="AP41" s="116">
        <f>COUNTIF($V$7:$W$42,"=" &amp; AN41 &amp; "_draw")</f>
        <v>0</v>
      </c>
      <c r="AQ41" s="116">
        <f>COUNTIF($V$7:$W$42,"=" &amp; AN41 &amp; "_lose")</f>
        <v>0</v>
      </c>
      <c r="AR41" s="116">
        <f>SUMIF($E$10:$E$45,$AN41,$F$10:$F$45) + SUMIF($H$10:$H$45,$AN41,$G$10:$G$45)</f>
        <v>0</v>
      </c>
      <c r="AS41" s="116">
        <f>SUMIF($E$10:$E$45,$AN41,$G$10:$G$45) + SUMIF($H$10:$H$45,$AN41,$F$10:$F$45)</f>
        <v>0</v>
      </c>
      <c r="AT41" s="116">
        <f>AW41*10000</f>
        <v>0</v>
      </c>
      <c r="AU41" s="116">
        <f>AR41-AS41</f>
        <v>0</v>
      </c>
      <c r="AV41" s="116">
        <f>(AU41-AU43)/AU42</f>
        <v>0</v>
      </c>
      <c r="AW41" s="116">
        <f>AO41*3+AP41</f>
        <v>0</v>
      </c>
      <c r="AX41" s="116">
        <f>BD41/BD42*10+BE41/BE42+BH41/BH42*0.1+BF41/BF42*0.01</f>
        <v>0</v>
      </c>
      <c r="BA41" s="116">
        <f>VLOOKUP(AN41,db_fifarank,2,FALSE)/2000000</f>
        <v>1.3571E-2</v>
      </c>
      <c r="BB41" s="117">
        <f>10000000*AW41/AW42+100000*AX41/AX42+100*AV41+10*AR41/AR42+1*AX41/AX42+BA41</f>
        <v>1.3571E-2</v>
      </c>
      <c r="BD41" s="116">
        <f>SUMPRODUCT(($V$7:$V$42=AN41&amp;"_win")*($X$7:$X$42))+SUMPRODUCT(($W$7:$W$42=AN41&amp;"_win")*($X$7:$X$42))</f>
        <v>0</v>
      </c>
      <c r="BE41" s="121">
        <f>SUMPRODUCT(($V$7:$V$42=AN41&amp;"_draw")*($X$7:$X$42))+SUMPRODUCT(($W$7:$W$42=AN41&amp;"_draw")*($X$7:$X$42))</f>
        <v>0</v>
      </c>
      <c r="BF41" s="121">
        <f>SUMPRODUCT(($E$10:$E$45=AN41)*($X$7:$X$42)*($F$10:$F$45))+SUMPRODUCT(($H$10:$H$45=AN41)*($X$7:$X$42)*($G$10:$G$45))</f>
        <v>0</v>
      </c>
      <c r="BG41" s="121">
        <f>SUMPRODUCT(($E$10:$E$45=AN41)*($X$7:$X$42)*($G$10:$G$45))+SUMPRODUCT(($H$10:$H$45=AN41)*($X$7:$X$42)*($F$10:$F$45))</f>
        <v>0</v>
      </c>
      <c r="BH41" s="121">
        <f>BF41-BG41</f>
        <v>0</v>
      </c>
      <c r="BM41" s="121">
        <f>IFERROR(VLOOKUP("641",$AD$7:$AG$42,2,FALSE),0) + IFERROR(VLOOKUP("641",$AH$7:$AK$42,2,FALSE),0)</f>
        <v>1</v>
      </c>
      <c r="BN41" s="121">
        <f>IFERROR(VLOOKUP("642",$AD$7:$AG$42,2,FALSE),0) + IFERROR(VLOOKUP("642",$AH$7:$AK$42,2,FALSE),0)</f>
        <v>1</v>
      </c>
      <c r="BO41" s="121">
        <f>IFERROR(VLOOKUP("643",$AD$7:$AG$42,2,FALSE),0) + IFERROR(VLOOKUP("643",$AH$7:$AK$42,2,FALSE),0)</f>
        <v>1</v>
      </c>
      <c r="BQ41" s="122">
        <f>SUM(BM41:BP41)</f>
        <v>3</v>
      </c>
      <c r="BR41" s="121">
        <f>IFERROR(VLOOKUP("641",$AD$7:$AG$42,3,FALSE),0) + IFERROR(VLOOKUP("641",$AH$7:$AK$42,3,FALSE),0)</f>
        <v>0</v>
      </c>
      <c r="BS41" s="121">
        <f>IFERROR(VLOOKUP("642",$AD$7:$AG$42,3,FALSE),0) + IFERROR(VLOOKUP("642",$AH$7:$AK$42,3,FALSE),0)</f>
        <v>0</v>
      </c>
      <c r="BT41" s="121">
        <f>IFERROR(VLOOKUP("643",$AD$7:$AG$42,3,FALSE),0) + IFERROR(VLOOKUP("643",$AH$7:$AK$42,3,FALSE),0)</f>
        <v>0</v>
      </c>
      <c r="BV41" s="122">
        <f>SUM(BR41:BU41)</f>
        <v>0</v>
      </c>
      <c r="BW41" s="122">
        <f>RANK(BV41,BV38:BV41)</f>
        <v>1</v>
      </c>
      <c r="BX41" s="121">
        <f>IFERROR(VLOOKUP("641",$AD$7:$AG$42,4,FALSE),0) + IFERROR(VLOOKUP("641",$AH$7:$AK$42,4,FALSE),0)</f>
        <v>0</v>
      </c>
      <c r="BY41" s="121">
        <f>IFERROR(VLOOKUP("642",$AD$7:$AG$42,4,FALSE),0) + IFERROR(VLOOKUP("642",$AH$7:$AK$42,4,FALSE),0)</f>
        <v>0</v>
      </c>
      <c r="BZ41" s="121">
        <f>IFERROR(VLOOKUP("643",$AD$7:$AG$42,4,FALSE),0) + IFERROR(VLOOKUP("643",$AH$7:$AK$42,4,FALSE),0)</f>
        <v>0</v>
      </c>
      <c r="CB41" s="122">
        <f>SUM(BX41:CA41)</f>
        <v>0</v>
      </c>
      <c r="CC41" s="121">
        <f>IF(BM42=BQ41,BM41,0)</f>
        <v>1</v>
      </c>
      <c r="CD41" s="121">
        <f>IF(BN42=BQ41,BN41,0)</f>
        <v>1</v>
      </c>
      <c r="CE41" s="121">
        <f>IF(BO42=BQ41,BO41,0)</f>
        <v>1</v>
      </c>
      <c r="CG41" s="122">
        <f>SUM(CC41:CF41)</f>
        <v>3</v>
      </c>
      <c r="CH41" s="121">
        <f>IF(BM42=BQ41,BR41,0)</f>
        <v>0</v>
      </c>
      <c r="CI41" s="121">
        <f>IF(BN42=BQ41,BS41,0)</f>
        <v>0</v>
      </c>
      <c r="CJ41" s="121">
        <f>IF(BO42=BQ41,BT41,0)</f>
        <v>0</v>
      </c>
      <c r="CL41" s="122">
        <f>SUM(CH41:CK41)</f>
        <v>0</v>
      </c>
      <c r="CM41" s="122">
        <f>RANK(CL41,CL38:CL41)</f>
        <v>1</v>
      </c>
      <c r="CN41" s="121">
        <f>IF(BM42=BQ41,BX41,0)</f>
        <v>0</v>
      </c>
      <c r="CO41" s="121">
        <f>IF(BN42=BQ41,BY41,0)</f>
        <v>0</v>
      </c>
      <c r="CP41" s="121">
        <f>IF(BO42=BQ41,BZ41,0)</f>
        <v>0</v>
      </c>
      <c r="CR41" s="122">
        <f>SUM(CN41:CQ41)</f>
        <v>0</v>
      </c>
      <c r="CS41" s="122">
        <f t="shared" si="52"/>
        <v>30304</v>
      </c>
      <c r="CT41" s="122">
        <f>RANK(CS41,CS38:CS41)</f>
        <v>1</v>
      </c>
      <c r="CU41" s="121">
        <f>IF(CU42=CT41,BM41,0)</f>
        <v>1</v>
      </c>
      <c r="CV41" s="121">
        <f>IF(CV42=CT41,BN41,0)</f>
        <v>1</v>
      </c>
      <c r="CW41" s="121">
        <f>IF(CW42=CT41,BO41,0)</f>
        <v>1</v>
      </c>
      <c r="CY41" s="122">
        <f t="shared" si="53"/>
        <v>3</v>
      </c>
      <c r="CZ41" s="122">
        <f t="shared" si="54"/>
        <v>40304.000135709997</v>
      </c>
      <c r="DA41" s="122">
        <f>RANK(CZ41,CZ38:CZ41)</f>
        <v>3</v>
      </c>
      <c r="DO41" s="164" t="str">
        <f>INDEX(T,102,lang)</f>
        <v>Champion 2016</v>
      </c>
      <c r="DP41" s="164"/>
      <c r="DQ41" s="164"/>
      <c r="DR41" s="164"/>
      <c r="DS41" s="164"/>
      <c r="DT41" s="166" t="str">
        <f>V73</f>
        <v/>
      </c>
      <c r="DU41" s="166"/>
      <c r="DV41" s="166"/>
      <c r="DW41" s="166"/>
      <c r="DX41" s="166"/>
      <c r="DY41" s="166"/>
    </row>
    <row r="42" spans="1:129" x14ac:dyDescent="0.3">
      <c r="A42" s="70">
        <v>33</v>
      </c>
      <c r="B42" s="71" t="str">
        <f t="shared" si="22"/>
        <v>Ons</v>
      </c>
      <c r="C42" s="72" t="str">
        <f t="shared" si="23"/>
        <v>Jun 22, 2016</v>
      </c>
      <c r="D42" s="73">
        <f t="shared" si="24"/>
        <v>0.75</v>
      </c>
      <c r="E42" s="74" t="str">
        <f>AN39</f>
        <v>Island</v>
      </c>
      <c r="F42" s="57"/>
      <c r="G42" s="58"/>
      <c r="H42" s="81" t="str">
        <f>AN40</f>
        <v>Østerrike</v>
      </c>
      <c r="I42" s="144" t="str">
        <f>INDEX(T,114,lang)</f>
        <v>Stade de France, Saint-Denis</v>
      </c>
      <c r="J42" s="145"/>
      <c r="K42" s="146"/>
      <c r="M42" s="24" t="str">
        <f>VLOOKUP(4,AM38:AW41,2,FALSE)</f>
        <v>Island</v>
      </c>
      <c r="N42" s="31">
        <f>O42+P42+Q42</f>
        <v>0</v>
      </c>
      <c r="O42" s="31">
        <f>VLOOKUP(4,AM38:AW41,3,FALSE)</f>
        <v>0</v>
      </c>
      <c r="P42" s="31">
        <f>VLOOKUP(4,AM38:AW41,4,FALSE)</f>
        <v>0</v>
      </c>
      <c r="Q42" s="31">
        <f>VLOOKUP(4,AM38:AW41,5,FALSE)</f>
        <v>0</v>
      </c>
      <c r="R42" s="31" t="str">
        <f>VLOOKUP(4,AM38:AW41,6,FALSE) &amp; " - " &amp; VLOOKUP(4,AM38:AW41,7,FALSE)</f>
        <v>0 - 0</v>
      </c>
      <c r="S42" s="32">
        <f>O42*3+P42</f>
        <v>0</v>
      </c>
      <c r="U42" s="116">
        <f>DATE(2016,6,22)+TIME(8,0,0)+gmt_delta</f>
        <v>42543.875</v>
      </c>
      <c r="V42" s="118" t="str">
        <f t="shared" si="0"/>
        <v/>
      </c>
      <c r="W42" s="118" t="str">
        <f t="shared" si="1"/>
        <v/>
      </c>
      <c r="X42" s="117">
        <f t="shared" si="2"/>
        <v>0</v>
      </c>
      <c r="Y42" s="116">
        <f t="shared" si="3"/>
        <v>0</v>
      </c>
      <c r="Z42" s="116">
        <f t="shared" si="4"/>
        <v>0</v>
      </c>
      <c r="AA42" s="116">
        <f t="shared" si="5"/>
        <v>5</v>
      </c>
      <c r="AB42" s="116">
        <f t="shared" si="6"/>
        <v>4</v>
      </c>
      <c r="AC42" s="116">
        <f t="shared" si="7"/>
        <v>1</v>
      </c>
      <c r="AD42" s="116" t="str">
        <f t="shared" si="8"/>
        <v>541</v>
      </c>
      <c r="AE42" s="116">
        <f t="shared" si="9"/>
        <v>1</v>
      </c>
      <c r="AF42" s="116">
        <f t="shared" si="10"/>
        <v>0</v>
      </c>
      <c r="AG42" s="116">
        <f t="shared" si="11"/>
        <v>0</v>
      </c>
      <c r="AH42" s="116" t="str">
        <f t="shared" si="15"/>
        <v>514</v>
      </c>
      <c r="AI42" s="116">
        <f t="shared" si="12"/>
        <v>1</v>
      </c>
      <c r="AJ42" s="116">
        <f t="shared" si="13"/>
        <v>0</v>
      </c>
      <c r="AK42" s="116">
        <f t="shared" si="14"/>
        <v>0</v>
      </c>
      <c r="AO42" s="116">
        <f t="shared" ref="AO42:AX42" si="55">MAX(AO38:AO41)-MIN(AO38:AO41)+1</f>
        <v>1</v>
      </c>
      <c r="AP42" s="116">
        <f t="shared" si="55"/>
        <v>1</v>
      </c>
      <c r="AQ42" s="116">
        <f t="shared" si="55"/>
        <v>1</v>
      </c>
      <c r="AR42" s="116">
        <f t="shared" si="55"/>
        <v>1</v>
      </c>
      <c r="AS42" s="116">
        <f t="shared" si="55"/>
        <v>1</v>
      </c>
      <c r="AT42" s="116">
        <f>MAX(AT38:AT41)-AT43+1</f>
        <v>1</v>
      </c>
      <c r="AU42" s="116">
        <f>MAX(AU38:AU41)-AU43+1</f>
        <v>1</v>
      </c>
      <c r="AW42" s="116">
        <f t="shared" si="55"/>
        <v>1</v>
      </c>
      <c r="AX42" s="116">
        <f t="shared" si="55"/>
        <v>1</v>
      </c>
      <c r="BD42" s="116">
        <f>MAX(BD38:BD41)-MIN(BD38:BD41)+1</f>
        <v>1</v>
      </c>
      <c r="BE42" s="116">
        <f>MAX(BE38:BE41)-MIN(BE38:BE41)+1</f>
        <v>1</v>
      </c>
      <c r="BF42" s="116">
        <f>MAX(BF38:BF41)-MIN(BF38:BF41)+1</f>
        <v>1</v>
      </c>
      <c r="BG42" s="116">
        <f>MAX(BG38:BG41)-MIN(BG38:BG41)+1</f>
        <v>1</v>
      </c>
      <c r="BH42" s="116">
        <f>MAX(BH38:BH41)-MIN(BH38:BH41)+1</f>
        <v>1</v>
      </c>
      <c r="BM42" s="116">
        <f>BQ38</f>
        <v>3</v>
      </c>
      <c r="BN42" s="116">
        <f>BQ39</f>
        <v>3</v>
      </c>
      <c r="BO42" s="116">
        <f>BQ40</f>
        <v>3</v>
      </c>
      <c r="BP42" s="116">
        <f>BQ41</f>
        <v>3</v>
      </c>
      <c r="BR42" s="116"/>
      <c r="BS42" s="116"/>
      <c r="BT42" s="116"/>
      <c r="BU42" s="116"/>
      <c r="BX42" s="116"/>
      <c r="BY42" s="116"/>
      <c r="BZ42" s="116"/>
      <c r="CA42" s="116"/>
      <c r="CC42" s="116"/>
      <c r="CD42" s="116"/>
      <c r="CE42" s="116"/>
      <c r="CF42" s="116"/>
      <c r="CH42" s="116"/>
      <c r="CI42" s="116"/>
      <c r="CJ42" s="116"/>
      <c r="CK42" s="116"/>
      <c r="CN42" s="116"/>
      <c r="CO42" s="116"/>
      <c r="CP42" s="116"/>
      <c r="CQ42" s="116"/>
      <c r="CU42" s="116">
        <f>CT38</f>
        <v>1</v>
      </c>
      <c r="CV42" s="116">
        <f>CT39</f>
        <v>1</v>
      </c>
      <c r="CW42" s="116">
        <f>CT40</f>
        <v>1</v>
      </c>
      <c r="CX42" s="116">
        <f>CT41</f>
        <v>1</v>
      </c>
      <c r="CY42" s="122">
        <f t="shared" si="53"/>
        <v>4</v>
      </c>
      <c r="DO42" s="165"/>
      <c r="DP42" s="165"/>
      <c r="DQ42" s="165"/>
      <c r="DR42" s="165"/>
      <c r="DS42" s="165"/>
      <c r="DT42" s="167"/>
      <c r="DU42" s="167"/>
      <c r="DV42" s="167"/>
      <c r="DW42" s="167"/>
      <c r="DX42" s="167"/>
      <c r="DY42" s="167"/>
    </row>
    <row r="43" spans="1:129" x14ac:dyDescent="0.3">
      <c r="A43" s="70">
        <v>34</v>
      </c>
      <c r="B43" s="71" t="str">
        <f t="shared" si="22"/>
        <v>Ons</v>
      </c>
      <c r="C43" s="72" t="str">
        <f t="shared" si="23"/>
        <v>Jun 22, 2016</v>
      </c>
      <c r="D43" s="73">
        <f t="shared" si="24"/>
        <v>0.75</v>
      </c>
      <c r="E43" s="74" t="str">
        <f>AN41</f>
        <v>Ungarn</v>
      </c>
      <c r="F43" s="57"/>
      <c r="G43" s="58"/>
      <c r="H43" s="81" t="str">
        <f>AN38</f>
        <v>Portugal</v>
      </c>
      <c r="I43" s="144" t="str">
        <f>INDEX(T,110,lang)</f>
        <v>Parc Olympique Lyonnais, Lyon</v>
      </c>
      <c r="J43" s="145"/>
      <c r="K43" s="146"/>
      <c r="AT43" s="116">
        <f>MIN(AT38:AT41)</f>
        <v>0</v>
      </c>
      <c r="AU43" s="116">
        <f>MIN(AU38:AU41)</f>
        <v>0</v>
      </c>
    </row>
    <row r="44" spans="1:129" x14ac:dyDescent="0.3">
      <c r="A44" s="70">
        <v>35</v>
      </c>
      <c r="B44" s="71" t="str">
        <f t="shared" si="22"/>
        <v>Ons</v>
      </c>
      <c r="C44" s="72" t="str">
        <f t="shared" si="23"/>
        <v>Jun 22, 2016</v>
      </c>
      <c r="D44" s="73">
        <f t="shared" si="24"/>
        <v>0.875</v>
      </c>
      <c r="E44" s="74" t="str">
        <f>AN34</f>
        <v>Italia</v>
      </c>
      <c r="F44" s="57"/>
      <c r="G44" s="58"/>
      <c r="H44" s="81" t="str">
        <f>AN33</f>
        <v>Republikken Irland</v>
      </c>
      <c r="I44" s="144" t="str">
        <f>INDEX(T,111,lang)</f>
        <v>Stade Pierre-Mauroy, Lille</v>
      </c>
      <c r="J44" s="156"/>
      <c r="K44" s="157"/>
      <c r="M44" s="55" t="str">
        <f>INDEX(T,9,lang) &amp; " "</f>
        <v xml:space="preserve">Gruppe </v>
      </c>
      <c r="N44" s="56" t="str">
        <f>INDEX(T,10,lang)</f>
        <v>S</v>
      </c>
      <c r="O44" s="56" t="str">
        <f>INDEX(T,11,lang)</f>
        <v>V</v>
      </c>
      <c r="P44" s="56" t="str">
        <f>INDEX(T,12,lang)</f>
        <v>T</v>
      </c>
      <c r="Q44" s="56" t="str">
        <f>INDEX(T,13,lang)</f>
        <v>U</v>
      </c>
      <c r="R44" s="56" t="str">
        <f>INDEX(T,14,lang)</f>
        <v>Mål</v>
      </c>
      <c r="S44" s="56" t="str">
        <f>INDEX(T,15,lang)</f>
        <v>P</v>
      </c>
      <c r="AL44" s="117" t="str">
        <f>IF(AM44&lt;5,"A","")</f>
        <v/>
      </c>
      <c r="AM44" s="116">
        <f>COUNTIF($BB$44:$BB$49,CONCATENATE("&gt;=",BB44))</f>
        <v>6</v>
      </c>
      <c r="AN44" s="117" t="str">
        <f>BC10</f>
        <v>Albania</v>
      </c>
      <c r="AO44" s="116">
        <f>IFERROR(VLOOKUP($AN44,$AN$8:$AS$41,2,FALSE),0)</f>
        <v>0</v>
      </c>
      <c r="AP44" s="116">
        <f t="shared" ref="AP44:AP49" si="56">IFERROR(VLOOKUP($AN44,$AN$8:$AS$41,3,FALSE),0)</f>
        <v>0</v>
      </c>
      <c r="AQ44" s="116">
        <f t="shared" ref="AQ44:AQ49" si="57">IFERROR(VLOOKUP($AN44,$AN$8:$AS$41,4,FALSE),0)</f>
        <v>1</v>
      </c>
      <c r="AR44" s="116">
        <f t="shared" ref="AR44:AR49" si="58">IFERROR(VLOOKUP($AN44,$AN$8:$AS$41,5,FALSE),0)</f>
        <v>1</v>
      </c>
      <c r="AS44" s="116">
        <f t="shared" ref="AS44:AS49" si="59">IFERROR(VLOOKUP($AN44,$AN$8:$AS$41,6,FALSE),0)</f>
        <v>3</v>
      </c>
      <c r="AU44" s="116">
        <f>AR44-AS44</f>
        <v>-2</v>
      </c>
      <c r="AV44" s="116">
        <f>(AU44-AU51)/AU50</f>
        <v>0</v>
      </c>
      <c r="AW44" s="116">
        <f>AO44*3+AP44</f>
        <v>0</v>
      </c>
      <c r="BA44" s="116">
        <f>IFERROR(VLOOKUP(AN44,db_fifarank,2,FALSE)/2000000,6)</f>
        <v>1.1608E-2</v>
      </c>
      <c r="BB44" s="117">
        <f>AW44/$AW$50*10000+AV44*1000+AR44/$AR$50*100+BA44</f>
        <v>33.344941333333331</v>
      </c>
    </row>
    <row r="45" spans="1:129" x14ac:dyDescent="0.3">
      <c r="A45" s="75">
        <v>36</v>
      </c>
      <c r="B45" s="76" t="str">
        <f t="shared" si="22"/>
        <v>Ons</v>
      </c>
      <c r="C45" s="77" t="str">
        <f t="shared" si="23"/>
        <v>Jun 22, 2016</v>
      </c>
      <c r="D45" s="78">
        <f t="shared" si="24"/>
        <v>0.875</v>
      </c>
      <c r="E45" s="79" t="str">
        <f>AN35</f>
        <v>Sverige</v>
      </c>
      <c r="F45" s="59"/>
      <c r="G45" s="60"/>
      <c r="H45" s="82" t="str">
        <f>AN32</f>
        <v>Belgia</v>
      </c>
      <c r="I45" s="147" t="str">
        <f>INDEX(T,103,lang)</f>
        <v>Allianz Riviera, Nice</v>
      </c>
      <c r="J45" s="148"/>
      <c r="K45" s="149"/>
      <c r="M45" s="95" t="str">
        <f>VLOOKUP(1,AM44:AW49,2,FALSE)</f>
        <v>3E</v>
      </c>
      <c r="N45" s="27">
        <f>O45+P45+Q45</f>
        <v>0</v>
      </c>
      <c r="O45" s="27">
        <f>VLOOKUP(1,AM44:AW49,3,FALSE)</f>
        <v>0</v>
      </c>
      <c r="P45" s="27">
        <f>VLOOKUP(1,AM44:AW49,4,FALSE)</f>
        <v>0</v>
      </c>
      <c r="Q45" s="27">
        <f>VLOOKUP(1,AM44:AW49,5,FALSE)</f>
        <v>0</v>
      </c>
      <c r="R45" s="27" t="str">
        <f>VLOOKUP(1,AM44:AW49,6,FALSE) &amp; " - " &amp; VLOOKUP(1,AM44:AW49,7,FALSE)</f>
        <v>0 - 0</v>
      </c>
      <c r="S45" s="28">
        <f>O45*3+P45</f>
        <v>0</v>
      </c>
      <c r="AL45" s="117" t="str">
        <f>IF(AM45&lt;5,"B","")</f>
        <v>B</v>
      </c>
      <c r="AM45" s="116">
        <f t="shared" ref="AM45:AM49" si="60">COUNTIF($BB$44:$BB$49,CONCATENATE("&gt;=",BB45))</f>
        <v>4</v>
      </c>
      <c r="AN45" s="117" t="str">
        <f>BC16</f>
        <v>Slovakia</v>
      </c>
      <c r="AO45" s="116">
        <f>IFERROR(VLOOKUP(AN45,$AN$8:$AS$41,2,FALSE),0)</f>
        <v>0</v>
      </c>
      <c r="AP45" s="116">
        <f t="shared" si="56"/>
        <v>0</v>
      </c>
      <c r="AQ45" s="116">
        <f t="shared" si="57"/>
        <v>1</v>
      </c>
      <c r="AR45" s="116">
        <f t="shared" si="58"/>
        <v>2</v>
      </c>
      <c r="AS45" s="116">
        <f t="shared" si="59"/>
        <v>3</v>
      </c>
      <c r="AU45" s="116">
        <f t="shared" ref="AU45:AU49" si="61">AR45-AS45</f>
        <v>-1</v>
      </c>
      <c r="AV45" s="116">
        <f>(AU45-AU51)/AU50</f>
        <v>0.33333333333333331</v>
      </c>
      <c r="AW45" s="116">
        <f t="shared" ref="AW45:AW49" si="62">AO45*3+AP45</f>
        <v>0</v>
      </c>
      <c r="BA45" s="116">
        <f>IFERROR(VLOOKUP(AN45,db_fifarank,2,FALSE)/2000000,5)</f>
        <v>1.35855E-2</v>
      </c>
      <c r="BB45" s="117">
        <f t="shared" ref="BB45:BB49" si="63">AW45/$AW$50*10000+AV45*1000+AR45/$AR$50*100+BA45</f>
        <v>400.01358549999998</v>
      </c>
    </row>
    <row r="46" spans="1:129" x14ac:dyDescent="0.3">
      <c r="M46" s="23" t="str">
        <f>VLOOKUP(2,AM44:AW49,2,FALSE)</f>
        <v>3F</v>
      </c>
      <c r="N46" s="29">
        <f t="shared" ref="N46:N50" si="64">O46+P46+Q46</f>
        <v>0</v>
      </c>
      <c r="O46" s="29">
        <f>VLOOKUP(2,AM44:AW49,3,FALSE)</f>
        <v>0</v>
      </c>
      <c r="P46" s="29">
        <f>VLOOKUP(2,AM44:AW49,4,FALSE)</f>
        <v>0</v>
      </c>
      <c r="Q46" s="29">
        <f>VLOOKUP(2,AM44:AW49,5,FALSE)</f>
        <v>0</v>
      </c>
      <c r="R46" s="29" t="str">
        <f>VLOOKUP(2,AM44:AW49,6,FALSE) &amp; " - " &amp; VLOOKUP(2,AM44:AW49,7,FALSE)</f>
        <v>0 - 0</v>
      </c>
      <c r="S46" s="30">
        <f t="shared" ref="S46:S50" si="65">O46*3+P46</f>
        <v>0</v>
      </c>
      <c r="U46" s="116">
        <f>DATE(2016,6,25)+TIME(2,0,0)+gmt_delta</f>
        <v>42546.625</v>
      </c>
      <c r="V46" s="118" t="str">
        <f>IF(OR(DF10="",DF11=""),"",IF(DF10&gt;DF11,DE10,IF(DF10&lt;DF11,DE11,IF(OR(DG10="",DG11=""),"draw",IF(DG10&gt;DG11,DE10,IF(DG10&lt;DG11,DE11,"draw"))))))</f>
        <v/>
      </c>
      <c r="W46" s="118" t="str">
        <f>IF(OR(V46="",V46="draw"),INDEX(T,86,lang),V46)</f>
        <v>V37</v>
      </c>
      <c r="AL46" s="117" t="str">
        <f>IF(AM46&lt;5,"C","")</f>
        <v/>
      </c>
      <c r="AM46" s="116">
        <f t="shared" si="60"/>
        <v>5</v>
      </c>
      <c r="AN46" s="117" t="str">
        <f>BC22</f>
        <v>Nord-Irland</v>
      </c>
      <c r="AO46" s="116">
        <f>IFERROR(VLOOKUP(AN46,$AN$8:$AS$41,2,FALSE),0)</f>
        <v>0</v>
      </c>
      <c r="AP46" s="116">
        <f t="shared" si="56"/>
        <v>0</v>
      </c>
      <c r="AQ46" s="116">
        <f t="shared" si="57"/>
        <v>1</v>
      </c>
      <c r="AR46" s="116">
        <f t="shared" si="58"/>
        <v>1</v>
      </c>
      <c r="AS46" s="116">
        <f t="shared" si="59"/>
        <v>2</v>
      </c>
      <c r="AU46" s="116">
        <f t="shared" si="61"/>
        <v>-1</v>
      </c>
      <c r="AV46" s="116">
        <f>(AU46-AU51)/AU50</f>
        <v>0.33333333333333331</v>
      </c>
      <c r="AW46" s="116">
        <f t="shared" si="62"/>
        <v>0</v>
      </c>
      <c r="BA46" s="116">
        <f>IFERROR(VLOOKUP(AN46,db_fifarank,2,FALSE)/2000000,4)</f>
        <v>1.1480499999999999E-2</v>
      </c>
      <c r="BB46" s="117">
        <f t="shared" si="63"/>
        <v>366.67814716666663</v>
      </c>
    </row>
    <row r="47" spans="1:129" x14ac:dyDescent="0.3">
      <c r="M47" s="23" t="str">
        <f>VLOOKUP(3,AM44:AW49,2,FALSE)</f>
        <v>Tsjekkisk Republikk</v>
      </c>
      <c r="N47" s="29">
        <f t="shared" si="64"/>
        <v>0</v>
      </c>
      <c r="O47" s="29">
        <f>VLOOKUP(3,AM44:AW49,3,FALSE)</f>
        <v>0</v>
      </c>
      <c r="P47" s="29">
        <f>VLOOKUP(3,AM44:AW49,4,FALSE)</f>
        <v>0</v>
      </c>
      <c r="Q47" s="29">
        <f>VLOOKUP(3,AM44:AW49,5,FALSE)</f>
        <v>0</v>
      </c>
      <c r="R47" s="29" t="str">
        <f>VLOOKUP(3,AM44:AW49,6,FALSE) &amp; " - " &amp; VLOOKUP(3,AM44:AW49,7,FALSE)</f>
        <v>0 - 0</v>
      </c>
      <c r="S47" s="30">
        <f t="shared" si="65"/>
        <v>0</v>
      </c>
      <c r="U47" s="116">
        <f>DATE(2016,6,25)+TIME(5,0,0)+gmt_delta</f>
        <v>42546.75</v>
      </c>
      <c r="V47" s="118" t="str">
        <f>IF(OR(DF14="",DF15=""),"",IF(DF14&gt;DF15,DE14,IF(DF14&lt;DF15,DE15,IF(OR(DG14="",DG15=""),"draw",IF(DG14&gt;DG15,DE14,IF(DG14&lt;DG15,DE15,"draw"))))))</f>
        <v/>
      </c>
      <c r="W47" s="118" t="str">
        <f>IF(OR(V47="",V47="draw"),INDEX(T,87,lang),V47)</f>
        <v>V39</v>
      </c>
      <c r="AL47" s="117" t="str">
        <f>IF(AM47&lt;5,"D","")</f>
        <v>D</v>
      </c>
      <c r="AM47" s="116">
        <f t="shared" si="60"/>
        <v>3</v>
      </c>
      <c r="AN47" s="117" t="str">
        <f>BC28</f>
        <v>Tsjekkisk Republikk</v>
      </c>
      <c r="AO47" s="116">
        <f>IFERROR(VLOOKUP(AN47,$AN$8:$AS$41,2,FALSE),0)</f>
        <v>0</v>
      </c>
      <c r="AP47" s="116">
        <f t="shared" si="56"/>
        <v>0</v>
      </c>
      <c r="AQ47" s="116">
        <f t="shared" si="57"/>
        <v>0</v>
      </c>
      <c r="AR47" s="116">
        <f t="shared" si="58"/>
        <v>0</v>
      </c>
      <c r="AS47" s="116">
        <f t="shared" si="59"/>
        <v>0</v>
      </c>
      <c r="AU47" s="116">
        <f t="shared" si="61"/>
        <v>0</v>
      </c>
      <c r="AV47" s="116">
        <f>(AU47-AU51)/AU50</f>
        <v>0.66666666666666663</v>
      </c>
      <c r="AW47" s="116">
        <f t="shared" si="62"/>
        <v>0</v>
      </c>
      <c r="BA47" s="116">
        <f>IFERROR(VLOOKUP(AN47,db_fifarank,2,FALSE)/2000000,3)</f>
        <v>1.4701499999999999E-2</v>
      </c>
      <c r="BB47" s="117">
        <f t="shared" si="63"/>
        <v>666.68136816666663</v>
      </c>
    </row>
    <row r="48" spans="1:129" x14ac:dyDescent="0.3">
      <c r="M48" s="23" t="str">
        <f>VLOOKUP(4,AM44:AW49,2,FALSE)</f>
        <v>Slovakia</v>
      </c>
      <c r="N48" s="29">
        <f t="shared" si="64"/>
        <v>1</v>
      </c>
      <c r="O48" s="29">
        <f>VLOOKUP(4,AM44:AW49,3,FALSE)</f>
        <v>0</v>
      </c>
      <c r="P48" s="29">
        <f>VLOOKUP(4,AM44:AW49,4,FALSE)</f>
        <v>0</v>
      </c>
      <c r="Q48" s="29">
        <f>VLOOKUP(4,AM44:AW49,5,FALSE)</f>
        <v>1</v>
      </c>
      <c r="R48" s="29" t="str">
        <f>VLOOKUP(4,AM44:AW49,6,FALSE) &amp; " - " &amp; VLOOKUP(4,AM44:AW49,7,FALSE)</f>
        <v>2 - 3</v>
      </c>
      <c r="S48" s="30">
        <f t="shared" si="65"/>
        <v>0</v>
      </c>
      <c r="U48" s="116">
        <f>DATE(2016,6,25)+TIME(8,0,0)+gmt_delta</f>
        <v>42546.875</v>
      </c>
      <c r="V48" s="118" t="str">
        <f>IF(OR(DF26="",DF27=""),"",IF(DF26&gt;DF27,DE26,IF(DF26&lt;DF27,DE27,IF(OR(DG26="",DG27=""),"draw",IF(DG26&gt;DG27,DE26,IF(DG26&lt;DG27,DE27,"draw"))))))</f>
        <v/>
      </c>
      <c r="W48" s="118" t="str">
        <f>IF(OR(V48="",V48="draw"),INDEX(T,88,lang),V48)</f>
        <v>V41</v>
      </c>
      <c r="AL48" s="117" t="str">
        <f>IF(AM48&lt;5,"E","")</f>
        <v>E</v>
      </c>
      <c r="AM48" s="116">
        <f t="shared" si="60"/>
        <v>1</v>
      </c>
      <c r="AN48" s="117" t="str">
        <f>BC34</f>
        <v>3E</v>
      </c>
      <c r="AO48" s="116">
        <f>IFERROR(VLOOKUP(AN48,$AN$8:$AS$41,2,FALSE),0)</f>
        <v>0</v>
      </c>
      <c r="AP48" s="116">
        <f t="shared" si="56"/>
        <v>0</v>
      </c>
      <c r="AQ48" s="116">
        <f t="shared" si="57"/>
        <v>0</v>
      </c>
      <c r="AR48" s="116">
        <f t="shared" si="58"/>
        <v>0</v>
      </c>
      <c r="AS48" s="116">
        <f t="shared" si="59"/>
        <v>0</v>
      </c>
      <c r="AU48" s="116">
        <f t="shared" si="61"/>
        <v>0</v>
      </c>
      <c r="AV48" s="116">
        <f>(AU48-AU51)/AU50</f>
        <v>0.66666666666666663</v>
      </c>
      <c r="AW48" s="116">
        <f t="shared" si="62"/>
        <v>0</v>
      </c>
      <c r="BA48" s="116">
        <f>IFERROR(VLOOKUP(AN48,db_fifarank,2,FALSE)/2000000,2)</f>
        <v>2</v>
      </c>
      <c r="BB48" s="117">
        <f t="shared" si="63"/>
        <v>668.66666666666663</v>
      </c>
      <c r="BE48" s="116"/>
      <c r="BF48" s="116"/>
      <c r="BG48" s="116"/>
      <c r="BH48" s="116"/>
      <c r="BM48" s="116"/>
      <c r="BN48" s="116"/>
      <c r="BO48" s="116"/>
      <c r="BP48" s="116"/>
      <c r="BR48" s="116"/>
      <c r="BS48" s="116"/>
      <c r="BT48" s="116"/>
      <c r="BU48" s="116"/>
      <c r="BX48" s="116"/>
      <c r="BY48" s="116"/>
      <c r="BZ48" s="116"/>
      <c r="CA48" s="116"/>
      <c r="CC48" s="116"/>
      <c r="CD48" s="116"/>
      <c r="CE48" s="116"/>
      <c r="CF48" s="116"/>
      <c r="CH48" s="116"/>
      <c r="CI48" s="116"/>
      <c r="CJ48" s="116"/>
      <c r="CK48" s="116"/>
      <c r="CN48" s="116"/>
      <c r="CO48" s="116"/>
      <c r="CP48" s="116"/>
      <c r="CQ48" s="116"/>
      <c r="CU48" s="116"/>
      <c r="CV48" s="116"/>
      <c r="CW48" s="116"/>
      <c r="CX48" s="116"/>
    </row>
    <row r="49" spans="2:102" x14ac:dyDescent="0.3">
      <c r="M49" s="23" t="str">
        <f>VLOOKUP(5,AM44:AW49,2,FALSE)</f>
        <v>Nord-Irland</v>
      </c>
      <c r="N49" s="29">
        <f t="shared" si="64"/>
        <v>1</v>
      </c>
      <c r="O49" s="29">
        <f>VLOOKUP(5,AM44:AW49,3,FALSE)</f>
        <v>0</v>
      </c>
      <c r="P49" s="29">
        <f>VLOOKUP(5,AM44:AW49,4,FALSE)</f>
        <v>0</v>
      </c>
      <c r="Q49" s="29">
        <f>VLOOKUP(5,AM44:AW49,5,FALSE)</f>
        <v>1</v>
      </c>
      <c r="R49" s="29" t="str">
        <f>VLOOKUP(5,AM44:AW49,6,FALSE) &amp; " - " &amp; VLOOKUP(5,AM44:AW49,7,FALSE)</f>
        <v>1 - 2</v>
      </c>
      <c r="S49" s="30">
        <f t="shared" si="65"/>
        <v>0</v>
      </c>
      <c r="U49" s="116">
        <f>DATE(2016,6,26)+TIME(2,0,0)+gmt_delta</f>
        <v>42547.625</v>
      </c>
      <c r="V49" s="118" t="str">
        <f>IF(OR(DF30="",DF31=""),"",IF(DF30&gt;DF31,DE30,IF(DF30&lt;DF31,DE31,IF(OR(DG30="",DG31=""),"draw",IF(DG30&gt;DG31,DE30,IF(DG30&lt;DG31,DE31,"draw"))))))</f>
        <v/>
      </c>
      <c r="W49" s="118" t="str">
        <f>IF(OR(V49="",V49="draw"),INDEX(T,89,lang),V49)</f>
        <v>V43</v>
      </c>
      <c r="AL49" s="117" t="str">
        <f>IF(AM49&lt;5,"F","")</f>
        <v>F</v>
      </c>
      <c r="AM49" s="116">
        <f t="shared" si="60"/>
        <v>2</v>
      </c>
      <c r="AN49" s="117" t="str">
        <f>BC40</f>
        <v>3F</v>
      </c>
      <c r="AO49" s="116">
        <f>IFERROR(VLOOKUP(AN49,$AN$8:$AS$41,2,FALSE),0)</f>
        <v>0</v>
      </c>
      <c r="AP49" s="116">
        <f t="shared" si="56"/>
        <v>0</v>
      </c>
      <c r="AQ49" s="116">
        <f t="shared" si="57"/>
        <v>0</v>
      </c>
      <c r="AR49" s="116">
        <f t="shared" si="58"/>
        <v>0</v>
      </c>
      <c r="AS49" s="116">
        <f t="shared" si="59"/>
        <v>0</v>
      </c>
      <c r="AU49" s="116">
        <f t="shared" si="61"/>
        <v>0</v>
      </c>
      <c r="AV49" s="116">
        <f>(AU49-AU51)/AU50</f>
        <v>0.66666666666666663</v>
      </c>
      <c r="AW49" s="116">
        <f t="shared" si="62"/>
        <v>0</v>
      </c>
      <c r="BA49" s="116">
        <f>IFERROR(VLOOKUP(AN49,db_fifarank,2,FALSE)/2000000,1)</f>
        <v>1</v>
      </c>
      <c r="BB49" s="117">
        <f t="shared" si="63"/>
        <v>667.66666666666663</v>
      </c>
    </row>
    <row r="50" spans="2:102" x14ac:dyDescent="0.3">
      <c r="M50" s="24" t="str">
        <f>VLOOKUP(6,AM44:AW49,2,FALSE)</f>
        <v>Albania</v>
      </c>
      <c r="N50" s="31">
        <f t="shared" si="64"/>
        <v>1</v>
      </c>
      <c r="O50" s="31">
        <f>VLOOKUP(6,AM44:AW49,3,FALSE)</f>
        <v>0</v>
      </c>
      <c r="P50" s="31">
        <f>VLOOKUP(6,AM44:AW49,4,FALSE)</f>
        <v>0</v>
      </c>
      <c r="Q50" s="31">
        <f>VLOOKUP(6,AM44:AW49,5,FALSE)</f>
        <v>1</v>
      </c>
      <c r="R50" s="31" t="str">
        <f>VLOOKUP(6,AM44:AW49,6,FALSE) &amp; " - " &amp; VLOOKUP(6,AM44:AW49,7,FALSE)</f>
        <v>1 - 3</v>
      </c>
      <c r="S50" s="32">
        <f t="shared" si="65"/>
        <v>0</v>
      </c>
      <c r="U50" s="116">
        <f>DATE(2016,6,26)+TIME(5,0,0)+gmt_delta</f>
        <v>42547.75</v>
      </c>
      <c r="V50" s="118" t="str">
        <f>IF(OR(DF18="",DF19=""),"",IF(DF18&gt;DF19,DE18,IF(DF18&lt;DF19,DE19,IF(OR(DG18="",DG19=""),"draw",IF(DG18&gt;DG19,DE18,IF(DG18&lt;DG19,DE19,"draw"))))))</f>
        <v/>
      </c>
      <c r="W50" s="118" t="str">
        <f>IF(OR(V50="",V50="draw"),INDEX(T,90,lang),V50)</f>
        <v>V38</v>
      </c>
      <c r="AL50" s="117" t="str">
        <f>AL44&amp;AL45&amp;AL46&amp;AL47&amp;AL48&amp;AL49</f>
        <v>BDEF</v>
      </c>
      <c r="AO50" s="116">
        <f>MAX(AO44:AO49)-MIN(AO44:AO49)+1</f>
        <v>1</v>
      </c>
      <c r="AP50" s="116">
        <f>MAX(AP44:AP49)-MIN(AP44:AP49)+1</f>
        <v>1</v>
      </c>
      <c r="AQ50" s="116">
        <f>MAX(AQ44:AQ49)-MIN(AQ44:AQ49)+1</f>
        <v>2</v>
      </c>
      <c r="AR50" s="116">
        <f>MAX(AR44:AR49)-MIN(AR44:AR49)+1</f>
        <v>3</v>
      </c>
      <c r="AS50" s="116">
        <f>MAX(AS44:AS49)-MIN(AS44:AS49)+1</f>
        <v>4</v>
      </c>
      <c r="AU50" s="116">
        <f>MAX(AU44:AU49)-AU51+1</f>
        <v>3</v>
      </c>
      <c r="AW50" s="116">
        <f>MAX(AW44:AW49)-MIN(AW44:AW49)+1</f>
        <v>1</v>
      </c>
      <c r="BA50" s="116"/>
    </row>
    <row r="51" spans="2:102" x14ac:dyDescent="0.3">
      <c r="U51" s="116">
        <f>DATE(2016,6,26)+TIME(8,0,0)+gmt_delta</f>
        <v>42547.875</v>
      </c>
      <c r="V51" s="118" t="str">
        <f>IF(OR(DF22="",DF23=""),"",IF(DF22&gt;DF23,DE22,IF(DF22&lt;DF23,DE23,IF(OR(DG22="",DG23=""),"draw",IF(DG22&gt;DG23,DE22,IF(DG22&lt;DG23,DE23,"draw"))))))</f>
        <v/>
      </c>
      <c r="W51" s="118" t="str">
        <f>IF(OR(V51="",V51="draw"),INDEX(T,91,lang),V51)</f>
        <v>V42</v>
      </c>
      <c r="AU51" s="116">
        <f>MIN(AU44:AU49)</f>
        <v>-2</v>
      </c>
      <c r="BA51" s="116"/>
    </row>
    <row r="52" spans="2:102" x14ac:dyDescent="0.3">
      <c r="B52" s="150" t="s">
        <v>1683</v>
      </c>
      <c r="C52" s="151"/>
      <c r="D52" s="151"/>
      <c r="E52" s="151"/>
      <c r="F52" s="151"/>
      <c r="G52" s="151"/>
      <c r="H52" s="151"/>
      <c r="I52" s="151"/>
      <c r="J52" s="151"/>
      <c r="K52" s="152"/>
      <c r="M52" s="158" t="s">
        <v>1681</v>
      </c>
      <c r="N52" s="159"/>
      <c r="O52" s="159"/>
      <c r="P52" s="159" t="s">
        <v>1682</v>
      </c>
      <c r="Q52" s="159"/>
      <c r="R52" s="159"/>
      <c r="S52" s="162"/>
      <c r="U52" s="116">
        <f>DATE(2016,6,27)+TIME(5,0,0)+gmt_delta</f>
        <v>42548.75</v>
      </c>
      <c r="V52" s="118" t="str">
        <f>IF(OR(DF34="",DF35=""),"",IF(DF34&gt;DF35,DE34,IF(DF34&lt;DF35,DE35,IF(OR(DG34="",DG35=""),"draw",IF(DG34&gt;DG35,DE34,IF(DG34&lt;DG35,DE35,"draw"))))))</f>
        <v/>
      </c>
      <c r="W52" s="118" t="str">
        <f>IF(OR(V52="",V52="draw"),INDEX(T,92,lang),V52)</f>
        <v>V40</v>
      </c>
      <c r="BA52" s="116"/>
    </row>
    <row r="53" spans="2:102" x14ac:dyDescent="0.3">
      <c r="B53" s="153"/>
      <c r="C53" s="154"/>
      <c r="D53" s="154"/>
      <c r="E53" s="154"/>
      <c r="F53" s="154"/>
      <c r="G53" s="154"/>
      <c r="H53" s="154"/>
      <c r="I53" s="154"/>
      <c r="J53" s="154"/>
      <c r="K53" s="155"/>
      <c r="M53" s="160"/>
      <c r="N53" s="161"/>
      <c r="O53" s="161"/>
      <c r="P53" s="161"/>
      <c r="Q53" s="161"/>
      <c r="R53" s="161"/>
      <c r="S53" s="163"/>
      <c r="U53" s="116">
        <f>DATE(2016,6,27)+TIME(8,0,0)+gmt_delta</f>
        <v>42548.875</v>
      </c>
      <c r="V53" s="118" t="str">
        <f>IF(OR(DF38="",DF39=""),"",IF(DF38&gt;DF39,DE38,IF(DF38&lt;DF39,DE39,IF(OR(DG38="",DG39=""),"draw",IF(DG38&gt;DG39,DE38,IF(DG38&lt;DG39,DE39,"draw"))))))</f>
        <v/>
      </c>
      <c r="W53" s="118" t="str">
        <f>IF(OR(V53="",V53="draw"),INDEX(T,93,lang),V53)</f>
        <v>V44</v>
      </c>
      <c r="AN53" s="124" t="s">
        <v>1708</v>
      </c>
      <c r="AO53" s="124" t="str">
        <f>$AN$46</f>
        <v>Nord-Irland</v>
      </c>
      <c r="AP53" s="124" t="str">
        <f>$AN$47</f>
        <v>Tsjekkisk Republikk</v>
      </c>
      <c r="AQ53" s="124" t="str">
        <f>$AN$44</f>
        <v>Albania</v>
      </c>
      <c r="AR53" s="124" t="str">
        <f>$AN$45</f>
        <v>Slovakia</v>
      </c>
      <c r="AS53" s="124" t="s">
        <v>1098</v>
      </c>
      <c r="AT53" s="124" t="s">
        <v>593</v>
      </c>
      <c r="AU53" s="124" t="s">
        <v>1723</v>
      </c>
      <c r="AV53" s="124" t="s">
        <v>891</v>
      </c>
      <c r="BA53" s="116"/>
    </row>
    <row r="54" spans="2:102" x14ac:dyDescent="0.3">
      <c r="AN54" s="124" t="s">
        <v>1709</v>
      </c>
      <c r="AO54" s="124" t="str">
        <f>$AN$46</f>
        <v>Nord-Irland</v>
      </c>
      <c r="AP54" s="124" t="str">
        <f>$AN$44</f>
        <v>Albania</v>
      </c>
      <c r="AQ54" s="124" t="str">
        <f>$AN$45</f>
        <v>Slovakia</v>
      </c>
      <c r="AR54" s="124" t="str">
        <f>$AN$48</f>
        <v>3E</v>
      </c>
      <c r="AS54" s="124" t="s">
        <v>1098</v>
      </c>
      <c r="AT54" s="124" t="s">
        <v>1723</v>
      </c>
      <c r="AU54" s="124" t="s">
        <v>891</v>
      </c>
      <c r="AV54" s="124" t="s">
        <v>986</v>
      </c>
      <c r="BE54" s="116"/>
      <c r="BF54" s="116"/>
      <c r="BG54" s="116"/>
      <c r="BH54" s="116"/>
      <c r="BM54" s="116"/>
      <c r="BN54" s="116"/>
      <c r="BO54" s="116"/>
      <c r="BP54" s="116"/>
      <c r="BR54" s="116"/>
      <c r="BS54" s="116"/>
      <c r="BT54" s="116"/>
      <c r="BU54" s="116"/>
      <c r="BX54" s="116"/>
      <c r="BY54" s="116"/>
      <c r="BZ54" s="116"/>
      <c r="CA54" s="116"/>
      <c r="CC54" s="116"/>
      <c r="CD54" s="116"/>
      <c r="CE54" s="116"/>
      <c r="CF54" s="116"/>
      <c r="CH54" s="116"/>
      <c r="CI54" s="116"/>
      <c r="CJ54" s="116"/>
      <c r="CK54" s="116"/>
      <c r="CN54" s="116"/>
      <c r="CO54" s="116"/>
      <c r="CP54" s="116"/>
      <c r="CQ54" s="116"/>
      <c r="CU54" s="116"/>
      <c r="CV54" s="116"/>
      <c r="CW54" s="116"/>
      <c r="CX54" s="116"/>
    </row>
    <row r="55" spans="2:102" x14ac:dyDescent="0.3">
      <c r="L55" s="63"/>
      <c r="AN55" s="124" t="s">
        <v>1710</v>
      </c>
      <c r="AO55" s="124" t="str">
        <f>$AN$46</f>
        <v>Nord-Irland</v>
      </c>
      <c r="AP55" s="124" t="str">
        <f>$AN$44</f>
        <v>Albania</v>
      </c>
      <c r="AQ55" s="124" t="str">
        <f>$AN$45</f>
        <v>Slovakia</v>
      </c>
      <c r="AR55" s="124" t="str">
        <f>$AN$49</f>
        <v>3F</v>
      </c>
      <c r="AS55" s="124" t="s">
        <v>1098</v>
      </c>
      <c r="AT55" s="124" t="s">
        <v>1723</v>
      </c>
      <c r="AU55" s="124" t="s">
        <v>891</v>
      </c>
      <c r="AV55" s="124" t="s">
        <v>29</v>
      </c>
    </row>
    <row r="56" spans="2:102" ht="12.75" customHeight="1" x14ac:dyDescent="0.3">
      <c r="L56" s="26"/>
      <c r="AN56" s="124" t="s">
        <v>1711</v>
      </c>
      <c r="AO56" s="124" t="str">
        <f>$AN$47</f>
        <v>Tsjekkisk Republikk</v>
      </c>
      <c r="AP56" s="124" t="str">
        <f>$AN$44</f>
        <v>Albania</v>
      </c>
      <c r="AQ56" s="124" t="str">
        <f>$AN$45</f>
        <v>Slovakia</v>
      </c>
      <c r="AR56" s="124" t="str">
        <f>$AN$48</f>
        <v>3E</v>
      </c>
      <c r="AS56" s="124" t="s">
        <v>593</v>
      </c>
      <c r="AT56" s="124" t="s">
        <v>1723</v>
      </c>
      <c r="AU56" s="124" t="s">
        <v>891</v>
      </c>
      <c r="AV56" s="124" t="s">
        <v>986</v>
      </c>
    </row>
    <row r="57" spans="2:102" ht="12.75" customHeight="1" x14ac:dyDescent="0.3">
      <c r="L57" s="26"/>
      <c r="U57" s="116">
        <f>DATE(2016,6,30)+TIME(8,0,0)+gmt_delta</f>
        <v>42551.875</v>
      </c>
      <c r="V57" s="118" t="str">
        <f>IF(OR(DL12="",DL13=""),"",IF(DL12&gt;DL13,DK12,IF(DL12&lt;DL13,DK13,IF(OR(DM12="",DM13=""),"draw",IF(DM12&gt;DM13,DK12,IF(DM12&lt;DM13,DK13,"draw"))))))</f>
        <v/>
      </c>
      <c r="W57" s="118" t="str">
        <f>IF(OR(V57="",V57="draw"),INDEX(T,94,lang),V57)</f>
        <v>V45</v>
      </c>
      <c r="AN57" s="124" t="s">
        <v>1712</v>
      </c>
      <c r="AO57" s="124" t="str">
        <f>$AN$47</f>
        <v>Tsjekkisk Republikk</v>
      </c>
      <c r="AP57" s="124" t="str">
        <f>$AN$44</f>
        <v>Albania</v>
      </c>
      <c r="AQ57" s="124" t="str">
        <f>$AN$45</f>
        <v>Slovakia</v>
      </c>
      <c r="AR57" s="124" t="str">
        <f>$AN$49</f>
        <v>3F</v>
      </c>
      <c r="AS57" s="124" t="s">
        <v>593</v>
      </c>
      <c r="AT57" s="124" t="s">
        <v>1723</v>
      </c>
      <c r="AU57" s="124" t="s">
        <v>891</v>
      </c>
      <c r="AV57" s="124" t="s">
        <v>29</v>
      </c>
    </row>
    <row r="58" spans="2:102" x14ac:dyDescent="0.3">
      <c r="U58" s="116">
        <f>DATE(2016,7,1)+TIME(8,0,0)+gmt_delta</f>
        <v>42552.875</v>
      </c>
      <c r="V58" s="118" t="str">
        <f>IF(OR(DL20="",DL21=""),"",IF(DL20&gt;DL21,DK20,IF(DL20&lt;DL21,DK21,IF(OR(DM20="",DM21=""),"draw",IF(DM20&gt;DM21,DK20,IF(DM20&lt;DM21,DK21,"draw"))))))</f>
        <v/>
      </c>
      <c r="W58" s="118" t="str">
        <f>IF(OR(V58="",V58="draw"),INDEX(T,95,lang),V58)</f>
        <v>V46</v>
      </c>
      <c r="AN58" s="124" t="s">
        <v>1713</v>
      </c>
      <c r="AO58" s="124" t="str">
        <f>$AN$48</f>
        <v>3E</v>
      </c>
      <c r="AP58" s="124" t="str">
        <f>$AN$44</f>
        <v>Albania</v>
      </c>
      <c r="AQ58" s="124" t="str">
        <f>$AN$45</f>
        <v>Slovakia</v>
      </c>
      <c r="AR58" s="124" t="str">
        <f>$AN$49</f>
        <v>3F</v>
      </c>
      <c r="AS58" s="124" t="s">
        <v>986</v>
      </c>
      <c r="AT58" s="124" t="s">
        <v>1723</v>
      </c>
      <c r="AU58" s="124" t="s">
        <v>891</v>
      </c>
      <c r="AV58" s="124" t="s">
        <v>29</v>
      </c>
    </row>
    <row r="59" spans="2:102" ht="12.75" customHeight="1" x14ac:dyDescent="0.3">
      <c r="U59" s="116">
        <f>DATE(2016,7,2)+TIME(8,0,0)+gmt_delta</f>
        <v>42553.875</v>
      </c>
      <c r="V59" s="118" t="str">
        <f>IF(OR(DL28="",DL29=""),"",IF(DL28&gt;DL29,DK28,IF(DL28&lt;DL29,DK29,IF(OR(DM28="",DM29=""),"draw",IF(DM28&gt;DM29,DK28,IF(DM28&lt;DM29,DK29,"draw"))))))</f>
        <v/>
      </c>
      <c r="W59" s="118" t="str">
        <f>IF(OR(V59="",V59="draw"),INDEX(T,96,lang),V59)</f>
        <v>V47</v>
      </c>
      <c r="AN59" s="124" t="s">
        <v>1714</v>
      </c>
      <c r="AO59" s="124" t="str">
        <f>$AN$46</f>
        <v>Nord-Irland</v>
      </c>
      <c r="AP59" s="124" t="str">
        <f>$AN$47</f>
        <v>Tsjekkisk Republikk</v>
      </c>
      <c r="AQ59" s="124" t="str">
        <f>$AN$44</f>
        <v>Albania</v>
      </c>
      <c r="AR59" s="124" t="str">
        <f>$AN$48</f>
        <v>3E</v>
      </c>
      <c r="AS59" s="124" t="s">
        <v>1098</v>
      </c>
      <c r="AT59" s="124" t="s">
        <v>593</v>
      </c>
      <c r="AU59" s="124" t="s">
        <v>1723</v>
      </c>
      <c r="AV59" s="124" t="s">
        <v>986</v>
      </c>
    </row>
    <row r="60" spans="2:102" ht="12.75" customHeight="1" x14ac:dyDescent="0.3">
      <c r="U60" s="116">
        <f>DATE(2016,7,3)+TIME(8,0,0)+gmt_delta</f>
        <v>42554.875</v>
      </c>
      <c r="V60" s="118" t="str">
        <f>IF(OR(DL36="",DL37=""),"",IF(DL36&gt;DL37,DK36,IF(DL36&lt;DL37,DK37,IF(OR(DM36="",DM37=""),"draw",IF(DM36&gt;DM37,DK36,IF(DM36&lt;DM37,DK37,"draw"))))))</f>
        <v/>
      </c>
      <c r="W60" s="118" t="str">
        <f>IF(OR(V60="",V60="draw"),INDEX(T,97,lang),V60)</f>
        <v>V48</v>
      </c>
      <c r="AN60" s="124" t="s">
        <v>1715</v>
      </c>
      <c r="AO60" s="124" t="str">
        <f>$AN$46</f>
        <v>Nord-Irland</v>
      </c>
      <c r="AP60" s="124" t="str">
        <f>$AN$47</f>
        <v>Tsjekkisk Republikk</v>
      </c>
      <c r="AQ60" s="124" t="str">
        <f>$AN$44</f>
        <v>Albania</v>
      </c>
      <c r="AR60" s="124" t="str">
        <f>$AN$49</f>
        <v>3F</v>
      </c>
      <c r="AS60" s="124" t="s">
        <v>1098</v>
      </c>
      <c r="AT60" s="124" t="s">
        <v>593</v>
      </c>
      <c r="AU60" s="124" t="s">
        <v>1723</v>
      </c>
      <c r="AV60" s="124" t="s">
        <v>29</v>
      </c>
    </row>
    <row r="61" spans="2:102" ht="12.75" customHeight="1" x14ac:dyDescent="0.3">
      <c r="AN61" s="124" t="s">
        <v>1716</v>
      </c>
      <c r="AO61" s="124" t="str">
        <f>$AN$46</f>
        <v>Nord-Irland</v>
      </c>
      <c r="AP61" s="124" t="str">
        <f>$AN$44</f>
        <v>Albania</v>
      </c>
      <c r="AQ61" s="124" t="str">
        <f>$AN$49</f>
        <v>3F</v>
      </c>
      <c r="AR61" s="124" t="str">
        <f>$AN$48</f>
        <v>3E</v>
      </c>
      <c r="AS61" s="124" t="s">
        <v>1098</v>
      </c>
      <c r="AT61" s="124" t="s">
        <v>1723</v>
      </c>
      <c r="AU61" s="124" t="s">
        <v>29</v>
      </c>
      <c r="AV61" s="124" t="s">
        <v>986</v>
      </c>
    </row>
    <row r="62" spans="2:102" ht="12.75" customHeight="1" x14ac:dyDescent="0.3">
      <c r="AN62" s="124" t="s">
        <v>1717</v>
      </c>
      <c r="AO62" s="124" t="str">
        <f>$AN$47</f>
        <v>Tsjekkisk Republikk</v>
      </c>
      <c r="AP62" s="124" t="str">
        <f>$AN$44</f>
        <v>Albania</v>
      </c>
      <c r="AQ62" s="124" t="str">
        <f>$AN$49</f>
        <v>3F</v>
      </c>
      <c r="AR62" s="124" t="str">
        <f>$AN$48</f>
        <v>3E</v>
      </c>
      <c r="AS62" s="124" t="s">
        <v>593</v>
      </c>
      <c r="AT62" s="124" t="s">
        <v>1723</v>
      </c>
      <c r="AU62" s="124" t="s">
        <v>29</v>
      </c>
      <c r="AV62" s="124" t="s">
        <v>986</v>
      </c>
    </row>
    <row r="63" spans="2:102" ht="12.75" customHeight="1" x14ac:dyDescent="0.3">
      <c r="AN63" s="124" t="s">
        <v>1718</v>
      </c>
      <c r="AO63" s="124" t="str">
        <f>$AN$46</f>
        <v>Nord-Irland</v>
      </c>
      <c r="AP63" s="124" t="str">
        <f>$AN$47</f>
        <v>Tsjekkisk Republikk</v>
      </c>
      <c r="AQ63" s="124" t="str">
        <f>$AN$45</f>
        <v>Slovakia</v>
      </c>
      <c r="AR63" s="124" t="str">
        <f>$AN$48</f>
        <v>3E</v>
      </c>
      <c r="AS63" s="124" t="s">
        <v>1098</v>
      </c>
      <c r="AT63" s="124" t="s">
        <v>593</v>
      </c>
      <c r="AU63" s="124" t="s">
        <v>891</v>
      </c>
      <c r="AV63" s="124" t="s">
        <v>986</v>
      </c>
    </row>
    <row r="64" spans="2:102" ht="12.75" customHeight="1" x14ac:dyDescent="0.3">
      <c r="U64" s="116">
        <f>DATE(2016,7,6)+TIME(8,0,0)+gmt_delta</f>
        <v>42557.875</v>
      </c>
      <c r="V64" s="118" t="str">
        <f>IF(OR(DR16="",DR17=""),"",IF(DR16&gt;DR17,DQ16,IF(DR16&lt;DR17,DQ17,IF(OR(DS16="",DS17=""),"draw",IF(DS16&gt;DS17,DQ16,IF(DS16&lt;DS17,DQ17,"draw"))))))</f>
        <v/>
      </c>
      <c r="W64" s="118" t="str">
        <f>IF(OR(V64="",V64="draw"),INDEX(T,98,lang),V64)</f>
        <v>V49</v>
      </c>
      <c r="X64" s="118" t="str">
        <f>IF(OR(DR16="",DR17=""),"",IF(DR16&lt;DR17,DQ16,IF(DR16&gt;DR17,DQ17,IF(OR(DS16="",DS17=""),"draw",IF(DS16&lt;DS17,DQ16,IF(DS16&gt;DS17,DQ17,"draw"))))))</f>
        <v/>
      </c>
      <c r="AN64" s="124" t="s">
        <v>1719</v>
      </c>
      <c r="AO64" s="124" t="str">
        <f>$AN$46</f>
        <v>Nord-Irland</v>
      </c>
      <c r="AP64" s="124" t="str">
        <f>$AN$47</f>
        <v>Tsjekkisk Republikk</v>
      </c>
      <c r="AQ64" s="124" t="str">
        <f>$AN$45</f>
        <v>Slovakia</v>
      </c>
      <c r="AR64" s="124" t="str">
        <f>$AN$49</f>
        <v>3F</v>
      </c>
      <c r="AS64" s="124" t="s">
        <v>1098</v>
      </c>
      <c r="AT64" s="124" t="s">
        <v>593</v>
      </c>
      <c r="AU64" s="124" t="s">
        <v>891</v>
      </c>
      <c r="AV64" s="124" t="s">
        <v>29</v>
      </c>
    </row>
    <row r="65" spans="21:48" ht="12.75" customHeight="1" x14ac:dyDescent="0.3">
      <c r="U65" s="116">
        <f>DATE(2016,7,7)+TIME(8,0,0)+gmt_delta</f>
        <v>42558.875</v>
      </c>
      <c r="V65" s="118" t="str">
        <f>IF(OR(DR32="",DR33=""),"",IF(DR32&gt;DR33,DQ32,IF(DR32&lt;DR33,DQ33,IF(OR(DS32="",DS33=""),"draw",IF(DS32&gt;DS33,DQ32,IF(DS32&lt;DS33,DQ33,"draw"))))))</f>
        <v/>
      </c>
      <c r="W65" s="118" t="str">
        <f>IF(OR(V65="",V65="draw"),INDEX(T,99,lang),V65)</f>
        <v>V50</v>
      </c>
      <c r="X65" s="118" t="str">
        <f>IF(OR(DR32="",DR33=""),"",IF(DR32&lt;DR33,DQ32,IF(DR32&gt;DR33,DQ33,IF(OR(DS32="",DS33=""),"draw",IF(DS32&lt;DS33,DQ32,IF(DS32&gt;DS33,DQ33,"draw"))))))</f>
        <v/>
      </c>
      <c r="AN65" s="124" t="s">
        <v>1720</v>
      </c>
      <c r="AO65" s="124" t="str">
        <f>$AN$48</f>
        <v>3E</v>
      </c>
      <c r="AP65" s="124" t="str">
        <f>$AN$46</f>
        <v>Nord-Irland</v>
      </c>
      <c r="AQ65" s="124" t="str">
        <f>$AN$45</f>
        <v>Slovakia</v>
      </c>
      <c r="AR65" s="124" t="str">
        <f>$AN$49</f>
        <v>3F</v>
      </c>
      <c r="AS65" s="124" t="s">
        <v>986</v>
      </c>
      <c r="AT65" s="124" t="s">
        <v>1098</v>
      </c>
      <c r="AU65" s="124" t="s">
        <v>891</v>
      </c>
      <c r="AV65" s="124" t="s">
        <v>29</v>
      </c>
    </row>
    <row r="66" spans="21:48" ht="12.75" customHeight="1" x14ac:dyDescent="0.3">
      <c r="AN66" s="124" t="s">
        <v>1721</v>
      </c>
      <c r="AO66" s="124" t="str">
        <f>$AN$48</f>
        <v>3E</v>
      </c>
      <c r="AP66" s="124" t="str">
        <f>$AN$47</f>
        <v>Tsjekkisk Republikk</v>
      </c>
      <c r="AQ66" s="124" t="str">
        <f>$AN$45</f>
        <v>Slovakia</v>
      </c>
      <c r="AR66" s="124" t="str">
        <f>$AN$49</f>
        <v>3F</v>
      </c>
      <c r="AS66" s="124" t="s">
        <v>986</v>
      </c>
      <c r="AT66" s="124" t="s">
        <v>593</v>
      </c>
      <c r="AU66" s="124" t="s">
        <v>891</v>
      </c>
      <c r="AV66" s="124" t="s">
        <v>29</v>
      </c>
    </row>
    <row r="67" spans="21:48" ht="12.75" customHeight="1" x14ac:dyDescent="0.3">
      <c r="AN67" s="124" t="s">
        <v>1722</v>
      </c>
      <c r="AO67" s="124" t="str">
        <f>$AN$46</f>
        <v>Nord-Irland</v>
      </c>
      <c r="AP67" s="124" t="str">
        <f>$AN$47</f>
        <v>Tsjekkisk Republikk</v>
      </c>
      <c r="AQ67" s="124" t="str">
        <f>$AN$49</f>
        <v>3F</v>
      </c>
      <c r="AR67" s="124" t="str">
        <f>$AN$48</f>
        <v>3E</v>
      </c>
      <c r="AS67" s="124" t="s">
        <v>1098</v>
      </c>
      <c r="AT67" s="124" t="s">
        <v>593</v>
      </c>
      <c r="AU67" s="124" t="s">
        <v>29</v>
      </c>
      <c r="AV67" s="124" t="s">
        <v>986</v>
      </c>
    </row>
    <row r="68" spans="21:48" ht="12.75" customHeight="1" x14ac:dyDescent="0.3"/>
    <row r="69" spans="21:48" ht="12.75" customHeight="1" x14ac:dyDescent="0.3">
      <c r="U69" s="116">
        <f>DATE(2016,7,12)+TIME(9,0,0)+gmt_delta</f>
        <v>42563.916666666664</v>
      </c>
      <c r="W69" s="118" t="e">
        <f>IF(OR(#REF!="",#REF!=""),"",IF(#REF!&gt;#REF!,#REF!,IF(#REF!&lt;#REF!,#REF!,IF(OR(#REF!="",#REF!=""),"",IF(#REF!&gt;#REF!,#REF!,IF(#REF!&lt;#REF!,#REF!,""))))))</f>
        <v>#REF!</v>
      </c>
    </row>
    <row r="70" spans="21:48" ht="12.75" customHeight="1" x14ac:dyDescent="0.3"/>
    <row r="71" spans="21:48" ht="12.75" customHeight="1" x14ac:dyDescent="0.3"/>
    <row r="72" spans="21:48" ht="12.75" customHeight="1" x14ac:dyDescent="0.3"/>
    <row r="73" spans="21:48" ht="12.75" customHeight="1" x14ac:dyDescent="0.3">
      <c r="U73" s="116">
        <f>DATE(2016,7,10)+TIME(8,0,0)+gmt_delta</f>
        <v>42561.875</v>
      </c>
      <c r="V73" s="118" t="str">
        <f>IF(OR(DX23="",DX24=""),"",IF(DX23&gt;DX24,DW23,IF(DX23&lt;DX24,DW24,IF(OR(DY23="",DY24=""),"",IF(DY23&gt;DY24,DW23,IF(DY23&lt;DY24,DW24,""))))))</f>
        <v/>
      </c>
      <c r="W73" s="118" t="str">
        <f>V73</f>
        <v/>
      </c>
    </row>
    <row r="74" spans="21:48" ht="12.75" customHeight="1" x14ac:dyDescent="0.3"/>
    <row r="75" spans="21:48" ht="12.75" customHeight="1" x14ac:dyDescent="0.3"/>
    <row r="76" spans="21:48" ht="12.75" customHeight="1" x14ac:dyDescent="0.3">
      <c r="AL76" s="118" t="str">
        <f>IF(OR(X64="",X64="draw"),INDEX(T,100,lang),X64)</f>
        <v>T61</v>
      </c>
    </row>
    <row r="77" spans="21:48" ht="12.75" customHeight="1" x14ac:dyDescent="0.3">
      <c r="AL77" s="118" t="str">
        <f>IF(OR(X65="",X65="draw"),INDEX(T,101,lang),X65)</f>
        <v>T62</v>
      </c>
    </row>
    <row r="79" spans="21:48" ht="12.75" customHeight="1" x14ac:dyDescent="0.3"/>
    <row r="80" spans="21:48" ht="12.75" customHeight="1" x14ac:dyDescent="0.3"/>
    <row r="83" ht="12.75" customHeight="1" x14ac:dyDescent="0.3"/>
    <row r="84" ht="12.75" customHeight="1" x14ac:dyDescent="0.3"/>
    <row r="87" ht="12.75" customHeight="1" x14ac:dyDescent="0.3"/>
    <row r="88" ht="12.75" customHeight="1" x14ac:dyDescent="0.3"/>
    <row r="96" ht="12.75" customHeight="1" x14ac:dyDescent="0.3"/>
    <row r="97" ht="12.75" customHeight="1" x14ac:dyDescent="0.3"/>
  </sheetData>
  <sheetProtection algorithmName="SHA-512" hashValue="ItxB6xPFAP53WvHynii7dvoW5qsxhbZht/7vQrIuS1cUo6uNjhkl7TIHZiEre+wSrD0IS3wUL7FQ04licqowHA==" saltValue="mKJdDrE5bBpLFGj/vge/Yg==" spinCount="100000" sheet="1" objects="1" scenarios="1"/>
  <mergeCells count="64">
    <mergeCell ref="DD6:DG7"/>
    <mergeCell ref="DJ6:DM7"/>
    <mergeCell ref="DP6:DS7"/>
    <mergeCell ref="DV6:DY7"/>
    <mergeCell ref="DP16:DP17"/>
    <mergeCell ref="DP32:DP33"/>
    <mergeCell ref="DV23:DV24"/>
    <mergeCell ref="DD22:DD23"/>
    <mergeCell ref="DD10:DD11"/>
    <mergeCell ref="DJ12:DJ13"/>
    <mergeCell ref="DJ20:DJ21"/>
    <mergeCell ref="DJ28:DJ29"/>
    <mergeCell ref="DD14:DD15"/>
    <mergeCell ref="DD26:DD27"/>
    <mergeCell ref="DD30:DD31"/>
    <mergeCell ref="DJ36:DJ37"/>
    <mergeCell ref="DD18:DD19"/>
    <mergeCell ref="DD34:DD35"/>
    <mergeCell ref="I10:K10"/>
    <mergeCell ref="I19:K19"/>
    <mergeCell ref="I15:K15"/>
    <mergeCell ref="I17:K17"/>
    <mergeCell ref="I18:K18"/>
    <mergeCell ref="I12:K12"/>
    <mergeCell ref="I14:K14"/>
    <mergeCell ref="I13:K13"/>
    <mergeCell ref="I16:K16"/>
    <mergeCell ref="I11:K11"/>
    <mergeCell ref="I20:K20"/>
    <mergeCell ref="I21:K21"/>
    <mergeCell ref="I28:K28"/>
    <mergeCell ref="M52:O53"/>
    <mergeCell ref="P52:S53"/>
    <mergeCell ref="DO41:DS42"/>
    <mergeCell ref="DT41:DY42"/>
    <mergeCell ref="I26:K26"/>
    <mergeCell ref="I27:K27"/>
    <mergeCell ref="I31:K31"/>
    <mergeCell ref="I39:K39"/>
    <mergeCell ref="I32:K32"/>
    <mergeCell ref="I36:K36"/>
    <mergeCell ref="I33:K33"/>
    <mergeCell ref="I34:K34"/>
    <mergeCell ref="I42:K42"/>
    <mergeCell ref="I30:K30"/>
    <mergeCell ref="I37:K37"/>
    <mergeCell ref="DD38:DD39"/>
    <mergeCell ref="I45:K45"/>
    <mergeCell ref="B52:K53"/>
    <mergeCell ref="I25:K25"/>
    <mergeCell ref="I24:K24"/>
    <mergeCell ref="I22:K22"/>
    <mergeCell ref="I29:K29"/>
    <mergeCell ref="I44:K44"/>
    <mergeCell ref="I35:K35"/>
    <mergeCell ref="I41:K41"/>
    <mergeCell ref="I38:K38"/>
    <mergeCell ref="I40:K40"/>
    <mergeCell ref="I43:K43"/>
    <mergeCell ref="A1:S1"/>
    <mergeCell ref="C5:I6"/>
    <mergeCell ref="R6:S6"/>
    <mergeCell ref="A8:K9"/>
    <mergeCell ref="I23:K23"/>
  </mergeCells>
  <phoneticPr fontId="2" type="noConversion"/>
  <conditionalFormatting sqref="F14:F22 F25:F33 F36:F45">
    <cfRule type="expression" dxfId="165" priority="224" stopIfTrue="1">
      <formula>IF(AND($F14&gt;$G14,ISNUMBER($F14),ISNUMBER($G14)),1,0)</formula>
    </cfRule>
  </conditionalFormatting>
  <conditionalFormatting sqref="G14:G22 G25:G33 G36:G45">
    <cfRule type="expression" dxfId="164" priority="225" stopIfTrue="1">
      <formula>IF(AND($F14&lt;$G14,ISNUMBER($F14),ISNUMBER($G14)),1,0)</formula>
    </cfRule>
  </conditionalFormatting>
  <conditionalFormatting sqref="E10:E45">
    <cfRule type="expression" dxfId="163" priority="250" stopIfTrue="1">
      <formula>IF(AND($F10&gt;$G10,ISNUMBER($F10),ISNUMBER($G10)),1,0)</formula>
    </cfRule>
    <cfRule type="expression" dxfId="162" priority="251" stopIfTrue="1">
      <formula>IF(AND($F10&lt;$G10,ISNUMBER($F10),ISNUMBER($G10)),1,0)</formula>
    </cfRule>
    <cfRule type="expression" dxfId="161" priority="252" stopIfTrue="1">
      <formula>IF(AND($F10=$G10,ISNUMBER($F10),ISNUMBER($G10)),1,0)</formula>
    </cfRule>
  </conditionalFormatting>
  <conditionalFormatting sqref="H10:H45">
    <cfRule type="expression" dxfId="160" priority="253" stopIfTrue="1">
      <formula>IF(AND($F10&lt;$G10,ISNUMBER($F10),ISNUMBER($G10)),1,0)</formula>
    </cfRule>
    <cfRule type="expression" dxfId="159" priority="254" stopIfTrue="1">
      <formula>IF(AND($F10&gt;$G10,ISNUMBER($F10),ISNUMBER($G10)),1,0)</formula>
    </cfRule>
    <cfRule type="expression" dxfId="158" priority="255" stopIfTrue="1">
      <formula>IF(AND($F10=$G10,ISNUMBER($F10),ISNUMBER($G10)),1,0)</formula>
    </cfRule>
  </conditionalFormatting>
  <conditionalFormatting sqref="DF10">
    <cfRule type="expression" dxfId="157" priority="322" stopIfTrue="1">
      <formula>IF(AND($DF10&gt;$DF11,ISNUMBER($DF10),ISNUMBER($DF11)),1,0)</formula>
    </cfRule>
  </conditionalFormatting>
  <conditionalFormatting sqref="DF11">
    <cfRule type="expression" dxfId="156" priority="323" stopIfTrue="1">
      <formula>IF(AND($DF10&lt;$DF11,ISNUMBER($DF10),ISNUMBER($DF11)),1,0)</formula>
    </cfRule>
  </conditionalFormatting>
  <conditionalFormatting sqref="DE10">
    <cfRule type="expression" dxfId="155" priority="1910" stopIfTrue="1">
      <formula>IF($DE10=$W46,1,0)</formula>
    </cfRule>
    <cfRule type="expression" dxfId="154" priority="1911" stopIfTrue="1">
      <formula>IF($DE11=$W46,1,0)</formula>
    </cfRule>
  </conditionalFormatting>
  <conditionalFormatting sqref="DE11">
    <cfRule type="expression" dxfId="153" priority="1912" stopIfTrue="1">
      <formula>IF($DE11=$W46,1,0)</formula>
    </cfRule>
    <cfRule type="expression" dxfId="152" priority="1913" stopIfTrue="1">
      <formula>IF($DE10=$W46,1,0)</formula>
    </cfRule>
  </conditionalFormatting>
  <conditionalFormatting sqref="DE14">
    <cfRule type="expression" dxfId="151" priority="1914" stopIfTrue="1">
      <formula>IF($DE14=$W47,1,0)</formula>
    </cfRule>
    <cfRule type="expression" dxfId="150" priority="1915" stopIfTrue="1">
      <formula>IF($DE15=$W47,1,0)</formula>
    </cfRule>
  </conditionalFormatting>
  <conditionalFormatting sqref="DE15">
    <cfRule type="expression" dxfId="149" priority="1916" stopIfTrue="1">
      <formula>IF($DE15=$W47,1,0)</formula>
    </cfRule>
    <cfRule type="expression" dxfId="148" priority="1917" stopIfTrue="1">
      <formula>IF($DE14=$W47,1,0)</formula>
    </cfRule>
  </conditionalFormatting>
  <conditionalFormatting sqref="DE34">
    <cfRule type="expression" dxfId="147" priority="1918" stopIfTrue="1">
      <formula>IF($DE34=$W52,1,0)</formula>
    </cfRule>
    <cfRule type="expression" dxfId="146" priority="1919" stopIfTrue="1">
      <formula>IF($DE35=$W52,1,0)</formula>
    </cfRule>
  </conditionalFormatting>
  <conditionalFormatting sqref="DE35">
    <cfRule type="expression" dxfId="145" priority="1920" stopIfTrue="1">
      <formula>IF($DE35=$W52,1,0)</formula>
    </cfRule>
    <cfRule type="expression" dxfId="144" priority="1921" stopIfTrue="1">
      <formula>IF($DE34=$W52,1,0)</formula>
    </cfRule>
  </conditionalFormatting>
  <conditionalFormatting sqref="DE38">
    <cfRule type="expression" dxfId="143" priority="1922" stopIfTrue="1">
      <formula>IF($DE38=$W53,1,0)</formula>
    </cfRule>
    <cfRule type="expression" dxfId="142" priority="1923" stopIfTrue="1">
      <formula>IF($DE39=$W53,1,0)</formula>
    </cfRule>
  </conditionalFormatting>
  <conditionalFormatting sqref="DE39">
    <cfRule type="expression" dxfId="141" priority="1924" stopIfTrue="1">
      <formula>IF($DE39=$W53,1,0)</formula>
    </cfRule>
    <cfRule type="expression" dxfId="140" priority="1925" stopIfTrue="1">
      <formula>IF($DE38=$W53,1,0)</formula>
    </cfRule>
  </conditionalFormatting>
  <conditionalFormatting sqref="DE26">
    <cfRule type="expression" dxfId="139" priority="1926" stopIfTrue="1">
      <formula>IF($DE26=$W48,1,0)</formula>
    </cfRule>
    <cfRule type="expression" dxfId="138" priority="1927" stopIfTrue="1">
      <formula>IF($DE27=$W48,1,0)</formula>
    </cfRule>
  </conditionalFormatting>
  <conditionalFormatting sqref="DE27">
    <cfRule type="expression" dxfId="137" priority="1928" stopIfTrue="1">
      <formula>IF($DE27=$W48,1,0)</formula>
    </cfRule>
    <cfRule type="expression" dxfId="136" priority="1929" stopIfTrue="1">
      <formula>IF($DE26=$W48,1,0)</formula>
    </cfRule>
  </conditionalFormatting>
  <conditionalFormatting sqref="DE30">
    <cfRule type="expression" dxfId="135" priority="1930" stopIfTrue="1">
      <formula>IF($DE30=$W49,1,0)</formula>
    </cfRule>
    <cfRule type="expression" dxfId="134" priority="1931" stopIfTrue="1">
      <formula>IF($DE31=$W49,1,0)</formula>
    </cfRule>
  </conditionalFormatting>
  <conditionalFormatting sqref="DE31">
    <cfRule type="expression" dxfId="133" priority="1932" stopIfTrue="1">
      <formula>IF($DE31=$W49,1,0)</formula>
    </cfRule>
    <cfRule type="expression" dxfId="132" priority="1933" stopIfTrue="1">
      <formula>IF($DE30=$W49,1,0)</formula>
    </cfRule>
  </conditionalFormatting>
  <conditionalFormatting sqref="DE18">
    <cfRule type="expression" dxfId="131" priority="1934" stopIfTrue="1">
      <formula>IF($DE18=$W50,1,0)</formula>
    </cfRule>
    <cfRule type="expression" dxfId="130" priority="1935" stopIfTrue="1">
      <formula>IF($DE19=$W50,1,0)</formula>
    </cfRule>
  </conditionalFormatting>
  <conditionalFormatting sqref="DE19">
    <cfRule type="expression" dxfId="129" priority="1936" stopIfTrue="1">
      <formula>IF($DE19=$W50,1,0)</formula>
    </cfRule>
    <cfRule type="expression" dxfId="128" priority="1937" stopIfTrue="1">
      <formula>IF($DE18=$W50,1,0)</formula>
    </cfRule>
  </conditionalFormatting>
  <conditionalFormatting sqref="DE22">
    <cfRule type="expression" dxfId="127" priority="1938" stopIfTrue="1">
      <formula>IF($DE22=$W51,1,0)</formula>
    </cfRule>
    <cfRule type="expression" dxfId="126" priority="1939" stopIfTrue="1">
      <formula>IF($DE23=$W51,1,0)</formula>
    </cfRule>
  </conditionalFormatting>
  <conditionalFormatting sqref="DE23">
    <cfRule type="expression" dxfId="125" priority="1940" stopIfTrue="1">
      <formula>IF($DE23=$W51,1,0)</formula>
    </cfRule>
    <cfRule type="expression" dxfId="124" priority="1941" stopIfTrue="1">
      <formula>IF($DE22=$W51,1,0)</formula>
    </cfRule>
  </conditionalFormatting>
  <conditionalFormatting sqref="DK12">
    <cfRule type="expression" dxfId="123" priority="1942" stopIfTrue="1">
      <formula>IF($DK12=$W57,1,0)</formula>
    </cfRule>
    <cfRule type="expression" dxfId="122" priority="1943" stopIfTrue="1">
      <formula>IF($DK13=$W57,1,0)</formula>
    </cfRule>
  </conditionalFormatting>
  <conditionalFormatting sqref="DK13">
    <cfRule type="expression" dxfId="121" priority="1944" stopIfTrue="1">
      <formula>IF($DK13=$W57,1,0)</formula>
    </cfRule>
    <cfRule type="expression" dxfId="120" priority="1945" stopIfTrue="1">
      <formula>IF($DK12=$W57,1,0)</formula>
    </cfRule>
  </conditionalFormatting>
  <conditionalFormatting sqref="DK20">
    <cfRule type="expression" dxfId="119" priority="1946" stopIfTrue="1">
      <formula>IF($DK20=$W58,1,0)</formula>
    </cfRule>
    <cfRule type="expression" dxfId="118" priority="1947" stopIfTrue="1">
      <formula>IF($DK21=$W58,1,0)</formula>
    </cfRule>
  </conditionalFormatting>
  <conditionalFormatting sqref="DK21">
    <cfRule type="expression" dxfId="117" priority="1948" stopIfTrue="1">
      <formula>IF($DK21=$W58,1,0)</formula>
    </cfRule>
    <cfRule type="expression" dxfId="116" priority="1949" stopIfTrue="1">
      <formula>IF($DK20=$W58,1,0)</formula>
    </cfRule>
  </conditionalFormatting>
  <conditionalFormatting sqref="DK28">
    <cfRule type="expression" dxfId="115" priority="1950" stopIfTrue="1">
      <formula>IF($DK28=$W59,1,0)</formula>
    </cfRule>
    <cfRule type="expression" dxfId="114" priority="1951" stopIfTrue="1">
      <formula>IF($DK29=$W59,1,0)</formula>
    </cfRule>
  </conditionalFormatting>
  <conditionalFormatting sqref="DK29">
    <cfRule type="expression" dxfId="113" priority="1952" stopIfTrue="1">
      <formula>IF($DK29=$W59,1,0)</formula>
    </cfRule>
    <cfRule type="expression" dxfId="112" priority="1953" stopIfTrue="1">
      <formula>IF($DK28=$W59,1,0)</formula>
    </cfRule>
  </conditionalFormatting>
  <conditionalFormatting sqref="DK36">
    <cfRule type="expression" dxfId="111" priority="1954" stopIfTrue="1">
      <formula>IF($DK36=$W60,1,0)</formula>
    </cfRule>
    <cfRule type="expression" dxfId="110" priority="1955" stopIfTrue="1">
      <formula>IF($DK37=$W60,1,0)</formula>
    </cfRule>
  </conditionalFormatting>
  <conditionalFormatting sqref="DK37">
    <cfRule type="expression" dxfId="109" priority="1956" stopIfTrue="1">
      <formula>IF($DK37=$W60,1,0)</formula>
    </cfRule>
    <cfRule type="expression" dxfId="108" priority="1957" stopIfTrue="1">
      <formula>IF($DK36=$W60,1,0)</formula>
    </cfRule>
  </conditionalFormatting>
  <conditionalFormatting sqref="DQ16">
    <cfRule type="expression" dxfId="107" priority="1958" stopIfTrue="1">
      <formula>IF($DQ16=$W64,1,0)</formula>
    </cfRule>
    <cfRule type="expression" dxfId="106" priority="1959" stopIfTrue="1">
      <formula>IF($DQ17=$W64,1,0)</formula>
    </cfRule>
  </conditionalFormatting>
  <conditionalFormatting sqref="DQ17">
    <cfRule type="expression" dxfId="105" priority="1960" stopIfTrue="1">
      <formula>IF($DQ17=$W64,1,0)</formula>
    </cfRule>
    <cfRule type="expression" dxfId="104" priority="1961" stopIfTrue="1">
      <formula>IF($DQ16=$W64,1,0)</formula>
    </cfRule>
  </conditionalFormatting>
  <conditionalFormatting sqref="DQ32">
    <cfRule type="expression" dxfId="103" priority="1962" stopIfTrue="1">
      <formula>IF($DQ32=$W65,1,0)</formula>
    </cfRule>
    <cfRule type="expression" dxfId="102" priority="1963" stopIfTrue="1">
      <formula>IF($DQ33=$W65,1,0)</formula>
    </cfRule>
  </conditionalFormatting>
  <conditionalFormatting sqref="DQ33">
    <cfRule type="expression" dxfId="101" priority="1964" stopIfTrue="1">
      <formula>IF($DQ33=$W65,1,0)</formula>
    </cfRule>
    <cfRule type="expression" dxfId="100" priority="1965" stopIfTrue="1">
      <formula>IF($DQ32=$W65,1,0)</formula>
    </cfRule>
  </conditionalFormatting>
  <conditionalFormatting sqref="DW23">
    <cfRule type="expression" dxfId="99" priority="1966" stopIfTrue="1">
      <formula>IF($DW23=$W73,1,0)</formula>
    </cfRule>
    <cfRule type="expression" dxfId="98" priority="1967" stopIfTrue="1">
      <formula>IF($DW24=$W73,1,0)</formula>
    </cfRule>
  </conditionalFormatting>
  <conditionalFormatting sqref="DW24">
    <cfRule type="expression" dxfId="97" priority="1968" stopIfTrue="1">
      <formula>IF($DW24=$W73,1,0)</formula>
    </cfRule>
    <cfRule type="expression" dxfId="96" priority="1969" stopIfTrue="1">
      <formula>IF($DW23=$W73,1,0)</formula>
    </cfRule>
  </conditionalFormatting>
  <conditionalFormatting sqref="F12:F13">
    <cfRule type="expression" dxfId="95" priority="95" stopIfTrue="1">
      <formula>IF(AND($F12&gt;$G12,ISNUMBER($F12),ISNUMBER($G12)),1,0)</formula>
    </cfRule>
  </conditionalFormatting>
  <conditionalFormatting sqref="G12:G13">
    <cfRule type="expression" dxfId="94" priority="96" stopIfTrue="1">
      <formula>IF(AND($F12&lt;$G12,ISNUMBER($F12),ISNUMBER($G12)),1,0)</formula>
    </cfRule>
  </conditionalFormatting>
  <conditionalFormatting sqref="F10:F11">
    <cfRule type="expression" dxfId="93" priority="93" stopIfTrue="1">
      <formula>IF(AND($F10&gt;$G10,ISNUMBER($F10),ISNUMBER($G10)),1,0)</formula>
    </cfRule>
  </conditionalFormatting>
  <conditionalFormatting sqref="G10:G11">
    <cfRule type="expression" dxfId="92" priority="94" stopIfTrue="1">
      <formula>IF(AND($F10&lt;$G10,ISNUMBER($F10),ISNUMBER($G10)),1,0)</formula>
    </cfRule>
  </conditionalFormatting>
  <conditionalFormatting sqref="F23:F24">
    <cfRule type="expression" dxfId="91" priority="91" stopIfTrue="1">
      <formula>IF(AND($F23&gt;$G23,ISNUMBER($F23),ISNUMBER($G23)),1,0)</formula>
    </cfRule>
  </conditionalFormatting>
  <conditionalFormatting sqref="G23:G24">
    <cfRule type="expression" dxfId="90" priority="92" stopIfTrue="1">
      <formula>IF(AND($F23&lt;$G23,ISNUMBER($F23),ISNUMBER($G23)),1,0)</formula>
    </cfRule>
  </conditionalFormatting>
  <conditionalFormatting sqref="F34:F35">
    <cfRule type="expression" dxfId="89" priority="89" stopIfTrue="1">
      <formula>IF(AND($F34&gt;$G34,ISNUMBER($F34),ISNUMBER($G34)),1,0)</formula>
    </cfRule>
  </conditionalFormatting>
  <conditionalFormatting sqref="G34:G35">
    <cfRule type="expression" dxfId="88" priority="90" stopIfTrue="1">
      <formula>IF(AND($F34&lt;$G34,ISNUMBER($F34),ISNUMBER($G34)),1,0)</formula>
    </cfRule>
  </conditionalFormatting>
  <conditionalFormatting sqref="DG10">
    <cfRule type="expression" dxfId="87" priority="87" stopIfTrue="1">
      <formula>IF(AND($EX10&gt;$EX11,ISNUMBER($EX10),ISNUMBER($EX11)),1,0)</formula>
    </cfRule>
  </conditionalFormatting>
  <conditionalFormatting sqref="DG11">
    <cfRule type="expression" dxfId="86" priority="88" stopIfTrue="1">
      <formula>IF(AND($EX10&lt;$EX11,ISNUMBER($EX10),ISNUMBER($EX11)),1,0)</formula>
    </cfRule>
  </conditionalFormatting>
  <conditionalFormatting sqref="DG10">
    <cfRule type="expression" dxfId="85" priority="86">
      <formula>IF(OR(DF10="",DF11="",DF10&lt;&gt;DF11),1,0)</formula>
    </cfRule>
  </conditionalFormatting>
  <conditionalFormatting sqref="DG11">
    <cfRule type="expression" dxfId="84" priority="85">
      <formula>IF(OR(DF10="",DF11="",DF10&lt;&gt;DF11),1,0)</formula>
    </cfRule>
  </conditionalFormatting>
  <conditionalFormatting sqref="DF14">
    <cfRule type="expression" dxfId="83" priority="83" stopIfTrue="1">
      <formula>IF(AND($DF14&gt;$DF15,ISNUMBER($DF14),ISNUMBER($DF15)),1,0)</formula>
    </cfRule>
  </conditionalFormatting>
  <conditionalFormatting sqref="DF15">
    <cfRule type="expression" dxfId="82" priority="84" stopIfTrue="1">
      <formula>IF(AND($DF14&lt;$DF15,ISNUMBER($DF14),ISNUMBER($DF15)),1,0)</formula>
    </cfRule>
  </conditionalFormatting>
  <conditionalFormatting sqref="DG14">
    <cfRule type="expression" dxfId="81" priority="81" stopIfTrue="1">
      <formula>IF(AND($EX14&gt;$EX15,ISNUMBER($EX14),ISNUMBER($EX15)),1,0)</formula>
    </cfRule>
  </conditionalFormatting>
  <conditionalFormatting sqref="DG15">
    <cfRule type="expression" dxfId="80" priority="82" stopIfTrue="1">
      <formula>IF(AND($EX14&lt;$EX15,ISNUMBER($EX14),ISNUMBER($EX15)),1,0)</formula>
    </cfRule>
  </conditionalFormatting>
  <conditionalFormatting sqref="DG14">
    <cfRule type="expression" dxfId="79" priority="80">
      <formula>IF(OR(DF14="",DF15="",DF14&lt;&gt;DF15),1,0)</formula>
    </cfRule>
  </conditionalFormatting>
  <conditionalFormatting sqref="DG15">
    <cfRule type="expression" dxfId="78" priority="79">
      <formula>IF(OR(DF14="",DF15="",DF14&lt;&gt;DF15),1,0)</formula>
    </cfRule>
  </conditionalFormatting>
  <conditionalFormatting sqref="DF18">
    <cfRule type="expression" dxfId="77" priority="77" stopIfTrue="1">
      <formula>IF(AND($DF18&gt;$DF19,ISNUMBER($DF18),ISNUMBER($DF19)),1,0)</formula>
    </cfRule>
  </conditionalFormatting>
  <conditionalFormatting sqref="DF19">
    <cfRule type="expression" dxfId="76" priority="78" stopIfTrue="1">
      <formula>IF(AND($DF18&lt;$DF19,ISNUMBER($DF18),ISNUMBER($DF19)),1,0)</formula>
    </cfRule>
  </conditionalFormatting>
  <conditionalFormatting sqref="DG18">
    <cfRule type="expression" dxfId="75" priority="75" stopIfTrue="1">
      <formula>IF(AND($EX18&gt;$EX19,ISNUMBER($EX18),ISNUMBER($EX19)),1,0)</formula>
    </cfRule>
  </conditionalFormatting>
  <conditionalFormatting sqref="DG19">
    <cfRule type="expression" dxfId="74" priority="76" stopIfTrue="1">
      <formula>IF(AND($EX18&lt;$EX19,ISNUMBER($EX18),ISNUMBER($EX19)),1,0)</formula>
    </cfRule>
  </conditionalFormatting>
  <conditionalFormatting sqref="DG18">
    <cfRule type="expression" dxfId="73" priority="74">
      <formula>IF(OR(DF18="",DF19="",DF18&lt;&gt;DF19),1,0)</formula>
    </cfRule>
  </conditionalFormatting>
  <conditionalFormatting sqref="DG19">
    <cfRule type="expression" dxfId="72" priority="73">
      <formula>IF(OR(DF18="",DF19="",DF18&lt;&gt;DF19),1,0)</formula>
    </cfRule>
  </conditionalFormatting>
  <conditionalFormatting sqref="DF22">
    <cfRule type="expression" dxfId="71" priority="71" stopIfTrue="1">
      <formula>IF(AND($DF22&gt;$DF23,ISNUMBER($DF22),ISNUMBER($DF23)),1,0)</formula>
    </cfRule>
  </conditionalFormatting>
  <conditionalFormatting sqref="DF23">
    <cfRule type="expression" dxfId="70" priority="72" stopIfTrue="1">
      <formula>IF(AND($DF22&lt;$DF23,ISNUMBER($DF22),ISNUMBER($DF23)),1,0)</formula>
    </cfRule>
  </conditionalFormatting>
  <conditionalFormatting sqref="DG22">
    <cfRule type="expression" dxfId="69" priority="69" stopIfTrue="1">
      <formula>IF(AND($EX22&gt;$EX23,ISNUMBER($EX22),ISNUMBER($EX23)),1,0)</formula>
    </cfRule>
  </conditionalFormatting>
  <conditionalFormatting sqref="DG23">
    <cfRule type="expression" dxfId="68" priority="70" stopIfTrue="1">
      <formula>IF(AND($EX22&lt;$EX23,ISNUMBER($EX22),ISNUMBER($EX23)),1,0)</formula>
    </cfRule>
  </conditionalFormatting>
  <conditionalFormatting sqref="DG22">
    <cfRule type="expression" dxfId="67" priority="68">
      <formula>IF(OR(DF22="",DF23="",DF22&lt;&gt;DF23),1,0)</formula>
    </cfRule>
  </conditionalFormatting>
  <conditionalFormatting sqref="DG23">
    <cfRule type="expression" dxfId="66" priority="67">
      <formula>IF(OR(DF22="",DF23="",DF22&lt;&gt;DF23),1,0)</formula>
    </cfRule>
  </conditionalFormatting>
  <conditionalFormatting sqref="DF26">
    <cfRule type="expression" dxfId="65" priority="65" stopIfTrue="1">
      <formula>IF(AND($DF26&gt;$DF27,ISNUMBER($DF26),ISNUMBER($DF27)),1,0)</formula>
    </cfRule>
  </conditionalFormatting>
  <conditionalFormatting sqref="DF27">
    <cfRule type="expression" dxfId="64" priority="66" stopIfTrue="1">
      <formula>IF(AND($DF26&lt;$DF27,ISNUMBER($DF26),ISNUMBER($DF27)),1,0)</formula>
    </cfRule>
  </conditionalFormatting>
  <conditionalFormatting sqref="DG26">
    <cfRule type="expression" dxfId="63" priority="63" stopIfTrue="1">
      <formula>IF(AND($EX26&gt;$EX27,ISNUMBER($EX26),ISNUMBER($EX27)),1,0)</formula>
    </cfRule>
  </conditionalFormatting>
  <conditionalFormatting sqref="DG27">
    <cfRule type="expression" dxfId="62" priority="64" stopIfTrue="1">
      <formula>IF(AND($EX26&lt;$EX27,ISNUMBER($EX26),ISNUMBER($EX27)),1,0)</formula>
    </cfRule>
  </conditionalFormatting>
  <conditionalFormatting sqref="DG26">
    <cfRule type="expression" dxfId="61" priority="62">
      <formula>IF(OR(DF26="",DF27="",DF26&lt;&gt;DF27),1,0)</formula>
    </cfRule>
  </conditionalFormatting>
  <conditionalFormatting sqref="DG27">
    <cfRule type="expression" dxfId="60" priority="61">
      <formula>IF(OR(DF26="",DF27="",DF26&lt;&gt;DF27),1,0)</formula>
    </cfRule>
  </conditionalFormatting>
  <conditionalFormatting sqref="DF30">
    <cfRule type="expression" dxfId="59" priority="59" stopIfTrue="1">
      <formula>IF(AND($DF30&gt;$DF31,ISNUMBER($DF30),ISNUMBER($DF31)),1,0)</formula>
    </cfRule>
  </conditionalFormatting>
  <conditionalFormatting sqref="DF31">
    <cfRule type="expression" dxfId="58" priority="60" stopIfTrue="1">
      <formula>IF(AND($DF30&lt;$DF31,ISNUMBER($DF30),ISNUMBER($DF31)),1,0)</formula>
    </cfRule>
  </conditionalFormatting>
  <conditionalFormatting sqref="DG30">
    <cfRule type="expression" dxfId="57" priority="57" stopIfTrue="1">
      <formula>IF(AND($EX30&gt;$EX31,ISNUMBER($EX30),ISNUMBER($EX31)),1,0)</formula>
    </cfRule>
  </conditionalFormatting>
  <conditionalFormatting sqref="DG31">
    <cfRule type="expression" dxfId="56" priority="58" stopIfTrue="1">
      <formula>IF(AND($EX30&lt;$EX31,ISNUMBER($EX30),ISNUMBER($EX31)),1,0)</formula>
    </cfRule>
  </conditionalFormatting>
  <conditionalFormatting sqref="DG30">
    <cfRule type="expression" dxfId="55" priority="56">
      <formula>IF(OR(DF30="",DF31="",DF30&lt;&gt;DF31),1,0)</formula>
    </cfRule>
  </conditionalFormatting>
  <conditionalFormatting sqref="DG31">
    <cfRule type="expression" dxfId="54" priority="55">
      <formula>IF(OR(DF30="",DF31="",DF30&lt;&gt;DF31),1,0)</formula>
    </cfRule>
  </conditionalFormatting>
  <conditionalFormatting sqref="DF34">
    <cfRule type="expression" dxfId="53" priority="53" stopIfTrue="1">
      <formula>IF(AND($DF34&gt;$DF35,ISNUMBER($DF34),ISNUMBER($DF35)),1,0)</formula>
    </cfRule>
  </conditionalFormatting>
  <conditionalFormatting sqref="DF35">
    <cfRule type="expression" dxfId="52" priority="54" stopIfTrue="1">
      <formula>IF(AND($DF34&lt;$DF35,ISNUMBER($DF34),ISNUMBER($DF35)),1,0)</formula>
    </cfRule>
  </conditionalFormatting>
  <conditionalFormatting sqref="DG34">
    <cfRule type="expression" dxfId="51" priority="51" stopIfTrue="1">
      <formula>IF(AND($EX34&gt;$EX35,ISNUMBER($EX34),ISNUMBER($EX35)),1,0)</formula>
    </cfRule>
  </conditionalFormatting>
  <conditionalFormatting sqref="DG35">
    <cfRule type="expression" dxfId="50" priority="52" stopIfTrue="1">
      <formula>IF(AND($EX34&lt;$EX35,ISNUMBER($EX34),ISNUMBER($EX35)),1,0)</formula>
    </cfRule>
  </conditionalFormatting>
  <conditionalFormatting sqref="DG34">
    <cfRule type="expression" dxfId="49" priority="50">
      <formula>IF(OR(DF34="",DF35="",DF34&lt;&gt;DF35),1,0)</formula>
    </cfRule>
  </conditionalFormatting>
  <conditionalFormatting sqref="DG35">
    <cfRule type="expression" dxfId="48" priority="49">
      <formula>IF(OR(DF34="",DF35="",DF34&lt;&gt;DF35),1,0)</formula>
    </cfRule>
  </conditionalFormatting>
  <conditionalFormatting sqref="DF38">
    <cfRule type="expression" dxfId="47" priority="47" stopIfTrue="1">
      <formula>IF(AND($DF38&gt;$DF39,ISNUMBER($DF38),ISNUMBER($DF39)),1,0)</formula>
    </cfRule>
  </conditionalFormatting>
  <conditionalFormatting sqref="DF39">
    <cfRule type="expression" dxfId="46" priority="48" stopIfTrue="1">
      <formula>IF(AND($DF38&lt;$DF39,ISNUMBER($DF38),ISNUMBER($DF39)),1,0)</formula>
    </cfRule>
  </conditionalFormatting>
  <conditionalFormatting sqref="DG38">
    <cfRule type="expression" dxfId="45" priority="45" stopIfTrue="1">
      <formula>IF(AND($EX38&gt;$EX39,ISNUMBER($EX38),ISNUMBER($EX39)),1,0)</formula>
    </cfRule>
  </conditionalFormatting>
  <conditionalFormatting sqref="DG39">
    <cfRule type="expression" dxfId="44" priority="46" stopIfTrue="1">
      <formula>IF(AND($EX38&lt;$EX39,ISNUMBER($EX38),ISNUMBER($EX39)),1,0)</formula>
    </cfRule>
  </conditionalFormatting>
  <conditionalFormatting sqref="DG38">
    <cfRule type="expression" dxfId="43" priority="44">
      <formula>IF(OR(DF38="",DF39="",DF38&lt;&gt;DF39),1,0)</formula>
    </cfRule>
  </conditionalFormatting>
  <conditionalFormatting sqref="DG39">
    <cfRule type="expression" dxfId="42" priority="43">
      <formula>IF(OR(DF38="",DF39="",DF38&lt;&gt;DF39),1,0)</formula>
    </cfRule>
  </conditionalFormatting>
  <conditionalFormatting sqref="DL36">
    <cfRule type="expression" dxfId="41" priority="41" stopIfTrue="1">
      <formula>IF(AND($DF36&gt;$DF37,ISNUMBER($DF36),ISNUMBER($DF37)),1,0)</formula>
    </cfRule>
  </conditionalFormatting>
  <conditionalFormatting sqref="DL37">
    <cfRule type="expression" dxfId="40" priority="42" stopIfTrue="1">
      <formula>IF(AND($DF36&lt;$DF37,ISNUMBER($DF36),ISNUMBER($DF37)),1,0)</formula>
    </cfRule>
  </conditionalFormatting>
  <conditionalFormatting sqref="DM36">
    <cfRule type="expression" dxfId="39" priority="39" stopIfTrue="1">
      <formula>IF(AND($EX36&gt;$EX37,ISNUMBER($EX36),ISNUMBER($EX37)),1,0)</formula>
    </cfRule>
  </conditionalFormatting>
  <conditionalFormatting sqref="DM37">
    <cfRule type="expression" dxfId="38" priority="40" stopIfTrue="1">
      <formula>IF(AND($EX36&lt;$EX37,ISNUMBER($EX36),ISNUMBER($EX37)),1,0)</formula>
    </cfRule>
  </conditionalFormatting>
  <conditionalFormatting sqref="DM36">
    <cfRule type="expression" dxfId="37" priority="38">
      <formula>IF(OR(DL36="",DL37="",DL36&lt;&gt;DL37),1,0)</formula>
    </cfRule>
  </conditionalFormatting>
  <conditionalFormatting sqref="DM37">
    <cfRule type="expression" dxfId="36" priority="37">
      <formula>IF(OR(DL36="",DL37="",DL36&lt;&gt;DL37),1,0)</formula>
    </cfRule>
  </conditionalFormatting>
  <conditionalFormatting sqref="DL28">
    <cfRule type="expression" dxfId="35" priority="35" stopIfTrue="1">
      <formula>IF(AND($DF28&gt;$DF29,ISNUMBER($DF28),ISNUMBER($DF29)),1,0)</formula>
    </cfRule>
  </conditionalFormatting>
  <conditionalFormatting sqref="DL29">
    <cfRule type="expression" dxfId="34" priority="36" stopIfTrue="1">
      <formula>IF(AND($DF28&lt;$DF29,ISNUMBER($DF28),ISNUMBER($DF29)),1,0)</formula>
    </cfRule>
  </conditionalFormatting>
  <conditionalFormatting sqref="DM28">
    <cfRule type="expression" dxfId="33" priority="33" stopIfTrue="1">
      <formula>IF(AND($EX28&gt;$EX29,ISNUMBER($EX28),ISNUMBER($EX29)),1,0)</formula>
    </cfRule>
  </conditionalFormatting>
  <conditionalFormatting sqref="DM29">
    <cfRule type="expression" dxfId="32" priority="34" stopIfTrue="1">
      <formula>IF(AND($EX28&lt;$EX29,ISNUMBER($EX28),ISNUMBER($EX29)),1,0)</formula>
    </cfRule>
  </conditionalFormatting>
  <conditionalFormatting sqref="DM28">
    <cfRule type="expression" dxfId="31" priority="32">
      <formula>IF(OR(DL28="",DL29="",DL28&lt;&gt;DL29),1,0)</formula>
    </cfRule>
  </conditionalFormatting>
  <conditionalFormatting sqref="DM29">
    <cfRule type="expression" dxfId="30" priority="31">
      <formula>IF(OR(DL28="",DL29="",DL28&lt;&gt;DL29),1,0)</formula>
    </cfRule>
  </conditionalFormatting>
  <conditionalFormatting sqref="DL20">
    <cfRule type="expression" dxfId="29" priority="29" stopIfTrue="1">
      <formula>IF(AND($DF20&gt;$DF21,ISNUMBER($DF20),ISNUMBER($DF21)),1,0)</formula>
    </cfRule>
  </conditionalFormatting>
  <conditionalFormatting sqref="DL21">
    <cfRule type="expression" dxfId="28" priority="30" stopIfTrue="1">
      <formula>IF(AND($DF20&lt;$DF21,ISNUMBER($DF20),ISNUMBER($DF21)),1,0)</formula>
    </cfRule>
  </conditionalFormatting>
  <conditionalFormatting sqref="DM20">
    <cfRule type="expression" dxfId="27" priority="27" stopIfTrue="1">
      <formula>IF(AND($EX20&gt;$EX21,ISNUMBER($EX20),ISNUMBER($EX21)),1,0)</formula>
    </cfRule>
  </conditionalFormatting>
  <conditionalFormatting sqref="DM21">
    <cfRule type="expression" dxfId="26" priority="28" stopIfTrue="1">
      <formula>IF(AND($EX20&lt;$EX21,ISNUMBER($EX20),ISNUMBER($EX21)),1,0)</formula>
    </cfRule>
  </conditionalFormatting>
  <conditionalFormatting sqref="DM20">
    <cfRule type="expression" dxfId="25" priority="26">
      <formula>IF(OR(DL20="",DL21="",DL20&lt;&gt;DL21),1,0)</formula>
    </cfRule>
  </conditionalFormatting>
  <conditionalFormatting sqref="DM21">
    <cfRule type="expression" dxfId="24" priority="25">
      <formula>IF(OR(DL20="",DL21="",DL20&lt;&gt;DL21),1,0)</formula>
    </cfRule>
  </conditionalFormatting>
  <conditionalFormatting sqref="DL12">
    <cfRule type="expression" dxfId="23" priority="23" stopIfTrue="1">
      <formula>IF(AND($DF12&gt;$DF13,ISNUMBER($DF12),ISNUMBER($DF13)),1,0)</formula>
    </cfRule>
  </conditionalFormatting>
  <conditionalFormatting sqref="DL13">
    <cfRule type="expression" dxfId="22" priority="24" stopIfTrue="1">
      <formula>IF(AND($DF12&lt;$DF13,ISNUMBER($DF12),ISNUMBER($DF13)),1,0)</formula>
    </cfRule>
  </conditionalFormatting>
  <conditionalFormatting sqref="DM12">
    <cfRule type="expression" dxfId="21" priority="21" stopIfTrue="1">
      <formula>IF(AND($EX12&gt;$EX13,ISNUMBER($EX12),ISNUMBER($EX13)),1,0)</formula>
    </cfRule>
  </conditionalFormatting>
  <conditionalFormatting sqref="DM13">
    <cfRule type="expression" dxfId="20" priority="22" stopIfTrue="1">
      <formula>IF(AND($EX12&lt;$EX13,ISNUMBER($EX12),ISNUMBER($EX13)),1,0)</formula>
    </cfRule>
  </conditionalFormatting>
  <conditionalFormatting sqref="DM12">
    <cfRule type="expression" dxfId="19" priority="20">
      <formula>IF(OR(DL12="",DL13="",DL12&lt;&gt;DL13),1,0)</formula>
    </cfRule>
  </conditionalFormatting>
  <conditionalFormatting sqref="DM13">
    <cfRule type="expression" dxfId="18" priority="19">
      <formula>IF(OR(DL12="",DL13="",DL12&lt;&gt;DL13),1,0)</formula>
    </cfRule>
  </conditionalFormatting>
  <conditionalFormatting sqref="DR16">
    <cfRule type="expression" dxfId="17" priority="17" stopIfTrue="1">
      <formula>IF(AND($DF16&gt;$DF17,ISNUMBER($DF16),ISNUMBER($DF17)),1,0)</formula>
    </cfRule>
  </conditionalFormatting>
  <conditionalFormatting sqref="DR17">
    <cfRule type="expression" dxfId="16" priority="18" stopIfTrue="1">
      <formula>IF(AND($DF16&lt;$DF17,ISNUMBER($DF16),ISNUMBER($DF17)),1,0)</formula>
    </cfRule>
  </conditionalFormatting>
  <conditionalFormatting sqref="DS16">
    <cfRule type="expression" dxfId="15" priority="15" stopIfTrue="1">
      <formula>IF(AND($EX16&gt;$EX17,ISNUMBER($EX16),ISNUMBER($EX17)),1,0)</formula>
    </cfRule>
  </conditionalFormatting>
  <conditionalFormatting sqref="DS17">
    <cfRule type="expression" dxfId="14" priority="16" stopIfTrue="1">
      <formula>IF(AND($EX16&lt;$EX17,ISNUMBER($EX16),ISNUMBER($EX17)),1,0)</formula>
    </cfRule>
  </conditionalFormatting>
  <conditionalFormatting sqref="DS16">
    <cfRule type="expression" dxfId="13" priority="14">
      <formula>IF(OR(DR16="",DR17="",DR16&lt;&gt;DR17),1,0)</formula>
    </cfRule>
  </conditionalFormatting>
  <conditionalFormatting sqref="DS17">
    <cfRule type="expression" dxfId="12" priority="13">
      <formula>IF(OR(DR16="",DR17="",DR16&lt;&gt;DR17),1,0)</formula>
    </cfRule>
  </conditionalFormatting>
  <conditionalFormatting sqref="DR32">
    <cfRule type="expression" dxfId="11" priority="11" stopIfTrue="1">
      <formula>IF(AND($DF32&gt;$DF33,ISNUMBER($DF32),ISNUMBER($DF33)),1,0)</formula>
    </cfRule>
  </conditionalFormatting>
  <conditionalFormatting sqref="DR33">
    <cfRule type="expression" dxfId="10" priority="12" stopIfTrue="1">
      <formula>IF(AND($DF32&lt;$DF33,ISNUMBER($DF32),ISNUMBER($DF33)),1,0)</formula>
    </cfRule>
  </conditionalFormatting>
  <conditionalFormatting sqref="DS32">
    <cfRule type="expression" dxfId="9" priority="9" stopIfTrue="1">
      <formula>IF(AND($EX32&gt;$EX33,ISNUMBER($EX32),ISNUMBER($EX33)),1,0)</formula>
    </cfRule>
  </conditionalFormatting>
  <conditionalFormatting sqref="DS33">
    <cfRule type="expression" dxfId="8" priority="10" stopIfTrue="1">
      <formula>IF(AND($EX32&lt;$EX33,ISNUMBER($EX32),ISNUMBER($EX33)),1,0)</formula>
    </cfRule>
  </conditionalFormatting>
  <conditionalFormatting sqref="DS32">
    <cfRule type="expression" dxfId="7" priority="8">
      <formula>IF(OR(DR32="",DR33="",DR32&lt;&gt;DR33),1,0)</formula>
    </cfRule>
  </conditionalFormatting>
  <conditionalFormatting sqref="DS33">
    <cfRule type="expression" dxfId="6" priority="7">
      <formula>IF(OR(DR32="",DR33="",DR32&lt;&gt;DR33),1,0)</formula>
    </cfRule>
  </conditionalFormatting>
  <conditionalFormatting sqref="DX23">
    <cfRule type="expression" dxfId="5" priority="5" stopIfTrue="1">
      <formula>IF(AND($DF23&gt;$DF24,ISNUMBER($DF23),ISNUMBER($DF24)),1,0)</formula>
    </cfRule>
  </conditionalFormatting>
  <conditionalFormatting sqref="DX24">
    <cfRule type="expression" dxfId="4" priority="6" stopIfTrue="1">
      <formula>IF(AND($DF23&lt;$DF24,ISNUMBER($DF23),ISNUMBER($DF24)),1,0)</formula>
    </cfRule>
  </conditionalFormatting>
  <conditionalFormatting sqref="DY23">
    <cfRule type="expression" dxfId="3" priority="3" stopIfTrue="1">
      <formula>IF(AND($EX23&gt;$EX24,ISNUMBER($EX23),ISNUMBER($EX24)),1,0)</formula>
    </cfRule>
  </conditionalFormatting>
  <conditionalFormatting sqref="DY24">
    <cfRule type="expression" dxfId="2" priority="4" stopIfTrue="1">
      <formula>IF(AND($EX23&lt;$EX24,ISNUMBER($EX23),ISNUMBER($EX24)),1,0)</formula>
    </cfRule>
  </conditionalFormatting>
  <conditionalFormatting sqref="DY23">
    <cfRule type="expression" dxfId="1" priority="2">
      <formula>IF(OR(DX23="",DX24="",DX23&lt;&gt;DX24),1,0)</formula>
    </cfRule>
  </conditionalFormatting>
  <conditionalFormatting sqref="DY24">
    <cfRule type="expression" dxfId="0" priority="1">
      <formula>IF(OR(DX23="",DX24="",DX23&lt;&gt;DX24),1,0)</formula>
    </cfRule>
  </conditionalFormatting>
  <dataValidations count="2">
    <dataValidation type="list" allowBlank="1" showInputMessage="1" showErrorMessage="1" sqref="DF26:DF27 DF10:DF11 DF14:DF15 DF30:DF31 DF18:DF19 DF22:DF23 DF34:DF35 DF38:DF39 DL12:DL13 DL20:DL21 DL28:DL29 DL36:DL37 DR16:DR17 DR32:DR33 DX23:DX24 F10:G45">
      <formula1>"0,1,2,3,4,5,6,7,8,9"</formula1>
    </dataValidation>
    <dataValidation type="list" allowBlank="1" showInputMessage="1" showErrorMessage="1" sqref="DG10:DG11 DG14:DG15 DG26:DG27 DG30:DG31 DG18:DG19 DG22:DG23 DG34:DG35 DG38:DG39 DM12:DM13 DM20:DM21 DM28:DM29 DM36:DM37 DS16:DS17 DS32:DS33 DY23:DY24">
      <formula1>"0,1,2,3,4,5,6,7,8,9,10,11,12,13,14,15,16,17,18,19,20"</formula1>
    </dataValidation>
  </dataValidations>
  <hyperlinks>
    <hyperlink ref="R6" location="Settings!C4" tooltip="Settings" display="Settings!C4"/>
    <hyperlink ref="C5:I5" r:id="rId1" tooltip="Excel Schedule" display="Home Page: www.excely.com"/>
    <hyperlink ref="C5:I6" r:id="rId2" tooltip="World Cup 2014 Schedule in Excel" display="Home Page: www.excely.com"/>
    <hyperlink ref="J5:K5" r:id="rId3" tooltip="Live Scores Online" display="Live Scores Online"/>
    <hyperlink ref="M52:O53" r:id="rId4" tooltip="Cut MP3 Files Online" display="Cut MP3 Files"/>
    <hyperlink ref="P52:S53" r:id="rId5" tooltip="WAV to MP3 Online Converter" display="WAV to MP3 Converter"/>
    <hyperlink ref="B52:E53" r:id="rId6" tooltip="Betfair Betting Exchange" display="Bet For FREE"/>
  </hyperlinks>
  <printOptions horizontalCentered="1"/>
  <pageMargins left="0.59055118110236204" right="0.59055118110236204" top="0.78740157480314998" bottom="0.78740157480314998" header="0.511811023622047" footer="0.511811023622047"/>
  <pageSetup paperSize="9" scale="51" orientation="landscape" r:id="rId7"/>
  <headerFooter alignWithMargins="0">
    <oddFooter>&amp;Cwww.excely.com (c) 2016</oddFooter>
  </headerFooter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T</vt:lpstr>
      <vt:lpstr>Settings</vt:lpstr>
      <vt:lpstr>3rd Places</vt:lpstr>
      <vt:lpstr>UEFA EURO 2016</vt:lpstr>
      <vt:lpstr>db_fifarank</vt:lpstr>
      <vt:lpstr>gmt_delta</vt:lpstr>
      <vt:lpstr>itype</vt:lpstr>
      <vt:lpstr>lang</vt:lpstr>
      <vt:lpstr>lang_list</vt:lpstr>
      <vt:lpstr>lookup_3rd</vt:lpstr>
      <vt:lpstr>'UEFA EURO 2016'!Print_Area</vt:lpstr>
      <vt:lpstr>T</vt:lpstr>
      <vt:lpstr>tbl_lookup_3rd</vt:lpstr>
    </vt:vector>
  </TitlesOfParts>
  <Company>Excely.com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Eufa Euro 2016 Schedule</dc:title>
  <dc:creator>Denys Kozyr</dc:creator>
  <cp:lastModifiedBy>Hallstein Brøtan</cp:lastModifiedBy>
  <cp:lastPrinted>2016-04-03T12:59:36Z</cp:lastPrinted>
  <dcterms:created xsi:type="dcterms:W3CDTF">2008-09-24T12:14:29Z</dcterms:created>
  <dcterms:modified xsi:type="dcterms:W3CDTF">2016-06-05T20:59:50Z</dcterms:modified>
</cp:coreProperties>
</file>