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BOK\Documents\2023년 업무폴더\202308\20230807 하반기업무계획\새 폴더\"/>
    </mc:Choice>
  </mc:AlternateContent>
  <xr:revisionPtr revIDLastSave="0" documentId="8_{129A07C1-7414-4DE6-AFE0-0C86D9D33281}" xr6:coauthVersionLast="36" xr6:coauthVersionMax="36" xr10:uidLastSave="{00000000-0000-0000-0000-000000000000}"/>
  <bookViews>
    <workbookView xWindow="0" yWindow="0" windowWidth="28800" windowHeight="11520" tabRatio="908" xr2:uid="{865784D7-D989-4415-BD7A-A2F8E796A681}"/>
  </bookViews>
  <sheets>
    <sheet name="목록" sheetId="39" r:id="rId1"/>
    <sheet name="mapping" sheetId="251" r:id="rId2"/>
    <sheet name="속성, SET, 필수" sheetId="238" r:id="rId3"/>
    <sheet name="전문 공통부" sheetId="248" r:id="rId4"/>
    <sheet name="BKS20F030" sheetId="205" r:id="rId5"/>
    <sheet name="BKS20F040" sheetId="206" r:id="rId6"/>
    <sheet name="BKS10F060" sheetId="208" r:id="rId7"/>
    <sheet name="BKS10E070" sheetId="56" r:id="rId8"/>
    <sheet name="BKS20E090" sheetId="27" r:id="rId9"/>
    <sheet name="BKS20E110" sheetId="29" r:id="rId10"/>
    <sheet name="BKS10E150" sheetId="57" r:id="rId11"/>
    <sheet name="BKS20E190" sheetId="33" r:id="rId12"/>
    <sheet name="BKS10A011" sheetId="60" r:id="rId13"/>
    <sheet name="BKS20A020" sheetId="36" r:id="rId14"/>
    <sheet name="BKS20A030" sheetId="37" r:id="rId15"/>
    <sheet name="BKS20A040" sheetId="38" r:id="rId16"/>
    <sheet name="BKS10B011" sheetId="62" r:id="rId17"/>
    <sheet name="BKS20B020" sheetId="8" r:id="rId18"/>
    <sheet name="BKS20B030" sheetId="9" r:id="rId19"/>
    <sheet name="BKS20B040" sheetId="10" r:id="rId20"/>
    <sheet name="BKS20B050" sheetId="11" r:id="rId21"/>
    <sheet name="BKS20B060" sheetId="12" r:id="rId22"/>
    <sheet name="BKS20B070" sheetId="13" r:id="rId23"/>
    <sheet name="BKS20B080" sheetId="14" r:id="rId24"/>
    <sheet name="BKS10B021" sheetId="63" r:id="rId25"/>
    <sheet name="BKS10B031" sheetId="215" r:id="rId26"/>
    <sheet name="BKS20B360" sheetId="216" r:id="rId27"/>
    <sheet name="BKS20B370" sheetId="217" r:id="rId28"/>
    <sheet name="BKS10B091" sheetId="40" r:id="rId29"/>
    <sheet name="BKS20B100" sheetId="64" r:id="rId30"/>
    <sheet name="BKS20B110" sheetId="41" r:id="rId31"/>
    <sheet name="BKS20B120" sheetId="42" r:id="rId32"/>
    <sheet name="BKS20B130" sheetId="43" r:id="rId33"/>
    <sheet name="BKS20B140" sheetId="44" r:id="rId34"/>
    <sheet name="BKS10B081" sheetId="65" r:id="rId35"/>
    <sheet name="BKS20B150" sheetId="45" r:id="rId36"/>
    <sheet name="BKS20B160" sheetId="46" r:id="rId37"/>
    <sheet name="BKS20B170" sheetId="47" r:id="rId38"/>
    <sheet name="BKS10E300" sheetId="66" r:id="rId39"/>
    <sheet name="BKS20E300" sheetId="48" r:id="rId40"/>
    <sheet name="BKS10E310" sheetId="67" r:id="rId41"/>
    <sheet name="BKS10E060" sheetId="68" r:id="rId42"/>
    <sheet name="BKS20E130" sheetId="51" r:id="rId43"/>
    <sheet name="BKS10B170" sheetId="69" r:id="rId44"/>
    <sheet name="BKS20B180" sheetId="52" r:id="rId45"/>
    <sheet name="BKS20B190" sheetId="53" r:id="rId46"/>
    <sheet name="BKS20B200" sheetId="54" r:id="rId47"/>
    <sheet name="BKS20E220" sheetId="49" r:id="rId48"/>
    <sheet name="BKS10E120" sheetId="154" r:id="rId49"/>
    <sheet name="BKF101011" sheetId="196" r:id="rId50"/>
    <sheet name="BKS20G010" sheetId="197" r:id="rId51"/>
    <sheet name="BKS20G020" sheetId="198" r:id="rId52"/>
    <sheet name="BKF101021" sheetId="199" r:id="rId53"/>
    <sheet name="BKS20G210" sheetId="200" r:id="rId54"/>
    <sheet name="BKS20G220" sheetId="201" r:id="rId55"/>
    <sheet name="&lt;별첨1&gt;응답코드" sheetId="240" r:id="rId56"/>
    <sheet name="&lt;별첨2&gt;계정개설처코드" sheetId="241" r:id="rId57"/>
    <sheet name="&lt;별첨3&gt;거래기관코드" sheetId="242" r:id="rId58"/>
    <sheet name="&lt;별첨4&gt;일반자금이체 자금코드" sheetId="243" r:id="rId59"/>
    <sheet name="&lt;별첨5&gt;증권대금이체 증권대금코드" sheetId="244" r:id="rId60"/>
    <sheet name="&lt;별첨6&gt; 혼합형결제 결제실패원인코드" sheetId="245" r:id="rId61"/>
    <sheet name="&lt;별첨7&gt; 수수료종류코드" sheetId="246" r:id="rId62"/>
    <sheet name="&lt;별첨8&gt;거래유형코드" sheetId="247" r:id="rId63"/>
    <sheet name="&lt;별첨9&gt;전체코드" sheetId="249" r:id="rId64"/>
    <sheet name="&lt;별첨10&gt;ISO20022 전체코드" sheetId="250" r:id="rId65"/>
  </sheets>
  <definedNames>
    <definedName name="_xlnm._FilterDatabase" localSheetId="61" hidden="1">'&lt;별첨7&gt; 수수료종류코드'!$A$2:$C$96</definedName>
    <definedName name="_xlnm._FilterDatabase" localSheetId="16" hidden="1">BKS10B011!$A$7:$L$41</definedName>
    <definedName name="_xlnm._FilterDatabase" localSheetId="24" hidden="1">BKS10B021!$A$7:$L$7</definedName>
    <definedName name="_xlnm._FilterDatabase" localSheetId="17" hidden="1">BKS20B020!$A$7:$L$7</definedName>
    <definedName name="_xlnm._FilterDatabase" localSheetId="0" hidden="1">목록!$D$13:$J$83</definedName>
    <definedName name="개요">목록!$F$6</definedName>
    <definedName name="목록">'&lt;별첨1&gt;응답코드'!$A$1</definedName>
    <definedName name="목록으로_이동">BKS20E190!$A$1</definedName>
    <definedName name="별첨1" localSheetId="55">목록!$D$91</definedName>
    <definedName name="별첨1">목록!$F$91</definedName>
    <definedName name="별첨10">목록!$F$100</definedName>
    <definedName name="별첨11">목록!$F$91</definedName>
    <definedName name="별첨2">목록!$F$92</definedName>
    <definedName name="별첨3">목록!$F$93</definedName>
    <definedName name="별첨4">목록!$F$94</definedName>
    <definedName name="별첨5">목록!$F$95</definedName>
    <definedName name="별첨6">목록!$F$96</definedName>
    <definedName name="별첨7">목록!$F$97</definedName>
    <definedName name="별첨8">목록!$F$98</definedName>
    <definedName name="별첨9">목록!$F$99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39" l="1"/>
  <c r="L62" i="39"/>
  <c r="K63" i="39"/>
  <c r="L63" i="39"/>
  <c r="K64" i="39"/>
  <c r="L64" i="39"/>
  <c r="K65" i="39"/>
  <c r="L65" i="39"/>
  <c r="K66" i="39"/>
  <c r="L66" i="39"/>
  <c r="K67" i="39"/>
  <c r="L67" i="39"/>
  <c r="K68" i="39"/>
  <c r="L68" i="39"/>
  <c r="K69" i="39"/>
  <c r="L69" i="39"/>
  <c r="K70" i="39"/>
  <c r="L70" i="39"/>
  <c r="K71" i="39"/>
  <c r="L71" i="39"/>
  <c r="K72" i="39"/>
  <c r="L72" i="39"/>
  <c r="K73" i="39"/>
  <c r="L73" i="39"/>
  <c r="K74" i="39"/>
  <c r="L74" i="39"/>
  <c r="K75" i="39"/>
  <c r="L75" i="39"/>
  <c r="K76" i="39"/>
  <c r="L76" i="39"/>
  <c r="K77" i="39"/>
  <c r="L77" i="39"/>
  <c r="K78" i="39"/>
  <c r="L78" i="39"/>
  <c r="K79" i="39"/>
  <c r="L79" i="39"/>
  <c r="K80" i="39"/>
  <c r="L80" i="39"/>
  <c r="K81" i="39"/>
  <c r="L81" i="39"/>
  <c r="K82" i="39"/>
  <c r="L82" i="39"/>
  <c r="K83" i="39"/>
  <c r="L83" i="39"/>
  <c r="K34" i="39"/>
  <c r="L34" i="39"/>
  <c r="K35" i="39"/>
  <c r="L35" i="39"/>
  <c r="K36" i="39"/>
  <c r="L36" i="39"/>
  <c r="K37" i="39"/>
  <c r="L37" i="39"/>
  <c r="K38" i="39"/>
  <c r="L38" i="39"/>
  <c r="K39" i="39"/>
  <c r="L39" i="39"/>
  <c r="K40" i="39"/>
  <c r="L40" i="39"/>
  <c r="K41" i="39"/>
  <c r="L41" i="39"/>
  <c r="K42" i="39"/>
  <c r="L42" i="39"/>
  <c r="K43" i="39"/>
  <c r="L43" i="39"/>
  <c r="K44" i="39"/>
  <c r="L44" i="39"/>
  <c r="K45" i="39"/>
  <c r="L45" i="39"/>
  <c r="K46" i="39"/>
  <c r="L46" i="39"/>
  <c r="K47" i="39"/>
  <c r="L47" i="39"/>
  <c r="K48" i="39"/>
  <c r="L48" i="39"/>
  <c r="K49" i="39"/>
  <c r="L49" i="39"/>
  <c r="K50" i="39"/>
  <c r="L50" i="39"/>
  <c r="K51" i="39"/>
  <c r="L51" i="39"/>
  <c r="K52" i="39"/>
  <c r="L52" i="39"/>
  <c r="K53" i="39"/>
  <c r="L53" i="39"/>
  <c r="K54" i="39"/>
  <c r="L54" i="39"/>
  <c r="K55" i="39"/>
  <c r="L55" i="39"/>
  <c r="K56" i="39"/>
  <c r="L56" i="39"/>
  <c r="K57" i="39"/>
  <c r="L57" i="39"/>
  <c r="K58" i="39"/>
  <c r="L58" i="39"/>
  <c r="K59" i="39"/>
  <c r="L59" i="39"/>
  <c r="K60" i="39"/>
  <c r="L60" i="39"/>
  <c r="K61" i="39"/>
  <c r="L61" i="39"/>
  <c r="K26" i="39"/>
  <c r="L26" i="39"/>
  <c r="K27" i="39"/>
  <c r="L27" i="39"/>
  <c r="K28" i="39"/>
  <c r="L28" i="39"/>
  <c r="K29" i="39"/>
  <c r="L29" i="39"/>
  <c r="K30" i="39"/>
  <c r="L30" i="39"/>
  <c r="K31" i="39"/>
  <c r="L31" i="39"/>
  <c r="K32" i="39"/>
  <c r="L32" i="39"/>
  <c r="K33" i="39"/>
  <c r="L33" i="39"/>
  <c r="K15" i="39"/>
  <c r="L15" i="39"/>
  <c r="K16" i="39"/>
  <c r="L16" i="39"/>
  <c r="K17" i="39"/>
  <c r="L17" i="39"/>
  <c r="K18" i="39"/>
  <c r="L18" i="39"/>
  <c r="K19" i="39"/>
  <c r="L19" i="39"/>
  <c r="K20" i="39"/>
  <c r="L20" i="39"/>
  <c r="K21" i="39"/>
  <c r="L21" i="39"/>
  <c r="K22" i="39"/>
  <c r="L22" i="39"/>
  <c r="K23" i="39"/>
  <c r="L23" i="39"/>
  <c r="K24" i="39"/>
  <c r="L24" i="39"/>
  <c r="K25" i="39"/>
  <c r="L25" i="39"/>
  <c r="L14" i="39"/>
  <c r="K14" i="39"/>
  <c r="A1" i="205" l="1"/>
  <c r="E2574" i="250" l="1"/>
  <c r="E2575" i="250"/>
  <c r="E2576" i="250"/>
  <c r="E2577" i="250"/>
  <c r="E2578" i="250"/>
  <c r="E2579" i="250"/>
  <c r="E2580" i="250"/>
  <c r="E2581" i="250"/>
  <c r="E2582" i="250"/>
  <c r="E2583" i="250"/>
  <c r="E2584" i="250"/>
  <c r="E2585" i="250"/>
  <c r="E2586" i="250"/>
  <c r="E2587" i="250"/>
  <c r="E2588" i="250"/>
  <c r="E2589" i="250"/>
  <c r="E2590" i="250"/>
  <c r="E2591" i="250"/>
  <c r="E2592" i="250"/>
  <c r="E2593" i="250"/>
  <c r="E2594" i="250"/>
  <c r="E2595" i="250"/>
  <c r="E2596" i="250"/>
  <c r="E2597" i="250"/>
  <c r="E2598" i="250"/>
  <c r="E2599" i="250"/>
  <c r="E2600" i="250"/>
  <c r="E2601" i="250"/>
  <c r="E2602" i="250"/>
  <c r="E2603" i="250"/>
  <c r="E2604" i="250"/>
  <c r="E2605" i="250"/>
  <c r="E2606" i="250"/>
  <c r="E2607" i="250"/>
  <c r="E2608" i="250"/>
  <c r="E2609" i="250"/>
  <c r="E2610" i="250"/>
  <c r="E2611" i="250"/>
  <c r="E2612" i="250"/>
  <c r="E2613" i="250"/>
  <c r="E2614" i="250"/>
  <c r="E2615" i="250"/>
  <c r="E2616" i="250"/>
  <c r="E2617" i="250"/>
  <c r="E2618" i="250"/>
  <c r="E2619" i="250"/>
  <c r="E2620" i="250"/>
  <c r="E2621" i="250"/>
  <c r="E2622" i="250"/>
  <c r="E2623" i="250"/>
  <c r="E2624" i="250"/>
  <c r="E2625" i="250"/>
  <c r="E2626" i="250"/>
  <c r="E2627" i="250"/>
  <c r="E2628" i="250"/>
  <c r="E2629" i="250"/>
  <c r="E2630" i="250"/>
  <c r="E2631" i="250"/>
  <c r="E2632" i="250"/>
  <c r="E2633" i="250"/>
  <c r="E2634" i="250"/>
  <c r="E2635" i="250"/>
  <c r="E2636" i="250"/>
  <c r="E2637" i="250"/>
  <c r="E2638" i="250"/>
  <c r="E2639" i="250"/>
  <c r="E2640" i="250"/>
  <c r="E2641" i="250"/>
  <c r="E2642" i="250"/>
  <c r="E2643" i="250"/>
  <c r="E2644" i="250"/>
  <c r="E2645" i="250"/>
  <c r="E2646" i="250"/>
  <c r="E2647" i="250"/>
  <c r="E2648" i="250"/>
  <c r="E2649" i="250"/>
  <c r="E2650" i="250"/>
  <c r="E2651" i="250"/>
  <c r="E2652" i="250"/>
  <c r="E2653" i="250"/>
  <c r="E2654" i="250"/>
  <c r="E2655" i="250"/>
  <c r="E2656" i="250"/>
  <c r="E2657" i="250"/>
  <c r="E2658" i="250"/>
  <c r="E2659" i="250"/>
  <c r="E2660" i="250"/>
  <c r="E2661" i="250"/>
  <c r="E2662" i="250"/>
  <c r="E2663" i="250"/>
  <c r="E2664" i="250"/>
  <c r="E2665" i="250"/>
  <c r="E2666" i="250"/>
  <c r="E2667" i="250"/>
  <c r="E2668" i="250"/>
  <c r="E2669" i="250"/>
  <c r="E2670" i="250"/>
  <c r="E2671" i="250"/>
  <c r="E2672" i="250"/>
  <c r="E2673" i="250"/>
  <c r="E2674" i="250"/>
  <c r="E2675" i="250"/>
  <c r="E2676" i="250"/>
  <c r="E2677" i="250"/>
  <c r="E2678" i="250"/>
  <c r="E2679" i="250"/>
  <c r="E2680" i="250"/>
  <c r="E2681" i="250"/>
  <c r="E2682" i="250"/>
  <c r="E2683" i="250"/>
  <c r="E2684" i="250"/>
  <c r="E2685" i="250"/>
  <c r="E2686" i="250"/>
  <c r="E2687" i="250"/>
  <c r="E2688" i="250"/>
  <c r="E2689" i="250"/>
  <c r="E2690" i="250"/>
  <c r="E2691" i="250"/>
  <c r="E2692" i="250"/>
  <c r="E2693" i="250"/>
  <c r="E2694" i="250"/>
  <c r="E2695" i="250"/>
  <c r="E2696" i="250"/>
  <c r="E2697" i="250"/>
  <c r="E2698" i="250"/>
  <c r="E2699" i="250"/>
  <c r="E2700" i="250"/>
  <c r="E2701" i="250"/>
  <c r="E2702" i="250"/>
  <c r="E2703" i="250"/>
  <c r="E2704" i="250"/>
  <c r="E2705" i="250"/>
  <c r="E2706" i="250"/>
  <c r="E2707" i="250"/>
  <c r="E2708" i="250"/>
  <c r="E2709" i="250"/>
  <c r="E2710" i="250"/>
  <c r="E2711" i="250"/>
  <c r="E2712" i="250"/>
  <c r="E2713" i="250"/>
  <c r="E2714" i="250"/>
  <c r="E2715" i="250"/>
  <c r="E2716" i="250"/>
  <c r="E2717" i="250"/>
  <c r="E2718" i="250"/>
  <c r="E2719" i="250"/>
  <c r="E2720" i="250"/>
  <c r="E2721" i="250"/>
  <c r="E2722" i="250"/>
  <c r="E2723" i="250"/>
  <c r="E2724" i="250"/>
  <c r="E2725" i="250"/>
  <c r="E2726" i="250"/>
  <c r="E2727" i="250"/>
  <c r="E2728" i="250"/>
  <c r="E2729" i="250"/>
  <c r="E2730" i="250"/>
  <c r="E2731" i="250"/>
  <c r="E2732" i="250"/>
  <c r="E2733" i="250"/>
  <c r="E2734" i="250"/>
  <c r="E2735" i="250"/>
  <c r="E2736" i="250"/>
  <c r="E2737" i="250"/>
  <c r="E2738" i="250"/>
  <c r="E2739" i="250"/>
  <c r="E2740" i="250"/>
  <c r="E2741" i="250"/>
  <c r="E2742" i="250"/>
  <c r="E2743" i="250"/>
  <c r="E2744" i="250"/>
  <c r="E2745" i="250"/>
  <c r="E2746" i="250"/>
  <c r="E2747" i="250"/>
  <c r="E2748" i="250"/>
  <c r="E2749" i="250"/>
  <c r="E2750" i="250"/>
  <c r="E2751" i="250"/>
  <c r="E2752" i="250"/>
  <c r="E2753" i="250"/>
  <c r="E2754" i="250"/>
  <c r="E2755" i="250"/>
  <c r="E2756" i="250"/>
  <c r="E2757" i="250"/>
  <c r="E2758" i="250"/>
  <c r="E2759" i="250"/>
  <c r="E2760" i="250"/>
  <c r="E2761" i="250"/>
  <c r="E2762" i="250"/>
  <c r="E2763" i="250"/>
  <c r="E2764" i="250"/>
  <c r="E2765" i="250"/>
  <c r="E2766" i="250"/>
  <c r="E2767" i="250"/>
  <c r="E2768" i="250"/>
  <c r="E2769" i="250"/>
  <c r="E2770" i="250"/>
  <c r="E2771" i="250"/>
  <c r="E2772" i="250"/>
  <c r="E2773" i="250"/>
  <c r="E2774" i="250"/>
  <c r="E2775" i="250"/>
  <c r="E2776" i="250"/>
  <c r="E2777" i="250"/>
  <c r="E2778" i="250"/>
  <c r="E2779" i="250"/>
  <c r="E2780" i="250"/>
  <c r="E2781" i="250"/>
  <c r="E2782" i="250"/>
  <c r="E2783" i="250"/>
  <c r="E2784" i="250"/>
  <c r="E2785" i="250"/>
  <c r="E2786" i="250"/>
  <c r="E2787" i="250"/>
  <c r="E2788" i="250"/>
  <c r="E2789" i="250"/>
  <c r="E2790" i="250"/>
  <c r="E2791" i="250"/>
  <c r="E2792" i="250"/>
  <c r="E2793" i="250"/>
  <c r="E2794" i="250"/>
  <c r="E2795" i="250"/>
  <c r="E2796" i="250"/>
  <c r="E2797" i="250"/>
  <c r="E2798" i="250"/>
  <c r="E2799" i="250"/>
  <c r="E2800" i="250"/>
  <c r="E2801" i="250"/>
  <c r="E2802" i="250"/>
  <c r="E2803" i="250"/>
  <c r="E2804" i="250"/>
  <c r="E2805" i="250"/>
  <c r="E2806" i="250"/>
  <c r="E2807" i="250"/>
  <c r="E2808" i="250"/>
  <c r="E2809" i="250"/>
  <c r="E2810" i="250"/>
  <c r="E2811" i="250"/>
  <c r="E2812" i="250"/>
  <c r="E2813" i="250"/>
  <c r="E2814" i="250"/>
  <c r="E2815" i="250"/>
  <c r="E2816" i="250"/>
  <c r="E2817" i="250"/>
  <c r="E2818" i="250"/>
  <c r="E2819" i="250"/>
  <c r="E2820" i="250"/>
  <c r="E2821" i="250"/>
  <c r="E2822" i="250"/>
  <c r="E2823" i="250"/>
  <c r="E2824" i="250"/>
  <c r="E2825" i="250"/>
  <c r="E2826" i="250"/>
  <c r="E2827" i="250"/>
  <c r="E2828" i="250"/>
  <c r="E2829" i="250"/>
  <c r="E2830" i="250"/>
  <c r="E2831" i="250"/>
  <c r="E2832" i="250"/>
  <c r="E2833" i="250"/>
  <c r="E2834" i="250"/>
  <c r="E2835" i="250"/>
  <c r="E2836" i="250"/>
  <c r="E2837" i="250"/>
  <c r="E2838" i="250"/>
  <c r="E2839" i="250"/>
  <c r="E2840" i="250"/>
  <c r="E2841" i="250"/>
  <c r="E2842" i="250"/>
  <c r="E2843" i="250"/>
  <c r="E2844" i="250"/>
  <c r="E2845" i="250"/>
  <c r="E2846" i="250"/>
  <c r="E2847" i="250"/>
  <c r="E2848" i="250"/>
  <c r="E2849" i="250"/>
  <c r="E2850" i="250"/>
  <c r="E2851" i="250"/>
  <c r="E2852" i="250"/>
  <c r="E2853" i="250"/>
  <c r="E2854" i="250"/>
  <c r="E2855" i="250"/>
  <c r="E2856" i="250"/>
  <c r="E2857" i="250"/>
  <c r="E2858" i="250"/>
  <c r="E2859" i="250"/>
  <c r="E2860" i="250"/>
  <c r="E2861" i="250"/>
  <c r="E2862" i="250"/>
  <c r="E2863" i="250"/>
  <c r="E2864" i="250"/>
  <c r="E2865" i="250"/>
  <c r="E2866" i="250"/>
  <c r="E2867" i="250"/>
  <c r="E2868" i="250"/>
  <c r="E2869" i="250"/>
  <c r="E2870" i="250"/>
  <c r="E2871" i="250"/>
  <c r="E2872" i="250"/>
  <c r="E2873" i="250"/>
  <c r="E2874" i="250"/>
  <c r="E2875" i="250"/>
  <c r="E2876" i="250"/>
  <c r="E2877" i="250"/>
  <c r="E2878" i="250"/>
  <c r="E2879" i="250"/>
  <c r="E2880" i="250"/>
  <c r="E2881" i="250"/>
  <c r="E2882" i="250"/>
  <c r="E2883" i="250"/>
  <c r="E2884" i="250"/>
  <c r="E2885" i="250"/>
  <c r="E2886" i="250"/>
  <c r="E2887" i="250"/>
  <c r="E2888" i="250"/>
  <c r="E2889" i="250"/>
  <c r="E2890" i="250"/>
  <c r="E2891" i="250"/>
  <c r="E2892" i="250"/>
  <c r="E2893" i="250"/>
  <c r="E2894" i="250"/>
  <c r="E2895" i="250"/>
  <c r="E2896" i="250"/>
  <c r="E2897" i="250"/>
  <c r="E2898" i="250"/>
  <c r="E2899" i="250"/>
  <c r="E2900" i="250"/>
  <c r="E2901" i="250"/>
  <c r="E2902" i="250"/>
  <c r="E2903" i="250"/>
  <c r="E2904" i="250"/>
  <c r="E2905" i="250"/>
  <c r="E2906" i="250"/>
  <c r="E2907" i="250"/>
  <c r="E2908" i="250"/>
  <c r="E2909" i="250"/>
  <c r="E2910" i="250"/>
  <c r="E2911" i="250"/>
  <c r="E2912" i="250"/>
  <c r="E2913" i="250"/>
  <c r="E2914" i="250"/>
  <c r="E2915" i="250"/>
  <c r="E2916" i="250"/>
  <c r="E2917" i="250"/>
  <c r="E2918" i="250"/>
  <c r="E2919" i="250"/>
  <c r="E2920" i="250"/>
  <c r="E2921" i="250"/>
  <c r="E2922" i="250"/>
  <c r="E2923" i="250"/>
  <c r="E2924" i="250"/>
  <c r="E2925" i="250"/>
  <c r="E2926" i="250"/>
  <c r="E2927" i="250"/>
  <c r="E2928" i="250"/>
  <c r="E2929" i="250"/>
  <c r="E2930" i="250"/>
  <c r="E2931" i="250"/>
  <c r="E2932" i="250"/>
  <c r="E2933" i="250"/>
  <c r="E2934" i="250"/>
  <c r="E2935" i="250"/>
  <c r="E2936" i="250"/>
  <c r="E2937" i="250"/>
  <c r="E2938" i="250"/>
  <c r="E2939" i="250"/>
  <c r="E2940" i="250"/>
  <c r="E2941" i="250"/>
  <c r="E2942" i="250"/>
  <c r="E2943" i="250"/>
  <c r="E2944" i="250"/>
  <c r="E2945" i="250"/>
  <c r="E2946" i="250"/>
  <c r="E2947" i="250"/>
  <c r="E2948" i="250"/>
  <c r="E2949" i="250"/>
  <c r="E2950" i="250"/>
  <c r="E2951" i="250"/>
  <c r="E2952" i="250"/>
  <c r="E2953" i="250"/>
  <c r="E2954" i="250"/>
  <c r="E2955" i="250"/>
  <c r="E2956" i="250"/>
  <c r="E2957" i="250"/>
  <c r="E2958" i="250"/>
  <c r="E2959" i="250"/>
  <c r="E2960" i="250"/>
  <c r="E2961" i="250"/>
  <c r="E2962" i="250"/>
  <c r="E2963" i="250"/>
  <c r="E2964" i="250"/>
  <c r="E2965" i="250"/>
  <c r="E2966" i="250"/>
  <c r="E2967" i="250"/>
  <c r="E2968" i="250"/>
  <c r="E2969" i="250"/>
  <c r="E2970" i="250"/>
  <c r="E2971" i="250"/>
  <c r="E2972" i="250"/>
  <c r="E2973" i="250"/>
  <c r="E2974" i="250"/>
  <c r="E2975" i="250"/>
  <c r="E2976" i="250"/>
  <c r="E2977" i="250"/>
  <c r="E2978" i="250"/>
  <c r="E2979" i="250"/>
  <c r="E2980" i="250"/>
  <c r="E2981" i="250"/>
  <c r="E2982" i="250"/>
  <c r="E2983" i="250"/>
  <c r="E2984" i="250"/>
  <c r="E2985" i="250"/>
  <c r="E2986" i="250"/>
  <c r="E2987" i="250"/>
  <c r="E2988" i="250"/>
  <c r="E2989" i="250"/>
  <c r="E2990" i="250"/>
  <c r="E2991" i="250"/>
  <c r="E2992" i="250"/>
  <c r="E2993" i="250"/>
  <c r="E2994" i="250"/>
  <c r="E2995" i="250"/>
  <c r="E2996" i="250"/>
  <c r="E2997" i="250"/>
  <c r="E2998" i="250"/>
  <c r="E2999" i="250"/>
  <c r="E3000" i="250"/>
  <c r="E3001" i="250"/>
  <c r="E3002" i="250"/>
  <c r="E3003" i="250"/>
  <c r="E3004" i="250"/>
  <c r="E3005" i="250"/>
  <c r="E3006" i="250"/>
  <c r="E3007" i="250"/>
  <c r="E3008" i="250"/>
  <c r="E3009" i="250"/>
  <c r="E3010" i="250"/>
  <c r="E3011" i="250"/>
  <c r="E3012" i="250"/>
  <c r="E3013" i="250"/>
  <c r="E3014" i="250"/>
  <c r="E3015" i="250"/>
  <c r="E3016" i="250"/>
  <c r="E3017" i="250"/>
  <c r="E3018" i="250"/>
  <c r="E3019" i="250"/>
  <c r="E3020" i="250"/>
  <c r="E3021" i="250"/>
  <c r="E3022" i="250"/>
  <c r="E3023" i="250"/>
  <c r="E3024" i="250"/>
  <c r="E3025" i="250"/>
  <c r="E3026" i="250"/>
  <c r="E3027" i="250"/>
  <c r="E3028" i="250"/>
  <c r="E3029" i="250"/>
  <c r="E3030" i="250"/>
  <c r="E3031" i="250"/>
  <c r="E3032" i="250"/>
  <c r="E3033" i="250"/>
  <c r="E3034" i="250"/>
  <c r="E3035" i="250"/>
  <c r="E3036" i="250"/>
  <c r="E3037" i="250"/>
  <c r="E3038" i="250"/>
  <c r="E3039" i="250"/>
  <c r="E3040" i="250"/>
  <c r="E3041" i="250"/>
  <c r="E3042" i="250"/>
  <c r="E3043" i="250"/>
  <c r="E3044" i="250"/>
  <c r="E3045" i="250"/>
  <c r="E3046" i="250"/>
  <c r="E3047" i="250"/>
  <c r="E3048" i="250"/>
  <c r="E3049" i="250"/>
  <c r="E3050" i="250"/>
  <c r="E3051" i="250"/>
  <c r="E3052" i="250"/>
  <c r="E3053" i="250"/>
  <c r="E3054" i="250"/>
  <c r="E3055" i="250"/>
  <c r="E3056" i="250"/>
  <c r="E3057" i="250"/>
  <c r="E3058" i="250"/>
  <c r="E3059" i="250"/>
  <c r="E3060" i="250"/>
  <c r="E3061" i="250"/>
  <c r="E3062" i="250"/>
  <c r="E3063" i="250"/>
  <c r="E3064" i="250"/>
  <c r="E3065" i="250"/>
  <c r="E3066" i="250"/>
  <c r="E3067" i="250"/>
  <c r="E3068" i="250"/>
  <c r="E3069" i="250"/>
  <c r="E3070" i="250"/>
  <c r="E3071" i="250"/>
  <c r="E3072" i="250"/>
  <c r="E3073" i="250"/>
  <c r="E3074" i="250"/>
  <c r="E3075" i="250"/>
  <c r="E3076" i="250"/>
  <c r="E3077" i="250"/>
  <c r="E3078" i="250"/>
  <c r="E3079" i="250"/>
  <c r="E3080" i="250"/>
  <c r="E3081" i="250"/>
  <c r="E3082" i="250"/>
  <c r="E3083" i="250"/>
  <c r="E3084" i="250"/>
  <c r="E3085" i="250"/>
  <c r="E3086" i="250"/>
  <c r="E3087" i="250"/>
  <c r="E3088" i="250"/>
  <c r="E3089" i="250"/>
  <c r="E3090" i="250"/>
  <c r="E3091" i="250"/>
  <c r="E3092" i="250"/>
  <c r="E3093" i="250"/>
  <c r="E3094" i="250"/>
  <c r="E3095" i="250"/>
  <c r="E3096" i="250"/>
  <c r="E3097" i="250"/>
  <c r="E3098" i="250"/>
  <c r="E3099" i="250"/>
  <c r="E3100" i="250"/>
  <c r="E3101" i="250"/>
  <c r="E3102" i="250"/>
  <c r="E3103" i="250"/>
  <c r="E3104" i="250"/>
  <c r="E3105" i="250"/>
  <c r="E3106" i="250"/>
  <c r="E3107" i="250"/>
  <c r="E3108" i="250"/>
  <c r="E3109" i="250"/>
  <c r="E3110" i="250"/>
  <c r="E3111" i="250"/>
  <c r="E3112" i="250"/>
  <c r="E3113" i="250"/>
  <c r="E3114" i="250"/>
  <c r="E3115" i="250"/>
  <c r="E3116" i="250"/>
  <c r="E3117" i="250"/>
  <c r="E3118" i="250"/>
  <c r="E3119" i="250"/>
  <c r="E3120" i="250"/>
  <c r="E3121" i="250"/>
  <c r="E3122" i="250"/>
  <c r="E3123" i="250"/>
  <c r="E3124" i="250"/>
  <c r="E3125" i="250"/>
  <c r="E3126" i="250"/>
  <c r="E3127" i="250"/>
  <c r="E3128" i="250"/>
  <c r="E3129" i="250"/>
  <c r="E3130" i="250"/>
  <c r="E3131" i="250"/>
  <c r="E3132" i="250"/>
  <c r="E3133" i="250"/>
  <c r="E3134" i="250"/>
  <c r="E3135" i="250"/>
  <c r="E3136" i="250"/>
  <c r="E3137" i="250"/>
  <c r="E3138" i="250"/>
  <c r="E3139" i="250"/>
  <c r="E3140" i="250"/>
  <c r="E3141" i="250"/>
  <c r="E3142" i="250"/>
  <c r="E3143" i="250"/>
  <c r="E3144" i="250"/>
  <c r="E3145" i="250"/>
  <c r="E3146" i="250"/>
  <c r="E3147" i="250"/>
  <c r="E3148" i="250"/>
  <c r="E3149" i="250"/>
  <c r="E3150" i="250"/>
  <c r="E3151" i="250"/>
  <c r="E3152" i="250"/>
  <c r="E3153" i="250"/>
  <c r="E3154" i="250"/>
  <c r="E3155" i="250"/>
  <c r="E3156" i="250"/>
  <c r="E3157" i="250"/>
  <c r="E3158" i="250"/>
  <c r="E3159" i="250"/>
  <c r="E3160" i="250"/>
  <c r="E3161" i="250"/>
  <c r="E3162" i="250"/>
  <c r="E3163" i="250"/>
  <c r="E3164" i="250"/>
  <c r="E3165" i="250"/>
  <c r="E3166" i="250"/>
  <c r="E3167" i="250"/>
  <c r="E3168" i="250"/>
  <c r="E3169" i="250"/>
  <c r="E3170" i="250"/>
  <c r="E3171" i="250"/>
  <c r="E3172" i="250"/>
  <c r="E3173" i="250"/>
  <c r="E3174" i="250"/>
  <c r="E3175" i="250"/>
  <c r="E3176" i="250"/>
  <c r="E3177" i="250"/>
  <c r="E3178" i="250"/>
  <c r="E3179" i="250"/>
  <c r="E3180" i="250"/>
  <c r="E3181" i="250"/>
  <c r="E3182" i="250"/>
  <c r="E3183" i="250"/>
  <c r="E3184" i="250"/>
  <c r="E3185" i="250"/>
  <c r="E3186" i="250"/>
  <c r="E3187" i="250"/>
  <c r="E3188" i="250"/>
  <c r="E3189" i="250"/>
  <c r="E3190" i="250"/>
  <c r="E3191" i="250"/>
  <c r="E3192" i="250"/>
  <c r="E3193" i="250"/>
  <c r="E3194" i="250"/>
  <c r="E3195" i="250"/>
  <c r="E3196" i="250"/>
  <c r="E3197" i="250"/>
  <c r="E3198" i="250"/>
  <c r="E3199" i="250"/>
  <c r="E3200" i="250"/>
  <c r="E3201" i="250"/>
  <c r="E3202" i="250"/>
  <c r="E3203" i="250"/>
  <c r="E3204" i="250"/>
  <c r="E3205" i="250"/>
  <c r="E3206" i="250"/>
  <c r="E3207" i="250"/>
  <c r="E3208" i="250"/>
  <c r="E3209" i="250"/>
  <c r="E3210" i="250"/>
  <c r="E3211" i="250"/>
  <c r="E3212" i="250"/>
  <c r="E3213" i="250"/>
  <c r="E3214" i="250"/>
  <c r="E3215" i="250"/>
  <c r="E3216" i="250"/>
  <c r="E3217" i="250"/>
  <c r="E3218" i="250"/>
  <c r="E3219" i="250"/>
  <c r="E3220" i="250"/>
  <c r="E3221" i="250"/>
  <c r="E3222" i="250"/>
  <c r="E3223" i="250"/>
  <c r="E3224" i="250"/>
  <c r="E3225" i="250"/>
  <c r="E3226" i="250"/>
  <c r="E3227" i="250"/>
  <c r="E3228" i="250"/>
  <c r="E3229" i="250"/>
  <c r="E3230" i="250"/>
  <c r="E3231" i="250"/>
  <c r="E3232" i="250"/>
  <c r="E3233" i="250"/>
  <c r="E3234" i="250"/>
  <c r="E3235" i="250"/>
  <c r="E3236" i="250"/>
  <c r="E3237" i="250"/>
  <c r="E3238" i="250"/>
  <c r="E3239" i="250"/>
  <c r="E3240" i="250"/>
  <c r="E3241" i="250"/>
  <c r="E3242" i="250"/>
  <c r="E3243" i="250"/>
  <c r="E3244" i="250"/>
  <c r="E3245" i="250"/>
  <c r="E3246" i="250"/>
  <c r="E3247" i="250"/>
  <c r="E3248" i="250"/>
  <c r="E3249" i="250"/>
  <c r="E3250" i="250"/>
  <c r="E3251" i="250"/>
  <c r="E3252" i="250"/>
  <c r="E3253" i="250"/>
  <c r="E3254" i="250"/>
  <c r="E3255" i="250"/>
  <c r="E3256" i="250"/>
  <c r="E3257" i="250"/>
  <c r="E3258" i="250"/>
  <c r="E3259" i="250"/>
  <c r="E3260" i="250"/>
  <c r="E3261" i="250"/>
  <c r="E3262" i="250"/>
  <c r="E3263" i="250"/>
  <c r="E3264" i="250"/>
  <c r="E3265" i="250"/>
  <c r="E3266" i="250"/>
  <c r="E3267" i="250"/>
  <c r="E3268" i="250"/>
  <c r="E3269" i="250"/>
  <c r="E3270" i="250"/>
  <c r="E3271" i="250"/>
  <c r="E3272" i="250"/>
  <c r="E3273" i="250"/>
  <c r="E3274" i="250"/>
  <c r="E3275" i="250"/>
  <c r="E3276" i="250"/>
  <c r="E3277" i="250"/>
  <c r="E3278" i="250"/>
  <c r="E3279" i="250"/>
  <c r="E3280" i="250"/>
  <c r="E3281" i="250"/>
  <c r="E3282" i="250"/>
  <c r="E3283" i="250"/>
  <c r="E3284" i="250"/>
  <c r="E3285" i="250"/>
  <c r="E3286" i="250"/>
  <c r="E3287" i="250"/>
  <c r="E3288" i="250"/>
  <c r="E3289" i="250"/>
  <c r="E3290" i="250"/>
  <c r="E3291" i="250"/>
  <c r="E3292" i="250"/>
  <c r="E3293" i="250"/>
  <c r="E3294" i="250"/>
  <c r="E3295" i="250"/>
  <c r="E3296" i="250"/>
  <c r="E3297" i="250"/>
  <c r="E3298" i="250"/>
  <c r="E3299" i="250"/>
  <c r="E3300" i="250"/>
  <c r="E3301" i="250"/>
  <c r="E3302" i="250"/>
  <c r="E3303" i="250"/>
  <c r="E3304" i="250"/>
  <c r="E3305" i="250"/>
  <c r="E3306" i="250"/>
  <c r="E3307" i="250"/>
  <c r="E3308" i="250"/>
  <c r="E3309" i="250"/>
  <c r="E3310" i="250"/>
  <c r="E3311" i="250"/>
  <c r="E3312" i="250"/>
  <c r="E3313" i="250"/>
  <c r="E3314" i="250"/>
  <c r="E3315" i="250"/>
  <c r="E3316" i="250"/>
  <c r="E3317" i="250"/>
  <c r="E3318" i="250"/>
  <c r="E3319" i="250"/>
  <c r="E3320" i="250"/>
  <c r="E3321" i="250"/>
  <c r="E3322" i="250"/>
  <c r="E3323" i="250"/>
  <c r="E3324" i="250"/>
  <c r="E3325" i="250"/>
  <c r="E3326" i="250"/>
  <c r="E3327" i="250"/>
  <c r="E3328" i="250"/>
  <c r="E3329" i="250"/>
  <c r="E3330" i="250"/>
  <c r="E3331" i="250"/>
  <c r="E3332" i="250"/>
  <c r="E3333" i="250"/>
  <c r="E3334" i="250"/>
  <c r="E3335" i="250"/>
  <c r="E3336" i="250"/>
  <c r="E3337" i="250"/>
  <c r="E3338" i="250"/>
  <c r="E3339" i="250"/>
  <c r="E3340" i="250"/>
  <c r="E3341" i="250"/>
  <c r="E3342" i="250"/>
  <c r="E3343" i="250"/>
  <c r="E3344" i="250"/>
  <c r="E3345" i="250"/>
  <c r="E3346" i="250"/>
  <c r="E3347" i="250"/>
  <c r="E3348" i="250"/>
  <c r="E3349" i="250"/>
  <c r="E2573" i="250"/>
  <c r="E2486" i="250"/>
  <c r="E2487" i="250"/>
  <c r="E2488" i="250"/>
  <c r="E2489" i="250"/>
  <c r="E2490" i="250"/>
  <c r="E2491" i="250"/>
  <c r="E2492" i="250"/>
  <c r="E2493" i="250"/>
  <c r="E2494" i="250"/>
  <c r="E2495" i="250"/>
  <c r="E2496" i="250"/>
  <c r="E2497" i="250"/>
  <c r="E2498" i="250"/>
  <c r="E2499" i="250"/>
  <c r="E2500" i="250"/>
  <c r="E2501" i="250"/>
  <c r="E2502" i="250"/>
  <c r="E2503" i="250"/>
  <c r="E2504" i="250"/>
  <c r="E2505" i="250"/>
  <c r="E2506" i="250"/>
  <c r="E2507" i="250"/>
  <c r="E2508" i="250"/>
  <c r="E2509" i="250"/>
  <c r="E2510" i="250"/>
  <c r="E2511" i="250"/>
  <c r="E2512" i="250"/>
  <c r="E2513" i="250"/>
  <c r="E2514" i="250"/>
  <c r="E2515" i="250"/>
  <c r="E2516" i="250"/>
  <c r="E2517" i="250"/>
  <c r="E2518" i="250"/>
  <c r="E2519" i="250"/>
  <c r="E2520" i="250"/>
  <c r="E2521" i="250"/>
  <c r="E2522" i="250"/>
  <c r="E2523" i="250"/>
  <c r="E2524" i="250"/>
  <c r="E2525" i="250"/>
  <c r="E2526" i="250"/>
  <c r="E2527" i="250"/>
  <c r="E2528" i="250"/>
  <c r="E2529" i="250"/>
  <c r="E2530" i="250"/>
  <c r="E2531" i="250"/>
  <c r="E2532" i="250"/>
  <c r="E2533" i="250"/>
  <c r="E2534" i="250"/>
  <c r="E2535" i="250"/>
  <c r="E2536" i="250"/>
  <c r="E2537" i="250"/>
  <c r="E2538" i="250"/>
  <c r="E2539" i="250"/>
  <c r="E2540" i="250"/>
  <c r="E2541" i="250"/>
  <c r="E2542" i="250"/>
  <c r="E2543" i="250"/>
  <c r="E2544" i="250"/>
  <c r="E2545" i="250"/>
  <c r="E2546" i="250"/>
  <c r="E2547" i="250"/>
  <c r="E2548" i="250"/>
  <c r="E2549" i="250"/>
  <c r="E2550" i="250"/>
  <c r="E2551" i="250"/>
  <c r="E2552" i="250"/>
  <c r="E2553" i="250"/>
  <c r="E2554" i="250"/>
  <c r="E2555" i="250"/>
  <c r="E2556" i="250"/>
  <c r="E2557" i="250"/>
  <c r="E2558" i="250"/>
  <c r="E2559" i="250"/>
  <c r="E2560" i="250"/>
  <c r="E2561" i="250"/>
  <c r="E2562" i="250"/>
  <c r="E2563" i="250"/>
  <c r="E2564" i="250"/>
  <c r="E2565" i="250"/>
  <c r="E2566" i="250"/>
  <c r="E2567" i="250"/>
  <c r="E2568" i="250"/>
  <c r="E2569" i="250"/>
  <c r="E2570" i="250"/>
  <c r="E2571" i="250"/>
  <c r="E2572" i="250"/>
  <c r="E2485" i="250"/>
  <c r="E2461" i="250"/>
  <c r="E2462" i="250"/>
  <c r="E2463" i="250"/>
  <c r="E2464" i="250"/>
  <c r="E2465" i="250"/>
  <c r="E2466" i="250"/>
  <c r="E2467" i="250"/>
  <c r="E2468" i="250"/>
  <c r="E2469" i="250"/>
  <c r="E2470" i="250"/>
  <c r="E2471" i="250"/>
  <c r="E2472" i="250"/>
  <c r="E2473" i="250"/>
  <c r="E2474" i="250"/>
  <c r="E2475" i="250"/>
  <c r="E2476" i="250"/>
  <c r="E2477" i="250"/>
  <c r="E2478" i="250"/>
  <c r="E2479" i="250"/>
  <c r="E2480" i="250"/>
  <c r="E2481" i="250"/>
  <c r="E2482" i="250"/>
  <c r="E2483" i="250"/>
  <c r="E2484" i="250"/>
  <c r="E2460" i="250"/>
  <c r="E2442" i="250"/>
  <c r="E2443" i="250"/>
  <c r="E2444" i="250"/>
  <c r="E2445" i="250"/>
  <c r="E2446" i="250"/>
  <c r="E2447" i="250"/>
  <c r="E2448" i="250"/>
  <c r="E2449" i="250"/>
  <c r="E2450" i="250"/>
  <c r="E2451" i="250"/>
  <c r="E2452" i="250"/>
  <c r="E2453" i="250"/>
  <c r="E2454" i="250"/>
  <c r="E2455" i="250"/>
  <c r="E2456" i="250"/>
  <c r="E2457" i="250"/>
  <c r="E2458" i="250"/>
  <c r="E2459" i="250"/>
  <c r="E2441" i="250"/>
  <c r="E2396" i="250"/>
  <c r="E2397" i="250"/>
  <c r="E2398" i="250"/>
  <c r="E2399" i="250"/>
  <c r="E2400" i="250"/>
  <c r="E2401" i="250"/>
  <c r="E2402" i="250"/>
  <c r="E2403" i="250"/>
  <c r="E2404" i="250"/>
  <c r="E2405" i="250"/>
  <c r="E2406" i="250"/>
  <c r="E2407" i="250"/>
  <c r="E2408" i="250"/>
  <c r="E2409" i="250"/>
  <c r="E2410" i="250"/>
  <c r="E2411" i="250"/>
  <c r="E2412" i="250"/>
  <c r="E2413" i="250"/>
  <c r="E2414" i="250"/>
  <c r="E2415" i="250"/>
  <c r="E2416" i="250"/>
  <c r="E2417" i="250"/>
  <c r="E2418" i="250"/>
  <c r="E2419" i="250"/>
  <c r="E2420" i="250"/>
  <c r="E2421" i="250"/>
  <c r="E2422" i="250"/>
  <c r="E2423" i="250"/>
  <c r="E2424" i="250"/>
  <c r="E2425" i="250"/>
  <c r="E2426" i="250"/>
  <c r="E2427" i="250"/>
  <c r="E2428" i="250"/>
  <c r="E2429" i="250"/>
  <c r="E2430" i="250"/>
  <c r="E2431" i="250"/>
  <c r="E2432" i="250"/>
  <c r="E2433" i="250"/>
  <c r="E2434" i="250"/>
  <c r="E2435" i="250"/>
  <c r="E2436" i="250"/>
  <c r="E2437" i="250"/>
  <c r="E2438" i="250"/>
  <c r="E2439" i="250"/>
  <c r="E2440" i="250"/>
  <c r="E2395" i="250"/>
  <c r="E2241" i="250"/>
  <c r="E2242" i="250"/>
  <c r="E2243" i="250"/>
  <c r="E2244" i="250"/>
  <c r="E2245" i="250"/>
  <c r="E2246" i="250"/>
  <c r="E2247" i="250"/>
  <c r="E2248" i="250"/>
  <c r="E2249" i="250"/>
  <c r="E2250" i="250"/>
  <c r="E2251" i="250"/>
  <c r="E2252" i="250"/>
  <c r="E2253" i="250"/>
  <c r="E2254" i="250"/>
  <c r="E2255" i="250"/>
  <c r="E2256" i="250"/>
  <c r="E2257" i="250"/>
  <c r="E2258" i="250"/>
  <c r="E2259" i="250"/>
  <c r="E2260" i="250"/>
  <c r="E2261" i="250"/>
  <c r="E2262" i="250"/>
  <c r="E2263" i="250"/>
  <c r="E2240" i="250"/>
  <c r="E2264" i="250"/>
  <c r="E2265" i="250"/>
  <c r="E2266" i="250"/>
  <c r="E2267" i="250"/>
  <c r="E2268" i="250"/>
  <c r="E2269" i="250"/>
  <c r="E2270" i="250"/>
  <c r="E2271" i="250"/>
  <c r="E2272" i="250"/>
  <c r="E2273" i="250"/>
  <c r="E2274" i="250"/>
  <c r="E2275" i="250"/>
  <c r="E2276" i="250"/>
  <c r="E2277" i="250"/>
  <c r="E2278" i="250"/>
  <c r="E2279" i="250"/>
  <c r="E2280" i="250"/>
  <c r="E2281" i="250"/>
  <c r="E2282" i="250"/>
  <c r="E2283" i="250"/>
  <c r="E2284" i="250"/>
  <c r="E2285" i="250"/>
  <c r="E2286" i="250"/>
  <c r="E2287" i="250"/>
  <c r="E2288" i="250"/>
  <c r="E2289" i="250"/>
  <c r="E2290" i="250"/>
  <c r="E2291" i="250"/>
  <c r="E2292" i="250"/>
  <c r="E2293" i="250"/>
  <c r="E2294" i="250"/>
  <c r="E2295" i="250"/>
  <c r="E2296" i="250"/>
  <c r="E2297" i="250"/>
  <c r="E2298" i="250"/>
  <c r="E2299" i="250"/>
  <c r="E2300" i="250"/>
  <c r="E2301" i="250"/>
  <c r="E2302" i="250"/>
  <c r="E2303" i="250"/>
  <c r="E2304" i="250"/>
  <c r="E2305" i="250"/>
  <c r="E2306" i="250"/>
  <c r="E2307" i="250"/>
  <c r="E2308" i="250"/>
  <c r="E2309" i="250"/>
  <c r="E2310" i="250"/>
  <c r="E2311" i="250"/>
  <c r="E2312" i="250"/>
  <c r="E2313" i="250"/>
  <c r="E2314" i="250"/>
  <c r="E2315" i="250"/>
  <c r="E2316" i="250"/>
  <c r="E2317" i="250"/>
  <c r="E2318" i="250"/>
  <c r="E2319" i="250"/>
  <c r="E2320" i="250"/>
  <c r="E2321" i="250"/>
  <c r="E2322" i="250"/>
  <c r="E2323" i="250"/>
  <c r="E2324" i="250"/>
  <c r="E2325" i="250"/>
  <c r="E2326" i="250"/>
  <c r="E2327" i="250"/>
  <c r="E2328" i="250"/>
  <c r="E2329" i="250"/>
  <c r="E2330" i="250"/>
  <c r="E2331" i="250"/>
  <c r="E2332" i="250"/>
  <c r="E2333" i="250"/>
  <c r="E2334" i="250"/>
  <c r="E2335" i="250"/>
  <c r="E2336" i="250"/>
  <c r="E2337" i="250"/>
  <c r="E2338" i="250"/>
  <c r="E2339" i="250"/>
  <c r="E2340" i="250"/>
  <c r="E2341" i="250"/>
  <c r="E2342" i="250"/>
  <c r="E2343" i="250"/>
  <c r="E2344" i="250"/>
  <c r="E2345" i="250"/>
  <c r="E2346" i="250"/>
  <c r="E2347" i="250"/>
  <c r="E2348" i="250"/>
  <c r="E2349" i="250"/>
  <c r="E2350" i="250"/>
  <c r="E2351" i="250"/>
  <c r="E2352" i="250"/>
  <c r="E2353" i="250"/>
  <c r="E2354" i="250"/>
  <c r="E2355" i="250"/>
  <c r="E2356" i="250"/>
  <c r="E2357" i="250"/>
  <c r="E2358" i="250"/>
  <c r="E2359" i="250"/>
  <c r="E2360" i="250"/>
  <c r="E2361" i="250"/>
  <c r="E2362" i="250"/>
  <c r="E2363" i="250"/>
  <c r="E2364" i="250"/>
  <c r="E2365" i="250"/>
  <c r="E2366" i="250"/>
  <c r="E2367" i="250"/>
  <c r="E2368" i="250"/>
  <c r="E2369" i="250"/>
  <c r="E2370" i="250"/>
  <c r="E2371" i="250"/>
  <c r="E2372" i="250"/>
  <c r="E2373" i="250"/>
  <c r="E2374" i="250"/>
  <c r="E2375" i="250"/>
  <c r="E2376" i="250"/>
  <c r="E2377" i="250"/>
  <c r="E2378" i="250"/>
  <c r="E2379" i="250"/>
  <c r="E2380" i="250"/>
  <c r="E2381" i="250"/>
  <c r="E2382" i="250"/>
  <c r="E2383" i="250"/>
  <c r="E2384" i="250"/>
  <c r="E2385" i="250"/>
  <c r="E2386" i="250"/>
  <c r="E2387" i="250"/>
  <c r="E2388" i="250"/>
  <c r="E2389" i="250"/>
  <c r="E2390" i="250"/>
  <c r="E2391" i="250"/>
  <c r="E2392" i="250"/>
  <c r="E2393" i="250"/>
  <c r="E2394" i="250"/>
  <c r="E3350" i="250"/>
  <c r="E3351" i="250"/>
  <c r="E4" i="250"/>
  <c r="E5" i="250"/>
  <c r="E6" i="250"/>
  <c r="E7" i="250"/>
  <c r="E8" i="250"/>
  <c r="E9" i="250"/>
  <c r="E10" i="250"/>
  <c r="E11" i="250"/>
  <c r="E12" i="250"/>
  <c r="E13" i="250"/>
  <c r="E14" i="250"/>
  <c r="E15" i="250"/>
  <c r="E16" i="250"/>
  <c r="E17" i="250"/>
  <c r="E18" i="250"/>
  <c r="E19" i="250"/>
  <c r="E20" i="250"/>
  <c r="E21" i="250"/>
  <c r="E22" i="250"/>
  <c r="E23" i="250"/>
  <c r="E24" i="250"/>
  <c r="E25" i="250"/>
  <c r="E26" i="250"/>
  <c r="E27" i="250"/>
  <c r="E28" i="250"/>
  <c r="E29" i="250"/>
  <c r="E30" i="250"/>
  <c r="E31" i="250"/>
  <c r="E32" i="250"/>
  <c r="E33" i="250"/>
  <c r="E34" i="250"/>
  <c r="E35" i="250"/>
  <c r="E36" i="250"/>
  <c r="E37" i="250"/>
  <c r="E38" i="250"/>
  <c r="E39" i="250"/>
  <c r="E40" i="250"/>
  <c r="E41" i="250"/>
  <c r="E42" i="250"/>
  <c r="E43" i="250"/>
  <c r="E44" i="250"/>
  <c r="E45" i="250"/>
  <c r="E46" i="250"/>
  <c r="E47" i="250"/>
  <c r="E48" i="250"/>
  <c r="E49" i="250"/>
  <c r="E50" i="250"/>
  <c r="E51" i="250"/>
  <c r="E52" i="250"/>
  <c r="E53" i="250"/>
  <c r="E54" i="250"/>
  <c r="E55" i="250"/>
  <c r="E56" i="250"/>
  <c r="E57" i="250"/>
  <c r="E58" i="250"/>
  <c r="E59" i="250"/>
  <c r="E60" i="250"/>
  <c r="E61" i="250"/>
  <c r="E62" i="250"/>
  <c r="E63" i="250"/>
  <c r="E64" i="250"/>
  <c r="E65" i="250"/>
  <c r="E66" i="250"/>
  <c r="E67" i="250"/>
  <c r="E68" i="250"/>
  <c r="E69" i="250"/>
  <c r="E70" i="250"/>
  <c r="E71" i="250"/>
  <c r="E72" i="250"/>
  <c r="E73" i="250"/>
  <c r="E74" i="250"/>
  <c r="E75" i="250"/>
  <c r="E76" i="250"/>
  <c r="E77" i="250"/>
  <c r="E78" i="250"/>
  <c r="E79" i="250"/>
  <c r="E80" i="250"/>
  <c r="E81" i="250"/>
  <c r="E82" i="250"/>
  <c r="E83" i="250"/>
  <c r="E84" i="250"/>
  <c r="E85" i="250"/>
  <c r="E86" i="250"/>
  <c r="E87" i="250"/>
  <c r="E88" i="250"/>
  <c r="E89" i="250"/>
  <c r="E90" i="250"/>
  <c r="E91" i="250"/>
  <c r="E92" i="250"/>
  <c r="E93" i="250"/>
  <c r="E94" i="250"/>
  <c r="E95" i="250"/>
  <c r="E96" i="250"/>
  <c r="E97" i="250"/>
  <c r="E98" i="250"/>
  <c r="E99" i="250"/>
  <c r="E100" i="250"/>
  <c r="E101" i="250"/>
  <c r="E102" i="250"/>
  <c r="E103" i="250"/>
  <c r="E104" i="250"/>
  <c r="E105" i="250"/>
  <c r="E106" i="250"/>
  <c r="E107" i="250"/>
  <c r="E108" i="250"/>
  <c r="E109" i="250"/>
  <c r="E110" i="250"/>
  <c r="E111" i="250"/>
  <c r="E112" i="250"/>
  <c r="E113" i="250"/>
  <c r="E114" i="250"/>
  <c r="E115" i="250"/>
  <c r="E116" i="250"/>
  <c r="E117" i="250"/>
  <c r="E118" i="250"/>
  <c r="E119" i="250"/>
  <c r="E120" i="250"/>
  <c r="E121" i="250"/>
  <c r="E122" i="250"/>
  <c r="E123" i="250"/>
  <c r="E124" i="250"/>
  <c r="E125" i="250"/>
  <c r="E126" i="250"/>
  <c r="E127" i="250"/>
  <c r="E128" i="250"/>
  <c r="E129" i="250"/>
  <c r="E130" i="250"/>
  <c r="E131" i="250"/>
  <c r="E132" i="250"/>
  <c r="E133" i="250"/>
  <c r="E134" i="250"/>
  <c r="E135" i="250"/>
  <c r="E136" i="250"/>
  <c r="E137" i="250"/>
  <c r="E138" i="250"/>
  <c r="E139" i="250"/>
  <c r="E140" i="250"/>
  <c r="E141" i="250"/>
  <c r="E142" i="250"/>
  <c r="E143" i="250"/>
  <c r="E144" i="250"/>
  <c r="E145" i="250"/>
  <c r="E146" i="250"/>
  <c r="E147" i="250"/>
  <c r="E148" i="250"/>
  <c r="E149" i="250"/>
  <c r="E150" i="250"/>
  <c r="E151" i="250"/>
  <c r="E152" i="250"/>
  <c r="E153" i="250"/>
  <c r="E154" i="250"/>
  <c r="E155" i="250"/>
  <c r="E156" i="250"/>
  <c r="E157" i="250"/>
  <c r="E158" i="250"/>
  <c r="E159" i="250"/>
  <c r="E160" i="250"/>
  <c r="E161" i="250"/>
  <c r="E162" i="250"/>
  <c r="E163" i="250"/>
  <c r="E164" i="250"/>
  <c r="E165" i="250"/>
  <c r="E166" i="250"/>
  <c r="E167" i="250"/>
  <c r="E168" i="250"/>
  <c r="E169" i="250"/>
  <c r="E170" i="250"/>
  <c r="E171" i="250"/>
  <c r="E172" i="250"/>
  <c r="E173" i="250"/>
  <c r="E174" i="250"/>
  <c r="E175" i="250"/>
  <c r="E176" i="250"/>
  <c r="E177" i="250"/>
  <c r="E178" i="250"/>
  <c r="E179" i="250"/>
  <c r="E180" i="250"/>
  <c r="E181" i="250"/>
  <c r="E182" i="250"/>
  <c r="E183" i="250"/>
  <c r="E184" i="250"/>
  <c r="E185" i="250"/>
  <c r="E186" i="250"/>
  <c r="E187" i="250"/>
  <c r="E188" i="250"/>
  <c r="E189" i="250"/>
  <c r="E190" i="250"/>
  <c r="E191" i="250"/>
  <c r="E192" i="250"/>
  <c r="E193" i="250"/>
  <c r="E194" i="250"/>
  <c r="E195" i="250"/>
  <c r="E196" i="250"/>
  <c r="E197" i="250"/>
  <c r="E198" i="250"/>
  <c r="E199" i="250"/>
  <c r="E200" i="250"/>
  <c r="E201" i="250"/>
  <c r="E202" i="250"/>
  <c r="E203" i="250"/>
  <c r="E204" i="250"/>
  <c r="E205" i="250"/>
  <c r="E206" i="250"/>
  <c r="E207" i="250"/>
  <c r="E208" i="250"/>
  <c r="E209" i="250"/>
  <c r="E210" i="250"/>
  <c r="E211" i="250"/>
  <c r="E212" i="250"/>
  <c r="E213" i="250"/>
  <c r="E214" i="250"/>
  <c r="E215" i="250"/>
  <c r="E216" i="250"/>
  <c r="E217" i="250"/>
  <c r="E218" i="250"/>
  <c r="E219" i="250"/>
  <c r="E220" i="250"/>
  <c r="E221" i="250"/>
  <c r="E222" i="250"/>
  <c r="E223" i="250"/>
  <c r="E224" i="250"/>
  <c r="E225" i="250"/>
  <c r="E226" i="250"/>
  <c r="E227" i="250"/>
  <c r="E228" i="250"/>
  <c r="E229" i="250"/>
  <c r="E230" i="250"/>
  <c r="E231" i="250"/>
  <c r="E232" i="250"/>
  <c r="E233" i="250"/>
  <c r="E234" i="250"/>
  <c r="E235" i="250"/>
  <c r="E236" i="250"/>
  <c r="E237" i="250"/>
  <c r="E238" i="250"/>
  <c r="E239" i="250"/>
  <c r="E240" i="250"/>
  <c r="E241" i="250"/>
  <c r="E242" i="250"/>
  <c r="E243" i="250"/>
  <c r="E244" i="250"/>
  <c r="E245" i="250"/>
  <c r="E246" i="250"/>
  <c r="E247" i="250"/>
  <c r="E248" i="250"/>
  <c r="E249" i="250"/>
  <c r="E250" i="250"/>
  <c r="E251" i="250"/>
  <c r="E252" i="250"/>
  <c r="E253" i="250"/>
  <c r="E254" i="250"/>
  <c r="E255" i="250"/>
  <c r="E256" i="250"/>
  <c r="E257" i="250"/>
  <c r="E258" i="250"/>
  <c r="E259" i="250"/>
  <c r="E260" i="250"/>
  <c r="E261" i="250"/>
  <c r="E262" i="250"/>
  <c r="E263" i="250"/>
  <c r="E264" i="250"/>
  <c r="E265" i="250"/>
  <c r="E266" i="250"/>
  <c r="E267" i="250"/>
  <c r="E268" i="250"/>
  <c r="E269" i="250"/>
  <c r="E270" i="250"/>
  <c r="E271" i="250"/>
  <c r="E272" i="250"/>
  <c r="E273" i="250"/>
  <c r="E274" i="250"/>
  <c r="E275" i="250"/>
  <c r="E276" i="250"/>
  <c r="E277" i="250"/>
  <c r="E278" i="250"/>
  <c r="E279" i="250"/>
  <c r="E280" i="250"/>
  <c r="E281" i="250"/>
  <c r="E282" i="250"/>
  <c r="E283" i="250"/>
  <c r="E284" i="250"/>
  <c r="E285" i="250"/>
  <c r="E286" i="250"/>
  <c r="E287" i="250"/>
  <c r="E288" i="250"/>
  <c r="E289" i="250"/>
  <c r="E290" i="250"/>
  <c r="E291" i="250"/>
  <c r="E292" i="250"/>
  <c r="E293" i="250"/>
  <c r="E294" i="250"/>
  <c r="E295" i="250"/>
  <c r="E296" i="250"/>
  <c r="E297" i="250"/>
  <c r="E298" i="250"/>
  <c r="E299" i="250"/>
  <c r="E300" i="250"/>
  <c r="E301" i="250"/>
  <c r="E302" i="250"/>
  <c r="E303" i="250"/>
  <c r="E304" i="250"/>
  <c r="E305" i="250"/>
  <c r="E306" i="250"/>
  <c r="E307" i="250"/>
  <c r="E308" i="250"/>
  <c r="E309" i="250"/>
  <c r="E310" i="250"/>
  <c r="E311" i="250"/>
  <c r="E312" i="250"/>
  <c r="E313" i="250"/>
  <c r="E314" i="250"/>
  <c r="E315" i="250"/>
  <c r="E316" i="250"/>
  <c r="E317" i="250"/>
  <c r="E318" i="250"/>
  <c r="E319" i="250"/>
  <c r="E320" i="250"/>
  <c r="E321" i="250"/>
  <c r="E322" i="250"/>
  <c r="E323" i="250"/>
  <c r="E324" i="250"/>
  <c r="E325" i="250"/>
  <c r="E326" i="250"/>
  <c r="E327" i="250"/>
  <c r="E328" i="250"/>
  <c r="E329" i="250"/>
  <c r="E330" i="250"/>
  <c r="E331" i="250"/>
  <c r="E332" i="250"/>
  <c r="E333" i="250"/>
  <c r="E334" i="250"/>
  <c r="E335" i="250"/>
  <c r="E336" i="250"/>
  <c r="E337" i="250"/>
  <c r="E338" i="250"/>
  <c r="E339" i="250"/>
  <c r="E340" i="250"/>
  <c r="E341" i="250"/>
  <c r="E342" i="250"/>
  <c r="E343" i="250"/>
  <c r="E344" i="250"/>
  <c r="E345" i="250"/>
  <c r="E346" i="250"/>
  <c r="E347" i="250"/>
  <c r="E348" i="250"/>
  <c r="E349" i="250"/>
  <c r="E350" i="250"/>
  <c r="E351" i="250"/>
  <c r="E352" i="250"/>
  <c r="E353" i="250"/>
  <c r="E354" i="250"/>
  <c r="E355" i="250"/>
  <c r="E356" i="250"/>
  <c r="E357" i="250"/>
  <c r="E358" i="250"/>
  <c r="E359" i="250"/>
  <c r="E360" i="250"/>
  <c r="E361" i="250"/>
  <c r="E362" i="250"/>
  <c r="E363" i="250"/>
  <c r="E364" i="250"/>
  <c r="E365" i="250"/>
  <c r="E366" i="250"/>
  <c r="E367" i="250"/>
  <c r="E368" i="250"/>
  <c r="E369" i="250"/>
  <c r="E370" i="250"/>
  <c r="E371" i="250"/>
  <c r="E372" i="250"/>
  <c r="E373" i="250"/>
  <c r="E374" i="250"/>
  <c r="E375" i="250"/>
  <c r="E376" i="250"/>
  <c r="E377" i="250"/>
  <c r="E378" i="250"/>
  <c r="E379" i="250"/>
  <c r="E380" i="250"/>
  <c r="E381" i="250"/>
  <c r="E382" i="250"/>
  <c r="E383" i="250"/>
  <c r="E384" i="250"/>
  <c r="E385" i="250"/>
  <c r="E386" i="250"/>
  <c r="E387" i="250"/>
  <c r="E388" i="250"/>
  <c r="E389" i="250"/>
  <c r="E390" i="250"/>
  <c r="E391" i="250"/>
  <c r="E392" i="250"/>
  <c r="E393" i="250"/>
  <c r="E394" i="250"/>
  <c r="E395" i="250"/>
  <c r="E396" i="250"/>
  <c r="E397" i="250"/>
  <c r="E398" i="250"/>
  <c r="E399" i="250"/>
  <c r="E400" i="250"/>
  <c r="E401" i="250"/>
  <c r="E402" i="250"/>
  <c r="E403" i="250"/>
  <c r="E404" i="250"/>
  <c r="E405" i="250"/>
  <c r="E406" i="250"/>
  <c r="E407" i="250"/>
  <c r="E408" i="250"/>
  <c r="E409" i="250"/>
  <c r="E410" i="250"/>
  <c r="E411" i="250"/>
  <c r="E412" i="250"/>
  <c r="E413" i="250"/>
  <c r="E414" i="250"/>
  <c r="E415" i="250"/>
  <c r="E416" i="250"/>
  <c r="E417" i="250"/>
  <c r="E418" i="250"/>
  <c r="E419" i="250"/>
  <c r="E420" i="250"/>
  <c r="E421" i="250"/>
  <c r="E422" i="250"/>
  <c r="E423" i="250"/>
  <c r="E424" i="250"/>
  <c r="E425" i="250"/>
  <c r="E426" i="250"/>
  <c r="E427" i="250"/>
  <c r="E428" i="250"/>
  <c r="E429" i="250"/>
  <c r="E430" i="250"/>
  <c r="E431" i="250"/>
  <c r="E432" i="250"/>
  <c r="E433" i="250"/>
  <c r="E434" i="250"/>
  <c r="E435" i="250"/>
  <c r="E436" i="250"/>
  <c r="E437" i="250"/>
  <c r="E438" i="250"/>
  <c r="E439" i="250"/>
  <c r="E440" i="250"/>
  <c r="E441" i="250"/>
  <c r="E442" i="250"/>
  <c r="E443" i="250"/>
  <c r="E444" i="250"/>
  <c r="E445" i="250"/>
  <c r="E446" i="250"/>
  <c r="E447" i="250"/>
  <c r="E448" i="250"/>
  <c r="E449" i="250"/>
  <c r="E450" i="250"/>
  <c r="E451" i="250"/>
  <c r="E452" i="250"/>
  <c r="E453" i="250"/>
  <c r="E454" i="250"/>
  <c r="E455" i="250"/>
  <c r="E456" i="250"/>
  <c r="E457" i="250"/>
  <c r="E458" i="250"/>
  <c r="E459" i="250"/>
  <c r="E460" i="250"/>
  <c r="E461" i="250"/>
  <c r="E462" i="250"/>
  <c r="E463" i="250"/>
  <c r="E464" i="250"/>
  <c r="E465" i="250"/>
  <c r="E466" i="250"/>
  <c r="E467" i="250"/>
  <c r="E468" i="250"/>
  <c r="E469" i="250"/>
  <c r="E470" i="250"/>
  <c r="E471" i="250"/>
  <c r="E472" i="250"/>
  <c r="E473" i="250"/>
  <c r="E474" i="250"/>
  <c r="E475" i="250"/>
  <c r="E476" i="250"/>
  <c r="E477" i="250"/>
  <c r="E478" i="250"/>
  <c r="E479" i="250"/>
  <c r="E480" i="250"/>
  <c r="E481" i="250"/>
  <c r="E482" i="250"/>
  <c r="E483" i="250"/>
  <c r="E484" i="250"/>
  <c r="E485" i="250"/>
  <c r="E486" i="250"/>
  <c r="E487" i="250"/>
  <c r="E488" i="250"/>
  <c r="E489" i="250"/>
  <c r="E490" i="250"/>
  <c r="E491" i="250"/>
  <c r="E492" i="250"/>
  <c r="E493" i="250"/>
  <c r="E494" i="250"/>
  <c r="E495" i="250"/>
  <c r="E496" i="250"/>
  <c r="E497" i="250"/>
  <c r="E498" i="250"/>
  <c r="E499" i="250"/>
  <c r="E500" i="250"/>
  <c r="E501" i="250"/>
  <c r="E502" i="250"/>
  <c r="E503" i="250"/>
  <c r="E504" i="250"/>
  <c r="E505" i="250"/>
  <c r="E506" i="250"/>
  <c r="E507" i="250"/>
  <c r="E508" i="250"/>
  <c r="E509" i="250"/>
  <c r="E510" i="250"/>
  <c r="E511" i="250"/>
  <c r="E512" i="250"/>
  <c r="E513" i="250"/>
  <c r="E514" i="250"/>
  <c r="E515" i="250"/>
  <c r="E516" i="250"/>
  <c r="E517" i="250"/>
  <c r="E518" i="250"/>
  <c r="E519" i="250"/>
  <c r="E520" i="250"/>
  <c r="E521" i="250"/>
  <c r="E522" i="250"/>
  <c r="E523" i="250"/>
  <c r="E524" i="250"/>
  <c r="E525" i="250"/>
  <c r="E526" i="250"/>
  <c r="E527" i="250"/>
  <c r="E528" i="250"/>
  <c r="E529" i="250"/>
  <c r="E530" i="250"/>
  <c r="E531" i="250"/>
  <c r="E532" i="250"/>
  <c r="E533" i="250"/>
  <c r="E534" i="250"/>
  <c r="E535" i="250"/>
  <c r="E536" i="250"/>
  <c r="E537" i="250"/>
  <c r="E538" i="250"/>
  <c r="E539" i="250"/>
  <c r="E540" i="250"/>
  <c r="E541" i="250"/>
  <c r="E542" i="250"/>
  <c r="E543" i="250"/>
  <c r="E544" i="250"/>
  <c r="E545" i="250"/>
  <c r="E546" i="250"/>
  <c r="E547" i="250"/>
  <c r="E548" i="250"/>
  <c r="E549" i="250"/>
  <c r="E550" i="250"/>
  <c r="E551" i="250"/>
  <c r="E552" i="250"/>
  <c r="E553" i="250"/>
  <c r="E554" i="250"/>
  <c r="E555" i="250"/>
  <c r="E556" i="250"/>
  <c r="E557" i="250"/>
  <c r="E558" i="250"/>
  <c r="E559" i="250"/>
  <c r="E560" i="250"/>
  <c r="E561" i="250"/>
  <c r="E562" i="250"/>
  <c r="E563" i="250"/>
  <c r="E564" i="250"/>
  <c r="E565" i="250"/>
  <c r="E566" i="250"/>
  <c r="E567" i="250"/>
  <c r="E568" i="250"/>
  <c r="E569" i="250"/>
  <c r="E570" i="250"/>
  <c r="E571" i="250"/>
  <c r="E572" i="250"/>
  <c r="E573" i="250"/>
  <c r="E574" i="250"/>
  <c r="E575" i="250"/>
  <c r="E576" i="250"/>
  <c r="E577" i="250"/>
  <c r="E578" i="250"/>
  <c r="E579" i="250"/>
  <c r="E580" i="250"/>
  <c r="E581" i="250"/>
  <c r="E582" i="250"/>
  <c r="E583" i="250"/>
  <c r="E584" i="250"/>
  <c r="E585" i="250"/>
  <c r="E586" i="250"/>
  <c r="E587" i="250"/>
  <c r="E588" i="250"/>
  <c r="E589" i="250"/>
  <c r="E590" i="250"/>
  <c r="E591" i="250"/>
  <c r="E592" i="250"/>
  <c r="E593" i="250"/>
  <c r="E594" i="250"/>
  <c r="E595" i="250"/>
  <c r="E596" i="250"/>
  <c r="E597" i="250"/>
  <c r="E598" i="250"/>
  <c r="E599" i="250"/>
  <c r="E600" i="250"/>
  <c r="E601" i="250"/>
  <c r="E602" i="250"/>
  <c r="E603" i="250"/>
  <c r="E604" i="250"/>
  <c r="E605" i="250"/>
  <c r="E606" i="250"/>
  <c r="E607" i="250"/>
  <c r="E608" i="250"/>
  <c r="E609" i="250"/>
  <c r="E610" i="250"/>
  <c r="E611" i="250"/>
  <c r="E612" i="250"/>
  <c r="E613" i="250"/>
  <c r="E614" i="250"/>
  <c r="E615" i="250"/>
  <c r="E616" i="250"/>
  <c r="E617" i="250"/>
  <c r="E618" i="250"/>
  <c r="E619" i="250"/>
  <c r="E620" i="250"/>
  <c r="E621" i="250"/>
  <c r="E622" i="250"/>
  <c r="E623" i="250"/>
  <c r="E624" i="250"/>
  <c r="E625" i="250"/>
  <c r="E626" i="250"/>
  <c r="E627" i="250"/>
  <c r="E628" i="250"/>
  <c r="E629" i="250"/>
  <c r="E630" i="250"/>
  <c r="E631" i="250"/>
  <c r="E632" i="250"/>
  <c r="E633" i="250"/>
  <c r="E634" i="250"/>
  <c r="E635" i="250"/>
  <c r="E636" i="250"/>
  <c r="E637" i="250"/>
  <c r="E638" i="250"/>
  <c r="E639" i="250"/>
  <c r="E640" i="250"/>
  <c r="E641" i="250"/>
  <c r="E642" i="250"/>
  <c r="E643" i="250"/>
  <c r="E644" i="250"/>
  <c r="E645" i="250"/>
  <c r="E646" i="250"/>
  <c r="E647" i="250"/>
  <c r="E648" i="250"/>
  <c r="E649" i="250"/>
  <c r="E650" i="250"/>
  <c r="E651" i="250"/>
  <c r="E652" i="250"/>
  <c r="E653" i="250"/>
  <c r="E654" i="250"/>
  <c r="E655" i="250"/>
  <c r="E656" i="250"/>
  <c r="E657" i="250"/>
  <c r="E658" i="250"/>
  <c r="E659" i="250"/>
  <c r="E660" i="250"/>
  <c r="E661" i="250"/>
  <c r="E662" i="250"/>
  <c r="E663" i="250"/>
  <c r="E664" i="250"/>
  <c r="E665" i="250"/>
  <c r="E666" i="250"/>
  <c r="E667" i="250"/>
  <c r="E668" i="250"/>
  <c r="E669" i="250"/>
  <c r="E670" i="250"/>
  <c r="E671" i="250"/>
  <c r="E672" i="250"/>
  <c r="E673" i="250"/>
  <c r="E674" i="250"/>
  <c r="E675" i="250"/>
  <c r="E676" i="250"/>
  <c r="E677" i="250"/>
  <c r="E678" i="250"/>
  <c r="E679" i="250"/>
  <c r="E680" i="250"/>
  <c r="E681" i="250"/>
  <c r="E682" i="250"/>
  <c r="E683" i="250"/>
  <c r="E684" i="250"/>
  <c r="E685" i="250"/>
  <c r="E686" i="250"/>
  <c r="E687" i="250"/>
  <c r="E688" i="250"/>
  <c r="E689" i="250"/>
  <c r="E690" i="250"/>
  <c r="E691" i="250"/>
  <c r="E692" i="250"/>
  <c r="E693" i="250"/>
  <c r="E694" i="250"/>
  <c r="E695" i="250"/>
  <c r="E696" i="250"/>
  <c r="E697" i="250"/>
  <c r="E698" i="250"/>
  <c r="E699" i="250"/>
  <c r="E700" i="250"/>
  <c r="E701" i="250"/>
  <c r="E702" i="250"/>
  <c r="E703" i="250"/>
  <c r="E704" i="250"/>
  <c r="E705" i="250"/>
  <c r="E706" i="250"/>
  <c r="E707" i="250"/>
  <c r="E708" i="250"/>
  <c r="E709" i="250"/>
  <c r="E710" i="250"/>
  <c r="E711" i="250"/>
  <c r="E712" i="250"/>
  <c r="E713" i="250"/>
  <c r="E714" i="250"/>
  <c r="E715" i="250"/>
  <c r="E716" i="250"/>
  <c r="E717" i="250"/>
  <c r="E718" i="250"/>
  <c r="E719" i="250"/>
  <c r="E720" i="250"/>
  <c r="E721" i="250"/>
  <c r="E722" i="250"/>
  <c r="E723" i="250"/>
  <c r="E724" i="250"/>
  <c r="E725" i="250"/>
  <c r="E726" i="250"/>
  <c r="E727" i="250"/>
  <c r="E728" i="250"/>
  <c r="E729" i="250"/>
  <c r="E730" i="250"/>
  <c r="E731" i="250"/>
  <c r="E732" i="250"/>
  <c r="E733" i="250"/>
  <c r="E734" i="250"/>
  <c r="E735" i="250"/>
  <c r="E736" i="250"/>
  <c r="E737" i="250"/>
  <c r="E738" i="250"/>
  <c r="E739" i="250"/>
  <c r="E740" i="250"/>
  <c r="E741" i="250"/>
  <c r="E742" i="250"/>
  <c r="E743" i="250"/>
  <c r="E744" i="250"/>
  <c r="E745" i="250"/>
  <c r="E746" i="250"/>
  <c r="E747" i="250"/>
  <c r="E748" i="250"/>
  <c r="E749" i="250"/>
  <c r="E750" i="250"/>
  <c r="E751" i="250"/>
  <c r="E752" i="250"/>
  <c r="E753" i="250"/>
  <c r="E754" i="250"/>
  <c r="E755" i="250"/>
  <c r="E756" i="250"/>
  <c r="E757" i="250"/>
  <c r="E758" i="250"/>
  <c r="E759" i="250"/>
  <c r="E760" i="250"/>
  <c r="E761" i="250"/>
  <c r="E762" i="250"/>
  <c r="E763" i="250"/>
  <c r="E764" i="250"/>
  <c r="E765" i="250"/>
  <c r="E766" i="250"/>
  <c r="E767" i="250"/>
  <c r="E768" i="250"/>
  <c r="E769" i="250"/>
  <c r="E770" i="250"/>
  <c r="E771" i="250"/>
  <c r="E772" i="250"/>
  <c r="E773" i="250"/>
  <c r="E774" i="250"/>
  <c r="E775" i="250"/>
  <c r="E776" i="250"/>
  <c r="E777" i="250"/>
  <c r="E778" i="250"/>
  <c r="E779" i="250"/>
  <c r="E780" i="250"/>
  <c r="E781" i="250"/>
  <c r="E782" i="250"/>
  <c r="E783" i="250"/>
  <c r="E784" i="250"/>
  <c r="E785" i="250"/>
  <c r="E786" i="250"/>
  <c r="E787" i="250"/>
  <c r="E788" i="250"/>
  <c r="E789" i="250"/>
  <c r="E790" i="250"/>
  <c r="E791" i="250"/>
  <c r="E792" i="250"/>
  <c r="E793" i="250"/>
  <c r="E794" i="250"/>
  <c r="E795" i="250"/>
  <c r="E796" i="250"/>
  <c r="E797" i="250"/>
  <c r="E798" i="250"/>
  <c r="E799" i="250"/>
  <c r="E800" i="250"/>
  <c r="E801" i="250"/>
  <c r="E802" i="250"/>
  <c r="E803" i="250"/>
  <c r="E804" i="250"/>
  <c r="E805" i="250"/>
  <c r="E806" i="250"/>
  <c r="E807" i="250"/>
  <c r="E808" i="250"/>
  <c r="E809" i="250"/>
  <c r="E810" i="250"/>
  <c r="E811" i="250"/>
  <c r="E812" i="250"/>
  <c r="E813" i="250"/>
  <c r="E814" i="250"/>
  <c r="E815" i="250"/>
  <c r="E816" i="250"/>
  <c r="E817" i="250"/>
  <c r="E818" i="250"/>
  <c r="E819" i="250"/>
  <c r="E820" i="250"/>
  <c r="E821" i="250"/>
  <c r="E822" i="250"/>
  <c r="E823" i="250"/>
  <c r="E824" i="250"/>
  <c r="E825" i="250"/>
  <c r="E826" i="250"/>
  <c r="E827" i="250"/>
  <c r="E828" i="250"/>
  <c r="E829" i="250"/>
  <c r="E830" i="250"/>
  <c r="E831" i="250"/>
  <c r="E832" i="250"/>
  <c r="E833" i="250"/>
  <c r="E834" i="250"/>
  <c r="E835" i="250"/>
  <c r="E836" i="250"/>
  <c r="E837" i="250"/>
  <c r="E838" i="250"/>
  <c r="E839" i="250"/>
  <c r="E840" i="250"/>
  <c r="E841" i="250"/>
  <c r="E842" i="250"/>
  <c r="E843" i="250"/>
  <c r="E844" i="250"/>
  <c r="E845" i="250"/>
  <c r="E846" i="250"/>
  <c r="E847" i="250"/>
  <c r="E848" i="250"/>
  <c r="E849" i="250"/>
  <c r="E850" i="250"/>
  <c r="E851" i="250"/>
  <c r="E852" i="250"/>
  <c r="E853" i="250"/>
  <c r="E854" i="250"/>
  <c r="E855" i="250"/>
  <c r="E856" i="250"/>
  <c r="E857" i="250"/>
  <c r="E858" i="250"/>
  <c r="E859" i="250"/>
  <c r="E860" i="250"/>
  <c r="E861" i="250"/>
  <c r="E862" i="250"/>
  <c r="E863" i="250"/>
  <c r="E864" i="250"/>
  <c r="E865" i="250"/>
  <c r="E866" i="250"/>
  <c r="E867" i="250"/>
  <c r="E868" i="250"/>
  <c r="E869" i="250"/>
  <c r="E870" i="250"/>
  <c r="E871" i="250"/>
  <c r="E872" i="250"/>
  <c r="E873" i="250"/>
  <c r="E874" i="250"/>
  <c r="E875" i="250"/>
  <c r="E876" i="250"/>
  <c r="E877" i="250"/>
  <c r="E878" i="250"/>
  <c r="E879" i="250"/>
  <c r="E880" i="250"/>
  <c r="E881" i="250"/>
  <c r="E882" i="250"/>
  <c r="E883" i="250"/>
  <c r="E884" i="250"/>
  <c r="E885" i="250"/>
  <c r="E886" i="250"/>
  <c r="E887" i="250"/>
  <c r="E888" i="250"/>
  <c r="E889" i="250"/>
  <c r="E890" i="250"/>
  <c r="E891" i="250"/>
  <c r="E892" i="250"/>
  <c r="E893" i="250"/>
  <c r="E894" i="250"/>
  <c r="E895" i="250"/>
  <c r="E896" i="250"/>
  <c r="E897" i="250"/>
  <c r="E898" i="250"/>
  <c r="E899" i="250"/>
  <c r="E900" i="250"/>
  <c r="E901" i="250"/>
  <c r="E902" i="250"/>
  <c r="E903" i="250"/>
  <c r="E904" i="250"/>
  <c r="E905" i="250"/>
  <c r="E906" i="250"/>
  <c r="E907" i="250"/>
  <c r="E908" i="250"/>
  <c r="E909" i="250"/>
  <c r="E910" i="250"/>
  <c r="E911" i="250"/>
  <c r="E912" i="250"/>
  <c r="E913" i="250"/>
  <c r="E914" i="250"/>
  <c r="E915" i="250"/>
  <c r="E916" i="250"/>
  <c r="E917" i="250"/>
  <c r="E918" i="250"/>
  <c r="E919" i="250"/>
  <c r="E920" i="250"/>
  <c r="E921" i="250"/>
  <c r="E922" i="250"/>
  <c r="E923" i="250"/>
  <c r="E924" i="250"/>
  <c r="E925" i="250"/>
  <c r="E926" i="250"/>
  <c r="E927" i="250"/>
  <c r="E928" i="250"/>
  <c r="E929" i="250"/>
  <c r="E930" i="250"/>
  <c r="E931" i="250"/>
  <c r="E932" i="250"/>
  <c r="E933" i="250"/>
  <c r="E934" i="250"/>
  <c r="E935" i="250"/>
  <c r="E936" i="250"/>
  <c r="E937" i="250"/>
  <c r="E938" i="250"/>
  <c r="E939" i="250"/>
  <c r="E940" i="250"/>
  <c r="E941" i="250"/>
  <c r="E942" i="250"/>
  <c r="E943" i="250"/>
  <c r="E944" i="250"/>
  <c r="E945" i="250"/>
  <c r="E946" i="250"/>
  <c r="E947" i="250"/>
  <c r="E948" i="250"/>
  <c r="E949" i="250"/>
  <c r="E950" i="250"/>
  <c r="E951" i="250"/>
  <c r="E952" i="250"/>
  <c r="E953" i="250"/>
  <c r="E954" i="250"/>
  <c r="E955" i="250"/>
  <c r="E956" i="250"/>
  <c r="E957" i="250"/>
  <c r="E958" i="250"/>
  <c r="E959" i="250"/>
  <c r="E960" i="250"/>
  <c r="E961" i="250"/>
  <c r="E962" i="250"/>
  <c r="E963" i="250"/>
  <c r="E964" i="250"/>
  <c r="E965" i="250"/>
  <c r="E966" i="250"/>
  <c r="E967" i="250"/>
  <c r="E968" i="250"/>
  <c r="E969" i="250"/>
  <c r="E970" i="250"/>
  <c r="E971" i="250"/>
  <c r="E972" i="250"/>
  <c r="E973" i="250"/>
  <c r="E974" i="250"/>
  <c r="E975" i="250"/>
  <c r="E976" i="250"/>
  <c r="E977" i="250"/>
  <c r="E978" i="250"/>
  <c r="E979" i="250"/>
  <c r="E980" i="250"/>
  <c r="E981" i="250"/>
  <c r="E982" i="250"/>
  <c r="E983" i="250"/>
  <c r="E984" i="250"/>
  <c r="E985" i="250"/>
  <c r="E986" i="250"/>
  <c r="E987" i="250"/>
  <c r="E988" i="250"/>
  <c r="E989" i="250"/>
  <c r="E990" i="250"/>
  <c r="E991" i="250"/>
  <c r="E992" i="250"/>
  <c r="E993" i="250"/>
  <c r="E994" i="250"/>
  <c r="E995" i="250"/>
  <c r="E996" i="250"/>
  <c r="E997" i="250"/>
  <c r="E998" i="250"/>
  <c r="E999" i="250"/>
  <c r="E1000" i="250"/>
  <c r="E1001" i="250"/>
  <c r="E1002" i="250"/>
  <c r="E1003" i="250"/>
  <c r="E1004" i="250"/>
  <c r="E1005" i="250"/>
  <c r="E1006" i="250"/>
  <c r="E1007" i="250"/>
  <c r="E1008" i="250"/>
  <c r="E1009" i="250"/>
  <c r="E1010" i="250"/>
  <c r="E1011" i="250"/>
  <c r="E1012" i="250"/>
  <c r="E1013" i="250"/>
  <c r="E1014" i="250"/>
  <c r="E1015" i="250"/>
  <c r="E1016" i="250"/>
  <c r="E1017" i="250"/>
  <c r="E1018" i="250"/>
  <c r="E1019" i="250"/>
  <c r="E1020" i="250"/>
  <c r="E1021" i="250"/>
  <c r="E1022" i="250"/>
  <c r="E1023" i="250"/>
  <c r="E1024" i="250"/>
  <c r="E1025" i="250"/>
  <c r="E1026" i="250"/>
  <c r="E1027" i="250"/>
  <c r="E1028" i="250"/>
  <c r="E1029" i="250"/>
  <c r="E1030" i="250"/>
  <c r="E1031" i="250"/>
  <c r="E1032" i="250"/>
  <c r="E1033" i="250"/>
  <c r="E1034" i="250"/>
  <c r="E1035" i="250"/>
  <c r="E1036" i="250"/>
  <c r="E1037" i="250"/>
  <c r="E1038" i="250"/>
  <c r="E1039" i="250"/>
  <c r="E1040" i="250"/>
  <c r="E1041" i="250"/>
  <c r="E1042" i="250"/>
  <c r="E1043" i="250"/>
  <c r="E1044" i="250"/>
  <c r="E1045" i="250"/>
  <c r="E1046" i="250"/>
  <c r="E1047" i="250"/>
  <c r="E1048" i="250"/>
  <c r="E1049" i="250"/>
  <c r="E1050" i="250"/>
  <c r="E1051" i="250"/>
  <c r="E1052" i="250"/>
  <c r="E1053" i="250"/>
  <c r="E1054" i="250"/>
  <c r="E1055" i="250"/>
  <c r="E1056" i="250"/>
  <c r="E1057" i="250"/>
  <c r="E1058" i="250"/>
  <c r="E1059" i="250"/>
  <c r="E1060" i="250"/>
  <c r="E1061" i="250"/>
  <c r="E1062" i="250"/>
  <c r="E1063" i="250"/>
  <c r="E1064" i="250"/>
  <c r="E1065" i="250"/>
  <c r="E1066" i="250"/>
  <c r="E1067" i="250"/>
  <c r="E1068" i="250"/>
  <c r="E1069" i="250"/>
  <c r="E1070" i="250"/>
  <c r="E1071" i="250"/>
  <c r="E1072" i="250"/>
  <c r="E1073" i="250"/>
  <c r="E1074" i="250"/>
  <c r="E1075" i="250"/>
  <c r="E1076" i="250"/>
  <c r="E1077" i="250"/>
  <c r="E1078" i="250"/>
  <c r="E1079" i="250"/>
  <c r="E1080" i="250"/>
  <c r="E1081" i="250"/>
  <c r="E1082" i="250"/>
  <c r="E1083" i="250"/>
  <c r="E1084" i="250"/>
  <c r="E1085" i="250"/>
  <c r="E1086" i="250"/>
  <c r="E1087" i="250"/>
  <c r="E1088" i="250"/>
  <c r="E1089" i="250"/>
  <c r="E1090" i="250"/>
  <c r="E1091" i="250"/>
  <c r="E1092" i="250"/>
  <c r="E1093" i="250"/>
  <c r="E1094" i="250"/>
  <c r="E1095" i="250"/>
  <c r="E1096" i="250"/>
  <c r="E1097" i="250"/>
  <c r="E1098" i="250"/>
  <c r="E1099" i="250"/>
  <c r="E1100" i="250"/>
  <c r="E1101" i="250"/>
  <c r="E1102" i="250"/>
  <c r="E1103" i="250"/>
  <c r="E1104" i="250"/>
  <c r="E1105" i="250"/>
  <c r="E1106" i="250"/>
  <c r="E1107" i="250"/>
  <c r="E1108" i="250"/>
  <c r="E1109" i="250"/>
  <c r="E1110" i="250"/>
  <c r="E1111" i="250"/>
  <c r="E1112" i="250"/>
  <c r="E1113" i="250"/>
  <c r="E1114" i="250"/>
  <c r="E1115" i="250"/>
  <c r="E1116" i="250"/>
  <c r="E1117" i="250"/>
  <c r="E1118" i="250"/>
  <c r="E1119" i="250"/>
  <c r="E1120" i="250"/>
  <c r="E1121" i="250"/>
  <c r="E1122" i="250"/>
  <c r="E1123" i="250"/>
  <c r="E1124" i="250"/>
  <c r="E1125" i="250"/>
  <c r="E1126" i="250"/>
  <c r="E1127" i="250"/>
  <c r="E1128" i="250"/>
  <c r="E1129" i="250"/>
  <c r="E1130" i="250"/>
  <c r="E1131" i="250"/>
  <c r="E1132" i="250"/>
  <c r="E1133" i="250"/>
  <c r="E1134" i="250"/>
  <c r="E1135" i="250"/>
  <c r="E1136" i="250"/>
  <c r="E1137" i="250"/>
  <c r="E1138" i="250"/>
  <c r="E1139" i="250"/>
  <c r="E1140" i="250"/>
  <c r="E1141" i="250"/>
  <c r="E1142" i="250"/>
  <c r="E1143" i="250"/>
  <c r="E1144" i="250"/>
  <c r="E1145" i="250"/>
  <c r="E1146" i="250"/>
  <c r="E1147" i="250"/>
  <c r="E1148" i="250"/>
  <c r="E1149" i="250"/>
  <c r="E1150" i="250"/>
  <c r="E1151" i="250"/>
  <c r="E1152" i="250"/>
  <c r="E1153" i="250"/>
  <c r="E1154" i="250"/>
  <c r="E1155" i="250"/>
  <c r="E1156" i="250"/>
  <c r="E1157" i="250"/>
  <c r="E1158" i="250"/>
  <c r="E1159" i="250"/>
  <c r="E1160" i="250"/>
  <c r="E1161" i="250"/>
  <c r="E1162" i="250"/>
  <c r="E1163" i="250"/>
  <c r="E1164" i="250"/>
  <c r="E1165" i="250"/>
  <c r="E1166" i="250"/>
  <c r="E1167" i="250"/>
  <c r="E1168" i="250"/>
  <c r="E1169" i="250"/>
  <c r="E1170" i="250"/>
  <c r="E1171" i="250"/>
  <c r="E1172" i="250"/>
  <c r="E1173" i="250"/>
  <c r="E1174" i="250"/>
  <c r="E1175" i="250"/>
  <c r="E1176" i="250"/>
  <c r="E1177" i="250"/>
  <c r="E1178" i="250"/>
  <c r="E1179" i="250"/>
  <c r="E1180" i="250"/>
  <c r="E1181" i="250"/>
  <c r="E1182" i="250"/>
  <c r="E1183" i="250"/>
  <c r="E1184" i="250"/>
  <c r="E1185" i="250"/>
  <c r="E1186" i="250"/>
  <c r="E1187" i="250"/>
  <c r="E1188" i="250"/>
  <c r="E1189" i="250"/>
  <c r="E1190" i="250"/>
  <c r="E1191" i="250"/>
  <c r="E1192" i="250"/>
  <c r="E1193" i="250"/>
  <c r="E1194" i="250"/>
  <c r="E1195" i="250"/>
  <c r="E1196" i="250"/>
  <c r="E1197" i="250"/>
  <c r="E1198" i="250"/>
  <c r="E1199" i="250"/>
  <c r="E1200" i="250"/>
  <c r="E1201" i="250"/>
  <c r="E1202" i="250"/>
  <c r="E1203" i="250"/>
  <c r="E1204" i="250"/>
  <c r="E1205" i="250"/>
  <c r="E1206" i="250"/>
  <c r="E1207" i="250"/>
  <c r="E1208" i="250"/>
  <c r="E1209" i="250"/>
  <c r="E1210" i="250"/>
  <c r="E1211" i="250"/>
  <c r="E1212" i="250"/>
  <c r="E1213" i="250"/>
  <c r="E1214" i="250"/>
  <c r="E1215" i="250"/>
  <c r="E1216" i="250"/>
  <c r="E1217" i="250"/>
  <c r="E1218" i="250"/>
  <c r="E1219" i="250"/>
  <c r="E1220" i="250"/>
  <c r="E1221" i="250"/>
  <c r="E1222" i="250"/>
  <c r="E1223" i="250"/>
  <c r="E1224" i="250"/>
  <c r="E1225" i="250"/>
  <c r="E1226" i="250"/>
  <c r="E1227" i="250"/>
  <c r="E1228" i="250"/>
  <c r="E1229" i="250"/>
  <c r="E1230" i="250"/>
  <c r="E1231" i="250"/>
  <c r="E1232" i="250"/>
  <c r="E1233" i="250"/>
  <c r="E1234" i="250"/>
  <c r="E1235" i="250"/>
  <c r="E1236" i="250"/>
  <c r="E1237" i="250"/>
  <c r="E1238" i="250"/>
  <c r="E1239" i="250"/>
  <c r="E1240" i="250"/>
  <c r="E1241" i="250"/>
  <c r="E1242" i="250"/>
  <c r="E1243" i="250"/>
  <c r="E1244" i="250"/>
  <c r="E1245" i="250"/>
  <c r="E1246" i="250"/>
  <c r="E1247" i="250"/>
  <c r="E1248" i="250"/>
  <c r="E1249" i="250"/>
  <c r="E1250" i="250"/>
  <c r="E1251" i="250"/>
  <c r="E1252" i="250"/>
  <c r="E1253" i="250"/>
  <c r="E1254" i="250"/>
  <c r="E1255" i="250"/>
  <c r="E1256" i="250"/>
  <c r="E1257" i="250"/>
  <c r="E1258" i="250"/>
  <c r="E1259" i="250"/>
  <c r="E1260" i="250"/>
  <c r="E1261" i="250"/>
  <c r="E1262" i="250"/>
  <c r="E1263" i="250"/>
  <c r="E1264" i="250"/>
  <c r="E1265" i="250"/>
  <c r="E1266" i="250"/>
  <c r="E1267" i="250"/>
  <c r="E1268" i="250"/>
  <c r="E1269" i="250"/>
  <c r="E1270" i="250"/>
  <c r="E1271" i="250"/>
  <c r="E1272" i="250"/>
  <c r="E1273" i="250"/>
  <c r="E1274" i="250"/>
  <c r="E1275" i="250"/>
  <c r="E1276" i="250"/>
  <c r="E1277" i="250"/>
  <c r="E1278" i="250"/>
  <c r="E1279" i="250"/>
  <c r="E1280" i="250"/>
  <c r="E1281" i="250"/>
  <c r="E1282" i="250"/>
  <c r="E1283" i="250"/>
  <c r="E1284" i="250"/>
  <c r="E1285" i="250"/>
  <c r="E1286" i="250"/>
  <c r="E1287" i="250"/>
  <c r="E1288" i="250"/>
  <c r="E1289" i="250"/>
  <c r="E1290" i="250"/>
  <c r="E1291" i="250"/>
  <c r="E1292" i="250"/>
  <c r="E1293" i="250"/>
  <c r="E1294" i="250"/>
  <c r="E1295" i="250"/>
  <c r="E1296" i="250"/>
  <c r="E1297" i="250"/>
  <c r="E1298" i="250"/>
  <c r="E1299" i="250"/>
  <c r="E1300" i="250"/>
  <c r="E1301" i="250"/>
  <c r="E1302" i="250"/>
  <c r="E1303" i="250"/>
  <c r="E1304" i="250"/>
  <c r="E1305" i="250"/>
  <c r="E1306" i="250"/>
  <c r="E1307" i="250"/>
  <c r="E1308" i="250"/>
  <c r="E1309" i="250"/>
  <c r="E1310" i="250"/>
  <c r="E1311" i="250"/>
  <c r="E1312" i="250"/>
  <c r="E1313" i="250"/>
  <c r="E1314" i="250"/>
  <c r="E1315" i="250"/>
  <c r="E1316" i="250"/>
  <c r="E1317" i="250"/>
  <c r="E1318" i="250"/>
  <c r="E1319" i="250"/>
  <c r="E1320" i="250"/>
  <c r="E1321" i="250"/>
  <c r="E1322" i="250"/>
  <c r="E1323" i="250"/>
  <c r="E1324" i="250"/>
  <c r="E1325" i="250"/>
  <c r="E1326" i="250"/>
  <c r="E1327" i="250"/>
  <c r="E1328" i="250"/>
  <c r="E1329" i="250"/>
  <c r="E1330" i="250"/>
  <c r="E1331" i="250"/>
  <c r="E1332" i="250"/>
  <c r="E1333" i="250"/>
  <c r="E1334" i="250"/>
  <c r="E1335" i="250"/>
  <c r="E1336" i="250"/>
  <c r="E1337" i="250"/>
  <c r="E1338" i="250"/>
  <c r="E1339" i="250"/>
  <c r="E1340" i="250"/>
  <c r="E1341" i="250"/>
  <c r="E1342" i="250"/>
  <c r="E1343" i="250"/>
  <c r="E1344" i="250"/>
  <c r="E1345" i="250"/>
  <c r="E1346" i="250"/>
  <c r="E1347" i="250"/>
  <c r="E1348" i="250"/>
  <c r="E1349" i="250"/>
  <c r="E1350" i="250"/>
  <c r="E1351" i="250"/>
  <c r="E1352" i="250"/>
  <c r="E1353" i="250"/>
  <c r="E1354" i="250"/>
  <c r="E1355" i="250"/>
  <c r="E1356" i="250"/>
  <c r="E1357" i="250"/>
  <c r="E1358" i="250"/>
  <c r="E1359" i="250"/>
  <c r="E1360" i="250"/>
  <c r="E1361" i="250"/>
  <c r="E1362" i="250"/>
  <c r="E1363" i="250"/>
  <c r="E1364" i="250"/>
  <c r="E1365" i="250"/>
  <c r="E1366" i="250"/>
  <c r="E1367" i="250"/>
  <c r="E1368" i="250"/>
  <c r="E1369" i="250"/>
  <c r="E1370" i="250"/>
  <c r="E1371" i="250"/>
  <c r="E1372" i="250"/>
  <c r="E1373" i="250"/>
  <c r="E1374" i="250"/>
  <c r="E1375" i="250"/>
  <c r="E1376" i="250"/>
  <c r="E1377" i="250"/>
  <c r="E1378" i="250"/>
  <c r="E1379" i="250"/>
  <c r="E1380" i="250"/>
  <c r="E1381" i="250"/>
  <c r="E1382" i="250"/>
  <c r="E1383" i="250"/>
  <c r="E1384" i="250"/>
  <c r="E1385" i="250"/>
  <c r="E1386" i="250"/>
  <c r="E1387" i="250"/>
  <c r="E1388" i="250"/>
  <c r="E1389" i="250"/>
  <c r="E1390" i="250"/>
  <c r="E1391" i="250"/>
  <c r="E1392" i="250"/>
  <c r="E1393" i="250"/>
  <c r="E1394" i="250"/>
  <c r="E1395" i="250"/>
  <c r="E1396" i="250"/>
  <c r="E1397" i="250"/>
  <c r="E1398" i="250"/>
  <c r="E1399" i="250"/>
  <c r="E1400" i="250"/>
  <c r="E1401" i="250"/>
  <c r="E1402" i="250"/>
  <c r="E1403" i="250"/>
  <c r="E1404" i="250"/>
  <c r="E1405" i="250"/>
  <c r="E1406" i="250"/>
  <c r="E1407" i="250"/>
  <c r="E1408" i="250"/>
  <c r="E1409" i="250"/>
  <c r="E1410" i="250"/>
  <c r="E1411" i="250"/>
  <c r="E1412" i="250"/>
  <c r="E1413" i="250"/>
  <c r="E1414" i="250"/>
  <c r="E1415" i="250"/>
  <c r="E1416" i="250"/>
  <c r="E1417" i="250"/>
  <c r="E1418" i="250"/>
  <c r="E1419" i="250"/>
  <c r="E1420" i="250"/>
  <c r="E1421" i="250"/>
  <c r="E1422" i="250"/>
  <c r="E1423" i="250"/>
  <c r="E1424" i="250"/>
  <c r="E1425" i="250"/>
  <c r="E1426" i="250"/>
  <c r="E1427" i="250"/>
  <c r="E1428" i="250"/>
  <c r="E1429" i="250"/>
  <c r="E1430" i="250"/>
  <c r="E1431" i="250"/>
  <c r="E1432" i="250"/>
  <c r="E1433" i="250"/>
  <c r="E1434" i="250"/>
  <c r="E1435" i="250"/>
  <c r="E1436" i="250"/>
  <c r="E1437" i="250"/>
  <c r="E1438" i="250"/>
  <c r="E1439" i="250"/>
  <c r="E1440" i="250"/>
  <c r="E1441" i="250"/>
  <c r="E1442" i="250"/>
  <c r="E1443" i="250"/>
  <c r="E1444" i="250"/>
  <c r="E1445" i="250"/>
  <c r="E1446" i="250"/>
  <c r="E1447" i="250"/>
  <c r="E1448" i="250"/>
  <c r="E1449" i="250"/>
  <c r="E1450" i="250"/>
  <c r="E1451" i="250"/>
  <c r="E1452" i="250"/>
  <c r="E1453" i="250"/>
  <c r="E1454" i="250"/>
  <c r="E1455" i="250"/>
  <c r="E1456" i="250"/>
  <c r="E1457" i="250"/>
  <c r="E1458" i="250"/>
  <c r="E1459" i="250"/>
  <c r="E1460" i="250"/>
  <c r="E1461" i="250"/>
  <c r="E1462" i="250"/>
  <c r="E1463" i="250"/>
  <c r="E1464" i="250"/>
  <c r="E1465" i="250"/>
  <c r="E1466" i="250"/>
  <c r="E1467" i="250"/>
  <c r="E1468" i="250"/>
  <c r="E1469" i="250"/>
  <c r="E1470" i="250"/>
  <c r="E1471" i="250"/>
  <c r="E1472" i="250"/>
  <c r="E1473" i="250"/>
  <c r="E1474" i="250"/>
  <c r="E1475" i="250"/>
  <c r="E1476" i="250"/>
  <c r="E1477" i="250"/>
  <c r="E1478" i="250"/>
  <c r="E1479" i="250"/>
  <c r="E1480" i="250"/>
  <c r="E1481" i="250"/>
  <c r="E1482" i="250"/>
  <c r="E1483" i="250"/>
  <c r="E1484" i="250"/>
  <c r="E1485" i="250"/>
  <c r="E1486" i="250"/>
  <c r="E1487" i="250"/>
  <c r="E1488" i="250"/>
  <c r="E1489" i="250"/>
  <c r="E1490" i="250"/>
  <c r="E1491" i="250"/>
  <c r="E1492" i="250"/>
  <c r="E1493" i="250"/>
  <c r="E1494" i="250"/>
  <c r="E1495" i="250"/>
  <c r="E1496" i="250"/>
  <c r="E1497" i="250"/>
  <c r="E1498" i="250"/>
  <c r="E1499" i="250"/>
  <c r="E1500" i="250"/>
  <c r="E1501" i="250"/>
  <c r="E1502" i="250"/>
  <c r="E1503" i="250"/>
  <c r="E1504" i="250"/>
  <c r="E1505" i="250"/>
  <c r="E1506" i="250"/>
  <c r="E1507" i="250"/>
  <c r="E1508" i="250"/>
  <c r="E1509" i="250"/>
  <c r="E1510" i="250"/>
  <c r="E1511" i="250"/>
  <c r="E1512" i="250"/>
  <c r="E1513" i="250"/>
  <c r="E1514" i="250"/>
  <c r="E1515" i="250"/>
  <c r="E1516" i="250"/>
  <c r="E1517" i="250"/>
  <c r="E1518" i="250"/>
  <c r="E1519" i="250"/>
  <c r="E1520" i="250"/>
  <c r="E1521" i="250"/>
  <c r="E1522" i="250"/>
  <c r="E1523" i="250"/>
  <c r="E1524" i="250"/>
  <c r="E1525" i="250"/>
  <c r="E1526" i="250"/>
  <c r="E1527" i="250"/>
  <c r="E1528" i="250"/>
  <c r="E1529" i="250"/>
  <c r="E1530" i="250"/>
  <c r="E1531" i="250"/>
  <c r="E1532" i="250"/>
  <c r="E1533" i="250"/>
  <c r="E1534" i="250"/>
  <c r="E1535" i="250"/>
  <c r="E1536" i="250"/>
  <c r="E1537" i="250"/>
  <c r="E1538" i="250"/>
  <c r="E1539" i="250"/>
  <c r="E1540" i="250"/>
  <c r="E1541" i="250"/>
  <c r="E1542" i="250"/>
  <c r="E1543" i="250"/>
  <c r="E1544" i="250"/>
  <c r="E1545" i="250"/>
  <c r="E1546" i="250"/>
  <c r="E1547" i="250"/>
  <c r="E1548" i="250"/>
  <c r="E1549" i="250"/>
  <c r="E1550" i="250"/>
  <c r="E1551" i="250"/>
  <c r="E1552" i="250"/>
  <c r="E1553" i="250"/>
  <c r="E1554" i="250"/>
  <c r="E1555" i="250"/>
  <c r="E1556" i="250"/>
  <c r="E1557" i="250"/>
  <c r="E1558" i="250"/>
  <c r="E1559" i="250"/>
  <c r="E1560" i="250"/>
  <c r="E1561" i="250"/>
  <c r="E1562" i="250"/>
  <c r="E1563" i="250"/>
  <c r="E1564" i="250"/>
  <c r="E1565" i="250"/>
  <c r="E1566" i="250"/>
  <c r="E1567" i="250"/>
  <c r="E1568" i="250"/>
  <c r="E1569" i="250"/>
  <c r="E1570" i="250"/>
  <c r="E1571" i="250"/>
  <c r="E1572" i="250"/>
  <c r="E1573" i="250"/>
  <c r="E1574" i="250"/>
  <c r="E1575" i="250"/>
  <c r="E1576" i="250"/>
  <c r="E1577" i="250"/>
  <c r="E1578" i="250"/>
  <c r="E1579" i="250"/>
  <c r="E1580" i="250"/>
  <c r="E1581" i="250"/>
  <c r="E1582" i="250"/>
  <c r="E1583" i="250"/>
  <c r="E1584" i="250"/>
  <c r="E1585" i="250"/>
  <c r="E1586" i="250"/>
  <c r="E1587" i="250"/>
  <c r="E1588" i="250"/>
  <c r="E1589" i="250"/>
  <c r="E1590" i="250"/>
  <c r="E1591" i="250"/>
  <c r="E1592" i="250"/>
  <c r="E1593" i="250"/>
  <c r="E1594" i="250"/>
  <c r="E1595" i="250"/>
  <c r="E1596" i="250"/>
  <c r="E1597" i="250"/>
  <c r="E1598" i="250"/>
  <c r="E1599" i="250"/>
  <c r="E1600" i="250"/>
  <c r="E1601" i="250"/>
  <c r="E1602" i="250"/>
  <c r="E1603" i="250"/>
  <c r="E1604" i="250"/>
  <c r="E1605" i="250"/>
  <c r="E1606" i="250"/>
  <c r="E1607" i="250"/>
  <c r="E1608" i="250"/>
  <c r="E1609" i="250"/>
  <c r="E1610" i="250"/>
  <c r="E1611" i="250"/>
  <c r="E1612" i="250"/>
  <c r="E1613" i="250"/>
  <c r="E1614" i="250"/>
  <c r="E1615" i="250"/>
  <c r="E1616" i="250"/>
  <c r="E1617" i="250"/>
  <c r="E1618" i="250"/>
  <c r="E1619" i="250"/>
  <c r="E1620" i="250"/>
  <c r="E1621" i="250"/>
  <c r="E1622" i="250"/>
  <c r="E1623" i="250"/>
  <c r="E1624" i="250"/>
  <c r="E1625" i="250"/>
  <c r="E1626" i="250"/>
  <c r="E1627" i="250"/>
  <c r="E1628" i="250"/>
  <c r="E1629" i="250"/>
  <c r="E1630" i="250"/>
  <c r="E1631" i="250"/>
  <c r="E1632" i="250"/>
  <c r="E1633" i="250"/>
  <c r="E1634" i="250"/>
  <c r="E1635" i="250"/>
  <c r="E1636" i="250"/>
  <c r="E1637" i="250"/>
  <c r="E1638" i="250"/>
  <c r="E1639" i="250"/>
  <c r="E1640" i="250"/>
  <c r="E1641" i="250"/>
  <c r="E1642" i="250"/>
  <c r="E1643" i="250"/>
  <c r="E1644" i="250"/>
  <c r="E1645" i="250"/>
  <c r="E1646" i="250"/>
  <c r="E1647" i="250"/>
  <c r="E1648" i="250"/>
  <c r="E1649" i="250"/>
  <c r="E1650" i="250"/>
  <c r="E1651" i="250"/>
  <c r="E1652" i="250"/>
  <c r="E1653" i="250"/>
  <c r="E1654" i="250"/>
  <c r="E1655" i="250"/>
  <c r="E1656" i="250"/>
  <c r="E1657" i="250"/>
  <c r="E1658" i="250"/>
  <c r="E1659" i="250"/>
  <c r="E1660" i="250"/>
  <c r="E1661" i="250"/>
  <c r="E1662" i="250"/>
  <c r="E1663" i="250"/>
  <c r="E1664" i="250"/>
  <c r="E1665" i="250"/>
  <c r="E1666" i="250"/>
  <c r="E1667" i="250"/>
  <c r="E1668" i="250"/>
  <c r="E1669" i="250"/>
  <c r="E1670" i="250"/>
  <c r="E1671" i="250"/>
  <c r="E1672" i="250"/>
  <c r="E1673" i="250"/>
  <c r="E1674" i="250"/>
  <c r="E1675" i="250"/>
  <c r="E1676" i="250"/>
  <c r="E1677" i="250"/>
  <c r="E1678" i="250"/>
  <c r="E1679" i="250"/>
  <c r="E1680" i="250"/>
  <c r="E1681" i="250"/>
  <c r="E1682" i="250"/>
  <c r="E1683" i="250"/>
  <c r="E1684" i="250"/>
  <c r="E1685" i="250"/>
  <c r="E1686" i="250"/>
  <c r="E1687" i="250"/>
  <c r="E1688" i="250"/>
  <c r="E1689" i="250"/>
  <c r="E1690" i="250"/>
  <c r="E1691" i="250"/>
  <c r="E1692" i="250"/>
  <c r="E1693" i="250"/>
  <c r="E1694" i="250"/>
  <c r="E1695" i="250"/>
  <c r="E1696" i="250"/>
  <c r="E1697" i="250"/>
  <c r="E1698" i="250"/>
  <c r="E1699" i="250"/>
  <c r="E1700" i="250"/>
  <c r="E1701" i="250"/>
  <c r="E1702" i="250"/>
  <c r="E1703" i="250"/>
  <c r="E1704" i="250"/>
  <c r="E1705" i="250"/>
  <c r="E1706" i="250"/>
  <c r="E1707" i="250"/>
  <c r="E1708" i="250"/>
  <c r="E1709" i="250"/>
  <c r="E1710" i="250"/>
  <c r="E1711" i="250"/>
  <c r="E1712" i="250"/>
  <c r="E1713" i="250"/>
  <c r="E1714" i="250"/>
  <c r="E1715" i="250"/>
  <c r="E1716" i="250"/>
  <c r="E1717" i="250"/>
  <c r="E1718" i="250"/>
  <c r="E1719" i="250"/>
  <c r="E1720" i="250"/>
  <c r="E1721" i="250"/>
  <c r="E1722" i="250"/>
  <c r="E1723" i="250"/>
  <c r="E1724" i="250"/>
  <c r="E1725" i="250"/>
  <c r="E1726" i="250"/>
  <c r="E1727" i="250"/>
  <c r="E1728" i="250"/>
  <c r="E1729" i="250"/>
  <c r="E1730" i="250"/>
  <c r="E1731" i="250"/>
  <c r="E1732" i="250"/>
  <c r="E1733" i="250"/>
  <c r="E1734" i="250"/>
  <c r="E1735" i="250"/>
  <c r="E1736" i="250"/>
  <c r="E1737" i="250"/>
  <c r="E1738" i="250"/>
  <c r="E1739" i="250"/>
  <c r="E1740" i="250"/>
  <c r="E1741" i="250"/>
  <c r="E1742" i="250"/>
  <c r="E1743" i="250"/>
  <c r="E1744" i="250"/>
  <c r="E1745" i="250"/>
  <c r="E1746" i="250"/>
  <c r="E1747" i="250"/>
  <c r="E1748" i="250"/>
  <c r="E1749" i="250"/>
  <c r="E1750" i="250"/>
  <c r="E1751" i="250"/>
  <c r="E1752" i="250"/>
  <c r="E1753" i="250"/>
  <c r="E1754" i="250"/>
  <c r="E1755" i="250"/>
  <c r="E1756" i="250"/>
  <c r="E1757" i="250"/>
  <c r="E1758" i="250"/>
  <c r="E1759" i="250"/>
  <c r="E1760" i="250"/>
  <c r="E1761" i="250"/>
  <c r="E1762" i="250"/>
  <c r="E1763" i="250"/>
  <c r="E1764" i="250"/>
  <c r="E1765" i="250"/>
  <c r="E1766" i="250"/>
  <c r="E1767" i="250"/>
  <c r="E1768" i="250"/>
  <c r="E1769" i="250"/>
  <c r="E1770" i="250"/>
  <c r="E1771" i="250"/>
  <c r="E1772" i="250"/>
  <c r="E1773" i="250"/>
  <c r="E1774" i="250"/>
  <c r="E1775" i="250"/>
  <c r="E1776" i="250"/>
  <c r="E1777" i="250"/>
  <c r="E1778" i="250"/>
  <c r="E1779" i="250"/>
  <c r="E1780" i="250"/>
  <c r="E1781" i="250"/>
  <c r="E1782" i="250"/>
  <c r="E1783" i="250"/>
  <c r="E1784" i="250"/>
  <c r="E1785" i="250"/>
  <c r="E1786" i="250"/>
  <c r="E1787" i="250"/>
  <c r="E1788" i="250"/>
  <c r="E1789" i="250"/>
  <c r="E1790" i="250"/>
  <c r="E1791" i="250"/>
  <c r="E1792" i="250"/>
  <c r="E1793" i="250"/>
  <c r="E1794" i="250"/>
  <c r="E1795" i="250"/>
  <c r="E1796" i="250"/>
  <c r="E1797" i="250"/>
  <c r="E1798" i="250"/>
  <c r="E1799" i="250"/>
  <c r="E1800" i="250"/>
  <c r="E1801" i="250"/>
  <c r="E1802" i="250"/>
  <c r="E1803" i="250"/>
  <c r="E1804" i="250"/>
  <c r="E1805" i="250"/>
  <c r="E1806" i="250"/>
  <c r="E1807" i="250"/>
  <c r="E1808" i="250"/>
  <c r="E1809" i="250"/>
  <c r="E1810" i="250"/>
  <c r="E1811" i="250"/>
  <c r="E1812" i="250"/>
  <c r="E1813" i="250"/>
  <c r="E1814" i="250"/>
  <c r="E1815" i="250"/>
  <c r="E1816" i="250"/>
  <c r="E1817" i="250"/>
  <c r="E1818" i="250"/>
  <c r="E1819" i="250"/>
  <c r="E1820" i="250"/>
  <c r="E1821" i="250"/>
  <c r="E1822" i="250"/>
  <c r="E1823" i="250"/>
  <c r="E1824" i="250"/>
  <c r="E1825" i="250"/>
  <c r="E1826" i="250"/>
  <c r="E1827" i="250"/>
  <c r="E1828" i="250"/>
  <c r="E1829" i="250"/>
  <c r="E1830" i="250"/>
  <c r="E1831" i="250"/>
  <c r="E1832" i="250"/>
  <c r="E1833" i="250"/>
  <c r="E1834" i="250"/>
  <c r="E1835" i="250"/>
  <c r="E1836" i="250"/>
  <c r="E1837" i="250"/>
  <c r="E1838" i="250"/>
  <c r="E1839" i="250"/>
  <c r="E1840" i="250"/>
  <c r="E1841" i="250"/>
  <c r="E1842" i="250"/>
  <c r="E1843" i="250"/>
  <c r="E1844" i="250"/>
  <c r="E1845" i="250"/>
  <c r="E1846" i="250"/>
  <c r="E1847" i="250"/>
  <c r="E1848" i="250"/>
  <c r="E1849" i="250"/>
  <c r="E1850" i="250"/>
  <c r="E1851" i="250"/>
  <c r="E1852" i="250"/>
  <c r="E1853" i="250"/>
  <c r="E1854" i="250"/>
  <c r="E1855" i="250"/>
  <c r="E1856" i="250"/>
  <c r="E1857" i="250"/>
  <c r="E1858" i="250"/>
  <c r="E1859" i="250"/>
  <c r="E1860" i="250"/>
  <c r="E1861" i="250"/>
  <c r="E1862" i="250"/>
  <c r="E1863" i="250"/>
  <c r="E1864" i="250"/>
  <c r="E1865" i="250"/>
  <c r="E1866" i="250"/>
  <c r="E1867" i="250"/>
  <c r="E1868" i="250"/>
  <c r="E1869" i="250"/>
  <c r="E1870" i="250"/>
  <c r="E1871" i="250"/>
  <c r="E1872" i="250"/>
  <c r="E1873" i="250"/>
  <c r="E1874" i="250"/>
  <c r="E1875" i="250"/>
  <c r="E1876" i="250"/>
  <c r="E1877" i="250"/>
  <c r="E1878" i="250"/>
  <c r="E1879" i="250"/>
  <c r="E1880" i="250"/>
  <c r="E1881" i="250"/>
  <c r="E1882" i="250"/>
  <c r="E1883" i="250"/>
  <c r="E1884" i="250"/>
  <c r="E1885" i="250"/>
  <c r="E1886" i="250"/>
  <c r="E1887" i="250"/>
  <c r="E1888" i="250"/>
  <c r="E1889" i="250"/>
  <c r="E1890" i="250"/>
  <c r="E1891" i="250"/>
  <c r="E1892" i="250"/>
  <c r="E1893" i="250"/>
  <c r="E1894" i="250"/>
  <c r="E1895" i="250"/>
  <c r="E1896" i="250"/>
  <c r="E1897" i="250"/>
  <c r="E1898" i="250"/>
  <c r="E1899" i="250"/>
  <c r="E1900" i="250"/>
  <c r="E1901" i="250"/>
  <c r="E1902" i="250"/>
  <c r="E1903" i="250"/>
  <c r="E1904" i="250"/>
  <c r="E1905" i="250"/>
  <c r="E1906" i="250"/>
  <c r="E1907" i="250"/>
  <c r="E1908" i="250"/>
  <c r="E1909" i="250"/>
  <c r="E1910" i="250"/>
  <c r="E1911" i="250"/>
  <c r="E1912" i="250"/>
  <c r="E1913" i="250"/>
  <c r="E1914" i="250"/>
  <c r="E1915" i="250"/>
  <c r="E1916" i="250"/>
  <c r="E1917" i="250"/>
  <c r="E1918" i="250"/>
  <c r="E1919" i="250"/>
  <c r="E1920" i="250"/>
  <c r="E1921" i="250"/>
  <c r="E1922" i="250"/>
  <c r="E1923" i="250"/>
  <c r="E1924" i="250"/>
  <c r="E1925" i="250"/>
  <c r="E1926" i="250"/>
  <c r="E1927" i="250"/>
  <c r="E1928" i="250"/>
  <c r="E1929" i="250"/>
  <c r="E1930" i="250"/>
  <c r="E1931" i="250"/>
  <c r="E1932" i="250"/>
  <c r="E1933" i="250"/>
  <c r="E1934" i="250"/>
  <c r="E1935" i="250"/>
  <c r="E1936" i="250"/>
  <c r="E1937" i="250"/>
  <c r="E1938" i="250"/>
  <c r="E1939" i="250"/>
  <c r="E1940" i="250"/>
  <c r="E1941" i="250"/>
  <c r="E1942" i="250"/>
  <c r="E1943" i="250"/>
  <c r="E1944" i="250"/>
  <c r="E1945" i="250"/>
  <c r="E1946" i="250"/>
  <c r="E1947" i="250"/>
  <c r="E1948" i="250"/>
  <c r="E1949" i="250"/>
  <c r="E1950" i="250"/>
  <c r="E1951" i="250"/>
  <c r="E1952" i="250"/>
  <c r="E1953" i="250"/>
  <c r="E1954" i="250"/>
  <c r="E1955" i="250"/>
  <c r="E1956" i="250"/>
  <c r="E1957" i="250"/>
  <c r="E1958" i="250"/>
  <c r="E1959" i="250"/>
  <c r="E1960" i="250"/>
  <c r="E1961" i="250"/>
  <c r="E1962" i="250"/>
  <c r="E1963" i="250"/>
  <c r="E1964" i="250"/>
  <c r="E1965" i="250"/>
  <c r="E1966" i="250"/>
  <c r="E1967" i="250"/>
  <c r="E1968" i="250"/>
  <c r="E1969" i="250"/>
  <c r="E1970" i="250"/>
  <c r="E1971" i="250"/>
  <c r="E1972" i="250"/>
  <c r="E1973" i="250"/>
  <c r="E1974" i="250"/>
  <c r="E1975" i="250"/>
  <c r="E1976" i="250"/>
  <c r="E1977" i="250"/>
  <c r="E1978" i="250"/>
  <c r="E1979" i="250"/>
  <c r="E1980" i="250"/>
  <c r="E1981" i="250"/>
  <c r="E1982" i="250"/>
  <c r="E1983" i="250"/>
  <c r="E1984" i="250"/>
  <c r="E1985" i="250"/>
  <c r="E1986" i="250"/>
  <c r="E1987" i="250"/>
  <c r="E1988" i="250"/>
  <c r="E1989" i="250"/>
  <c r="E1990" i="250"/>
  <c r="E1991" i="250"/>
  <c r="E1992" i="250"/>
  <c r="E1993" i="250"/>
  <c r="E1994" i="250"/>
  <c r="E1995" i="250"/>
  <c r="E1996" i="250"/>
  <c r="E1997" i="250"/>
  <c r="E1998" i="250"/>
  <c r="E1999" i="250"/>
  <c r="E2000" i="250"/>
  <c r="E2001" i="250"/>
  <c r="E2002" i="250"/>
  <c r="E2003" i="250"/>
  <c r="E2004" i="250"/>
  <c r="E2005" i="250"/>
  <c r="E2006" i="250"/>
  <c r="E2007" i="250"/>
  <c r="E2008" i="250"/>
  <c r="E2009" i="250"/>
  <c r="E2010" i="250"/>
  <c r="E2011" i="250"/>
  <c r="E2012" i="250"/>
  <c r="E2013" i="250"/>
  <c r="E2014" i="250"/>
  <c r="E2015" i="250"/>
  <c r="E2016" i="250"/>
  <c r="E2017" i="250"/>
  <c r="E2018" i="250"/>
  <c r="E2019" i="250"/>
  <c r="E2020" i="250"/>
  <c r="E2021" i="250"/>
  <c r="E2022" i="250"/>
  <c r="E2023" i="250"/>
  <c r="E2024" i="250"/>
  <c r="E2025" i="250"/>
  <c r="E2026" i="250"/>
  <c r="E2027" i="250"/>
  <c r="E2028" i="250"/>
  <c r="E2029" i="250"/>
  <c r="E2030" i="250"/>
  <c r="E2031" i="250"/>
  <c r="E2032" i="250"/>
  <c r="E2033" i="250"/>
  <c r="E2034" i="250"/>
  <c r="E2035" i="250"/>
  <c r="E2036" i="250"/>
  <c r="E2037" i="250"/>
  <c r="E2038" i="250"/>
  <c r="E2039" i="250"/>
  <c r="E2040" i="250"/>
  <c r="E2041" i="250"/>
  <c r="E2042" i="250"/>
  <c r="E2043" i="250"/>
  <c r="E2044" i="250"/>
  <c r="E2045" i="250"/>
  <c r="E2046" i="250"/>
  <c r="E2047" i="250"/>
  <c r="E2048" i="250"/>
  <c r="E2049" i="250"/>
  <c r="E2050" i="250"/>
  <c r="E2051" i="250"/>
  <c r="E2052" i="250"/>
  <c r="E2053" i="250"/>
  <c r="E2054" i="250"/>
  <c r="E2055" i="250"/>
  <c r="E2056" i="250"/>
  <c r="E2057" i="250"/>
  <c r="E2058" i="250"/>
  <c r="E2059" i="250"/>
  <c r="E2060" i="250"/>
  <c r="E2061" i="250"/>
  <c r="E2062" i="250"/>
  <c r="E2063" i="250"/>
  <c r="E2064" i="250"/>
  <c r="E2065" i="250"/>
  <c r="E2066" i="250"/>
  <c r="E2067" i="250"/>
  <c r="E2068" i="250"/>
  <c r="E2069" i="250"/>
  <c r="E2070" i="250"/>
  <c r="E2071" i="250"/>
  <c r="E2072" i="250"/>
  <c r="E2073" i="250"/>
  <c r="E2074" i="250"/>
  <c r="E2075" i="250"/>
  <c r="E2076" i="250"/>
  <c r="E2077" i="250"/>
  <c r="E2078" i="250"/>
  <c r="E2079" i="250"/>
  <c r="E2080" i="250"/>
  <c r="E2081" i="250"/>
  <c r="E2082" i="250"/>
  <c r="E2083" i="250"/>
  <c r="E2084" i="250"/>
  <c r="E2085" i="250"/>
  <c r="E2086" i="250"/>
  <c r="E2087" i="250"/>
  <c r="E2088" i="250"/>
  <c r="E2089" i="250"/>
  <c r="E2090" i="250"/>
  <c r="E2091" i="250"/>
  <c r="E2092" i="250"/>
  <c r="E2093" i="250"/>
  <c r="E2094" i="250"/>
  <c r="E2095" i="250"/>
  <c r="E2096" i="250"/>
  <c r="E2097" i="250"/>
  <c r="E2098" i="250"/>
  <c r="E2099" i="250"/>
  <c r="E2100" i="250"/>
  <c r="E2101" i="250"/>
  <c r="E2102" i="250"/>
  <c r="E2103" i="250"/>
  <c r="E2104" i="250"/>
  <c r="E2105" i="250"/>
  <c r="E2106" i="250"/>
  <c r="E2107" i="250"/>
  <c r="E2108" i="250"/>
  <c r="E2109" i="250"/>
  <c r="E2110" i="250"/>
  <c r="E2111" i="250"/>
  <c r="E2112" i="250"/>
  <c r="E2113" i="250"/>
  <c r="E2114" i="250"/>
  <c r="E2115" i="250"/>
  <c r="E2116" i="250"/>
  <c r="E2117" i="250"/>
  <c r="E2118" i="250"/>
  <c r="E2119" i="250"/>
  <c r="E2120" i="250"/>
  <c r="E2121" i="250"/>
  <c r="E2122" i="250"/>
  <c r="E2123" i="250"/>
  <c r="E2124" i="250"/>
  <c r="E2125" i="250"/>
  <c r="E2126" i="250"/>
  <c r="E2127" i="250"/>
  <c r="E2128" i="250"/>
  <c r="E2129" i="250"/>
  <c r="E2130" i="250"/>
  <c r="E2131" i="250"/>
  <c r="E2132" i="250"/>
  <c r="E2133" i="250"/>
  <c r="E2134" i="250"/>
  <c r="E2135" i="250"/>
  <c r="E2136" i="250"/>
  <c r="E2137" i="250"/>
  <c r="E2138" i="250"/>
  <c r="E2139" i="250"/>
  <c r="E2140" i="250"/>
  <c r="E2141" i="250"/>
  <c r="E2142" i="250"/>
  <c r="E2143" i="250"/>
  <c r="E2144" i="250"/>
  <c r="E2145" i="250"/>
  <c r="E2146" i="250"/>
  <c r="E2147" i="250"/>
  <c r="E2148" i="250"/>
  <c r="E2149" i="250"/>
  <c r="E2150" i="250"/>
  <c r="E2151" i="250"/>
  <c r="E2152" i="250"/>
  <c r="E2153" i="250"/>
  <c r="E2154" i="250"/>
  <c r="E2155" i="250"/>
  <c r="E2156" i="250"/>
  <c r="E2157" i="250"/>
  <c r="E2158" i="250"/>
  <c r="E2159" i="250"/>
  <c r="E2160" i="250"/>
  <c r="E2161" i="250"/>
  <c r="E2162" i="250"/>
  <c r="E2163" i="250"/>
  <c r="E2164" i="250"/>
  <c r="E2165" i="250"/>
  <c r="E2166" i="250"/>
  <c r="E2167" i="250"/>
  <c r="E2168" i="250"/>
  <c r="E2169" i="250"/>
  <c r="E2170" i="250"/>
  <c r="E2171" i="250"/>
  <c r="E2172" i="250"/>
  <c r="E2173" i="250"/>
  <c r="E2174" i="250"/>
  <c r="E2175" i="250"/>
  <c r="E2176" i="250"/>
  <c r="E2177" i="250"/>
  <c r="E2178" i="250"/>
  <c r="E2179" i="250"/>
  <c r="E2180" i="250"/>
  <c r="E2181" i="250"/>
  <c r="E2182" i="250"/>
  <c r="E2183" i="250"/>
  <c r="E2184" i="250"/>
  <c r="E2185" i="250"/>
  <c r="E2186" i="250"/>
  <c r="E2187" i="250"/>
  <c r="E2188" i="250"/>
  <c r="E2189" i="250"/>
  <c r="E2190" i="250"/>
  <c r="E2191" i="250"/>
  <c r="E2192" i="250"/>
  <c r="E2193" i="250"/>
  <c r="E2194" i="250"/>
  <c r="E2195" i="250"/>
  <c r="E2196" i="250"/>
  <c r="E2197" i="250"/>
  <c r="E2198" i="250"/>
  <c r="E2199" i="250"/>
  <c r="E2200" i="250"/>
  <c r="E2201" i="250"/>
  <c r="E2202" i="250"/>
  <c r="E2203" i="250"/>
  <c r="E2204" i="250"/>
  <c r="E2205" i="250"/>
  <c r="E2206" i="250"/>
  <c r="E2207" i="250"/>
  <c r="E2208" i="250"/>
  <c r="E2209" i="250"/>
  <c r="E2210" i="250"/>
  <c r="E2211" i="250"/>
  <c r="E2212" i="250"/>
  <c r="E2213" i="250"/>
  <c r="E2214" i="250"/>
  <c r="E2215" i="250"/>
  <c r="E2216" i="250"/>
  <c r="E2217" i="250"/>
  <c r="E2218" i="250"/>
  <c r="E2219" i="250"/>
  <c r="E2220" i="250"/>
  <c r="E2221" i="250"/>
  <c r="E2222" i="250"/>
  <c r="E2223" i="250"/>
  <c r="E2224" i="250"/>
  <c r="E2225" i="250"/>
  <c r="E2226" i="250"/>
  <c r="E2227" i="250"/>
  <c r="E2228" i="250"/>
  <c r="E2229" i="250"/>
  <c r="E2230" i="250"/>
  <c r="E2231" i="250"/>
  <c r="E2232" i="250"/>
  <c r="E2233" i="250"/>
  <c r="E2234" i="250"/>
  <c r="E2235" i="250"/>
  <c r="E2236" i="250"/>
  <c r="E2237" i="250"/>
  <c r="E2238" i="250"/>
  <c r="E2239" i="250"/>
  <c r="E3" i="250"/>
  <c r="E3510" i="250" l="1"/>
  <c r="E3509" i="250"/>
  <c r="E3508" i="250"/>
  <c r="E3507" i="250"/>
  <c r="E3506" i="250"/>
  <c r="E3505" i="250"/>
  <c r="E3504" i="250"/>
  <c r="E3503" i="250"/>
  <c r="E3502" i="250"/>
  <c r="E3501" i="250"/>
  <c r="E3500" i="250"/>
  <c r="E3499" i="250"/>
  <c r="E3498" i="250"/>
  <c r="E3497" i="250"/>
  <c r="E3496" i="250"/>
  <c r="E3495" i="250"/>
  <c r="E3494" i="250"/>
  <c r="E3493" i="250"/>
  <c r="E3492" i="250"/>
  <c r="E3491" i="250"/>
  <c r="E3490" i="250"/>
  <c r="E3489" i="250"/>
  <c r="E3488" i="250"/>
  <c r="E3487" i="250"/>
  <c r="E3486" i="250"/>
  <c r="E3485" i="250"/>
  <c r="E3484" i="250"/>
  <c r="E3483" i="250"/>
  <c r="E3482" i="250"/>
  <c r="E3481" i="250"/>
  <c r="E3480" i="250"/>
  <c r="E3479" i="250"/>
  <c r="E3478" i="250"/>
  <c r="E3477" i="250"/>
  <c r="E3476" i="250"/>
  <c r="E3475" i="250"/>
  <c r="E3474" i="250"/>
  <c r="E3473" i="250"/>
  <c r="E3472" i="250"/>
  <c r="E3471" i="250"/>
  <c r="E3470" i="250"/>
  <c r="E3469" i="250"/>
  <c r="E3468" i="250"/>
  <c r="E3467" i="250"/>
  <c r="E3466" i="250"/>
  <c r="E3465" i="250"/>
  <c r="E3464" i="250"/>
  <c r="E3463" i="250"/>
  <c r="E3462" i="250"/>
  <c r="E3461" i="250"/>
  <c r="E3460" i="250"/>
  <c r="E3459" i="250"/>
  <c r="E3458" i="250"/>
  <c r="E3457" i="250"/>
  <c r="E3456" i="250"/>
  <c r="E3455" i="250"/>
  <c r="E3454" i="250"/>
  <c r="E3453" i="250"/>
  <c r="E3452" i="250"/>
  <c r="E3451" i="250"/>
  <c r="E3450" i="250"/>
  <c r="E3449" i="250"/>
  <c r="E3448" i="250"/>
  <c r="E3447" i="250"/>
  <c r="E3446" i="250"/>
  <c r="E3445" i="250"/>
  <c r="E3444" i="250"/>
  <c r="E3443" i="250"/>
  <c r="E3442" i="250"/>
  <c r="E3441" i="250"/>
  <c r="E3440" i="250"/>
  <c r="E3439" i="250"/>
  <c r="E3438" i="250"/>
  <c r="E3437" i="250"/>
  <c r="E3436" i="250"/>
  <c r="E3435" i="250"/>
  <c r="E3434" i="250"/>
  <c r="E3433" i="250"/>
  <c r="E3432" i="250"/>
  <c r="E3431" i="250"/>
  <c r="E3430" i="250"/>
  <c r="E3429" i="250"/>
  <c r="E3428" i="250"/>
  <c r="E3427" i="250"/>
  <c r="E3426" i="250"/>
  <c r="E3425" i="250"/>
  <c r="E3424" i="250"/>
  <c r="E3423" i="250"/>
  <c r="E3422" i="250"/>
  <c r="E3421" i="250"/>
  <c r="E3420" i="250"/>
  <c r="E3419" i="250"/>
  <c r="E3418" i="250"/>
  <c r="E3417" i="250"/>
  <c r="E3416" i="250"/>
  <c r="E3415" i="250"/>
  <c r="E3414" i="250"/>
  <c r="E3413" i="250"/>
  <c r="E3412" i="250"/>
  <c r="E3411" i="250"/>
  <c r="E3410" i="250"/>
  <c r="E3409" i="250"/>
  <c r="E3408" i="250"/>
  <c r="E3407" i="250"/>
  <c r="E3406" i="250"/>
  <c r="E3405" i="250"/>
  <c r="E3404" i="250"/>
  <c r="E3403" i="250"/>
  <c r="E3402" i="250"/>
  <c r="E3401" i="250"/>
  <c r="E3400" i="250"/>
  <c r="E3399" i="250"/>
  <c r="E3398" i="250"/>
  <c r="E3397" i="250"/>
  <c r="E3396" i="250"/>
  <c r="E3395" i="250"/>
  <c r="E3394" i="250"/>
  <c r="E3393" i="250"/>
  <c r="E3392" i="250"/>
  <c r="E3391" i="250"/>
  <c r="E3390" i="250"/>
  <c r="E3389" i="250"/>
  <c r="E3388" i="250"/>
  <c r="E3387" i="250"/>
  <c r="E3386" i="250"/>
  <c r="E3385" i="250"/>
  <c r="E3384" i="250"/>
  <c r="E3383" i="250"/>
  <c r="E3382" i="250"/>
  <c r="E3381" i="250"/>
  <c r="E3380" i="250"/>
  <c r="E3379" i="250"/>
  <c r="E3378" i="250"/>
  <c r="E3377" i="250"/>
  <c r="E3376" i="250"/>
  <c r="E3375" i="250"/>
  <c r="E3374" i="250"/>
  <c r="E3373" i="250"/>
  <c r="E3372" i="250"/>
  <c r="E3371" i="250"/>
  <c r="E3370" i="250"/>
  <c r="E3369" i="250"/>
  <c r="E3368" i="250"/>
  <c r="E3367" i="250"/>
  <c r="E3366" i="250"/>
  <c r="E3365" i="250"/>
  <c r="E3364" i="250"/>
  <c r="E3363" i="250"/>
  <c r="E3362" i="250"/>
  <c r="E3361" i="250"/>
  <c r="E3360" i="250"/>
  <c r="E3359" i="250"/>
  <c r="E3358" i="250"/>
  <c r="E3357" i="250"/>
  <c r="E3356" i="250"/>
  <c r="E3355" i="250"/>
  <c r="E3354" i="250"/>
  <c r="E3353" i="250"/>
  <c r="E3352" i="250"/>
  <c r="I78" i="39" l="1"/>
  <c r="K5" i="54" l="1"/>
  <c r="K5" i="40"/>
  <c r="E101" i="249" l="1"/>
  <c r="E100" i="249"/>
  <c r="E185" i="249"/>
  <c r="E184" i="249"/>
  <c r="E183" i="249"/>
  <c r="E182" i="249"/>
  <c r="E181" i="249"/>
  <c r="E180" i="249"/>
  <c r="E188" i="249"/>
  <c r="E187" i="249"/>
  <c r="E186" i="249"/>
  <c r="E58" i="249"/>
  <c r="E59" i="249"/>
  <c r="E99" i="249" l="1"/>
  <c r="E98" i="249"/>
  <c r="E97" i="249"/>
  <c r="E96" i="249"/>
  <c r="E95" i="249"/>
  <c r="E94" i="249"/>
  <c r="E93" i="249"/>
  <c r="E92" i="249"/>
  <c r="E91" i="249"/>
  <c r="L9" i="206" l="1"/>
  <c r="L12" i="206"/>
  <c r="L14" i="206"/>
  <c r="L15" i="206"/>
  <c r="L16" i="206"/>
  <c r="L17" i="206"/>
  <c r="L18" i="206"/>
  <c r="L19" i="206"/>
  <c r="L20" i="206"/>
  <c r="L21" i="206"/>
  <c r="L23" i="206"/>
  <c r="L8" i="206"/>
  <c r="L28" i="48" l="1"/>
  <c r="L25" i="48"/>
  <c r="L24" i="48"/>
  <c r="L23" i="48"/>
  <c r="L22" i="48"/>
  <c r="L21" i="48"/>
  <c r="L20" i="48"/>
  <c r="L19" i="48"/>
  <c r="L18" i="48"/>
  <c r="L14" i="48"/>
  <c r="L13" i="48"/>
  <c r="L12" i="48"/>
  <c r="L9" i="48"/>
  <c r="L8" i="48"/>
  <c r="K5" i="48"/>
  <c r="C5" i="48"/>
  <c r="A1" i="48"/>
  <c r="L45" i="46"/>
  <c r="K5" i="47"/>
  <c r="L45" i="47"/>
  <c r="L42" i="47"/>
  <c r="L41" i="47"/>
  <c r="L40" i="47"/>
  <c r="L39" i="47"/>
  <c r="L38" i="47"/>
  <c r="L35" i="47"/>
  <c r="L34" i="47"/>
  <c r="L33" i="47"/>
  <c r="L32" i="47"/>
  <c r="L31" i="47"/>
  <c r="L28" i="47"/>
  <c r="L27" i="47"/>
  <c r="L26" i="47"/>
  <c r="L25" i="47"/>
  <c r="L24" i="47"/>
  <c r="L23" i="47"/>
  <c r="L19" i="47"/>
  <c r="L18" i="47"/>
  <c r="L17" i="47"/>
  <c r="L16" i="47"/>
  <c r="L14" i="47"/>
  <c r="L12" i="47"/>
  <c r="L11" i="47"/>
  <c r="L9" i="47"/>
  <c r="L8" i="47"/>
  <c r="A1" i="47"/>
  <c r="L42" i="46"/>
  <c r="L41" i="46"/>
  <c r="L40" i="46"/>
  <c r="L39" i="46"/>
  <c r="L38" i="46"/>
  <c r="L35" i="46"/>
  <c r="L34" i="46"/>
  <c r="L33" i="46"/>
  <c r="L32" i="46"/>
  <c r="L31" i="46"/>
  <c r="L28" i="46"/>
  <c r="L27" i="46"/>
  <c r="L26" i="46"/>
  <c r="L25" i="46"/>
  <c r="L24" i="46"/>
  <c r="L23" i="46"/>
  <c r="L19" i="46"/>
  <c r="L18" i="46"/>
  <c r="L17" i="46"/>
  <c r="L16" i="46"/>
  <c r="L14" i="46"/>
  <c r="L12" i="46"/>
  <c r="L11" i="46"/>
  <c r="L9" i="46"/>
  <c r="L8" i="46"/>
  <c r="K5" i="46"/>
  <c r="A1" i="46"/>
  <c r="K5" i="65"/>
  <c r="K5" i="45"/>
  <c r="L45" i="45"/>
  <c r="L42" i="45"/>
  <c r="L41" i="45"/>
  <c r="L40" i="45"/>
  <c r="L39" i="45"/>
  <c r="L38" i="45"/>
  <c r="L35" i="45"/>
  <c r="L34" i="45"/>
  <c r="L33" i="45"/>
  <c r="L32" i="45"/>
  <c r="L31" i="45"/>
  <c r="L28" i="45"/>
  <c r="L27" i="45"/>
  <c r="L26" i="45"/>
  <c r="L25" i="45"/>
  <c r="L24" i="45"/>
  <c r="L23" i="45"/>
  <c r="L19" i="45"/>
  <c r="L18" i="45"/>
  <c r="L17" i="45"/>
  <c r="L16" i="45"/>
  <c r="L14" i="45"/>
  <c r="L12" i="45"/>
  <c r="L11" i="45"/>
  <c r="L9" i="45"/>
  <c r="L8" i="45"/>
  <c r="A1" i="45"/>
  <c r="L47" i="44"/>
  <c r="L44" i="44"/>
  <c r="L43" i="44"/>
  <c r="L42" i="44"/>
  <c r="L41" i="44"/>
  <c r="L40" i="44"/>
  <c r="L39" i="44"/>
  <c r="L36" i="44"/>
  <c r="L35" i="44"/>
  <c r="L34" i="44"/>
  <c r="L33" i="44"/>
  <c r="L32" i="44"/>
  <c r="L31" i="44"/>
  <c r="L29" i="44"/>
  <c r="L27" i="44"/>
  <c r="L26" i="44"/>
  <c r="L25" i="44"/>
  <c r="L24" i="44"/>
  <c r="L23" i="44"/>
  <c r="L22" i="44"/>
  <c r="L18" i="44"/>
  <c r="L17" i="44"/>
  <c r="L16" i="44"/>
  <c r="L15" i="44"/>
  <c r="L13" i="44"/>
  <c r="L11" i="44"/>
  <c r="L9" i="44"/>
  <c r="L8" i="44"/>
  <c r="K5" i="44"/>
  <c r="C5" i="44"/>
  <c r="A1" i="44"/>
  <c r="L47" i="43"/>
  <c r="L44" i="43"/>
  <c r="L43" i="43"/>
  <c r="L42" i="43"/>
  <c r="L41" i="43"/>
  <c r="L40" i="43"/>
  <c r="L39" i="43"/>
  <c r="L36" i="43"/>
  <c r="L35" i="43"/>
  <c r="L34" i="43"/>
  <c r="L33" i="43"/>
  <c r="L32" i="43"/>
  <c r="L31" i="43"/>
  <c r="L29" i="43"/>
  <c r="L27" i="43"/>
  <c r="L26" i="43"/>
  <c r="L25" i="43"/>
  <c r="L24" i="43"/>
  <c r="L23" i="43"/>
  <c r="L22" i="43"/>
  <c r="L18" i="43"/>
  <c r="L17" i="43"/>
  <c r="L16" i="43"/>
  <c r="L15" i="43"/>
  <c r="L13" i="43"/>
  <c r="L11" i="43"/>
  <c r="L9" i="43"/>
  <c r="L8" i="43"/>
  <c r="K5" i="43"/>
  <c r="C5" i="43"/>
  <c r="A1" i="43"/>
  <c r="A1" i="42"/>
  <c r="K5" i="42"/>
  <c r="L9" i="42"/>
  <c r="L11" i="42"/>
  <c r="L13" i="42"/>
  <c r="L15" i="42"/>
  <c r="L16" i="42"/>
  <c r="L17" i="42"/>
  <c r="L18" i="42"/>
  <c r="L22" i="42"/>
  <c r="L23" i="42"/>
  <c r="L24" i="42"/>
  <c r="L25" i="42"/>
  <c r="L26" i="42"/>
  <c r="L27" i="42"/>
  <c r="L29" i="42"/>
  <c r="L31" i="42"/>
  <c r="L32" i="42"/>
  <c r="L33" i="42"/>
  <c r="L34" i="42"/>
  <c r="L35" i="42"/>
  <c r="L36" i="42"/>
  <c r="L39" i="42"/>
  <c r="L40" i="42"/>
  <c r="L41" i="42"/>
  <c r="L42" i="42"/>
  <c r="L43" i="42"/>
  <c r="L47" i="42"/>
  <c r="L8" i="42"/>
  <c r="C5" i="42"/>
  <c r="K5" i="41"/>
  <c r="A1" i="41"/>
  <c r="L9" i="41"/>
  <c r="L11" i="41"/>
  <c r="L13" i="41"/>
  <c r="L15" i="41"/>
  <c r="L16" i="41"/>
  <c r="L17" i="41"/>
  <c r="L18" i="41"/>
  <c r="L22" i="41"/>
  <c r="L23" i="41"/>
  <c r="L24" i="41"/>
  <c r="L25" i="41"/>
  <c r="L26" i="41"/>
  <c r="L27" i="41"/>
  <c r="L29" i="41"/>
  <c r="L31" i="41"/>
  <c r="L32" i="41"/>
  <c r="L33" i="41"/>
  <c r="L34" i="41"/>
  <c r="L35" i="41"/>
  <c r="L36" i="41"/>
  <c r="L39" i="41"/>
  <c r="L40" i="41"/>
  <c r="L41" i="41"/>
  <c r="L42" i="41"/>
  <c r="L43" i="41"/>
  <c r="L47" i="41"/>
  <c r="L8" i="41"/>
  <c r="C5" i="41"/>
  <c r="K5" i="64"/>
  <c r="A1" i="64"/>
  <c r="L9" i="64"/>
  <c r="L11" i="64"/>
  <c r="L13" i="64"/>
  <c r="L15" i="64"/>
  <c r="L16" i="64"/>
  <c r="L17" i="64"/>
  <c r="L18" i="64"/>
  <c r="L22" i="64"/>
  <c r="L23" i="64"/>
  <c r="L24" i="64"/>
  <c r="L25" i="64"/>
  <c r="L26" i="64"/>
  <c r="L27" i="64"/>
  <c r="L29" i="64"/>
  <c r="L31" i="64"/>
  <c r="L32" i="64"/>
  <c r="L33" i="64"/>
  <c r="L34" i="64"/>
  <c r="L35" i="64"/>
  <c r="L36" i="64"/>
  <c r="L39" i="64"/>
  <c r="L40" i="64"/>
  <c r="L41" i="64"/>
  <c r="L42" i="64"/>
  <c r="L43" i="64"/>
  <c r="L47" i="64"/>
  <c r="L8" i="64"/>
  <c r="C5" i="64"/>
  <c r="A1" i="67"/>
  <c r="L9" i="67"/>
  <c r="L12" i="67"/>
  <c r="L13" i="67"/>
  <c r="L14" i="67"/>
  <c r="L15" i="67"/>
  <c r="L16" i="67"/>
  <c r="L17" i="67"/>
  <c r="L18" i="67"/>
  <c r="L19" i="67"/>
  <c r="L22" i="67"/>
  <c r="L8" i="67"/>
  <c r="K5" i="67"/>
  <c r="C5" i="67"/>
  <c r="K5" i="66"/>
  <c r="A1" i="66"/>
  <c r="L9" i="66"/>
  <c r="L12" i="66"/>
  <c r="L13" i="66"/>
  <c r="L14" i="66"/>
  <c r="L18" i="66"/>
  <c r="L19" i="66"/>
  <c r="L20" i="66"/>
  <c r="L21" i="66"/>
  <c r="L22" i="66"/>
  <c r="L23" i="66"/>
  <c r="L24" i="66"/>
  <c r="L25" i="66"/>
  <c r="L28" i="66"/>
  <c r="L8" i="66"/>
  <c r="C5" i="66"/>
  <c r="K5" i="52"/>
  <c r="K5" i="69"/>
  <c r="L18" i="52"/>
  <c r="L15" i="52"/>
  <c r="L14" i="52"/>
  <c r="L13" i="52"/>
  <c r="L12" i="52"/>
  <c r="L9" i="52"/>
  <c r="L8" i="52"/>
  <c r="C5" i="52"/>
  <c r="A1" i="52"/>
  <c r="L9" i="69" l="1"/>
  <c r="L12" i="69"/>
  <c r="L13" i="69"/>
  <c r="L14" i="69"/>
  <c r="L15" i="69"/>
  <c r="L18" i="69"/>
  <c r="L8" i="69"/>
  <c r="A1" i="69"/>
  <c r="C5" i="69"/>
  <c r="L9" i="40"/>
  <c r="L11" i="40"/>
  <c r="L13" i="40"/>
  <c r="L15" i="40"/>
  <c r="L16" i="40"/>
  <c r="L17" i="40"/>
  <c r="L18" i="40"/>
  <c r="L22" i="40"/>
  <c r="L23" i="40"/>
  <c r="L24" i="40"/>
  <c r="L25" i="40"/>
  <c r="L26" i="40"/>
  <c r="L27" i="40"/>
  <c r="L29" i="40"/>
  <c r="L31" i="40"/>
  <c r="L32" i="40"/>
  <c r="L33" i="40"/>
  <c r="L34" i="40"/>
  <c r="L35" i="40"/>
  <c r="L36" i="40"/>
  <c r="L39" i="40"/>
  <c r="L40" i="40"/>
  <c r="L41" i="40"/>
  <c r="L42" i="40"/>
  <c r="L43" i="40"/>
  <c r="L44" i="40"/>
  <c r="L47" i="40"/>
  <c r="L8" i="40"/>
  <c r="A1" i="40"/>
  <c r="C5" i="40"/>
  <c r="E176" i="249"/>
  <c r="E175" i="249"/>
  <c r="E174" i="249"/>
  <c r="E173" i="249"/>
  <c r="E172" i="249"/>
  <c r="E171" i="249"/>
  <c r="E170" i="249"/>
  <c r="E169" i="249"/>
  <c r="E168" i="249"/>
  <c r="E167" i="249"/>
  <c r="E166" i="249"/>
  <c r="E165" i="249"/>
  <c r="E164" i="249"/>
  <c r="E163" i="249"/>
  <c r="E162" i="249"/>
  <c r="E161" i="249"/>
  <c r="E160" i="249"/>
  <c r="E142" i="249"/>
  <c r="E141" i="249"/>
  <c r="E140" i="249"/>
  <c r="E139" i="249"/>
  <c r="E155" i="249"/>
  <c r="E154" i="249"/>
  <c r="E153" i="249"/>
  <c r="E152" i="249"/>
  <c r="E151" i="249"/>
  <c r="E150" i="249"/>
  <c r="E149" i="249"/>
  <c r="E148" i="249"/>
  <c r="E147" i="249"/>
  <c r="E146" i="249"/>
  <c r="E145" i="249"/>
  <c r="E144" i="249"/>
  <c r="E159" i="249"/>
  <c r="E158" i="249"/>
  <c r="E157" i="249"/>
  <c r="E156" i="249"/>
  <c r="A1" i="65"/>
  <c r="L18" i="65"/>
  <c r="L19" i="65"/>
  <c r="L23" i="65"/>
  <c r="L24" i="65"/>
  <c r="L25" i="65"/>
  <c r="L26" i="65"/>
  <c r="L27" i="65"/>
  <c r="L28" i="65"/>
  <c r="L31" i="65"/>
  <c r="L32" i="65"/>
  <c r="L33" i="65"/>
  <c r="L34" i="65"/>
  <c r="L35" i="65"/>
  <c r="L38" i="65"/>
  <c r="L39" i="65"/>
  <c r="L40" i="65"/>
  <c r="L41" i="65"/>
  <c r="L42" i="65"/>
  <c r="L45" i="65"/>
  <c r="L9" i="65"/>
  <c r="L11" i="65"/>
  <c r="L12" i="65"/>
  <c r="L14" i="65"/>
  <c r="L16" i="65"/>
  <c r="L17" i="65"/>
  <c r="L8" i="65"/>
  <c r="A1" i="54"/>
  <c r="L9" i="54"/>
  <c r="L11" i="54"/>
  <c r="L13" i="54"/>
  <c r="L14" i="54"/>
  <c r="L18" i="54"/>
  <c r="L19" i="54"/>
  <c r="L20" i="54"/>
  <c r="L21" i="54"/>
  <c r="L24" i="54"/>
  <c r="L25" i="54"/>
  <c r="L26" i="54"/>
  <c r="L27" i="54"/>
  <c r="L28" i="54"/>
  <c r="L29" i="54"/>
  <c r="L8" i="54"/>
  <c r="E131" i="249"/>
  <c r="E132" i="249"/>
  <c r="E133" i="249"/>
  <c r="E134" i="249"/>
  <c r="E135" i="249"/>
  <c r="E136" i="249"/>
  <c r="E137" i="249"/>
  <c r="E138" i="249"/>
  <c r="E143" i="249"/>
  <c r="E177" i="249"/>
  <c r="E178" i="249"/>
  <c r="E179" i="249"/>
  <c r="E189" i="249"/>
  <c r="E190" i="249"/>
  <c r="E191" i="249"/>
  <c r="L17" i="66" l="1"/>
  <c r="L22" i="65"/>
  <c r="L21" i="40"/>
  <c r="L44" i="65"/>
  <c r="L21" i="43"/>
  <c r="L21" i="41"/>
  <c r="L17" i="48"/>
  <c r="L21" i="64"/>
  <c r="L22" i="46"/>
  <c r="L22" i="47"/>
  <c r="L22" i="45"/>
  <c r="L21" i="44"/>
  <c r="L21" i="42"/>
  <c r="L43" i="65"/>
  <c r="L20" i="40"/>
  <c r="L16" i="54"/>
  <c r="L45" i="40"/>
  <c r="L43" i="45"/>
  <c r="L45" i="43"/>
  <c r="L43" i="46"/>
  <c r="L45" i="42"/>
  <c r="L20" i="67"/>
  <c r="L45" i="41"/>
  <c r="L26" i="66"/>
  <c r="L43" i="47"/>
  <c r="L45" i="64"/>
  <c r="L26" i="48"/>
  <c r="L45" i="44"/>
  <c r="L16" i="52"/>
  <c r="L46" i="40"/>
  <c r="L16" i="69"/>
  <c r="L19" i="42"/>
  <c r="L19" i="41"/>
  <c r="L20" i="47"/>
  <c r="L19" i="64"/>
  <c r="L15" i="48"/>
  <c r="L19" i="44"/>
  <c r="L20" i="45"/>
  <c r="L19" i="43"/>
  <c r="L15" i="66"/>
  <c r="L20" i="46"/>
  <c r="L21" i="47"/>
  <c r="L16" i="48"/>
  <c r="L20" i="44"/>
  <c r="L20" i="42"/>
  <c r="L21" i="45"/>
  <c r="L20" i="43"/>
  <c r="L20" i="41"/>
  <c r="L21" i="46"/>
  <c r="L20" i="64"/>
  <c r="L16" i="66"/>
  <c r="L19" i="40"/>
  <c r="L44" i="47"/>
  <c r="L27" i="48"/>
  <c r="L46" i="44"/>
  <c r="L46" i="42"/>
  <c r="L21" i="67"/>
  <c r="L46" i="64"/>
  <c r="L44" i="45"/>
  <c r="L46" i="43"/>
  <c r="L46" i="41"/>
  <c r="L27" i="66"/>
  <c r="L17" i="52"/>
  <c r="L44" i="46"/>
  <c r="L17" i="69"/>
  <c r="L20" i="65"/>
  <c r="L21" i="65"/>
  <c r="L9" i="53" l="1"/>
  <c r="L11" i="53"/>
  <c r="L13" i="53"/>
  <c r="L14" i="53"/>
  <c r="L16" i="53"/>
  <c r="L18" i="53"/>
  <c r="L19" i="53"/>
  <c r="L20" i="53"/>
  <c r="L21" i="53"/>
  <c r="L24" i="53"/>
  <c r="L25" i="53"/>
  <c r="L26" i="53"/>
  <c r="L27" i="53"/>
  <c r="L28" i="53"/>
  <c r="L29" i="53"/>
  <c r="L8" i="53"/>
  <c r="K5" i="53"/>
  <c r="A1" i="53"/>
  <c r="K5" i="201" l="1"/>
  <c r="K5" i="200"/>
  <c r="K5" i="199"/>
  <c r="K5" i="198"/>
  <c r="K5" i="197"/>
  <c r="A1" i="197"/>
  <c r="K5" i="196"/>
  <c r="K5" i="68"/>
  <c r="K5" i="51"/>
  <c r="K5" i="49"/>
  <c r="K5" i="154"/>
  <c r="K5" i="205"/>
  <c r="K5" i="206"/>
  <c r="K5" i="208"/>
  <c r="K5" i="56"/>
  <c r="K5" i="27"/>
  <c r="K5" i="29"/>
  <c r="K5" i="57"/>
  <c r="K5" i="33"/>
  <c r="K5" i="60"/>
  <c r="K5" i="36"/>
  <c r="J5" i="37"/>
  <c r="K5" i="38"/>
  <c r="A1" i="206"/>
  <c r="L9" i="205"/>
  <c r="L14" i="205"/>
  <c r="L16" i="205"/>
  <c r="L17" i="205"/>
  <c r="L18" i="205"/>
  <c r="L19" i="205"/>
  <c r="L20" i="205"/>
  <c r="L8" i="205"/>
  <c r="A1" i="208"/>
  <c r="L9" i="208"/>
  <c r="L11" i="208"/>
  <c r="L13" i="208"/>
  <c r="L8" i="208"/>
  <c r="A1" i="154"/>
  <c r="L9" i="154"/>
  <c r="L12" i="154"/>
  <c r="L13" i="154"/>
  <c r="L14" i="154"/>
  <c r="L15" i="154"/>
  <c r="L16" i="154"/>
  <c r="L17" i="154"/>
  <c r="L18" i="154"/>
  <c r="L19" i="154"/>
  <c r="L8" i="154"/>
  <c r="A1" i="201"/>
  <c r="A1" i="200"/>
  <c r="A1" i="199"/>
  <c r="A1" i="198"/>
  <c r="A1" i="196"/>
  <c r="A1" i="49"/>
  <c r="A1" i="51"/>
  <c r="A1" i="68"/>
  <c r="A1" i="38"/>
  <c r="A1" i="37"/>
  <c r="A1" i="60"/>
  <c r="A1" i="36"/>
  <c r="A1" i="29"/>
  <c r="A1" i="27"/>
  <c r="A1" i="56"/>
  <c r="A1" i="57"/>
  <c r="A1" i="33"/>
  <c r="L9" i="201"/>
  <c r="L12" i="201"/>
  <c r="L13" i="201"/>
  <c r="L14" i="201"/>
  <c r="L15" i="201"/>
  <c r="L16" i="201"/>
  <c r="L20" i="201"/>
  <c r="L21" i="201"/>
  <c r="L22" i="201"/>
  <c r="L23" i="201"/>
  <c r="L24" i="201"/>
  <c r="L25" i="201"/>
  <c r="L28" i="201"/>
  <c r="L30" i="201"/>
  <c r="L31" i="201"/>
  <c r="L32" i="201"/>
  <c r="L33" i="201"/>
  <c r="L34" i="201"/>
  <c r="L37" i="201"/>
  <c r="L38" i="201"/>
  <c r="L39" i="201"/>
  <c r="L40" i="201"/>
  <c r="L41" i="201"/>
  <c r="L42" i="201"/>
  <c r="L8" i="201"/>
  <c r="L9" i="200"/>
  <c r="L12" i="200"/>
  <c r="L13" i="200"/>
  <c r="L14" i="200"/>
  <c r="L15" i="200"/>
  <c r="L16" i="200"/>
  <c r="L20" i="200"/>
  <c r="L21" i="200"/>
  <c r="L22" i="200"/>
  <c r="L23" i="200"/>
  <c r="L24" i="200"/>
  <c r="L25" i="200"/>
  <c r="L28" i="200"/>
  <c r="L30" i="200"/>
  <c r="L31" i="200"/>
  <c r="L32" i="200"/>
  <c r="L33" i="200"/>
  <c r="L34" i="200"/>
  <c r="L37" i="200"/>
  <c r="L38" i="200"/>
  <c r="L39" i="200"/>
  <c r="L40" i="200"/>
  <c r="L41" i="200"/>
  <c r="L42" i="200"/>
  <c r="L8" i="200"/>
  <c r="L9" i="198"/>
  <c r="L12" i="198"/>
  <c r="L13" i="198"/>
  <c r="L14" i="198"/>
  <c r="L18" i="198"/>
  <c r="L19" i="198"/>
  <c r="L20" i="198"/>
  <c r="L21" i="198"/>
  <c r="L22" i="198"/>
  <c r="L23" i="198"/>
  <c r="L26" i="198"/>
  <c r="L28" i="198"/>
  <c r="L29" i="198"/>
  <c r="L30" i="198"/>
  <c r="L31" i="198"/>
  <c r="L32" i="198"/>
  <c r="L35" i="198"/>
  <c r="L36" i="198"/>
  <c r="L37" i="198"/>
  <c r="L38" i="198"/>
  <c r="L39" i="198"/>
  <c r="L40" i="198"/>
  <c r="L8" i="198"/>
  <c r="L22" i="197"/>
  <c r="L23" i="197"/>
  <c r="L26" i="197"/>
  <c r="L28" i="197"/>
  <c r="L29" i="197"/>
  <c r="L30" i="197"/>
  <c r="L31" i="197"/>
  <c r="L32" i="197"/>
  <c r="L35" i="197"/>
  <c r="L36" i="197"/>
  <c r="L37" i="197"/>
  <c r="L38" i="197"/>
  <c r="L39" i="197"/>
  <c r="L40" i="197"/>
  <c r="L9" i="197"/>
  <c r="L12" i="197"/>
  <c r="L13" i="197"/>
  <c r="L14" i="197"/>
  <c r="L18" i="197"/>
  <c r="L19" i="197"/>
  <c r="L20" i="197"/>
  <c r="L21" i="197"/>
  <c r="L8" i="197"/>
  <c r="E61" i="249"/>
  <c r="E60" i="249"/>
  <c r="L9" i="199"/>
  <c r="L12" i="199"/>
  <c r="L13" i="199"/>
  <c r="L14" i="199"/>
  <c r="L15" i="199"/>
  <c r="L16" i="199"/>
  <c r="L20" i="199"/>
  <c r="L21" i="199"/>
  <c r="L22" i="199"/>
  <c r="L23" i="199"/>
  <c r="L24" i="199"/>
  <c r="L25" i="199"/>
  <c r="L28" i="199"/>
  <c r="L30" i="199"/>
  <c r="L31" i="199"/>
  <c r="L32" i="199"/>
  <c r="L33" i="199"/>
  <c r="L34" i="199"/>
  <c r="L37" i="199"/>
  <c r="L38" i="199"/>
  <c r="L39" i="199"/>
  <c r="L40" i="199"/>
  <c r="L41" i="199"/>
  <c r="L42" i="199"/>
  <c r="L8" i="199"/>
  <c r="L29" i="201" l="1"/>
  <c r="L29" i="199"/>
  <c r="L27" i="198"/>
  <c r="L29" i="200"/>
  <c r="L27" i="197"/>
  <c r="L9" i="196" l="1"/>
  <c r="L12" i="196"/>
  <c r="L13" i="196"/>
  <c r="L14" i="196"/>
  <c r="L18" i="196"/>
  <c r="L19" i="196"/>
  <c r="L20" i="196"/>
  <c r="L21" i="196"/>
  <c r="L22" i="196"/>
  <c r="L23" i="196"/>
  <c r="L26" i="196"/>
  <c r="L27" i="196"/>
  <c r="L28" i="196"/>
  <c r="L29" i="196"/>
  <c r="L30" i="196"/>
  <c r="L31" i="196"/>
  <c r="L32" i="196"/>
  <c r="L35" i="196"/>
  <c r="L36" i="196"/>
  <c r="L37" i="196"/>
  <c r="L38" i="196"/>
  <c r="L39" i="196"/>
  <c r="L40" i="196"/>
  <c r="L8" i="196"/>
  <c r="L9" i="38"/>
  <c r="L11" i="38"/>
  <c r="L12" i="38"/>
  <c r="L13" i="38"/>
  <c r="L15" i="38"/>
  <c r="L16" i="38"/>
  <c r="L17" i="38"/>
  <c r="L18" i="38"/>
  <c r="L19" i="38"/>
  <c r="L20" i="38"/>
  <c r="L22" i="38"/>
  <c r="L23" i="38"/>
  <c r="L24" i="38"/>
  <c r="L25" i="38"/>
  <c r="L26" i="38"/>
  <c r="L27" i="38"/>
  <c r="L8" i="38"/>
  <c r="K9" i="37"/>
  <c r="K10" i="37"/>
  <c r="K12" i="37"/>
  <c r="K13" i="37"/>
  <c r="K14" i="37"/>
  <c r="K15" i="37"/>
  <c r="K16" i="37"/>
  <c r="K17" i="37"/>
  <c r="K18" i="37"/>
  <c r="K19" i="37"/>
  <c r="K20" i="37"/>
  <c r="K21" i="37"/>
  <c r="K8" i="37"/>
  <c r="L9" i="36"/>
  <c r="L11" i="36"/>
  <c r="L12" i="36"/>
  <c r="L13" i="36"/>
  <c r="L15" i="36"/>
  <c r="L16" i="36"/>
  <c r="L17" i="36"/>
  <c r="L18" i="36"/>
  <c r="L19" i="36"/>
  <c r="L20" i="36"/>
  <c r="L22" i="36"/>
  <c r="L23" i="36"/>
  <c r="L24" i="36"/>
  <c r="L25" i="36"/>
  <c r="L26" i="36"/>
  <c r="L27" i="36"/>
  <c r="L8" i="36"/>
  <c r="L9" i="60"/>
  <c r="L11" i="60"/>
  <c r="L12" i="60"/>
  <c r="L13" i="60"/>
  <c r="L15" i="60"/>
  <c r="L16" i="60"/>
  <c r="L17" i="60"/>
  <c r="L18" i="60"/>
  <c r="L19" i="60"/>
  <c r="L20" i="60"/>
  <c r="L22" i="60"/>
  <c r="L23" i="60"/>
  <c r="L24" i="60"/>
  <c r="L25" i="60"/>
  <c r="L26" i="60"/>
  <c r="L27" i="60"/>
  <c r="L8" i="60"/>
  <c r="L9" i="49"/>
  <c r="L13" i="49"/>
  <c r="L14" i="49"/>
  <c r="L15" i="49"/>
  <c r="L16" i="49"/>
  <c r="L17" i="49"/>
  <c r="L8" i="49"/>
  <c r="L9" i="33"/>
  <c r="L13" i="33"/>
  <c r="L14" i="33"/>
  <c r="L15" i="33"/>
  <c r="L16" i="33"/>
  <c r="L17" i="33"/>
  <c r="L8" i="33"/>
  <c r="L9" i="51"/>
  <c r="L12" i="51"/>
  <c r="L14" i="51"/>
  <c r="L17" i="51"/>
  <c r="L18" i="51"/>
  <c r="L19" i="51"/>
  <c r="L8" i="51"/>
  <c r="L9" i="29"/>
  <c r="L11" i="29"/>
  <c r="L14" i="29"/>
  <c r="L17" i="29"/>
  <c r="L18" i="29"/>
  <c r="L19" i="29"/>
  <c r="L20" i="29"/>
  <c r="L21" i="29"/>
  <c r="L22" i="29"/>
  <c r="L23" i="29"/>
  <c r="L8" i="29"/>
  <c r="L9" i="27"/>
  <c r="L11" i="27"/>
  <c r="L14" i="27"/>
  <c r="L17" i="27"/>
  <c r="L18" i="27"/>
  <c r="L19" i="27"/>
  <c r="L20" i="27"/>
  <c r="L21" i="27"/>
  <c r="L22" i="27"/>
  <c r="L23" i="27"/>
  <c r="L8" i="27"/>
  <c r="L13" i="57" l="1"/>
  <c r="L14" i="57"/>
  <c r="L15" i="57"/>
  <c r="L16" i="57"/>
  <c r="L17" i="57"/>
  <c r="L9" i="57"/>
  <c r="L8" i="57"/>
  <c r="L12" i="56"/>
  <c r="L13" i="56"/>
  <c r="L14" i="56"/>
  <c r="L15" i="56"/>
  <c r="L9" i="56"/>
  <c r="L8" i="56"/>
  <c r="L16" i="68"/>
  <c r="L17" i="68"/>
  <c r="L18" i="68"/>
  <c r="L11" i="68"/>
  <c r="L15" i="68"/>
  <c r="E130" i="249"/>
  <c r="E129" i="249"/>
  <c r="E128" i="249"/>
  <c r="E127" i="249"/>
  <c r="E126" i="249"/>
  <c r="E125" i="249"/>
  <c r="E124" i="249"/>
  <c r="E123" i="249"/>
  <c r="E122" i="249"/>
  <c r="E121" i="249"/>
  <c r="E120" i="249"/>
  <c r="E119" i="249"/>
  <c r="E118" i="249"/>
  <c r="E117" i="249"/>
  <c r="E116" i="249"/>
  <c r="E115" i="249"/>
  <c r="E114" i="249"/>
  <c r="E113" i="249"/>
  <c r="E112" i="249"/>
  <c r="E111" i="249"/>
  <c r="E110" i="249"/>
  <c r="E109" i="249"/>
  <c r="E108" i="249"/>
  <c r="E107" i="249"/>
  <c r="E106" i="249"/>
  <c r="E105" i="249"/>
  <c r="E104" i="249"/>
  <c r="E103" i="249"/>
  <c r="E102" i="249"/>
  <c r="E55" i="249"/>
  <c r="E54" i="249"/>
  <c r="E90" i="249"/>
  <c r="E89" i="249"/>
  <c r="E88" i="249"/>
  <c r="E87" i="249"/>
  <c r="E86" i="249"/>
  <c r="E85" i="249"/>
  <c r="E84" i="249"/>
  <c r="E83" i="249"/>
  <c r="E82" i="249"/>
  <c r="E81" i="249"/>
  <c r="E80" i="249"/>
  <c r="E79" i="249"/>
  <c r="E78" i="249"/>
  <c r="E45" i="249"/>
  <c r="E44" i="249"/>
  <c r="E43" i="249"/>
  <c r="E42" i="249"/>
  <c r="E41" i="249"/>
  <c r="E40" i="249"/>
  <c r="E39" i="249"/>
  <c r="E38" i="249"/>
  <c r="E37" i="249"/>
  <c r="E36" i="249"/>
  <c r="E35" i="249"/>
  <c r="E34" i="249"/>
  <c r="E33" i="249"/>
  <c r="E32" i="249"/>
  <c r="E31" i="249"/>
  <c r="E30" i="249"/>
  <c r="E29" i="249"/>
  <c r="E28" i="249"/>
  <c r="E27" i="249"/>
  <c r="E26" i="249"/>
  <c r="E25" i="249"/>
  <c r="E63" i="249"/>
  <c r="E62" i="249"/>
  <c r="E9" i="249"/>
  <c r="E8" i="249"/>
  <c r="E7" i="249"/>
  <c r="E6" i="249"/>
  <c r="E5" i="249"/>
  <c r="E17" i="249"/>
  <c r="E16" i="249"/>
  <c r="E15" i="249"/>
  <c r="E14" i="249"/>
  <c r="L9" i="68"/>
  <c r="L8" i="68"/>
  <c r="L12" i="68" l="1"/>
  <c r="L11" i="206"/>
  <c r="L22" i="206"/>
  <c r="L10" i="206"/>
  <c r="L13" i="206"/>
  <c r="L12" i="49"/>
  <c r="K11" i="37"/>
  <c r="L10" i="38"/>
  <c r="L10" i="60"/>
  <c r="L10" i="36"/>
  <c r="L16" i="198"/>
  <c r="L18" i="200"/>
  <c r="L18" i="199"/>
  <c r="L18" i="201"/>
  <c r="L16" i="197"/>
  <c r="L16" i="196"/>
  <c r="L10" i="208"/>
  <c r="L11" i="205"/>
  <c r="L12" i="205"/>
  <c r="L27" i="199"/>
  <c r="L27" i="200"/>
  <c r="L25" i="198"/>
  <c r="L25" i="197"/>
  <c r="L27" i="201"/>
  <c r="L25" i="196"/>
  <c r="L15" i="205"/>
  <c r="L10" i="205"/>
  <c r="L10" i="49"/>
  <c r="L10" i="33"/>
  <c r="L12" i="208"/>
  <c r="L11" i="154"/>
  <c r="L10" i="154"/>
  <c r="L11" i="33"/>
  <c r="L11" i="49"/>
  <c r="L10" i="199"/>
  <c r="L10" i="200"/>
  <c r="L10" i="201"/>
  <c r="L10" i="198"/>
  <c r="L10" i="197"/>
  <c r="L10" i="196"/>
  <c r="L12" i="33"/>
  <c r="L13" i="205"/>
  <c r="L21" i="38"/>
  <c r="L21" i="60"/>
  <c r="L21" i="36"/>
  <c r="L14" i="38"/>
  <c r="L14" i="60"/>
  <c r="L14" i="36"/>
  <c r="L26" i="199"/>
  <c r="L26" i="201"/>
  <c r="L26" i="200"/>
  <c r="L24" i="198"/>
  <c r="L24" i="197"/>
  <c r="L24" i="196"/>
  <c r="L15" i="51"/>
  <c r="L10" i="27"/>
  <c r="L10" i="29"/>
  <c r="L10" i="57"/>
  <c r="L14" i="68"/>
  <c r="L12" i="57"/>
  <c r="L13" i="27"/>
  <c r="L13" i="29"/>
  <c r="L15" i="27"/>
  <c r="L15" i="29"/>
  <c r="L16" i="51"/>
  <c r="L13" i="68"/>
  <c r="L11" i="57"/>
  <c r="L13" i="51"/>
  <c r="L12" i="27"/>
  <c r="L12" i="29"/>
  <c r="L11" i="56"/>
  <c r="L10" i="56"/>
  <c r="L10" i="68"/>
  <c r="E13" i="249" l="1"/>
  <c r="E12" i="249"/>
  <c r="E11" i="249"/>
  <c r="E4" i="249"/>
  <c r="E10" i="249"/>
  <c r="E18" i="249"/>
  <c r="E19" i="249"/>
  <c r="E20" i="249"/>
  <c r="E21" i="249"/>
  <c r="E22" i="249"/>
  <c r="E3" i="249"/>
  <c r="E70" i="249"/>
  <c r="E71" i="249"/>
  <c r="E72" i="249"/>
  <c r="E73" i="249"/>
  <c r="E74" i="249"/>
  <c r="E75" i="249"/>
  <c r="E76" i="249"/>
  <c r="E77" i="249"/>
  <c r="E69" i="249"/>
  <c r="L19" i="216" s="1"/>
  <c r="E68" i="249"/>
  <c r="E67" i="249"/>
  <c r="E66" i="249"/>
  <c r="E65" i="249"/>
  <c r="E64" i="249"/>
  <c r="L10" i="45" l="1"/>
  <c r="L10" i="48"/>
  <c r="L10" i="46"/>
  <c r="L10" i="44"/>
  <c r="L10" i="42"/>
  <c r="L10" i="66"/>
  <c r="L10" i="52"/>
  <c r="L10" i="47"/>
  <c r="L10" i="43"/>
  <c r="L10" i="41"/>
  <c r="L10" i="67"/>
  <c r="L10" i="64"/>
  <c r="L10" i="69"/>
  <c r="L10" i="40"/>
  <c r="L13" i="45"/>
  <c r="L12" i="43"/>
  <c r="L12" i="41"/>
  <c r="L13" i="46"/>
  <c r="L12" i="64"/>
  <c r="L11" i="67"/>
  <c r="L13" i="47"/>
  <c r="L11" i="52"/>
  <c r="L11" i="48"/>
  <c r="L12" i="44"/>
  <c r="L12" i="42"/>
  <c r="L11" i="66"/>
  <c r="L11" i="69"/>
  <c r="L12" i="40"/>
  <c r="L37" i="45"/>
  <c r="L37" i="46"/>
  <c r="L38" i="44"/>
  <c r="L38" i="42"/>
  <c r="L38" i="43"/>
  <c r="L38" i="41"/>
  <c r="L38" i="64"/>
  <c r="L37" i="47"/>
  <c r="L38" i="40"/>
  <c r="L44" i="42"/>
  <c r="L44" i="41"/>
  <c r="L44" i="64"/>
  <c r="L15" i="54"/>
  <c r="L15" i="53"/>
  <c r="L10" i="54"/>
  <c r="L10" i="65"/>
  <c r="L10" i="53"/>
  <c r="L13" i="65"/>
  <c r="L12" i="54"/>
  <c r="L12" i="53"/>
  <c r="L23" i="54"/>
  <c r="L37" i="65"/>
  <c r="L23" i="53"/>
  <c r="L11" i="197"/>
  <c r="L11" i="201"/>
  <c r="L11" i="198"/>
  <c r="L11" i="199"/>
  <c r="L11" i="200"/>
  <c r="L11" i="196"/>
  <c r="L19" i="201"/>
  <c r="L17" i="197"/>
  <c r="L19" i="199"/>
  <c r="L19" i="200"/>
  <c r="L17" i="198"/>
  <c r="L17" i="196"/>
  <c r="L36" i="199"/>
  <c r="L36" i="200"/>
  <c r="L34" i="198"/>
  <c r="L34" i="197"/>
  <c r="L36" i="201"/>
  <c r="L34" i="196"/>
  <c r="L10" i="62"/>
  <c r="L10" i="51"/>
  <c r="L11" i="51"/>
  <c r="L16" i="27"/>
  <c r="L16" i="29"/>
  <c r="L32" i="217"/>
  <c r="L31" i="217"/>
  <c r="L30" i="217"/>
  <c r="L29" i="217"/>
  <c r="L28" i="217"/>
  <c r="L27" i="217"/>
  <c r="L26" i="217"/>
  <c r="L25" i="217"/>
  <c r="L24" i="217"/>
  <c r="L23" i="217"/>
  <c r="L22" i="217"/>
  <c r="L21" i="217"/>
  <c r="L20" i="217"/>
  <c r="L19" i="217"/>
  <c r="L18" i="217"/>
  <c r="L15" i="217"/>
  <c r="L14" i="217"/>
  <c r="L13" i="217"/>
  <c r="L12" i="217"/>
  <c r="L11" i="217"/>
  <c r="L10" i="217"/>
  <c r="L9" i="217"/>
  <c r="L8" i="217"/>
  <c r="L9" i="216"/>
  <c r="L10" i="216"/>
  <c r="L11" i="216"/>
  <c r="L12" i="216"/>
  <c r="L13" i="216"/>
  <c r="L14" i="216"/>
  <c r="L15" i="216"/>
  <c r="L18" i="216"/>
  <c r="L20" i="216"/>
  <c r="L21" i="216"/>
  <c r="L22" i="216"/>
  <c r="L23" i="216"/>
  <c r="L24" i="216"/>
  <c r="L25" i="216"/>
  <c r="L26" i="216"/>
  <c r="L27" i="216"/>
  <c r="L28" i="216"/>
  <c r="L29" i="216"/>
  <c r="L30" i="216"/>
  <c r="L31" i="216"/>
  <c r="L32" i="216"/>
  <c r="L8" i="216"/>
  <c r="L9" i="215"/>
  <c r="L10" i="215"/>
  <c r="L11" i="215"/>
  <c r="L12" i="215"/>
  <c r="L13" i="215"/>
  <c r="L16" i="215"/>
  <c r="L17" i="215"/>
  <c r="L18" i="215"/>
  <c r="L19" i="215"/>
  <c r="L20" i="215"/>
  <c r="L21" i="215"/>
  <c r="L22" i="215"/>
  <c r="L8" i="215"/>
  <c r="L41" i="63"/>
  <c r="L40" i="63"/>
  <c r="L39" i="63"/>
  <c r="L38" i="63"/>
  <c r="L37" i="63"/>
  <c r="L36" i="63"/>
  <c r="L35" i="63"/>
  <c r="L34" i="63"/>
  <c r="L33" i="63"/>
  <c r="L31" i="63"/>
  <c r="L30" i="63"/>
  <c r="L29" i="63"/>
  <c r="L28" i="63"/>
  <c r="L27" i="63"/>
  <c r="L26" i="63"/>
  <c r="L24" i="63"/>
  <c r="L23" i="63"/>
  <c r="L22" i="63"/>
  <c r="L21" i="63"/>
  <c r="L20" i="63"/>
  <c r="L19" i="63"/>
  <c r="L18" i="63"/>
  <c r="L15" i="63"/>
  <c r="L14" i="63"/>
  <c r="L13" i="63"/>
  <c r="L12" i="63"/>
  <c r="L11" i="63"/>
  <c r="L10" i="63"/>
  <c r="L9" i="63"/>
  <c r="L8" i="63"/>
  <c r="L41" i="14"/>
  <c r="L40" i="14"/>
  <c r="L39" i="14"/>
  <c r="L38" i="14"/>
  <c r="L37" i="14"/>
  <c r="L36" i="14"/>
  <c r="L35" i="14"/>
  <c r="L34" i="14"/>
  <c r="L33" i="14"/>
  <c r="L32" i="14"/>
  <c r="L30" i="14"/>
  <c r="L29" i="14"/>
  <c r="L28" i="14"/>
  <c r="L27" i="14"/>
  <c r="L26" i="14"/>
  <c r="L25" i="14"/>
  <c r="L23" i="14"/>
  <c r="L22" i="14"/>
  <c r="L21" i="14"/>
  <c r="L20" i="14"/>
  <c r="L19" i="14"/>
  <c r="L18" i="14"/>
  <c r="L17" i="14"/>
  <c r="L14" i="14"/>
  <c r="L13" i="14"/>
  <c r="L12" i="14"/>
  <c r="L11" i="14"/>
  <c r="L10" i="14"/>
  <c r="L9" i="14"/>
  <c r="L8" i="14"/>
  <c r="L41" i="13"/>
  <c r="L40" i="13"/>
  <c r="L39" i="13"/>
  <c r="L38" i="13"/>
  <c r="L37" i="13"/>
  <c r="L36" i="13"/>
  <c r="L35" i="13"/>
  <c r="L34" i="13"/>
  <c r="L33" i="13"/>
  <c r="L32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4" i="13"/>
  <c r="L13" i="13"/>
  <c r="L12" i="13"/>
  <c r="L11" i="13"/>
  <c r="L10" i="13"/>
  <c r="L9" i="13"/>
  <c r="L8" i="13"/>
  <c r="L41" i="12"/>
  <c r="L40" i="12"/>
  <c r="L39" i="12"/>
  <c r="L38" i="12"/>
  <c r="L37" i="12"/>
  <c r="L36" i="12"/>
  <c r="L35" i="12"/>
  <c r="L34" i="12"/>
  <c r="L33" i="12"/>
  <c r="L32" i="12"/>
  <c r="L30" i="12"/>
  <c r="L29" i="12"/>
  <c r="L28" i="12"/>
  <c r="L27" i="12"/>
  <c r="L26" i="12"/>
  <c r="L25" i="12"/>
  <c r="L23" i="12"/>
  <c r="L22" i="12"/>
  <c r="L21" i="12"/>
  <c r="L20" i="12"/>
  <c r="L19" i="12"/>
  <c r="L18" i="12"/>
  <c r="L17" i="12"/>
  <c r="L14" i="12"/>
  <c r="L13" i="12"/>
  <c r="L12" i="12"/>
  <c r="L11" i="12"/>
  <c r="L10" i="12"/>
  <c r="L9" i="12"/>
  <c r="L8" i="12"/>
  <c r="L41" i="11"/>
  <c r="L40" i="11"/>
  <c r="L39" i="11"/>
  <c r="L38" i="11"/>
  <c r="L37" i="11"/>
  <c r="L36" i="11"/>
  <c r="L35" i="11"/>
  <c r="L34" i="11"/>
  <c r="L33" i="11"/>
  <c r="L32" i="11"/>
  <c r="L30" i="11"/>
  <c r="L29" i="11"/>
  <c r="L28" i="11"/>
  <c r="L27" i="11"/>
  <c r="L26" i="11"/>
  <c r="L25" i="11"/>
  <c r="L23" i="11"/>
  <c r="L22" i="11"/>
  <c r="L21" i="11"/>
  <c r="L20" i="11"/>
  <c r="L19" i="11"/>
  <c r="L18" i="11"/>
  <c r="L17" i="11"/>
  <c r="L14" i="11"/>
  <c r="L13" i="11"/>
  <c r="L12" i="11"/>
  <c r="L11" i="11"/>
  <c r="L10" i="11"/>
  <c r="L9" i="11"/>
  <c r="L8" i="11"/>
  <c r="L41" i="10"/>
  <c r="L40" i="10"/>
  <c r="L39" i="10"/>
  <c r="L38" i="10"/>
  <c r="L37" i="10"/>
  <c r="L36" i="10"/>
  <c r="L35" i="10"/>
  <c r="L34" i="10"/>
  <c r="L33" i="10"/>
  <c r="L32" i="10"/>
  <c r="L30" i="10"/>
  <c r="L29" i="10"/>
  <c r="L28" i="10"/>
  <c r="L27" i="10"/>
  <c r="L26" i="10"/>
  <c r="L25" i="10"/>
  <c r="L23" i="10"/>
  <c r="L22" i="10"/>
  <c r="L21" i="10"/>
  <c r="L20" i="10"/>
  <c r="L19" i="10"/>
  <c r="L18" i="10"/>
  <c r="L17" i="10"/>
  <c r="L14" i="10"/>
  <c r="L13" i="10"/>
  <c r="L12" i="10"/>
  <c r="L11" i="10"/>
  <c r="L10" i="10"/>
  <c r="L9" i="10"/>
  <c r="L8" i="10"/>
  <c r="L41" i="9"/>
  <c r="L40" i="9"/>
  <c r="L39" i="9"/>
  <c r="L38" i="9"/>
  <c r="L37" i="9"/>
  <c r="L36" i="9"/>
  <c r="L35" i="9"/>
  <c r="L34" i="9"/>
  <c r="L33" i="9"/>
  <c r="L32" i="9"/>
  <c r="L30" i="9"/>
  <c r="L29" i="9"/>
  <c r="L28" i="9"/>
  <c r="L27" i="9"/>
  <c r="L26" i="9"/>
  <c r="L25" i="9"/>
  <c r="L23" i="9"/>
  <c r="L22" i="9"/>
  <c r="L21" i="9"/>
  <c r="L20" i="9"/>
  <c r="L19" i="9"/>
  <c r="L18" i="9"/>
  <c r="L17" i="9"/>
  <c r="L14" i="9"/>
  <c r="L13" i="9"/>
  <c r="L12" i="9"/>
  <c r="L11" i="9"/>
  <c r="L10" i="9"/>
  <c r="L9" i="9"/>
  <c r="L8" i="9"/>
  <c r="L41" i="8"/>
  <c r="L40" i="8"/>
  <c r="L39" i="8"/>
  <c r="L38" i="8"/>
  <c r="L37" i="8"/>
  <c r="L36" i="8"/>
  <c r="L35" i="8"/>
  <c r="L34" i="8"/>
  <c r="L33" i="8"/>
  <c r="L32" i="8"/>
  <c r="L30" i="8"/>
  <c r="L29" i="8"/>
  <c r="L28" i="8"/>
  <c r="L27" i="8"/>
  <c r="L26" i="8"/>
  <c r="L25" i="8"/>
  <c r="L23" i="8"/>
  <c r="L22" i="8"/>
  <c r="L21" i="8"/>
  <c r="L20" i="8"/>
  <c r="L19" i="8"/>
  <c r="L18" i="8"/>
  <c r="L17" i="8"/>
  <c r="L14" i="8"/>
  <c r="L13" i="8"/>
  <c r="L12" i="8"/>
  <c r="L11" i="8"/>
  <c r="L10" i="8"/>
  <c r="L9" i="8"/>
  <c r="L8" i="8"/>
  <c r="L17" i="62"/>
  <c r="L18" i="62"/>
  <c r="L19" i="62"/>
  <c r="L20" i="62"/>
  <c r="L21" i="62"/>
  <c r="L22" i="62"/>
  <c r="L23" i="62"/>
  <c r="L25" i="62"/>
  <c r="L26" i="62"/>
  <c r="L27" i="62"/>
  <c r="L28" i="62"/>
  <c r="L29" i="62"/>
  <c r="L30" i="62"/>
  <c r="L32" i="62"/>
  <c r="L33" i="62"/>
  <c r="L34" i="62"/>
  <c r="L35" i="62"/>
  <c r="L36" i="62"/>
  <c r="L37" i="62"/>
  <c r="L38" i="62"/>
  <c r="L39" i="62"/>
  <c r="L40" i="62"/>
  <c r="L41" i="62"/>
  <c r="L9" i="62"/>
  <c r="L11" i="62"/>
  <c r="L12" i="62"/>
  <c r="L13" i="62"/>
  <c r="L14" i="62"/>
  <c r="L8" i="62"/>
  <c r="E23" i="249" l="1"/>
  <c r="E24" i="249"/>
  <c r="E46" i="249"/>
  <c r="E47" i="249"/>
  <c r="E48" i="249"/>
  <c r="E49" i="249"/>
  <c r="E50" i="249"/>
  <c r="E51" i="249"/>
  <c r="E52" i="249"/>
  <c r="E53" i="249"/>
  <c r="E56" i="249"/>
  <c r="E57" i="249"/>
  <c r="L30" i="47" l="1"/>
  <c r="L30" i="43"/>
  <c r="L30" i="41"/>
  <c r="L30" i="64"/>
  <c r="L30" i="45"/>
  <c r="L30" i="46"/>
  <c r="L30" i="44"/>
  <c r="L30" i="42"/>
  <c r="L30" i="40"/>
  <c r="L29" i="47"/>
  <c r="L28" i="44"/>
  <c r="L28" i="42"/>
  <c r="L29" i="45"/>
  <c r="L28" i="43"/>
  <c r="L28" i="41"/>
  <c r="L29" i="46"/>
  <c r="L28" i="64"/>
  <c r="L28" i="40"/>
  <c r="L36" i="47"/>
  <c r="L37" i="42"/>
  <c r="L37" i="41"/>
  <c r="L36" i="45"/>
  <c r="L37" i="64"/>
  <c r="L36" i="46"/>
  <c r="L37" i="44"/>
  <c r="L37" i="43"/>
  <c r="L37" i="40"/>
  <c r="L15" i="47"/>
  <c r="L14" i="44"/>
  <c r="L14" i="42"/>
  <c r="L15" i="45"/>
  <c r="L14" i="43"/>
  <c r="L14" i="41"/>
  <c r="L15" i="46"/>
  <c r="L14" i="64"/>
  <c r="L14" i="40"/>
  <c r="L22" i="54"/>
  <c r="L36" i="65"/>
  <c r="L22" i="53"/>
  <c r="L17" i="54"/>
  <c r="L30" i="65"/>
  <c r="L17" i="53"/>
  <c r="L29" i="65"/>
  <c r="L15" i="65"/>
  <c r="L35" i="199"/>
  <c r="L35" i="201"/>
  <c r="L35" i="200"/>
  <c r="L33" i="198"/>
  <c r="L33" i="197"/>
  <c r="L33" i="196"/>
  <c r="L17" i="201"/>
  <c r="L15" i="197"/>
  <c r="L17" i="199"/>
  <c r="L17" i="200"/>
  <c r="L15" i="198"/>
  <c r="L15" i="196"/>
  <c r="L31" i="12"/>
  <c r="L31" i="9"/>
  <c r="L31" i="8"/>
  <c r="L31" i="14"/>
  <c r="L31" i="11"/>
  <c r="L31" i="10"/>
  <c r="L31" i="62"/>
  <c r="L32" i="63"/>
  <c r="L31" i="13"/>
  <c r="L25" i="63"/>
  <c r="L24" i="62"/>
  <c r="L24" i="12"/>
  <c r="L24" i="9"/>
  <c r="L24" i="14"/>
  <c r="L24" i="11"/>
  <c r="L24" i="8"/>
  <c r="L24" i="13"/>
  <c r="L24" i="10"/>
  <c r="L16" i="62"/>
  <c r="L17" i="217"/>
  <c r="L15" i="215"/>
  <c r="L16" i="13"/>
  <c r="L16" i="10"/>
  <c r="L16" i="9"/>
  <c r="L17" i="63"/>
  <c r="L16" i="12"/>
  <c r="L17" i="216"/>
  <c r="L16" i="14"/>
  <c r="L16" i="11"/>
  <c r="L16" i="8"/>
  <c r="L14" i="215"/>
  <c r="L15" i="14"/>
  <c r="L15" i="11"/>
  <c r="L15" i="8"/>
  <c r="L16" i="216"/>
  <c r="L15" i="9"/>
  <c r="L15" i="13"/>
  <c r="L15" i="10"/>
  <c r="L16" i="63"/>
  <c r="L16" i="217"/>
  <c r="L15" i="62"/>
  <c r="L15" i="12"/>
  <c r="A1" i="62" l="1"/>
  <c r="K5" i="62"/>
  <c r="A3" i="240" l="1"/>
  <c r="A4" i="240"/>
  <c r="A5" i="240"/>
  <c r="A6" i="240"/>
  <c r="A7" i="240"/>
  <c r="A8" i="240"/>
  <c r="A9" i="240"/>
  <c r="A10" i="240"/>
  <c r="A11" i="240"/>
  <c r="A12" i="240"/>
  <c r="A13" i="240"/>
  <c r="A14" i="240"/>
  <c r="A15" i="240"/>
  <c r="A16" i="240"/>
  <c r="A17" i="240"/>
  <c r="A18" i="240"/>
  <c r="A19" i="240"/>
  <c r="A20" i="240"/>
  <c r="A21" i="240"/>
  <c r="A22" i="240"/>
  <c r="A23" i="240"/>
  <c r="A24" i="240"/>
  <c r="A25" i="240"/>
  <c r="A26" i="240"/>
  <c r="A27" i="240"/>
  <c r="A28" i="240"/>
  <c r="A29" i="240"/>
  <c r="A30" i="240"/>
  <c r="A31" i="240"/>
  <c r="A32" i="240"/>
  <c r="A33" i="240"/>
  <c r="A34" i="240"/>
  <c r="A35" i="240"/>
  <c r="A36" i="240"/>
  <c r="A37" i="240"/>
  <c r="A38" i="240"/>
  <c r="A39" i="240"/>
  <c r="A40" i="240"/>
  <c r="A41" i="240"/>
  <c r="A42" i="240"/>
  <c r="A43" i="240"/>
  <c r="A44" i="240"/>
  <c r="A45" i="240"/>
  <c r="A46" i="240"/>
  <c r="A47" i="240"/>
  <c r="A48" i="240"/>
  <c r="A49" i="240"/>
  <c r="A50" i="240"/>
  <c r="A51" i="240"/>
  <c r="A52" i="240"/>
  <c r="A53" i="240"/>
  <c r="A54" i="240"/>
  <c r="A55" i="240"/>
  <c r="A56" i="240"/>
  <c r="A57" i="240"/>
  <c r="A58" i="240"/>
  <c r="A59" i="240"/>
  <c r="A60" i="240"/>
  <c r="A61" i="240"/>
  <c r="A62" i="240"/>
  <c r="A63" i="240"/>
  <c r="A64" i="240"/>
  <c r="A65" i="240"/>
  <c r="A66" i="240"/>
  <c r="A67" i="240"/>
  <c r="A68" i="240"/>
  <c r="A69" i="240"/>
  <c r="A70" i="240"/>
  <c r="A71" i="240"/>
  <c r="A72" i="240"/>
  <c r="A73" i="240"/>
  <c r="A74" i="240"/>
  <c r="A75" i="240"/>
  <c r="A76" i="240"/>
  <c r="A77" i="240"/>
  <c r="A78" i="240"/>
  <c r="A79" i="240"/>
  <c r="A80" i="240"/>
  <c r="A81" i="240"/>
  <c r="A82" i="240"/>
  <c r="A83" i="240"/>
  <c r="A84" i="240"/>
  <c r="A85" i="240"/>
  <c r="A86" i="240"/>
  <c r="A87" i="240"/>
  <c r="A88" i="240"/>
  <c r="A89" i="240"/>
  <c r="A90" i="240"/>
  <c r="A91" i="240"/>
  <c r="A92" i="240"/>
  <c r="A93" i="240"/>
  <c r="A94" i="240"/>
  <c r="A95" i="240"/>
  <c r="A96" i="240"/>
  <c r="A97" i="240"/>
  <c r="A98" i="240"/>
  <c r="A99" i="240"/>
  <c r="A100" i="240"/>
  <c r="A101" i="240"/>
  <c r="A102" i="240"/>
  <c r="A103" i="240"/>
  <c r="A104" i="240"/>
  <c r="A105" i="240"/>
  <c r="A106" i="240"/>
  <c r="A107" i="240"/>
  <c r="A108" i="240"/>
  <c r="A109" i="240"/>
  <c r="A110" i="240"/>
  <c r="A111" i="240"/>
  <c r="A112" i="240"/>
  <c r="A113" i="240"/>
  <c r="A114" i="240"/>
  <c r="A115" i="240"/>
  <c r="A116" i="240"/>
  <c r="A117" i="240"/>
  <c r="A118" i="240"/>
  <c r="A119" i="240"/>
  <c r="A120" i="240"/>
  <c r="A121" i="240"/>
  <c r="A122" i="240"/>
  <c r="A123" i="240"/>
  <c r="A124" i="240"/>
  <c r="A125" i="240"/>
  <c r="A126" i="240"/>
  <c r="A127" i="240"/>
  <c r="A128" i="240"/>
  <c r="A129" i="240"/>
  <c r="A130" i="240"/>
  <c r="A131" i="240"/>
  <c r="A132" i="240"/>
  <c r="A133" i="240"/>
  <c r="A134" i="240"/>
  <c r="A135" i="240"/>
  <c r="A136" i="240"/>
  <c r="A137" i="240"/>
  <c r="A138" i="240"/>
  <c r="A139" i="240"/>
  <c r="A140" i="240"/>
  <c r="A141" i="240"/>
  <c r="A142" i="240"/>
  <c r="A143" i="240"/>
  <c r="A144" i="240"/>
  <c r="A145" i="240"/>
  <c r="A146" i="240"/>
  <c r="A147" i="240"/>
  <c r="A148" i="240"/>
  <c r="A149" i="240"/>
  <c r="A150" i="240"/>
  <c r="A151" i="240"/>
  <c r="A152" i="240"/>
  <c r="A153" i="240"/>
  <c r="A154" i="240"/>
  <c r="A155" i="240"/>
  <c r="A156" i="240"/>
  <c r="A157" i="240"/>
  <c r="A158" i="240"/>
  <c r="A159" i="240"/>
  <c r="A160" i="240"/>
  <c r="A161" i="240"/>
  <c r="A162" i="240"/>
  <c r="A163" i="240"/>
  <c r="A164" i="240"/>
  <c r="A165" i="240"/>
  <c r="A166" i="240"/>
  <c r="A167" i="240"/>
  <c r="A168" i="240"/>
  <c r="A169" i="240"/>
  <c r="A170" i="240"/>
  <c r="A171" i="240"/>
  <c r="A172" i="240"/>
  <c r="A173" i="240"/>
  <c r="A174" i="240"/>
  <c r="A175" i="240"/>
  <c r="A176" i="240"/>
  <c r="A177" i="240"/>
  <c r="A178" i="240"/>
  <c r="A179" i="240"/>
  <c r="A180" i="240"/>
  <c r="A181" i="240"/>
  <c r="A182" i="240"/>
  <c r="A183" i="240"/>
  <c r="A184" i="240"/>
  <c r="A185" i="240"/>
  <c r="A186" i="240"/>
  <c r="A187" i="240"/>
  <c r="A188" i="240"/>
  <c r="A189" i="240"/>
  <c r="A190" i="240"/>
  <c r="A191" i="240"/>
  <c r="A192" i="240"/>
  <c r="A193" i="240"/>
  <c r="A194" i="240"/>
  <c r="A195" i="240"/>
  <c r="A196" i="240"/>
  <c r="A197" i="240"/>
  <c r="A198" i="240"/>
  <c r="A199" i="240"/>
  <c r="A200" i="240"/>
  <c r="A201" i="240"/>
  <c r="A202" i="240"/>
  <c r="A203" i="240"/>
  <c r="A204" i="240"/>
  <c r="A205" i="240"/>
  <c r="A206" i="240"/>
  <c r="A207" i="240"/>
  <c r="A208" i="240"/>
  <c r="A209" i="240"/>
  <c r="A210" i="240"/>
  <c r="A211" i="240"/>
  <c r="A212" i="240"/>
  <c r="A213" i="240"/>
  <c r="A214" i="240"/>
  <c r="A215" i="240"/>
  <c r="A216" i="240"/>
  <c r="A217" i="240"/>
  <c r="A218" i="240"/>
  <c r="A219" i="240"/>
  <c r="A220" i="240"/>
  <c r="A221" i="240"/>
  <c r="A222" i="240"/>
  <c r="A223" i="240"/>
  <c r="A224" i="240"/>
  <c r="A225" i="240"/>
  <c r="A226" i="240"/>
  <c r="A227" i="240"/>
  <c r="A228" i="240"/>
  <c r="A229" i="240"/>
  <c r="A230" i="240"/>
  <c r="A231" i="240"/>
  <c r="A232" i="240"/>
  <c r="A233" i="240"/>
  <c r="A234" i="240"/>
  <c r="A235" i="240"/>
  <c r="A236" i="240"/>
  <c r="A237" i="240"/>
  <c r="A238" i="240"/>
  <c r="A239" i="240"/>
  <c r="A240" i="240"/>
  <c r="A241" i="240"/>
  <c r="A242" i="240"/>
  <c r="A243" i="240"/>
  <c r="A244" i="240"/>
  <c r="A245" i="240"/>
  <c r="A246" i="240"/>
  <c r="A247" i="240"/>
  <c r="A248" i="240"/>
  <c r="A249" i="240"/>
  <c r="A250" i="240"/>
  <c r="A251" i="240"/>
  <c r="A252" i="240"/>
  <c r="A253" i="240"/>
  <c r="A254" i="240"/>
  <c r="A255" i="240"/>
  <c r="A256" i="240"/>
  <c r="A257" i="240"/>
  <c r="A258" i="240"/>
  <c r="A259" i="240"/>
  <c r="A260" i="240"/>
  <c r="A261" i="240"/>
  <c r="A262" i="240"/>
  <c r="A263" i="240"/>
  <c r="A264" i="240"/>
  <c r="A265" i="240"/>
  <c r="A266" i="240"/>
  <c r="A267" i="240"/>
  <c r="A268" i="240"/>
  <c r="A269" i="240"/>
  <c r="A270" i="240"/>
  <c r="A271" i="240"/>
  <c r="A272" i="240"/>
  <c r="A273" i="240"/>
  <c r="A274" i="240"/>
  <c r="A275" i="240"/>
  <c r="A276" i="240"/>
  <c r="A277" i="240"/>
  <c r="A278" i="240"/>
  <c r="A279" i="240"/>
  <c r="A280" i="240"/>
  <c r="A281" i="240"/>
  <c r="A282" i="240"/>
  <c r="A283" i="240"/>
  <c r="A284" i="240"/>
  <c r="A285" i="240"/>
  <c r="A286" i="240"/>
  <c r="A287" i="240"/>
  <c r="A288" i="240"/>
  <c r="A289" i="240"/>
  <c r="A290" i="240"/>
  <c r="A291" i="240"/>
  <c r="A292" i="240"/>
  <c r="A293" i="240"/>
  <c r="A294" i="240"/>
  <c r="A295" i="240"/>
  <c r="A296" i="240"/>
  <c r="A297" i="240"/>
  <c r="A298" i="240"/>
  <c r="A299" i="240"/>
  <c r="A300" i="240"/>
  <c r="A301" i="240"/>
  <c r="A302" i="240"/>
  <c r="A303" i="240"/>
  <c r="A304" i="240"/>
  <c r="A305" i="240"/>
  <c r="A306" i="240"/>
  <c r="A307" i="240"/>
  <c r="A308" i="240"/>
  <c r="A309" i="240"/>
  <c r="A310" i="240"/>
  <c r="A311" i="240"/>
  <c r="A312" i="240"/>
  <c r="A313" i="240"/>
  <c r="A314" i="240"/>
  <c r="A315" i="240"/>
  <c r="A316" i="240"/>
  <c r="A317" i="240"/>
  <c r="A318" i="240"/>
  <c r="A319" i="240"/>
  <c r="A320" i="240"/>
  <c r="A321" i="240"/>
  <c r="A322" i="240"/>
  <c r="A323" i="240"/>
  <c r="A324" i="240"/>
  <c r="A325" i="240"/>
  <c r="A326" i="240"/>
  <c r="A327" i="240"/>
  <c r="A328" i="240"/>
  <c r="A329" i="240"/>
  <c r="A330" i="240"/>
  <c r="A331" i="240"/>
  <c r="A332" i="240"/>
  <c r="A333" i="240"/>
  <c r="A334" i="240"/>
  <c r="A335" i="240"/>
  <c r="A336" i="240"/>
  <c r="A337" i="240"/>
  <c r="A338" i="240"/>
  <c r="A339" i="240"/>
  <c r="A340" i="240"/>
  <c r="A341" i="240"/>
  <c r="A342" i="240"/>
  <c r="A343" i="240"/>
  <c r="A344" i="240"/>
  <c r="A345" i="240"/>
  <c r="A346" i="240"/>
  <c r="A347" i="240"/>
  <c r="A348" i="240"/>
  <c r="A349" i="240"/>
  <c r="A350" i="240"/>
  <c r="A351" i="240"/>
  <c r="A352" i="240"/>
  <c r="A353" i="240"/>
  <c r="A354" i="240"/>
  <c r="A355" i="240"/>
  <c r="A356" i="240"/>
  <c r="A357" i="240"/>
  <c r="A358" i="240"/>
  <c r="A359" i="240"/>
  <c r="A360" i="240"/>
  <c r="A361" i="240"/>
  <c r="A362" i="240"/>
  <c r="A363" i="240"/>
  <c r="A364" i="240"/>
  <c r="A365" i="240"/>
  <c r="A366" i="240"/>
  <c r="A367" i="240"/>
  <c r="A368" i="240"/>
  <c r="A369" i="240"/>
  <c r="A370" i="240"/>
  <c r="A371" i="240"/>
  <c r="A372" i="240"/>
  <c r="A373" i="240"/>
  <c r="A374" i="240"/>
  <c r="A375" i="240"/>
  <c r="A376" i="240"/>
  <c r="A377" i="240"/>
  <c r="A378" i="240"/>
  <c r="A379" i="240"/>
  <c r="A380" i="240"/>
  <c r="A381" i="240"/>
  <c r="A382" i="240"/>
  <c r="A383" i="240"/>
  <c r="A384" i="240"/>
  <c r="A385" i="240"/>
  <c r="A386" i="240"/>
  <c r="A387" i="240"/>
  <c r="A388" i="240"/>
  <c r="A389" i="240"/>
  <c r="A390" i="240"/>
  <c r="A391" i="240"/>
  <c r="A392" i="240"/>
  <c r="A393" i="240"/>
  <c r="A394" i="240"/>
  <c r="A395" i="240"/>
  <c r="A396" i="240"/>
  <c r="A397" i="240"/>
  <c r="A398" i="240"/>
  <c r="A399" i="240"/>
  <c r="A400" i="240"/>
  <c r="A401" i="240"/>
  <c r="A402" i="240"/>
  <c r="A403" i="240"/>
  <c r="A404" i="240"/>
  <c r="A405" i="240"/>
  <c r="A406" i="240"/>
  <c r="A407" i="240"/>
  <c r="A408" i="240"/>
  <c r="A409" i="240"/>
  <c r="A410" i="240"/>
  <c r="A411" i="240"/>
  <c r="A412" i="240"/>
  <c r="A413" i="240"/>
  <c r="A414" i="240"/>
  <c r="A415" i="240"/>
  <c r="A416" i="240"/>
  <c r="A417" i="240"/>
  <c r="A418" i="240"/>
  <c r="A419" i="240"/>
  <c r="A420" i="240"/>
  <c r="A421" i="240"/>
  <c r="A422" i="240"/>
  <c r="A423" i="240"/>
  <c r="A424" i="240"/>
  <c r="A425" i="240"/>
  <c r="A426" i="240"/>
  <c r="A427" i="240"/>
  <c r="A428" i="240"/>
  <c r="A429" i="240"/>
  <c r="A430" i="240"/>
  <c r="A431" i="240"/>
  <c r="A432" i="240"/>
  <c r="A433" i="240"/>
  <c r="A434" i="240"/>
  <c r="A435" i="240"/>
  <c r="A436" i="240"/>
  <c r="A437" i="240"/>
  <c r="A438" i="240"/>
  <c r="A439" i="240"/>
  <c r="A440" i="240"/>
  <c r="A441" i="240"/>
  <c r="A442" i="240"/>
  <c r="A443" i="240"/>
  <c r="A444" i="240"/>
  <c r="A445" i="240"/>
  <c r="A446" i="240"/>
  <c r="A447" i="240"/>
  <c r="A448" i="240"/>
  <c r="A449" i="240"/>
  <c r="A450" i="240"/>
  <c r="A451" i="240"/>
  <c r="A452" i="240"/>
  <c r="A453" i="240"/>
  <c r="A454" i="240"/>
  <c r="A455" i="240"/>
  <c r="A456" i="240"/>
  <c r="A457" i="240"/>
  <c r="A458" i="240"/>
  <c r="A459" i="240"/>
  <c r="A460" i="240"/>
  <c r="A461" i="240"/>
  <c r="A462" i="240"/>
  <c r="A463" i="240"/>
  <c r="A464" i="240"/>
  <c r="A465" i="240"/>
  <c r="A466" i="240"/>
  <c r="A467" i="240"/>
  <c r="A468" i="240"/>
  <c r="A469" i="240"/>
  <c r="A470" i="240"/>
  <c r="A471" i="240"/>
  <c r="A472" i="240"/>
  <c r="A473" i="240"/>
  <c r="A474" i="240"/>
  <c r="A475" i="240"/>
  <c r="A476" i="240"/>
  <c r="A477" i="240"/>
  <c r="A478" i="240"/>
  <c r="A479" i="240"/>
  <c r="A480" i="240"/>
  <c r="A481" i="240"/>
  <c r="A482" i="240"/>
  <c r="A483" i="240"/>
  <c r="A484" i="240"/>
  <c r="A485" i="240"/>
  <c r="A486" i="240"/>
  <c r="A487" i="240"/>
  <c r="A488" i="240"/>
  <c r="A489" i="240"/>
  <c r="A490" i="240"/>
  <c r="A491" i="240"/>
  <c r="A492" i="240"/>
  <c r="A493" i="240"/>
  <c r="A494" i="240"/>
  <c r="A495" i="240"/>
  <c r="A496" i="240"/>
  <c r="A497" i="240"/>
  <c r="A498" i="240"/>
  <c r="A499" i="240"/>
  <c r="A500" i="240"/>
  <c r="A501" i="240"/>
  <c r="A502" i="240"/>
  <c r="A503" i="240"/>
  <c r="A504" i="240"/>
  <c r="A505" i="240"/>
  <c r="A506" i="240"/>
  <c r="A507" i="240"/>
  <c r="A508" i="240"/>
  <c r="A509" i="240"/>
  <c r="A510" i="240"/>
  <c r="A511" i="240"/>
  <c r="A512" i="240"/>
  <c r="A513" i="240"/>
  <c r="A514" i="240"/>
  <c r="A515" i="240"/>
  <c r="A516" i="240"/>
  <c r="A517" i="240"/>
  <c r="A518" i="240"/>
  <c r="A519" i="240"/>
  <c r="A520" i="240"/>
  <c r="A521" i="240"/>
  <c r="A522" i="240"/>
  <c r="A523" i="240"/>
  <c r="A524" i="240"/>
  <c r="A525" i="240"/>
  <c r="A526" i="240"/>
  <c r="A527" i="240"/>
  <c r="A528" i="240"/>
  <c r="A529" i="240"/>
  <c r="A530" i="240"/>
  <c r="A531" i="240"/>
  <c r="A532" i="240"/>
  <c r="A533" i="240"/>
  <c r="A534" i="240"/>
  <c r="A535" i="240"/>
  <c r="A536" i="240"/>
  <c r="A537" i="240"/>
  <c r="A538" i="240"/>
  <c r="A539" i="240"/>
  <c r="A540" i="240"/>
  <c r="A541" i="240"/>
  <c r="A542" i="240"/>
  <c r="A543" i="240"/>
  <c r="A544" i="240"/>
  <c r="A545" i="240"/>
  <c r="A546" i="240"/>
  <c r="A547" i="240"/>
  <c r="A548" i="240"/>
  <c r="A549" i="240"/>
  <c r="A550" i="240"/>
  <c r="A551" i="240"/>
  <c r="A552" i="240"/>
  <c r="A553" i="240"/>
  <c r="A554" i="240"/>
  <c r="A555" i="240"/>
  <c r="A556" i="240"/>
  <c r="A557" i="240"/>
  <c r="A558" i="240"/>
  <c r="A559" i="240"/>
  <c r="A560" i="240"/>
  <c r="A561" i="240"/>
  <c r="A562" i="240"/>
  <c r="A563" i="240"/>
  <c r="A564" i="240"/>
  <c r="A565" i="240"/>
  <c r="A566" i="240"/>
  <c r="A567" i="240"/>
  <c r="A568" i="240"/>
  <c r="A569" i="240"/>
  <c r="A570" i="240"/>
  <c r="A571" i="240"/>
  <c r="A572" i="240"/>
  <c r="A573" i="240"/>
  <c r="A574" i="240"/>
  <c r="A575" i="240"/>
  <c r="A576" i="240"/>
  <c r="A577" i="240"/>
  <c r="A578" i="240"/>
  <c r="A579" i="240"/>
  <c r="A580" i="240"/>
  <c r="A581" i="240"/>
  <c r="A582" i="240"/>
  <c r="A583" i="240"/>
  <c r="A584" i="240"/>
  <c r="A585" i="240"/>
  <c r="A586" i="240"/>
  <c r="A587" i="240"/>
  <c r="A588" i="240"/>
  <c r="A589" i="240"/>
  <c r="A590" i="240"/>
  <c r="A591" i="240"/>
  <c r="A592" i="240"/>
  <c r="A593" i="240"/>
  <c r="A594" i="240"/>
  <c r="A595" i="240"/>
  <c r="A596" i="240"/>
  <c r="A597" i="240"/>
  <c r="A598" i="240"/>
  <c r="A599" i="240"/>
  <c r="A600" i="240"/>
  <c r="A601" i="240"/>
  <c r="A602" i="240"/>
  <c r="A603" i="240"/>
  <c r="A604" i="240"/>
  <c r="A605" i="240"/>
  <c r="A606" i="240"/>
  <c r="A607" i="240"/>
  <c r="A608" i="240"/>
  <c r="A609" i="240"/>
  <c r="A610" i="240"/>
  <c r="A611" i="240"/>
  <c r="A612" i="240"/>
  <c r="A613" i="240"/>
  <c r="A614" i="240"/>
  <c r="A615" i="240"/>
  <c r="A616" i="240"/>
  <c r="A617" i="240"/>
  <c r="A618" i="240"/>
  <c r="A619" i="240"/>
  <c r="A620" i="240"/>
  <c r="A621" i="240"/>
  <c r="A622" i="240"/>
  <c r="A623" i="240"/>
  <c r="A624" i="240"/>
  <c r="A625" i="240"/>
  <c r="A626" i="240"/>
  <c r="A627" i="240"/>
  <c r="A628" i="240"/>
  <c r="A629" i="240"/>
  <c r="A630" i="240"/>
  <c r="A631" i="240"/>
  <c r="A632" i="240"/>
  <c r="A633" i="240"/>
  <c r="A634" i="240"/>
  <c r="A635" i="240"/>
  <c r="A636" i="240"/>
  <c r="A637" i="240"/>
  <c r="A638" i="240"/>
  <c r="A639" i="240"/>
  <c r="A640" i="240"/>
  <c r="A641" i="240"/>
  <c r="A642" i="240"/>
  <c r="A643" i="240"/>
  <c r="A644" i="240"/>
  <c r="A645" i="240"/>
  <c r="A646" i="240"/>
  <c r="A647" i="240"/>
  <c r="A648" i="240"/>
  <c r="A649" i="240"/>
  <c r="A650" i="240"/>
  <c r="A651" i="240"/>
  <c r="A652" i="240"/>
  <c r="A653" i="240"/>
  <c r="A654" i="240"/>
  <c r="A655" i="240"/>
  <c r="A656" i="240"/>
  <c r="A657" i="240"/>
  <c r="A658" i="240"/>
  <c r="A659" i="240"/>
  <c r="A660" i="240"/>
  <c r="A661" i="240"/>
  <c r="A662" i="240"/>
  <c r="A663" i="240"/>
  <c r="A664" i="240"/>
  <c r="A665" i="240"/>
  <c r="A666" i="240"/>
  <c r="A667" i="240"/>
  <c r="A668" i="240"/>
  <c r="A669" i="240"/>
  <c r="A670" i="240"/>
  <c r="A671" i="240"/>
  <c r="A672" i="240"/>
  <c r="A673" i="240"/>
  <c r="A674" i="240"/>
  <c r="A675" i="240"/>
  <c r="A676" i="240"/>
  <c r="A677" i="240"/>
  <c r="A678" i="240"/>
  <c r="A679" i="240"/>
  <c r="A680" i="240"/>
  <c r="A681" i="240"/>
  <c r="A682" i="240"/>
  <c r="A683" i="240"/>
  <c r="A684" i="240"/>
  <c r="A685" i="240"/>
  <c r="A686" i="240"/>
  <c r="A687" i="240"/>
  <c r="A688" i="240"/>
  <c r="A689" i="240"/>
  <c r="A690" i="240"/>
  <c r="A691" i="240"/>
  <c r="A692" i="240"/>
  <c r="A693" i="240"/>
  <c r="A694" i="240"/>
  <c r="A695" i="240"/>
  <c r="A696" i="240"/>
  <c r="A697" i="240"/>
  <c r="A698" i="240"/>
  <c r="A699" i="240"/>
  <c r="A700" i="240"/>
  <c r="A701" i="240"/>
  <c r="A702" i="240"/>
  <c r="A703" i="240"/>
  <c r="A704" i="240"/>
  <c r="A705" i="240"/>
  <c r="A706" i="240"/>
  <c r="A707" i="240"/>
  <c r="A708" i="240"/>
  <c r="A709" i="240"/>
  <c r="A710" i="240"/>
  <c r="A711" i="240"/>
  <c r="A712" i="240"/>
  <c r="A713" i="240"/>
  <c r="A714" i="240"/>
  <c r="A715" i="240"/>
  <c r="A716" i="240"/>
  <c r="A717" i="240"/>
  <c r="A718" i="240"/>
  <c r="A719" i="240"/>
  <c r="A720" i="240"/>
  <c r="A721" i="240"/>
  <c r="A722" i="240"/>
  <c r="A723" i="240"/>
  <c r="A724" i="240"/>
  <c r="A725" i="240"/>
  <c r="A726" i="240"/>
  <c r="A727" i="240"/>
  <c r="A728" i="240"/>
  <c r="A729" i="240"/>
  <c r="A730" i="240"/>
  <c r="A731" i="240"/>
  <c r="A732" i="240"/>
  <c r="A733" i="240"/>
  <c r="A734" i="240"/>
  <c r="A735" i="240"/>
  <c r="A736" i="240"/>
  <c r="A737" i="240"/>
  <c r="A738" i="240"/>
  <c r="A739" i="240"/>
  <c r="A740" i="240"/>
  <c r="A741" i="240"/>
  <c r="A742" i="240"/>
  <c r="A743" i="240"/>
  <c r="A744" i="240"/>
  <c r="A745" i="240"/>
  <c r="A746" i="240"/>
  <c r="A747" i="240"/>
  <c r="A748" i="240"/>
  <c r="A749" i="240"/>
  <c r="A750" i="240"/>
  <c r="A751" i="240"/>
  <c r="A752" i="240"/>
  <c r="A753" i="240"/>
  <c r="A754" i="240"/>
  <c r="A755" i="240"/>
  <c r="A756" i="240"/>
  <c r="A757" i="240"/>
  <c r="A758" i="240"/>
  <c r="A759" i="240"/>
  <c r="A760" i="240"/>
  <c r="A761" i="240"/>
  <c r="A762" i="240"/>
  <c r="A763" i="240"/>
  <c r="A764" i="240"/>
  <c r="A765" i="240"/>
  <c r="A766" i="240"/>
  <c r="A767" i="240"/>
  <c r="A768" i="240"/>
  <c r="A769" i="240"/>
  <c r="A770" i="240"/>
  <c r="A771" i="240"/>
  <c r="A772" i="240"/>
  <c r="A773" i="240"/>
  <c r="A774" i="240"/>
  <c r="A775" i="240"/>
  <c r="A776" i="240"/>
  <c r="A777" i="240"/>
  <c r="A778" i="240"/>
  <c r="A779" i="240"/>
  <c r="A780" i="240"/>
  <c r="A781" i="240"/>
  <c r="A782" i="240"/>
  <c r="A783" i="240"/>
  <c r="A784" i="240"/>
  <c r="A785" i="240"/>
  <c r="A786" i="240"/>
  <c r="A787" i="240"/>
  <c r="A788" i="240"/>
  <c r="A789" i="240"/>
  <c r="A790" i="240"/>
  <c r="A791" i="240"/>
  <c r="A792" i="240"/>
  <c r="A793" i="240"/>
  <c r="A794" i="240"/>
  <c r="A795" i="240"/>
  <c r="A796" i="240"/>
  <c r="A797" i="240"/>
  <c r="A798" i="240"/>
  <c r="A799" i="240"/>
  <c r="A800" i="240"/>
  <c r="A801" i="240"/>
  <c r="A802" i="240"/>
  <c r="A803" i="240"/>
  <c r="A804" i="240"/>
  <c r="A805" i="240"/>
  <c r="A806" i="240"/>
  <c r="A807" i="240"/>
  <c r="A808" i="240"/>
  <c r="A809" i="240"/>
  <c r="A810" i="240"/>
  <c r="A811" i="240"/>
  <c r="A812" i="240"/>
  <c r="A813" i="240"/>
  <c r="A814" i="240"/>
  <c r="A815" i="240"/>
  <c r="A816" i="240"/>
  <c r="A817" i="240"/>
  <c r="A818" i="240"/>
  <c r="A819" i="240"/>
  <c r="A820" i="240"/>
  <c r="A821" i="240"/>
  <c r="A822" i="240"/>
  <c r="A823" i="240"/>
  <c r="A824" i="240"/>
  <c r="A825" i="240"/>
  <c r="A826" i="240"/>
  <c r="A827" i="240"/>
  <c r="A828" i="240"/>
  <c r="A829" i="240"/>
  <c r="A830" i="240"/>
  <c r="A831" i="240"/>
  <c r="A832" i="240"/>
  <c r="A833" i="240"/>
  <c r="A834" i="240"/>
  <c r="A835" i="240"/>
  <c r="A836" i="240"/>
  <c r="A837" i="240"/>
  <c r="A838" i="240"/>
  <c r="A839" i="240"/>
  <c r="A840" i="240"/>
  <c r="A841" i="240"/>
  <c r="A842" i="240"/>
  <c r="A843" i="240"/>
  <c r="A844" i="240"/>
  <c r="A845" i="240"/>
  <c r="A846" i="240"/>
  <c r="A847" i="240"/>
  <c r="A848" i="240"/>
  <c r="A849" i="240"/>
  <c r="A850" i="240"/>
  <c r="A851" i="240"/>
  <c r="A852" i="240"/>
  <c r="A853" i="240"/>
  <c r="A854" i="240"/>
  <c r="A855" i="240"/>
  <c r="A856" i="240"/>
  <c r="A857" i="240"/>
  <c r="A858" i="240"/>
  <c r="A859" i="240"/>
  <c r="A860" i="240"/>
  <c r="A861" i="240"/>
  <c r="A862" i="240"/>
  <c r="A863" i="240"/>
  <c r="A864" i="240"/>
  <c r="A865" i="240"/>
  <c r="A866" i="240"/>
  <c r="A867" i="240"/>
  <c r="A868" i="240"/>
  <c r="A869" i="240"/>
  <c r="A870" i="240"/>
  <c r="A871" i="240"/>
  <c r="A872" i="240"/>
  <c r="A873" i="240"/>
  <c r="A874" i="240"/>
  <c r="A875" i="240"/>
  <c r="A876" i="240"/>
  <c r="A877" i="240"/>
  <c r="A878" i="240"/>
  <c r="A879" i="240"/>
  <c r="A880" i="240"/>
  <c r="A881" i="240"/>
  <c r="A882" i="240"/>
  <c r="A883" i="240"/>
  <c r="A884" i="240"/>
  <c r="A885" i="240"/>
  <c r="A886" i="240"/>
  <c r="A887" i="240"/>
  <c r="A888" i="240"/>
  <c r="A889" i="240"/>
  <c r="A890" i="240"/>
  <c r="A891" i="240"/>
  <c r="A892" i="240"/>
  <c r="A893" i="240"/>
  <c r="A894" i="240"/>
  <c r="A895" i="240"/>
  <c r="A896" i="240"/>
  <c r="A897" i="240"/>
  <c r="A898" i="240"/>
  <c r="A899" i="240"/>
  <c r="A900" i="240"/>
  <c r="A901" i="240"/>
  <c r="A902" i="240"/>
  <c r="A903" i="240"/>
  <c r="A904" i="240"/>
  <c r="A905" i="240"/>
  <c r="A906" i="240"/>
  <c r="A907" i="240"/>
  <c r="A908" i="240"/>
  <c r="A909" i="240"/>
  <c r="A910" i="240"/>
  <c r="A911" i="240"/>
  <c r="A912" i="240"/>
  <c r="A913" i="240"/>
  <c r="A914" i="240"/>
  <c r="A915" i="240"/>
  <c r="A916" i="240"/>
  <c r="A917" i="240"/>
  <c r="A918" i="240"/>
  <c r="A919" i="240"/>
  <c r="A920" i="240"/>
  <c r="A921" i="240"/>
  <c r="A922" i="240"/>
  <c r="A923" i="240"/>
  <c r="A924" i="240"/>
  <c r="A925" i="240"/>
  <c r="A926" i="240"/>
  <c r="A927" i="240"/>
  <c r="A928" i="240"/>
  <c r="A929" i="240"/>
  <c r="A930" i="240"/>
  <c r="A931" i="240"/>
  <c r="A932" i="240"/>
  <c r="A933" i="240"/>
  <c r="A934" i="240"/>
  <c r="A935" i="240"/>
  <c r="A936" i="240"/>
  <c r="A937" i="240"/>
  <c r="A938" i="240"/>
  <c r="A939" i="240"/>
  <c r="A940" i="240"/>
  <c r="A941" i="240"/>
  <c r="A942" i="240"/>
  <c r="A943" i="240"/>
  <c r="A944" i="240"/>
  <c r="A945" i="240"/>
  <c r="A946" i="240"/>
  <c r="A947" i="240"/>
  <c r="A948" i="240"/>
  <c r="A949" i="240"/>
  <c r="A950" i="240"/>
  <c r="A951" i="240"/>
  <c r="A952" i="240"/>
  <c r="A953" i="240"/>
  <c r="A954" i="240"/>
  <c r="A955" i="240"/>
  <c r="A956" i="240"/>
  <c r="A957" i="240"/>
  <c r="A958" i="240"/>
  <c r="A959" i="240"/>
  <c r="A960" i="240"/>
  <c r="A961" i="240"/>
  <c r="A962" i="240"/>
  <c r="A963" i="240"/>
  <c r="A964" i="240"/>
  <c r="A965" i="240"/>
  <c r="A966" i="240"/>
  <c r="A967" i="240"/>
  <c r="A968" i="240"/>
  <c r="A969" i="240"/>
  <c r="A970" i="240"/>
  <c r="A971" i="240"/>
  <c r="A972" i="240"/>
  <c r="A973" i="240"/>
  <c r="A974" i="240"/>
  <c r="A975" i="240"/>
  <c r="A976" i="240"/>
  <c r="A977" i="240"/>
  <c r="A978" i="240"/>
  <c r="A979" i="240"/>
  <c r="A980" i="240"/>
  <c r="A981" i="240"/>
  <c r="A982" i="240"/>
  <c r="A983" i="240"/>
  <c r="A984" i="240"/>
  <c r="A985" i="240"/>
  <c r="A986" i="240"/>
  <c r="A987" i="240"/>
  <c r="A988" i="240"/>
  <c r="A989" i="240"/>
  <c r="A990" i="240"/>
  <c r="A991" i="240"/>
  <c r="A992" i="240"/>
  <c r="A993" i="240"/>
  <c r="A994" i="240"/>
  <c r="A995" i="240"/>
  <c r="A996" i="240"/>
  <c r="A997" i="240"/>
  <c r="A998" i="240"/>
  <c r="A999" i="240"/>
  <c r="A1000" i="240"/>
  <c r="A1001" i="240"/>
  <c r="A1002" i="240"/>
  <c r="A1003" i="240"/>
  <c r="A1004" i="240"/>
  <c r="A1005" i="240"/>
  <c r="A1006" i="240"/>
  <c r="A1007" i="240"/>
  <c r="A1008" i="240"/>
  <c r="A1009" i="240"/>
  <c r="A1010" i="240"/>
  <c r="A1011" i="240"/>
  <c r="A1012" i="240"/>
  <c r="A1013" i="240"/>
  <c r="A1014" i="240"/>
  <c r="A1015" i="240"/>
  <c r="A1016" i="240"/>
  <c r="A1017" i="240"/>
  <c r="A1018" i="240"/>
  <c r="A1019" i="240"/>
  <c r="A1020" i="240"/>
  <c r="A1021" i="240"/>
  <c r="A1022" i="240"/>
  <c r="A1023" i="240"/>
  <c r="A1024" i="240"/>
  <c r="A1025" i="240"/>
  <c r="A1026" i="240"/>
  <c r="A1027" i="240"/>
  <c r="A1028" i="240"/>
  <c r="A1029" i="240"/>
  <c r="A1030" i="240"/>
  <c r="A1031" i="240"/>
  <c r="A1032" i="240"/>
  <c r="A1033" i="240"/>
  <c r="A1034" i="240"/>
  <c r="A1035" i="240"/>
  <c r="A1036" i="240"/>
  <c r="A1037" i="240"/>
  <c r="A1038" i="240"/>
  <c r="A1039" i="240"/>
  <c r="A1040" i="240"/>
  <c r="A1041" i="240"/>
  <c r="A1042" i="240"/>
  <c r="A1043" i="240"/>
  <c r="A1044" i="240"/>
  <c r="A1045" i="240"/>
  <c r="A1046" i="240"/>
  <c r="A1047" i="240"/>
  <c r="A1048" i="240"/>
  <c r="A1049" i="240"/>
  <c r="A1050" i="240"/>
  <c r="A1051" i="240"/>
  <c r="A1052" i="240"/>
  <c r="A1053" i="240"/>
  <c r="A1054" i="240"/>
  <c r="A1055" i="240"/>
  <c r="A1056" i="240"/>
  <c r="A1057" i="240"/>
  <c r="A1058" i="240"/>
  <c r="A1059" i="240"/>
  <c r="A1060" i="240"/>
  <c r="A1061" i="240"/>
  <c r="A1062" i="240"/>
  <c r="A1063" i="240"/>
  <c r="A1064" i="240"/>
  <c r="A1065" i="240"/>
  <c r="A1066" i="240"/>
  <c r="A1067" i="240"/>
  <c r="A1068" i="240"/>
  <c r="A1069" i="240"/>
  <c r="A1070" i="240"/>
  <c r="A1071" i="240"/>
  <c r="A1072" i="240"/>
  <c r="A1073" i="240"/>
  <c r="A1074" i="240"/>
  <c r="A1075" i="240"/>
  <c r="A1076" i="240"/>
  <c r="A1077" i="240"/>
  <c r="A1078" i="240"/>
  <c r="A1079" i="240"/>
  <c r="A1080" i="240"/>
  <c r="A1081" i="240"/>
  <c r="A1082" i="240"/>
  <c r="A1083" i="240"/>
  <c r="A1084" i="240"/>
  <c r="A1085" i="240"/>
  <c r="A1086" i="240"/>
  <c r="A1087" i="240"/>
  <c r="A1088" i="240"/>
  <c r="A1089" i="240"/>
  <c r="A1090" i="240"/>
  <c r="A1091" i="240"/>
  <c r="A1092" i="240"/>
  <c r="A1093" i="240"/>
  <c r="A1094" i="240"/>
  <c r="A1095" i="240"/>
  <c r="A1096" i="240"/>
  <c r="A1097" i="240"/>
  <c r="A1098" i="240"/>
  <c r="A1099" i="240"/>
  <c r="A1100" i="240"/>
  <c r="A1101" i="240"/>
  <c r="A1102" i="240"/>
  <c r="A1103" i="240"/>
  <c r="A1104" i="240"/>
  <c r="A1105" i="240"/>
  <c r="A1106" i="240"/>
  <c r="A1107" i="240"/>
  <c r="A1108" i="240"/>
  <c r="A1109" i="240"/>
  <c r="A1110" i="240"/>
  <c r="A1111" i="240"/>
  <c r="A1112" i="240"/>
  <c r="A1113" i="240"/>
  <c r="A1114" i="240"/>
  <c r="A1115" i="240"/>
  <c r="A1116" i="240"/>
  <c r="A1117" i="240"/>
  <c r="A1118" i="240"/>
  <c r="A1119" i="240"/>
  <c r="A1120" i="240"/>
  <c r="A1121" i="240"/>
  <c r="A1122" i="240"/>
  <c r="A1123" i="240"/>
  <c r="A1124" i="240"/>
  <c r="A1125" i="240"/>
  <c r="A1126" i="240"/>
  <c r="A1127" i="240"/>
  <c r="A1128" i="240"/>
  <c r="A1129" i="240"/>
  <c r="A1130" i="240"/>
  <c r="A1131" i="240"/>
  <c r="A1132" i="240"/>
  <c r="A1133" i="240"/>
  <c r="A1134" i="240"/>
  <c r="A1135" i="240"/>
  <c r="A1136" i="240"/>
  <c r="A1137" i="240"/>
  <c r="A1138" i="240"/>
  <c r="A1139" i="240"/>
  <c r="A1140" i="240"/>
  <c r="A1141" i="240"/>
  <c r="A1142" i="240"/>
  <c r="A1143" i="240"/>
  <c r="A1144" i="240"/>
  <c r="A1145" i="240"/>
  <c r="A1146" i="240"/>
  <c r="A1147" i="240"/>
  <c r="A1148" i="240"/>
  <c r="A1149" i="240"/>
  <c r="A1150" i="240"/>
  <c r="A1151" i="240"/>
  <c r="A1152" i="240"/>
  <c r="A1153" i="240"/>
  <c r="A1154" i="240"/>
  <c r="A1155" i="240"/>
  <c r="A1156" i="240"/>
  <c r="A1157" i="240"/>
  <c r="A1158" i="240"/>
  <c r="A1159" i="240"/>
  <c r="A1160" i="240"/>
  <c r="A1161" i="240"/>
  <c r="A1162" i="240"/>
  <c r="A1163" i="240"/>
  <c r="A1164" i="240"/>
  <c r="A1165" i="240"/>
  <c r="A1166" i="240"/>
  <c r="A1167" i="240"/>
  <c r="A1168" i="240"/>
  <c r="A1169" i="240"/>
  <c r="A1170" i="240"/>
  <c r="A1171" i="240"/>
  <c r="A1172" i="240"/>
  <c r="A1173" i="240"/>
  <c r="A1174" i="240"/>
  <c r="A1175" i="240"/>
  <c r="A1176" i="240"/>
  <c r="A1177" i="240"/>
  <c r="A1178" i="240"/>
  <c r="A1179" i="240"/>
  <c r="A1180" i="240"/>
  <c r="A1181" i="240"/>
  <c r="A1182" i="240"/>
  <c r="A1183" i="240"/>
  <c r="A1184" i="240"/>
  <c r="A1185" i="240"/>
  <c r="A1186" i="240"/>
  <c r="A1187" i="240"/>
  <c r="A1188" i="240"/>
  <c r="A1189" i="240"/>
  <c r="A1190" i="240"/>
  <c r="A1191" i="240"/>
  <c r="A1192" i="240"/>
  <c r="A1193" i="240"/>
  <c r="A1194" i="240"/>
  <c r="A1195" i="240"/>
  <c r="A1196" i="240"/>
  <c r="A1197" i="240"/>
  <c r="A1198" i="240"/>
  <c r="A1199" i="240"/>
  <c r="A1200" i="240"/>
  <c r="A1201" i="240"/>
  <c r="A1202" i="240"/>
  <c r="A1203" i="240"/>
  <c r="A1204" i="240"/>
  <c r="A1205" i="240"/>
  <c r="A1206" i="240"/>
  <c r="A1207" i="240"/>
  <c r="A1208" i="240"/>
  <c r="A1209" i="240"/>
  <c r="A1210" i="240"/>
  <c r="A1211" i="240"/>
  <c r="A1212" i="240"/>
  <c r="A1213" i="240"/>
  <c r="A1214" i="240"/>
  <c r="A1215" i="240"/>
  <c r="A1216" i="240"/>
  <c r="A1217" i="240"/>
  <c r="A1218" i="240"/>
  <c r="A1219" i="240"/>
  <c r="A1220" i="240"/>
  <c r="A1221" i="240"/>
  <c r="A1222" i="240"/>
  <c r="A1223" i="240"/>
  <c r="A1224" i="240"/>
  <c r="A1225" i="240"/>
  <c r="A1226" i="240"/>
  <c r="A1227" i="240"/>
  <c r="A1228" i="240"/>
  <c r="A1229" i="240"/>
  <c r="A1230" i="240"/>
  <c r="A1231" i="240"/>
  <c r="A1232" i="240"/>
  <c r="A1233" i="240"/>
  <c r="A1234" i="240"/>
  <c r="A1235" i="240"/>
  <c r="A1236" i="240"/>
  <c r="A1237" i="240"/>
  <c r="A1238" i="240"/>
  <c r="A1239" i="240"/>
  <c r="A1240" i="240"/>
  <c r="A1241" i="240"/>
  <c r="A1242" i="240"/>
  <c r="A1243" i="240"/>
  <c r="A1244" i="240"/>
  <c r="A1245" i="240"/>
  <c r="A1246" i="240"/>
  <c r="A1247" i="240"/>
  <c r="A1248" i="240"/>
  <c r="A1249" i="240"/>
  <c r="A1250" i="240"/>
  <c r="A1251" i="240"/>
  <c r="A1252" i="240"/>
  <c r="A1253" i="240"/>
  <c r="A1254" i="240"/>
  <c r="A1255" i="240"/>
  <c r="A1256" i="240"/>
  <c r="A1257" i="240"/>
  <c r="A1258" i="240"/>
  <c r="A1259" i="240"/>
  <c r="A1260" i="240"/>
  <c r="A1261" i="240"/>
  <c r="A1262" i="240"/>
  <c r="A1263" i="240"/>
  <c r="A1264" i="240"/>
  <c r="A1265" i="240"/>
  <c r="A1266" i="240"/>
  <c r="A1267" i="240"/>
  <c r="A1268" i="240"/>
  <c r="A1269" i="240"/>
  <c r="A1270" i="240"/>
  <c r="A1271" i="240"/>
  <c r="A1272" i="240"/>
  <c r="A1273" i="240"/>
  <c r="A1274" i="240"/>
  <c r="A1275" i="240"/>
  <c r="A1276" i="240"/>
  <c r="A1277" i="240"/>
  <c r="A1278" i="240"/>
  <c r="A1279" i="240"/>
  <c r="A1280" i="240"/>
  <c r="A1281" i="240"/>
  <c r="A1282" i="240"/>
  <c r="A1283" i="240"/>
  <c r="A1284" i="240"/>
  <c r="A1285" i="240"/>
  <c r="A1286" i="240"/>
  <c r="A1287" i="240"/>
  <c r="A1288" i="240"/>
  <c r="A1289" i="240"/>
  <c r="A1290" i="240"/>
  <c r="A1291" i="240"/>
  <c r="A1292" i="240"/>
  <c r="A1293" i="240"/>
  <c r="A1294" i="240"/>
  <c r="A1295" i="240"/>
  <c r="A1296" i="240"/>
  <c r="A1297" i="240"/>
  <c r="A1298" i="240"/>
  <c r="A1299" i="240"/>
  <c r="A1300" i="240"/>
  <c r="A1301" i="240"/>
  <c r="A1302" i="240"/>
  <c r="A1303" i="240"/>
  <c r="A1304" i="240"/>
  <c r="A1305" i="240"/>
  <c r="A1306" i="240"/>
  <c r="A1307" i="240"/>
  <c r="A1308" i="240"/>
  <c r="A1309" i="240"/>
  <c r="A1310" i="240"/>
  <c r="A1311" i="240"/>
  <c r="A1312" i="240"/>
  <c r="A1313" i="240"/>
  <c r="A1314" i="240"/>
  <c r="A1315" i="240"/>
  <c r="A1316" i="240"/>
  <c r="A1317" i="240"/>
  <c r="A1318" i="240"/>
  <c r="A1319" i="240"/>
  <c r="A1320" i="240"/>
  <c r="A1321" i="240"/>
  <c r="A1322" i="240"/>
  <c r="A1323" i="240"/>
  <c r="A1324" i="240"/>
  <c r="A1325" i="240"/>
  <c r="A1326" i="240"/>
  <c r="A1327" i="240"/>
  <c r="A1328" i="240"/>
  <c r="A1329" i="240"/>
  <c r="A1330" i="240"/>
  <c r="A1331" i="240"/>
  <c r="A1332" i="240"/>
  <c r="A1333" i="240"/>
  <c r="A1334" i="240"/>
  <c r="A1335" i="240"/>
  <c r="A1336" i="240"/>
  <c r="A1337" i="240"/>
  <c r="A1338" i="240"/>
  <c r="A1339" i="240"/>
  <c r="A1340" i="240"/>
  <c r="A1341" i="240"/>
  <c r="A1342" i="240"/>
  <c r="A1343" i="240"/>
  <c r="A1344" i="240"/>
  <c r="A1345" i="240"/>
  <c r="A1346" i="240"/>
  <c r="A1347" i="240"/>
  <c r="A1348" i="240"/>
  <c r="A1349" i="240"/>
  <c r="A1350" i="240"/>
  <c r="A1351" i="240"/>
  <c r="A1352" i="240"/>
  <c r="A1353" i="240"/>
  <c r="A1354" i="240"/>
  <c r="A1355" i="240"/>
  <c r="A1356" i="240"/>
  <c r="A1357" i="240"/>
  <c r="A1358" i="240"/>
  <c r="A1359" i="240"/>
  <c r="A1360" i="240"/>
  <c r="A1361" i="240"/>
  <c r="A1362" i="240"/>
  <c r="A1363" i="240"/>
  <c r="A1364" i="240"/>
  <c r="A1365" i="240"/>
  <c r="A1366" i="240"/>
  <c r="A1367" i="240"/>
  <c r="A1368" i="240"/>
  <c r="A1369" i="240"/>
  <c r="A1370" i="240"/>
  <c r="A1371" i="240"/>
  <c r="A1372" i="240"/>
  <c r="A1373" i="240"/>
  <c r="A1374" i="240"/>
  <c r="A1375" i="240"/>
  <c r="A1376" i="240"/>
  <c r="A1377" i="240"/>
  <c r="A1378" i="240"/>
  <c r="A1379" i="240"/>
  <c r="A1380" i="240"/>
  <c r="A1381" i="240"/>
  <c r="A1382" i="240"/>
  <c r="A1383" i="240"/>
  <c r="A1384" i="240"/>
  <c r="A1385" i="240"/>
  <c r="A1386" i="240"/>
  <c r="A1387" i="240"/>
  <c r="A1388" i="240"/>
  <c r="A1389" i="240"/>
  <c r="A1390" i="240"/>
  <c r="A1391" i="240"/>
  <c r="A1392" i="240"/>
  <c r="A1393" i="240"/>
  <c r="A1394" i="240"/>
  <c r="A1395" i="240"/>
  <c r="A1396" i="240"/>
  <c r="A1397" i="240"/>
  <c r="A1398" i="240"/>
  <c r="A1399" i="240"/>
  <c r="A1400" i="240"/>
  <c r="A1401" i="240"/>
  <c r="A1402" i="240"/>
  <c r="A1403" i="240"/>
  <c r="A1404" i="240"/>
  <c r="A1405" i="240"/>
  <c r="A1406" i="240"/>
  <c r="A1407" i="240"/>
  <c r="A1408" i="240"/>
  <c r="A1409" i="240"/>
  <c r="A1410" i="240"/>
  <c r="A1411" i="240"/>
  <c r="A1412" i="240"/>
  <c r="A1413" i="240"/>
  <c r="A1414" i="240"/>
  <c r="A1415" i="240"/>
  <c r="A1416" i="240"/>
  <c r="A1417" i="240"/>
  <c r="A1418" i="240"/>
  <c r="A1419" i="240"/>
  <c r="A1420" i="240"/>
  <c r="A1421" i="240"/>
  <c r="A1422" i="240"/>
  <c r="A1423" i="240"/>
  <c r="A1424" i="240"/>
  <c r="A1425" i="240"/>
  <c r="A1426" i="240"/>
  <c r="A1427" i="240"/>
  <c r="A1428" i="240"/>
  <c r="A1429" i="240"/>
  <c r="A1430" i="240"/>
  <c r="A1431" i="240"/>
  <c r="A1432" i="240"/>
  <c r="A1433" i="240"/>
  <c r="A1434" i="240"/>
  <c r="A1435" i="240"/>
  <c r="A1436" i="240"/>
  <c r="A1437" i="240"/>
  <c r="A1438" i="240"/>
  <c r="A1439" i="240"/>
  <c r="A1440" i="240"/>
  <c r="A1441" i="240"/>
  <c r="A1442" i="240"/>
  <c r="A1443" i="240"/>
  <c r="A1444" i="240"/>
  <c r="A1445" i="240"/>
  <c r="A1446" i="240"/>
  <c r="A1447" i="240"/>
  <c r="A1448" i="240"/>
  <c r="A1449" i="240"/>
  <c r="A1450" i="240"/>
  <c r="A1451" i="240"/>
  <c r="A1452" i="240"/>
  <c r="A1453" i="240"/>
  <c r="A1454" i="240"/>
  <c r="A1455" i="240"/>
  <c r="A1456" i="240"/>
  <c r="A1457" i="240"/>
  <c r="A1458" i="240"/>
  <c r="A1459" i="240"/>
  <c r="A1460" i="240"/>
  <c r="A1461" i="240"/>
  <c r="A1462" i="240"/>
  <c r="A1463" i="240"/>
  <c r="A1464" i="240"/>
  <c r="A1465" i="240"/>
  <c r="A1466" i="240"/>
  <c r="A1467" i="240"/>
  <c r="A1468" i="240"/>
  <c r="A1469" i="240"/>
  <c r="A1470" i="240"/>
  <c r="A1471" i="240"/>
  <c r="A1472" i="240"/>
  <c r="A1473" i="240"/>
  <c r="A1474" i="240"/>
  <c r="A1475" i="240"/>
  <c r="A1476" i="240"/>
  <c r="A1477" i="240"/>
  <c r="A1478" i="240"/>
  <c r="A1479" i="240"/>
  <c r="A1480" i="240"/>
  <c r="A1481" i="240"/>
  <c r="A1482" i="240"/>
  <c r="A1483" i="240"/>
  <c r="A1484" i="240"/>
  <c r="A1485" i="240"/>
  <c r="A1486" i="240"/>
  <c r="A1487" i="240"/>
  <c r="A1488" i="240"/>
  <c r="A1489" i="240"/>
  <c r="A1490" i="240"/>
  <c r="A1491" i="240"/>
  <c r="A1492" i="240"/>
  <c r="A1493" i="240"/>
  <c r="A1494" i="240"/>
  <c r="A1495" i="240"/>
  <c r="A1496" i="240"/>
  <c r="A1497" i="240"/>
  <c r="A1498" i="240"/>
  <c r="A1499" i="240"/>
  <c r="A1500" i="240"/>
  <c r="A1501" i="240"/>
  <c r="A1502" i="240"/>
  <c r="A1503" i="240"/>
  <c r="A1504" i="240"/>
  <c r="A1505" i="240"/>
  <c r="A1506" i="240"/>
  <c r="A1507" i="240"/>
  <c r="A1508" i="240"/>
  <c r="A1509" i="240"/>
  <c r="A1510" i="240"/>
  <c r="A1511" i="240"/>
  <c r="A1512" i="240"/>
  <c r="A1513" i="240"/>
  <c r="A1514" i="240"/>
  <c r="A1515" i="240"/>
  <c r="A1516" i="240"/>
  <c r="A1517" i="240"/>
  <c r="A1518" i="240"/>
  <c r="A1519" i="240"/>
  <c r="A1520" i="240"/>
  <c r="A1521" i="240"/>
  <c r="A1522" i="240"/>
  <c r="A1523" i="240"/>
  <c r="A1524" i="240"/>
  <c r="A1525" i="240"/>
  <c r="A1526" i="240"/>
  <c r="A1527" i="240"/>
  <c r="A1528" i="240"/>
  <c r="A1529" i="240"/>
  <c r="A1530" i="240"/>
  <c r="A1531" i="240"/>
  <c r="A1532" i="240"/>
  <c r="A1533" i="240"/>
  <c r="A1534" i="240"/>
  <c r="A1535" i="240"/>
  <c r="A1536" i="240"/>
  <c r="A1537" i="240"/>
  <c r="A1538" i="240"/>
  <c r="A1539" i="240"/>
  <c r="A1540" i="240"/>
  <c r="A1541" i="240"/>
  <c r="A1542" i="240"/>
  <c r="A1543" i="240"/>
  <c r="A1544" i="240"/>
  <c r="A1545" i="240"/>
  <c r="A1546" i="240"/>
  <c r="A1547" i="240"/>
  <c r="A1548" i="240"/>
  <c r="A1549" i="240"/>
  <c r="A1550" i="240"/>
  <c r="A1551" i="240"/>
  <c r="A1552" i="240"/>
  <c r="A1553" i="240"/>
  <c r="A1554" i="240"/>
  <c r="A1555" i="240"/>
  <c r="A1556" i="240"/>
  <c r="A1557" i="240"/>
  <c r="A1558" i="240"/>
  <c r="A1559" i="240"/>
  <c r="A1560" i="240"/>
  <c r="A1561" i="240"/>
  <c r="A1562" i="240"/>
  <c r="A1563" i="240"/>
  <c r="A1564" i="240"/>
  <c r="A1565" i="240"/>
  <c r="A1566" i="240"/>
  <c r="A1567" i="240"/>
  <c r="A1568" i="240"/>
  <c r="A1569" i="240"/>
  <c r="A1570" i="240"/>
  <c r="A1571" i="240"/>
  <c r="A1572" i="240"/>
  <c r="A1573" i="240"/>
  <c r="A1574" i="240"/>
  <c r="A1575" i="240"/>
  <c r="A1576" i="240"/>
  <c r="A1577" i="240"/>
  <c r="A1578" i="240"/>
  <c r="A1579" i="240"/>
  <c r="A1580" i="240"/>
  <c r="A1581" i="240"/>
  <c r="A1582" i="240"/>
  <c r="A1583" i="240"/>
  <c r="A1584" i="240"/>
  <c r="A1585" i="240"/>
  <c r="A1586" i="240"/>
  <c r="A1587" i="240"/>
  <c r="A1588" i="240"/>
  <c r="A1589" i="240"/>
  <c r="A1590" i="240"/>
  <c r="A1591" i="240"/>
  <c r="A1592" i="240"/>
  <c r="A1593" i="240"/>
  <c r="A1594" i="240"/>
  <c r="A1595" i="240"/>
  <c r="A1596" i="240"/>
  <c r="A1597" i="240"/>
  <c r="A1598" i="240"/>
  <c r="A1599" i="240"/>
  <c r="A1600" i="240"/>
  <c r="A1601" i="240"/>
  <c r="A1602" i="240"/>
  <c r="A1603" i="240"/>
  <c r="A1604" i="240"/>
  <c r="A1605" i="240"/>
  <c r="A1606" i="240"/>
  <c r="A1607" i="240"/>
  <c r="A1608" i="240"/>
  <c r="A1609" i="240"/>
  <c r="A1610" i="240"/>
  <c r="A1611" i="240"/>
  <c r="A1612" i="240"/>
  <c r="A1613" i="240"/>
  <c r="A1614" i="240"/>
  <c r="A1615" i="240"/>
  <c r="A1616" i="240"/>
  <c r="A1617" i="240"/>
  <c r="A1618" i="240"/>
  <c r="A1619" i="240"/>
  <c r="A1620" i="240"/>
  <c r="A1621" i="240"/>
  <c r="A1622" i="240"/>
  <c r="A1623" i="240"/>
  <c r="A1624" i="240"/>
  <c r="A1625" i="240"/>
  <c r="A1626" i="240"/>
  <c r="A1627" i="240"/>
  <c r="A1628" i="240"/>
  <c r="A1629" i="240"/>
  <c r="A1630" i="240"/>
  <c r="A1631" i="240"/>
  <c r="A1632" i="240"/>
  <c r="A1633" i="240"/>
  <c r="A1634" i="240"/>
  <c r="A1635" i="240"/>
  <c r="A1636" i="240"/>
  <c r="A1637" i="240"/>
  <c r="A1638" i="240"/>
  <c r="A1639" i="240"/>
  <c r="A1640" i="240"/>
  <c r="A1641" i="240"/>
  <c r="A1642" i="240"/>
  <c r="A1643" i="240"/>
  <c r="A1644" i="240"/>
  <c r="A1645" i="240"/>
  <c r="A1646" i="240"/>
  <c r="A1647" i="240"/>
  <c r="A1648" i="240"/>
  <c r="A1649" i="240"/>
  <c r="A1650" i="240"/>
  <c r="A1651" i="240"/>
  <c r="A1652" i="240"/>
  <c r="A1653" i="240"/>
  <c r="A1654" i="240"/>
  <c r="A1655" i="240"/>
  <c r="A1656" i="240"/>
  <c r="A1657" i="240"/>
  <c r="A1658" i="240"/>
  <c r="A1659" i="240"/>
  <c r="A1660" i="240"/>
  <c r="A1661" i="240"/>
  <c r="A1662" i="240"/>
  <c r="A1663" i="240"/>
  <c r="A1664" i="240"/>
  <c r="A1665" i="240"/>
  <c r="A1666" i="240"/>
  <c r="A1667" i="240"/>
  <c r="A1668" i="240"/>
  <c r="A1669" i="240"/>
  <c r="A1670" i="240"/>
  <c r="A1671" i="240"/>
  <c r="A1672" i="240"/>
  <c r="A1673" i="240"/>
  <c r="A1674" i="240"/>
  <c r="A1675" i="240"/>
  <c r="A1676" i="240"/>
  <c r="A1677" i="240"/>
  <c r="A1678" i="240"/>
  <c r="A1679" i="240"/>
  <c r="A1680" i="240"/>
  <c r="A1681" i="240"/>
  <c r="A1682" i="240"/>
  <c r="A1683" i="240"/>
  <c r="A1684" i="240"/>
  <c r="A1685" i="240"/>
  <c r="A1686" i="240"/>
  <c r="A1687" i="240"/>
  <c r="A1688" i="240"/>
  <c r="A1689" i="240"/>
  <c r="A1690" i="240"/>
  <c r="A1691" i="240"/>
  <c r="A1692" i="240"/>
  <c r="A1693" i="240"/>
  <c r="A1694" i="240"/>
  <c r="A1695" i="240"/>
  <c r="A1696" i="240"/>
  <c r="A1697" i="240"/>
  <c r="A1698" i="240"/>
  <c r="A1699" i="240"/>
  <c r="A1700" i="240"/>
  <c r="A1701" i="240"/>
  <c r="A1702" i="240"/>
  <c r="A1703" i="240"/>
  <c r="A1704" i="240"/>
  <c r="A1705" i="240"/>
  <c r="A1706" i="240"/>
  <c r="A1707" i="240"/>
  <c r="A1708" i="240"/>
  <c r="A1709" i="240"/>
  <c r="A1710" i="240"/>
  <c r="A1711" i="240"/>
  <c r="A1712" i="240"/>
  <c r="A1713" i="240"/>
  <c r="A1714" i="240"/>
  <c r="A1715" i="240"/>
  <c r="A1716" i="240"/>
  <c r="A1717" i="240"/>
  <c r="A1718" i="240"/>
  <c r="A1719" i="240"/>
  <c r="A1720" i="240"/>
  <c r="A1721" i="240"/>
  <c r="A1722" i="240"/>
  <c r="A1723" i="240"/>
  <c r="A1724" i="240"/>
  <c r="A1725" i="240"/>
  <c r="A1726" i="240"/>
  <c r="A1727" i="240"/>
  <c r="A1728" i="240"/>
  <c r="A1729" i="240"/>
  <c r="A1730" i="240"/>
  <c r="A1731" i="240"/>
  <c r="A1732" i="240"/>
  <c r="A1733" i="240"/>
  <c r="A1734" i="240"/>
  <c r="A1735" i="240"/>
  <c r="A1736" i="240"/>
  <c r="A1737" i="240"/>
  <c r="A1738" i="240"/>
  <c r="A1739" i="240"/>
  <c r="A1740" i="240"/>
  <c r="A1741" i="240"/>
  <c r="A1742" i="240"/>
  <c r="A1743" i="240"/>
  <c r="A1744" i="240"/>
  <c r="A1745" i="240"/>
  <c r="A1746" i="240"/>
  <c r="A1747" i="240"/>
  <c r="A1748" i="240"/>
  <c r="A1749" i="240"/>
  <c r="A1750" i="240"/>
  <c r="A1751" i="240"/>
  <c r="A1752" i="240"/>
  <c r="A1753" i="240"/>
  <c r="A1754" i="240"/>
  <c r="A1755" i="240"/>
  <c r="A1756" i="240"/>
  <c r="A1757" i="240"/>
  <c r="A1758" i="240"/>
  <c r="A1759" i="240"/>
  <c r="A1760" i="240"/>
  <c r="A1761" i="240"/>
  <c r="A1762" i="240"/>
  <c r="A1763" i="240"/>
  <c r="A1764" i="240"/>
  <c r="A1765" i="240"/>
  <c r="A1766" i="240"/>
  <c r="A1767" i="240"/>
  <c r="A1768" i="240"/>
  <c r="A1769" i="240"/>
  <c r="A1770" i="240"/>
  <c r="A1771" i="240"/>
  <c r="A1772" i="240"/>
  <c r="A1773" i="240"/>
  <c r="A1774" i="240"/>
  <c r="A1775" i="240"/>
  <c r="A1776" i="240"/>
  <c r="A1777" i="240"/>
  <c r="A1778" i="240"/>
  <c r="A1779" i="240"/>
  <c r="A1780" i="240"/>
  <c r="A1781" i="240"/>
  <c r="A1782" i="240"/>
  <c r="A1783" i="240"/>
  <c r="A1784" i="240"/>
  <c r="A1785" i="240"/>
  <c r="A1786" i="240"/>
  <c r="A1787" i="240"/>
  <c r="A1788" i="240"/>
  <c r="A1789" i="240"/>
  <c r="A1790" i="240"/>
  <c r="A1791" i="240"/>
  <c r="A1792" i="240"/>
  <c r="A1793" i="240"/>
  <c r="A1794" i="240"/>
  <c r="A1795" i="240"/>
  <c r="A1796" i="240"/>
  <c r="A1797" i="240"/>
  <c r="A1798" i="240"/>
  <c r="A1799" i="240"/>
  <c r="A1800" i="240"/>
  <c r="A1801" i="240"/>
  <c r="A1802" i="240"/>
  <c r="A1803" i="240"/>
  <c r="A1804" i="240"/>
  <c r="A1805" i="240"/>
  <c r="A1806" i="240"/>
  <c r="A1807" i="240"/>
  <c r="A1808" i="240"/>
  <c r="A1809" i="240"/>
  <c r="A1810" i="240"/>
  <c r="A1811" i="240"/>
  <c r="A1812" i="240"/>
  <c r="A1813" i="240"/>
  <c r="A1814" i="240"/>
  <c r="A1815" i="240"/>
  <c r="A1816" i="240"/>
  <c r="A1817" i="240"/>
  <c r="A1818" i="240"/>
  <c r="A1819" i="240"/>
  <c r="A1820" i="240"/>
  <c r="A1821" i="240"/>
  <c r="A1822" i="240"/>
  <c r="A1823" i="240"/>
  <c r="A1824" i="240"/>
  <c r="A1825" i="240"/>
  <c r="A1826" i="240"/>
  <c r="A1827" i="240"/>
  <c r="A1828" i="240"/>
  <c r="A1829" i="240"/>
  <c r="A1830" i="240"/>
  <c r="A1831" i="240"/>
  <c r="A1832" i="240"/>
  <c r="A1833" i="240"/>
  <c r="A1834" i="240"/>
  <c r="A1835" i="240"/>
  <c r="A1836" i="240"/>
  <c r="A1837" i="240"/>
  <c r="A1838" i="240"/>
  <c r="A1839" i="240"/>
  <c r="A1840" i="240"/>
  <c r="A1841" i="240"/>
  <c r="A1842" i="240"/>
  <c r="A1843" i="240"/>
  <c r="A1844" i="240"/>
  <c r="A1845" i="240"/>
  <c r="A1846" i="240"/>
  <c r="A1847" i="240"/>
  <c r="A1848" i="240"/>
  <c r="A1849" i="240"/>
  <c r="A1850" i="240"/>
  <c r="A1851" i="240"/>
  <c r="A1852" i="240"/>
  <c r="A1853" i="240"/>
  <c r="A1854" i="240"/>
  <c r="A1855" i="240"/>
  <c r="A1856" i="240"/>
  <c r="A1857" i="240"/>
  <c r="A1858" i="240"/>
  <c r="A1859" i="240"/>
  <c r="A1860" i="240"/>
  <c r="A1861" i="240"/>
  <c r="A1862" i="240"/>
  <c r="A1863" i="240"/>
  <c r="A1864" i="240"/>
  <c r="A1865" i="240"/>
  <c r="A1866" i="240"/>
  <c r="A1867" i="240"/>
  <c r="A1868" i="240"/>
  <c r="A1869" i="240"/>
  <c r="A1870" i="240"/>
  <c r="A1871" i="240"/>
  <c r="A1872" i="240"/>
  <c r="A1873" i="240"/>
  <c r="A1874" i="240"/>
  <c r="A1875" i="240"/>
  <c r="A1876" i="240"/>
  <c r="A1877" i="240"/>
  <c r="A1878" i="240"/>
  <c r="A1879" i="240"/>
  <c r="A1880" i="240"/>
  <c r="A1881" i="240"/>
  <c r="A1882" i="240"/>
  <c r="A1883" i="240"/>
  <c r="A1884" i="240"/>
  <c r="A1885" i="240"/>
  <c r="A1886" i="240"/>
  <c r="A1887" i="240"/>
  <c r="A1888" i="240"/>
  <c r="A1889" i="240"/>
  <c r="A1890" i="240"/>
  <c r="A1891" i="240"/>
  <c r="A1892" i="240"/>
  <c r="A1893" i="240"/>
  <c r="A1894" i="240"/>
  <c r="A1895" i="240"/>
  <c r="A1896" i="240"/>
  <c r="A1897" i="240"/>
  <c r="A1898" i="240"/>
  <c r="A1899" i="240"/>
  <c r="A1900" i="240"/>
  <c r="A1901" i="240"/>
  <c r="A1902" i="240"/>
  <c r="A1903" i="240"/>
  <c r="A1904" i="240"/>
  <c r="A1905" i="240"/>
  <c r="A1906" i="240"/>
  <c r="A1907" i="240"/>
  <c r="A1908" i="240"/>
  <c r="A1909" i="240"/>
  <c r="A1910" i="240"/>
  <c r="A1911" i="240"/>
  <c r="A1912" i="240"/>
  <c r="A1913" i="240"/>
  <c r="A1914" i="240"/>
  <c r="A1915" i="240"/>
  <c r="A1916" i="240"/>
  <c r="A1917" i="240"/>
  <c r="A1918" i="240"/>
  <c r="A1919" i="240"/>
  <c r="A1920" i="240"/>
  <c r="A1921" i="240"/>
  <c r="A1922" i="240"/>
  <c r="A1923" i="240"/>
  <c r="A1924" i="240"/>
  <c r="A1925" i="240"/>
  <c r="A1926" i="240"/>
  <c r="A1927" i="240"/>
  <c r="A1928" i="240"/>
  <c r="A1929" i="240"/>
  <c r="A1930" i="240"/>
  <c r="A1931" i="240"/>
  <c r="A1932" i="240"/>
  <c r="A1933" i="240"/>
  <c r="A1934" i="240"/>
  <c r="A1935" i="240"/>
  <c r="A1936" i="240"/>
  <c r="A1937" i="240"/>
  <c r="A1938" i="240"/>
  <c r="A1939" i="240"/>
  <c r="A1940" i="240"/>
  <c r="A1941" i="240"/>
  <c r="A1942" i="240"/>
  <c r="A1943" i="240"/>
  <c r="A1944" i="240"/>
  <c r="A1945" i="240"/>
  <c r="A1946" i="240"/>
  <c r="A1947" i="240"/>
  <c r="A1948" i="240"/>
  <c r="A1949" i="240"/>
  <c r="A1950" i="240"/>
  <c r="A1951" i="240"/>
  <c r="A1952" i="240"/>
  <c r="A1953" i="240"/>
  <c r="A1954" i="240"/>
  <c r="A1955" i="240"/>
  <c r="A1956" i="240"/>
  <c r="A1957" i="240"/>
  <c r="A1958" i="240"/>
  <c r="A1959" i="240"/>
  <c r="A1960" i="240"/>
  <c r="A1961" i="240"/>
  <c r="A1962" i="240"/>
  <c r="A1963" i="240"/>
  <c r="A1964" i="240"/>
  <c r="A1965" i="240"/>
  <c r="A1966" i="240"/>
  <c r="A1967" i="240"/>
  <c r="A1968" i="240"/>
  <c r="A1969" i="240"/>
  <c r="A1970" i="240"/>
  <c r="A1971" i="240"/>
  <c r="A1972" i="240"/>
  <c r="A1973" i="240"/>
  <c r="A1974" i="240"/>
  <c r="A1975" i="240"/>
  <c r="A1976" i="240"/>
  <c r="A1977" i="240"/>
  <c r="A1978" i="240"/>
  <c r="A1979" i="240"/>
  <c r="A1980" i="240"/>
  <c r="A1981" i="240"/>
  <c r="A1982" i="240"/>
  <c r="A1983" i="240"/>
  <c r="A1984" i="240"/>
  <c r="A1985" i="240"/>
  <c r="A1986" i="240"/>
  <c r="A1987" i="240"/>
  <c r="A1988" i="240"/>
  <c r="A1989" i="240"/>
  <c r="A1990" i="240"/>
  <c r="A1991" i="240"/>
  <c r="A1992" i="240"/>
  <c r="A1993" i="240"/>
  <c r="A1994" i="240"/>
  <c r="A1995" i="240"/>
  <c r="A1996" i="240"/>
  <c r="A1997" i="240"/>
  <c r="A1998" i="240"/>
  <c r="A1999" i="240"/>
  <c r="A2000" i="240"/>
  <c r="A2001" i="240"/>
  <c r="A2002" i="240"/>
  <c r="A2003" i="240"/>
  <c r="A2004" i="240"/>
  <c r="A2005" i="240"/>
  <c r="A2006" i="240"/>
  <c r="A2007" i="240"/>
  <c r="A2008" i="240"/>
  <c r="A2009" i="240"/>
  <c r="A2010" i="240"/>
  <c r="A2011" i="240"/>
  <c r="A2012" i="240"/>
  <c r="A2013" i="240"/>
  <c r="A2014" i="240"/>
  <c r="A2015" i="240"/>
  <c r="A2016" i="240"/>
  <c r="A2017" i="240"/>
  <c r="A2018" i="240"/>
  <c r="A2019" i="240"/>
  <c r="A2020" i="240"/>
  <c r="A2021" i="240"/>
  <c r="A2022" i="240"/>
  <c r="A2023" i="240"/>
  <c r="A2024" i="240"/>
  <c r="A2025" i="240"/>
  <c r="A2026" i="240"/>
  <c r="A2027" i="240"/>
  <c r="A2028" i="240"/>
  <c r="A2029" i="240"/>
  <c r="A2030" i="240"/>
  <c r="A2031" i="240"/>
  <c r="A2032" i="240"/>
  <c r="A2033" i="240"/>
  <c r="A2034" i="240"/>
  <c r="A2035" i="240"/>
  <c r="A2036" i="240"/>
  <c r="A2037" i="240"/>
  <c r="A2038" i="240"/>
  <c r="A2039" i="240"/>
  <c r="A2040" i="240"/>
  <c r="A2041" i="240"/>
  <c r="A2042" i="240"/>
  <c r="A2043" i="240"/>
  <c r="A2044" i="240"/>
  <c r="A2045" i="240"/>
  <c r="A2046" i="240"/>
  <c r="A2047" i="240"/>
  <c r="A2048" i="240"/>
  <c r="A2049" i="240"/>
  <c r="A2050" i="240"/>
  <c r="A2051" i="240"/>
  <c r="A2052" i="240"/>
  <c r="A2053" i="240"/>
  <c r="A2054" i="240"/>
  <c r="A2055" i="240"/>
  <c r="A2056" i="240"/>
  <c r="A2057" i="240"/>
  <c r="A2058" i="240"/>
  <c r="A2059" i="240"/>
  <c r="A2060" i="240"/>
  <c r="A2061" i="240"/>
  <c r="A2062" i="240"/>
  <c r="A2063" i="240"/>
  <c r="A2064" i="240"/>
  <c r="A2065" i="240"/>
  <c r="A2066" i="240"/>
  <c r="A2067" i="240"/>
  <c r="A2068" i="240"/>
  <c r="A2069" i="240"/>
  <c r="A2070" i="240"/>
  <c r="A2071" i="240"/>
  <c r="A2072" i="240"/>
  <c r="A2073" i="240"/>
  <c r="A2074" i="240"/>
  <c r="A2075" i="240"/>
  <c r="A2076" i="240"/>
  <c r="A2077" i="240"/>
  <c r="A2078" i="240"/>
  <c r="A2079" i="240"/>
  <c r="A2080" i="240"/>
  <c r="A2081" i="240"/>
  <c r="A2082" i="240"/>
  <c r="A2083" i="240"/>
  <c r="A2084" i="240"/>
  <c r="A2085" i="240"/>
  <c r="A2086" i="240"/>
  <c r="A2087" i="240"/>
  <c r="A2088" i="240"/>
  <c r="A2089" i="240"/>
  <c r="A2090" i="240"/>
  <c r="A2091" i="240"/>
  <c r="A2092" i="240"/>
  <c r="A2093" i="240"/>
  <c r="A2094" i="240"/>
  <c r="A2095" i="240"/>
  <c r="A2096" i="240"/>
  <c r="A2097" i="240"/>
  <c r="A2098" i="240"/>
  <c r="A2099" i="240"/>
  <c r="A2100" i="240"/>
  <c r="A2101" i="240"/>
  <c r="A2102" i="240"/>
  <c r="A2103" i="240"/>
  <c r="A2104" i="240"/>
  <c r="A2105" i="240"/>
  <c r="A2106" i="240"/>
  <c r="A2107" i="240"/>
  <c r="A2108" i="240"/>
  <c r="A2109" i="240"/>
  <c r="A2110" i="240"/>
  <c r="A2111" i="240"/>
  <c r="A2112" i="240"/>
  <c r="A2113" i="240"/>
  <c r="A2114" i="240"/>
  <c r="A2115" i="240"/>
  <c r="A2116" i="240"/>
  <c r="A2117" i="240"/>
  <c r="A2118" i="240"/>
  <c r="A2119" i="240"/>
  <c r="A2120" i="240"/>
  <c r="A2121" i="240"/>
  <c r="A2122" i="240"/>
  <c r="A2123" i="240"/>
  <c r="A2124" i="240"/>
  <c r="A2125" i="240"/>
  <c r="A2126" i="240"/>
  <c r="A2127" i="240"/>
  <c r="A2128" i="240"/>
  <c r="A2129" i="240"/>
  <c r="A2130" i="240"/>
  <c r="A2131" i="240"/>
  <c r="A2132" i="240"/>
  <c r="A2133" i="240"/>
  <c r="A2134" i="240"/>
  <c r="A2135" i="240"/>
  <c r="A2136" i="240"/>
  <c r="A2137" i="240"/>
  <c r="A2138" i="240"/>
  <c r="A2139" i="240"/>
  <c r="A2140" i="240"/>
  <c r="A2141" i="240"/>
  <c r="A2142" i="240"/>
  <c r="A2143" i="240"/>
  <c r="A2144" i="240"/>
  <c r="A2145" i="240"/>
  <c r="A2146" i="240"/>
  <c r="A2147" i="240"/>
  <c r="A2148" i="240"/>
  <c r="A2149" i="240"/>
  <c r="A2150" i="240"/>
  <c r="A2151" i="240"/>
  <c r="A2152" i="240"/>
  <c r="A2153" i="240"/>
  <c r="A2154" i="240"/>
  <c r="A2155" i="240"/>
  <c r="A2156" i="240"/>
  <c r="A2157" i="240"/>
  <c r="A2158" i="240"/>
  <c r="A2159" i="240"/>
  <c r="A2160" i="240"/>
  <c r="A2161" i="240"/>
  <c r="A2162" i="240"/>
  <c r="A2163" i="240"/>
  <c r="A2164" i="240"/>
  <c r="A2165" i="240"/>
  <c r="A2166" i="240"/>
  <c r="A2167" i="240"/>
  <c r="A2168" i="240"/>
  <c r="A2169" i="240"/>
  <c r="A2170" i="240"/>
  <c r="A2171" i="240"/>
  <c r="A2172" i="240"/>
  <c r="A2173" i="240"/>
  <c r="A2174" i="240"/>
  <c r="A2175" i="240"/>
  <c r="A2176" i="240"/>
  <c r="A2177" i="240"/>
  <c r="A2178" i="240"/>
  <c r="A2179" i="240"/>
  <c r="A2180" i="240"/>
  <c r="A2181" i="240"/>
  <c r="A2182" i="240"/>
  <c r="A2183" i="240"/>
  <c r="A2184" i="240"/>
  <c r="A2185" i="240"/>
  <c r="A2186" i="240"/>
  <c r="A2187" i="240"/>
  <c r="A2188" i="240"/>
  <c r="A2189" i="240"/>
  <c r="A2190" i="240"/>
  <c r="A2191" i="240"/>
  <c r="A2192" i="240"/>
  <c r="A2193" i="240"/>
  <c r="A2194" i="240"/>
  <c r="A2195" i="240"/>
  <c r="A2196" i="240"/>
  <c r="A2197" i="240"/>
  <c r="A2198" i="240"/>
  <c r="A2199" i="240"/>
  <c r="A2200" i="240"/>
  <c r="A2201" i="240"/>
  <c r="A2202" i="240"/>
  <c r="A2203" i="240"/>
  <c r="A2204" i="240"/>
  <c r="A2205" i="240"/>
  <c r="A2206" i="240"/>
  <c r="A2207" i="240"/>
  <c r="A2208" i="240"/>
  <c r="A2209" i="240"/>
  <c r="A2210" i="240"/>
  <c r="A2211" i="240"/>
  <c r="A2212" i="240"/>
  <c r="A2213" i="240"/>
  <c r="A2214" i="240"/>
  <c r="A2215" i="240"/>
  <c r="A2216" i="240"/>
  <c r="A2217" i="240"/>
  <c r="A2218" i="240"/>
  <c r="A2219" i="240"/>
  <c r="A2220" i="240"/>
  <c r="A2221" i="240"/>
  <c r="A2222" i="240"/>
  <c r="A2223" i="240"/>
  <c r="A2224" i="240"/>
  <c r="A2225" i="240"/>
  <c r="A2226" i="240"/>
  <c r="A2227" i="240"/>
  <c r="A2228" i="240"/>
  <c r="A2229" i="240"/>
  <c r="A2230" i="240"/>
  <c r="A2231" i="240"/>
  <c r="A2232" i="240"/>
  <c r="A2233" i="240"/>
  <c r="A2234" i="240"/>
  <c r="A2235" i="240"/>
  <c r="A2236" i="240"/>
  <c r="A2237" i="240"/>
  <c r="A2238" i="240"/>
  <c r="A2239" i="240"/>
  <c r="A2240" i="240"/>
  <c r="A2241" i="240"/>
  <c r="A2242" i="240"/>
  <c r="K5" i="8" l="1"/>
  <c r="K5" i="9"/>
  <c r="K5" i="10"/>
  <c r="K5" i="11"/>
  <c r="K5" i="12"/>
  <c r="K5" i="13"/>
  <c r="K5" i="14"/>
  <c r="K5" i="63"/>
  <c r="K5" i="215"/>
  <c r="K5" i="216"/>
  <c r="K5" i="217"/>
  <c r="I22" i="39" l="1"/>
  <c r="I23" i="39"/>
  <c r="I24" i="39"/>
  <c r="I25" i="39"/>
  <c r="I26" i="39"/>
  <c r="I31" i="39"/>
  <c r="I32" i="39"/>
  <c r="I33" i="39"/>
  <c r="I34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8" i="39"/>
  <c r="I69" i="39"/>
  <c r="I70" i="39"/>
  <c r="I74" i="39"/>
  <c r="I79" i="39"/>
  <c r="I80" i="39"/>
  <c r="I81" i="39"/>
  <c r="I82" i="39"/>
  <c r="I83" i="39"/>
  <c r="I14" i="39"/>
  <c r="I15" i="39"/>
  <c r="I16" i="39"/>
  <c r="A1" i="217" l="1"/>
  <c r="A1" i="216"/>
  <c r="A1" i="215"/>
  <c r="A1" i="63" l="1"/>
  <c r="A1" i="8" l="1"/>
  <c r="A1" i="14" l="1"/>
  <c r="A1" i="13"/>
  <c r="A1" i="12"/>
  <c r="A1" i="11"/>
  <c r="A1" i="10"/>
  <c r="A1" i="9"/>
</calcChain>
</file>

<file path=xl/sharedStrings.xml><?xml version="1.0" encoding="utf-8"?>
<sst xmlns="http://schemas.openxmlformats.org/spreadsheetml/2006/main" count="29132" uniqueCount="7909">
  <si>
    <t>전문명</t>
  </si>
  <si>
    <t>수시</t>
  </si>
  <si>
    <t>NO</t>
  </si>
  <si>
    <t>거래일자</t>
  </si>
  <si>
    <t>N</t>
  </si>
  <si>
    <t>B</t>
  </si>
  <si>
    <t>이체기관</t>
  </si>
  <si>
    <t>자금이체 일련번호</t>
  </si>
  <si>
    <t>수취기관</t>
  </si>
  <si>
    <t>자금코드</t>
  </si>
  <si>
    <t>금액</t>
  </si>
  <si>
    <t>결제시점</t>
  </si>
  <si>
    <t>의뢰기관명</t>
  </si>
  <si>
    <t>적요</t>
  </si>
  <si>
    <t>이체기관점포코드</t>
  </si>
  <si>
    <t>이체기관점포명</t>
  </si>
  <si>
    <t>수취기관점포코드</t>
  </si>
  <si>
    <t>수취기관점포명</t>
  </si>
  <si>
    <t>결제상태</t>
  </si>
  <si>
    <t>예약번호</t>
  </si>
  <si>
    <t>대기번호</t>
  </si>
  <si>
    <t>회계번호</t>
  </si>
  <si>
    <t>신청시간</t>
  </si>
  <si>
    <t>결제시간</t>
  </si>
  <si>
    <t>당좌대출가능금액</t>
  </si>
  <si>
    <t>공란</t>
  </si>
  <si>
    <t>A</t>
  </si>
  <si>
    <t>당좌예금(일반)잔액</t>
  </si>
  <si>
    <t>길이</t>
    <phoneticPr fontId="1" type="noConversion"/>
  </si>
  <si>
    <t>공통부</t>
  </si>
  <si>
    <t xml:space="preserve"> </t>
  </si>
  <si>
    <t>전문종별코드</t>
  </si>
  <si>
    <t>거래구분코드</t>
  </si>
  <si>
    <t>관련요구전문</t>
  </si>
  <si>
    <t>전문길이</t>
  </si>
  <si>
    <t>송신시점</t>
  </si>
  <si>
    <t>처리프로그램</t>
  </si>
  <si>
    <t xml:space="preserve"> 항목</t>
  </si>
  <si>
    <t>속성</t>
    <phoneticPr fontId="1" type="noConversion"/>
  </si>
  <si>
    <t>SET</t>
    <phoneticPr fontId="1" type="noConversion"/>
  </si>
  <si>
    <t>설명</t>
    <phoneticPr fontId="1" type="noConversion"/>
  </si>
  <si>
    <t>AH</t>
  </si>
  <si>
    <t>AN</t>
  </si>
  <si>
    <t>-</t>
  </si>
  <si>
    <t>당좌예금(결제전용)잔액</t>
    <phoneticPr fontId="1" type="noConversion"/>
  </si>
  <si>
    <t>이체의뢰기관</t>
    <phoneticPr fontId="1" type="noConversion"/>
  </si>
  <si>
    <t>&lt;별첨3&gt; 참조</t>
    <phoneticPr fontId="1" type="noConversion"/>
  </si>
  <si>
    <t>BKS20B020</t>
    <phoneticPr fontId="1" type="noConversion"/>
  </si>
  <si>
    <t>BKS20B030</t>
    <phoneticPr fontId="1" type="noConversion"/>
  </si>
  <si>
    <t>BKS20B040</t>
    <phoneticPr fontId="1" type="noConversion"/>
  </si>
  <si>
    <t>BKS10B011</t>
    <phoneticPr fontId="1" type="noConversion"/>
  </si>
  <si>
    <t>지급지시유형</t>
  </si>
  <si>
    <t>예약시각</t>
  </si>
  <si>
    <t>복합대기순서</t>
  </si>
  <si>
    <t>결제방법</t>
  </si>
  <si>
    <t>결제실패원인</t>
  </si>
  <si>
    <t>가용총순지급한도</t>
  </si>
  <si>
    <t>가용양자간순지급한도</t>
  </si>
  <si>
    <t>수취인명</t>
  </si>
  <si>
    <t>이체의뢰기관</t>
  </si>
  <si>
    <t>수취의뢰기관</t>
  </si>
  <si>
    <t>BKS20B030</t>
    <phoneticPr fontId="1" type="noConversion"/>
  </si>
  <si>
    <t>BKS20B040</t>
    <phoneticPr fontId="1" type="noConversion"/>
  </si>
  <si>
    <t>BKS20B050</t>
    <phoneticPr fontId="1" type="noConversion"/>
  </si>
  <si>
    <t>BKS20B060</t>
    <phoneticPr fontId="1" type="noConversion"/>
  </si>
  <si>
    <t>BKS20B070</t>
    <phoneticPr fontId="1" type="noConversion"/>
  </si>
  <si>
    <t>BKS20B080</t>
    <phoneticPr fontId="1" type="noConversion"/>
  </si>
  <si>
    <t>⑥ 한국은행 대행 일반자금이체 실행결과 이체기관앞 통보</t>
    <phoneticPr fontId="1" type="noConversion"/>
  </si>
  <si>
    <t>⑦ 한국은행 대행 일반자금이체 실행결과 수취기관앞 통보</t>
    <phoneticPr fontId="1" type="noConversion"/>
  </si>
  <si>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</si>
  <si>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</si>
  <si>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</si>
  <si>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</si>
  <si>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⑤</t>
    <phoneticPr fontId="1" type="noConversion"/>
  </si>
  <si>
    <t>⑥</t>
    <phoneticPr fontId="1" type="noConversion"/>
  </si>
  <si>
    <t>⑦</t>
    <phoneticPr fontId="1" type="noConversion"/>
  </si>
  <si>
    <t>전문명</t>
    <phoneticPr fontId="1" type="noConversion"/>
  </si>
  <si>
    <t>공란</t>
    <phoneticPr fontId="1" type="noConversion"/>
  </si>
  <si>
    <t>B</t>
    <phoneticPr fontId="1" type="noConversion"/>
  </si>
  <si>
    <t>N</t>
    <phoneticPr fontId="1" type="noConversion"/>
  </si>
  <si>
    <t>A</t>
    <phoneticPr fontId="1" type="noConversion"/>
  </si>
  <si>
    <t>이체기관 계정개설처</t>
  </si>
  <si>
    <t>수취기관 계정개설처</t>
  </si>
  <si>
    <t>수취의뢰기관</t>
    <phoneticPr fontId="1" type="noConversion"/>
  </si>
  <si>
    <t>수시</t>
    <phoneticPr fontId="1" type="noConversion"/>
  </si>
  <si>
    <t>자금이체시스템종류</t>
  </si>
  <si>
    <t>BKS20E090</t>
  </si>
  <si>
    <t>BKS20E110</t>
    <phoneticPr fontId="1" type="noConversion"/>
  </si>
  <si>
    <t>BKS20E080</t>
    <phoneticPr fontId="1" type="noConversion"/>
  </si>
  <si>
    <t>BKS10E070</t>
    <phoneticPr fontId="1" type="noConversion"/>
  </si>
  <si>
    <t>YYYYMMDD</t>
  </si>
  <si>
    <t>신청기관</t>
    <phoneticPr fontId="1" type="noConversion"/>
  </si>
  <si>
    <t>상대기관</t>
  </si>
  <si>
    <t>결제번호</t>
  </si>
  <si>
    <t>결제형태코드</t>
  </si>
  <si>
    <t>개별결제번호</t>
  </si>
  <si>
    <t>일련번호</t>
  </si>
  <si>
    <t>증권매도기관수</t>
  </si>
  <si>
    <t>대기취소시간</t>
  </si>
  <si>
    <t>신청의뢰기관</t>
    <phoneticPr fontId="1" type="noConversion"/>
  </si>
  <si>
    <t>S</t>
    <phoneticPr fontId="1" type="noConversion"/>
  </si>
  <si>
    <t>BKS20E090</t>
    <phoneticPr fontId="1" type="noConversion"/>
  </si>
  <si>
    <t>신청기관</t>
  </si>
  <si>
    <t>BKS20E160</t>
    <phoneticPr fontId="1" type="noConversion"/>
  </si>
  <si>
    <t>BKS20E190</t>
    <phoneticPr fontId="1" type="noConversion"/>
  </si>
  <si>
    <t>BKS20A020</t>
    <phoneticPr fontId="1" type="noConversion"/>
  </si>
  <si>
    <t>BKS20A040</t>
    <phoneticPr fontId="1" type="noConversion"/>
  </si>
  <si>
    <t>BKS20A030</t>
    <phoneticPr fontId="1" type="noConversion"/>
  </si>
  <si>
    <t>BKS10E150</t>
    <phoneticPr fontId="1" type="noConversion"/>
  </si>
  <si>
    <t>신청기관 계정개설처</t>
  </si>
  <si>
    <t>예약거래종류</t>
  </si>
  <si>
    <t>처리시간</t>
  </si>
  <si>
    <t>거래기관</t>
  </si>
  <si>
    <t>신청기관BIC</t>
  </si>
  <si>
    <t>지시기관BIC</t>
  </si>
  <si>
    <t>수혜기관BIC</t>
  </si>
  <si>
    <t>중개기관BIC</t>
  </si>
  <si>
    <t>거래참조번호</t>
  </si>
  <si>
    <t>거래참조번호(T20)</t>
  </si>
  <si>
    <t>거래관련번호(T21)</t>
  </si>
  <si>
    <t>NOSTRO 기관BIC</t>
  </si>
  <si>
    <t>1. 관리전문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</si>
  <si>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</si>
  <si>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</si>
  <si>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</si>
  <si>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</si>
  <si>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5)</t>
    <phoneticPr fontId="1" type="noConversion"/>
  </si>
  <si>
    <t>BKS20F030</t>
    <phoneticPr fontId="1" type="noConversion"/>
  </si>
  <si>
    <t>집계지시/응답</t>
    <phoneticPr fontId="1" type="noConversion"/>
  </si>
  <si>
    <t>SLP870503BW</t>
    <phoneticPr fontId="1" type="noConversion"/>
  </si>
  <si>
    <t>6)</t>
    <phoneticPr fontId="1" type="noConversion"/>
  </si>
  <si>
    <t>BKS20F040</t>
    <phoneticPr fontId="1" type="noConversion"/>
  </si>
  <si>
    <t>대사결과 통지</t>
    <phoneticPr fontId="1" type="noConversion"/>
  </si>
  <si>
    <t>SLP870806BW</t>
    <phoneticPr fontId="1" type="noConversion"/>
  </si>
  <si>
    <t>2. 업무전문</t>
    <phoneticPr fontId="1" type="noConversion"/>
  </si>
  <si>
    <t>SLP210301SW</t>
    <phoneticPr fontId="1" type="noConversion"/>
  </si>
  <si>
    <t>ZLP240102ZW</t>
    <phoneticPr fontId="1" type="noConversion"/>
  </si>
  <si>
    <t>SLP210401ZW</t>
    <phoneticPr fontId="1" type="noConversion"/>
  </si>
  <si>
    <t>SLP210101BW</t>
    <phoneticPr fontId="1" type="noConversion"/>
  </si>
  <si>
    <t>BKS10B021</t>
    <phoneticPr fontId="1" type="noConversion"/>
  </si>
  <si>
    <t>SLP210901SW</t>
    <phoneticPr fontId="1" type="noConversion"/>
  </si>
  <si>
    <t>(혼합형결제 : 원화자금이체)</t>
    <phoneticPr fontId="1" type="noConversion"/>
  </si>
  <si>
    <t>(총액결제 : 원화자금이체)</t>
    <phoneticPr fontId="1" type="noConversion"/>
  </si>
  <si>
    <t>한국은행 대행 자금이체 결제취소 실행결과 이체기관앞 통보</t>
  </si>
  <si>
    <t>한국은행 대행 자금이체 결제취소 실행결과 수취기관앞 통보</t>
  </si>
  <si>
    <t>대기거래 취소 신청 요구</t>
    <phoneticPr fontId="1" type="noConversion"/>
  </si>
  <si>
    <t>예약거래 취소 신청 요구</t>
    <phoneticPr fontId="1" type="noConversion"/>
  </si>
  <si>
    <t>일반자금이체 신청 요구</t>
    <phoneticPr fontId="1" type="noConversion"/>
  </si>
  <si>
    <t>(총액결제 : CLS)</t>
    <phoneticPr fontId="1" type="noConversion"/>
  </si>
  <si>
    <t>PAY-IN 입력 요구</t>
    <phoneticPr fontId="1" type="noConversion"/>
  </si>
  <si>
    <t>BKS10A011</t>
    <phoneticPr fontId="1" type="noConversion"/>
  </si>
  <si>
    <t>PAY-OUT신청결과 통보</t>
  </si>
  <si>
    <t>PAY-IN입력 대행거래 처리결과 통보</t>
  </si>
  <si>
    <t>BKS10B091</t>
    <phoneticPr fontId="1" type="noConversion"/>
  </si>
  <si>
    <t>BKS20B100</t>
    <phoneticPr fontId="1" type="noConversion"/>
  </si>
  <si>
    <t>BKS20B110</t>
    <phoneticPr fontId="1" type="noConversion"/>
  </si>
  <si>
    <t>BKS20B120</t>
    <phoneticPr fontId="1" type="noConversion"/>
  </si>
  <si>
    <t>BKS20B130</t>
    <phoneticPr fontId="1" type="noConversion"/>
  </si>
  <si>
    <t>BKS20B140</t>
    <phoneticPr fontId="1" type="noConversion"/>
  </si>
  <si>
    <t>BKS10B081</t>
    <phoneticPr fontId="1" type="noConversion"/>
  </si>
  <si>
    <t>BKS20B150</t>
    <phoneticPr fontId="1" type="noConversion"/>
  </si>
  <si>
    <t>BKS20B160</t>
    <phoneticPr fontId="1" type="noConversion"/>
  </si>
  <si>
    <t>BKS20B170</t>
    <phoneticPr fontId="1" type="noConversion"/>
  </si>
  <si>
    <t>수취인지정자금 반환 신청 수취기관(원이체기관)앞 통보</t>
    <phoneticPr fontId="1" type="noConversion"/>
  </si>
  <si>
    <t>수취인지정자금 반환 대기해소 이체기관(원수취기관)앞 통보</t>
    <phoneticPr fontId="1" type="noConversion"/>
  </si>
  <si>
    <t>수취인지정자금 반환 대기해소 수취기관(원이체기관)앞 통보</t>
    <phoneticPr fontId="1" type="noConversion"/>
  </si>
  <si>
    <t>BKS10E300</t>
    <phoneticPr fontId="1" type="noConversion"/>
  </si>
  <si>
    <t>수취인지정자금 이체(반환) 입금결과 이체기관앞 통보</t>
    <phoneticPr fontId="1" type="noConversion"/>
  </si>
  <si>
    <t>BKS20E300</t>
    <phoneticPr fontId="1" type="noConversion"/>
  </si>
  <si>
    <t>BKS10E310</t>
    <phoneticPr fontId="1" type="noConversion"/>
  </si>
  <si>
    <t>7)</t>
    <phoneticPr fontId="1" type="noConversion"/>
  </si>
  <si>
    <t>8)</t>
    <phoneticPr fontId="1" type="noConversion"/>
  </si>
  <si>
    <t>BKS20E220</t>
    <phoneticPr fontId="1" type="noConversion"/>
  </si>
  <si>
    <t>9)</t>
    <phoneticPr fontId="1" type="noConversion"/>
  </si>
  <si>
    <t>기타 통보전문</t>
    <phoneticPr fontId="1" type="noConversion"/>
  </si>
  <si>
    <t>BKS10E060</t>
    <phoneticPr fontId="1" type="noConversion"/>
  </si>
  <si>
    <t>BKS20E130</t>
    <phoneticPr fontId="1" type="noConversion"/>
  </si>
  <si>
    <t>BKS20B180</t>
    <phoneticPr fontId="1" type="noConversion"/>
  </si>
  <si>
    <t>수취인지정 자금이체 계좌조회 결과 통보</t>
    <phoneticPr fontId="1" type="noConversion"/>
  </si>
  <si>
    <t>BKS20B200</t>
    <phoneticPr fontId="1" type="noConversion"/>
  </si>
  <si>
    <t>BKS20B190</t>
    <phoneticPr fontId="1" type="noConversion"/>
  </si>
  <si>
    <t>BKS10B170</t>
    <phoneticPr fontId="1" type="noConversion"/>
  </si>
  <si>
    <t>12)</t>
    <phoneticPr fontId="1" type="noConversion"/>
  </si>
  <si>
    <t>BKS10F060</t>
    <phoneticPr fontId="1" type="noConversion"/>
  </si>
  <si>
    <t>수취인 이름</t>
  </si>
  <si>
    <t>수취인 계좌번호</t>
  </si>
  <si>
    <t>의뢰인 이름</t>
  </si>
  <si>
    <t>의뢰인 계좌번호</t>
  </si>
  <si>
    <t>의뢰인 구분</t>
  </si>
  <si>
    <t>의뢰인 지역</t>
  </si>
  <si>
    <t>CMS코드 사용여부</t>
  </si>
  <si>
    <t>의뢰인 CMS코드</t>
  </si>
  <si>
    <t>이체 의뢰기관</t>
    <phoneticPr fontId="1" type="noConversion"/>
  </si>
  <si>
    <t>수취인 구분</t>
    <phoneticPr fontId="1" type="noConversion"/>
  </si>
  <si>
    <t>수취인 지역</t>
    <phoneticPr fontId="1" type="noConversion"/>
  </si>
  <si>
    <t>(원거래) 자금이체 일련번호</t>
  </si>
  <si>
    <t>S</t>
  </si>
  <si>
    <t>입금결과</t>
  </si>
  <si>
    <t>입금처리시간</t>
  </si>
  <si>
    <t>예약거래종류</t>
    <phoneticPr fontId="1" type="noConversion"/>
  </si>
  <si>
    <t>변경전복합대기순서</t>
  </si>
  <si>
    <t>변경후복합대기순서</t>
  </si>
  <si>
    <t>R</t>
  </si>
  <si>
    <t>한국은행 대행 일반자금이체 결제취소 실행결과 이체기관앞 통보/통보응답</t>
    <phoneticPr fontId="1" type="noConversion"/>
  </si>
  <si>
    <t>한국은행 대행 일반자금이체 결제취소 실행결과 수취기관앞 통보/통보응답</t>
    <phoneticPr fontId="1" type="noConversion"/>
  </si>
  <si>
    <t>SLP220301SW</t>
    <phoneticPr fontId="1" type="noConversion"/>
  </si>
  <si>
    <t>ZLP240103ZW</t>
  </si>
  <si>
    <t>ZLP240103ZW</t>
    <phoneticPr fontId="1" type="noConversion"/>
  </si>
  <si>
    <t>SLP220103ZW</t>
    <phoneticPr fontId="1" type="noConversion"/>
  </si>
  <si>
    <t>SLP220302SW</t>
  </si>
  <si>
    <t>SLP220302SW</t>
    <phoneticPr fontId="1" type="noConversion"/>
  </si>
  <si>
    <t>ZLP240104ZW</t>
  </si>
  <si>
    <t>SLP220303SW</t>
  </si>
  <si>
    <t>SLP220303SW</t>
    <phoneticPr fontId="1" type="noConversion"/>
  </si>
  <si>
    <t>SLP120105ZW</t>
  </si>
  <si>
    <t>SLP210103BW</t>
    <phoneticPr fontId="1" type="noConversion"/>
  </si>
  <si>
    <t>당좌대출가능금액</t>
    <phoneticPr fontId="1" type="noConversion"/>
  </si>
  <si>
    <t>계좌구분</t>
  </si>
  <si>
    <t>예약번호</t>
    <phoneticPr fontId="1" type="noConversion"/>
  </si>
  <si>
    <t>신청기관 BIC</t>
  </si>
  <si>
    <t>지시기관 BIC</t>
  </si>
  <si>
    <t>수혜기관 BIC</t>
  </si>
  <si>
    <t>중개기관 BIC</t>
  </si>
  <si>
    <t>계정개설처</t>
  </si>
  <si>
    <t>BKS20B020</t>
  </si>
  <si>
    <t>비고</t>
  </si>
  <si>
    <t>반환신청시 원거래정보 확인사항
1. 거래일자(원거래와 반환거래의 거래일은 동일해야 함)
2. 수취기관(원거래기준 이체기관)
3. 이체기관(원거래기준 수취기관)
4. (원거래)자금이체 일련번호
5. 금액(원거래기준 금액)</t>
    <phoneticPr fontId="1" type="noConversion"/>
  </si>
  <si>
    <t xml:space="preserve">&lt;입금결과 통보 대상 거래 확인사항&gt;         
1. 거래일자, 이체기관, 수취기관, 자금이체일련번호, 금액         
&lt;예&gt; 수취인지정자금 이체 원거래 : A 기관 → B 기관,  반환거래 : B 기관 → A 기관         
① 수취인지정자금 이체 입금결과 통보(B 기관이 작성)         
   - 주요 입력항목         
     o 이체기관 : A 기관코드         
     o 수취기관 : B 기관코드         
     o 자금이체 일련번호 : B 기관 앞으로 통보된 자금이체 일련번호          
     o 결과통보 거래구분 : 1(수취인지정자금 이체 입금결과 통보)         
② 수취인지정자금 이체 반환 입금결과 통보(A 기관이 작성)         
   - 주요 입력항목         
     o 이체기관 : B 기관코드         
     o 수취기관 : A 기관코드         
     o 자금이체 일련번호 : A 기관 앞으로 통보된 자금이체 일련번호         
     o 결과통보 거래구분 : 2(수취인지정자금 이체 반환 입금결과 통보) </t>
    <phoneticPr fontId="1" type="noConversion"/>
  </si>
  <si>
    <t xml:space="preserve">&lt;예&gt; 수취인지정자금 이체 원거래 : A 기관 → B 기관,  반환거래 : B 기관 → A 기관         
① 수취인지정자금 이체 입금결과 조회(A기관이 조회)         
   - 주요 입력항목         
     o 이체기관 : A 기관코드         
     o 수취기관 : B 기관코드         
     o 자금이체 일련번호 : A 기관 앞으로 통보된 자금이체 일련번호          
     o 조회대상 거래구분 : 1(수취인지정자금 이체 입금결과 조회)         
② 수취인지정자금 이체 반환 입금결과 조회(B기관이 조회)         
   - 주요 입력항목         
     o 이체기관 : B 기관코드         
     o 수취기관 : A 기관코드         
     o 자금이체 일련번호 : B 기관 앞으로 통보된 자금이체 일련번호         
     o 조회대상 거래구분 : 2(수취인지정자금 이체 반환 입금결과 조회) </t>
    <phoneticPr fontId="1" type="noConversion"/>
  </si>
  <si>
    <t>비고</t>
    <phoneticPr fontId="1" type="noConversion"/>
  </si>
  <si>
    <t>조정구분</t>
  </si>
  <si>
    <t>지급지시유형 조정전</t>
  </si>
  <si>
    <t>지급지시유형 조정후</t>
  </si>
  <si>
    <t>복합대기순위 조정전</t>
  </si>
  <si>
    <t>AN</t>
    <phoneticPr fontId="1" type="noConversion"/>
  </si>
  <si>
    <t>복합대기순위 조정후</t>
    <phoneticPr fontId="1" type="noConversion"/>
  </si>
  <si>
    <t>당좌예금(결제전용)잔액</t>
  </si>
  <si>
    <t>이체기관</t>
    <phoneticPr fontId="1" type="noConversion"/>
  </si>
  <si>
    <t>*</t>
  </si>
  <si>
    <t>(결제정보 : 계좌관리)</t>
    <phoneticPr fontId="1" type="noConversion"/>
  </si>
  <si>
    <t>BKS10E120</t>
    <phoneticPr fontId="1" type="noConversion"/>
  </si>
  <si>
    <t>(혼합형결제 : 연계결제)</t>
    <phoneticPr fontId="1" type="noConversion"/>
  </si>
  <si>
    <t>BKF101011</t>
    <phoneticPr fontId="1" type="noConversion"/>
  </si>
  <si>
    <t>BKS20G010</t>
    <phoneticPr fontId="1" type="noConversion"/>
  </si>
  <si>
    <t>BKS20G020</t>
    <phoneticPr fontId="1" type="noConversion"/>
  </si>
  <si>
    <t>BKS20G210</t>
    <phoneticPr fontId="1" type="noConversion"/>
  </si>
  <si>
    <t>BKS20G220</t>
    <phoneticPr fontId="1" type="noConversion"/>
  </si>
  <si>
    <t>BKF101021</t>
    <phoneticPr fontId="1" type="noConversion"/>
  </si>
  <si>
    <t>일중당좌대출잔액</t>
  </si>
  <si>
    <t>총순지급한도</t>
  </si>
  <si>
    <t>최저순지급한도</t>
  </si>
  <si>
    <t>총순지급금액</t>
  </si>
  <si>
    <t>SPACE</t>
  </si>
  <si>
    <t>&lt;별첨6&gt; 참조</t>
    <phoneticPr fontId="1" type="noConversion"/>
  </si>
  <si>
    <t>SPACE</t>
    <phoneticPr fontId="1" type="noConversion"/>
  </si>
  <si>
    <t>연계결제 신청 요구(금융결제원)</t>
    <phoneticPr fontId="1" type="noConversion"/>
  </si>
  <si>
    <t>전자금융공동망거래고유번호</t>
    <phoneticPr fontId="1" type="noConversion"/>
  </si>
  <si>
    <t>이체기관 점포코드</t>
  </si>
  <si>
    <t>의뢰인 실명</t>
  </si>
  <si>
    <t>출금인명</t>
  </si>
  <si>
    <t>매체구분</t>
  </si>
  <si>
    <t>자금성격</t>
  </si>
  <si>
    <t>의뢰인 정보</t>
  </si>
  <si>
    <t>신청시각</t>
  </si>
  <si>
    <t>결제시각</t>
  </si>
  <si>
    <t>연계결제 반환 신청 요구(금융결제원)</t>
    <phoneticPr fontId="1" type="noConversion"/>
  </si>
  <si>
    <t>(원거래)전자금융공동망거래고유번호</t>
    <phoneticPr fontId="1" type="noConversion"/>
  </si>
  <si>
    <t>(원거래)자금이체일련번호</t>
    <phoneticPr fontId="1" type="noConversion"/>
  </si>
  <si>
    <t>1) 연계결제 신청 요구(금융결제원)</t>
    <phoneticPr fontId="1" type="noConversion"/>
  </si>
  <si>
    <t>2) 연계결제 반환 신청 요구(금융결제원)</t>
    <phoneticPr fontId="1" type="noConversion"/>
  </si>
  <si>
    <t>참가기관</t>
    <phoneticPr fontId="1" type="noConversion"/>
  </si>
  <si>
    <t>참가기관 계정개설처</t>
  </si>
  <si>
    <t>참가기관</t>
  </si>
  <si>
    <t>집계 / 집계취소 구분</t>
  </si>
  <si>
    <t>작성구분</t>
  </si>
  <si>
    <t>SB</t>
  </si>
  <si>
    <t>입출력 데이터</t>
  </si>
  <si>
    <t>업무구분</t>
    <phoneticPr fontId="1" type="noConversion"/>
  </si>
  <si>
    <t>이체건수</t>
    <phoneticPr fontId="1" type="noConversion"/>
  </si>
  <si>
    <t>이체금액</t>
    <phoneticPr fontId="1" type="noConversion"/>
  </si>
  <si>
    <t>수취건수</t>
    <phoneticPr fontId="1" type="noConversion"/>
  </si>
  <si>
    <t>수취금액</t>
    <phoneticPr fontId="1" type="noConversion"/>
  </si>
  <si>
    <t>17:30 (한국은행→참가기관)
17:00 (한국은행→금융결제원)</t>
    <phoneticPr fontId="1" type="noConversion"/>
  </si>
  <si>
    <t>참가기관 이체건수</t>
  </si>
  <si>
    <t>참가기관 이체금액</t>
  </si>
  <si>
    <t>요청전문관리번호</t>
  </si>
  <si>
    <t>건별대사자료 신청</t>
    <phoneticPr fontId="1" type="noConversion"/>
  </si>
  <si>
    <t>일반자금이체 대기해소 이체기관앞 통보</t>
  </si>
  <si>
    <t>일반자금이체 대기해소 수취기관앞 통보</t>
  </si>
  <si>
    <t>일반자금이체 예약자금이체 실행결과 이체기관앞 통보</t>
  </si>
  <si>
    <t>일반자금이체 예약자금이체 실행결과 수취기관앞 통보</t>
  </si>
  <si>
    <t>한국은행 대행 일반자금이체 실행결과 이체기관앞 통보</t>
  </si>
  <si>
    <t>한국은행 대행 일반자금이체 실행결과 수취기관앞 통보</t>
  </si>
  <si>
    <t>수취인지정 자금이체 신청 요구</t>
    <phoneticPr fontId="1" type="noConversion"/>
  </si>
  <si>
    <t>수취인지정 자금이체 신청 수취기관앞 통보</t>
  </si>
  <si>
    <t>수취인지정 자금이체 대기해소 이체기관앞 통보</t>
  </si>
  <si>
    <t>수취인지정 자금이체 대기해소 수취기관앞 통보</t>
  </si>
  <si>
    <t>수취인지정자금이체 예약자금이체 실행결과 이체기관앞 통보</t>
  </si>
  <si>
    <t>수취인지정자금이체 예약자금이체 실행결과 수취기관앞 통보</t>
  </si>
  <si>
    <t>수취인지정자금 반환 신청 요구</t>
    <phoneticPr fontId="1" type="noConversion"/>
  </si>
  <si>
    <t>수취인지정자금 이체(반환) 입금결과 통보 요구</t>
    <phoneticPr fontId="1" type="noConversion"/>
  </si>
  <si>
    <t>수취인지정자금 이체(반환) 입금결과 조회 신청 요구</t>
    <phoneticPr fontId="1" type="noConversion"/>
  </si>
  <si>
    <t>수취인지정 자금이체 계좌조회 요구</t>
    <phoneticPr fontId="1" type="noConversion"/>
  </si>
  <si>
    <t>계좌잔액 및 한도 조회</t>
    <phoneticPr fontId="1" type="noConversion"/>
  </si>
  <si>
    <t>연계결제 신청 이체기관앞 통보</t>
  </si>
  <si>
    <t>연계결제 신청 수취기관앞 통보</t>
  </si>
  <si>
    <t>연계결제 반환 신청 이체기관앞 통보</t>
  </si>
  <si>
    <t>연계결제 반환 신청 수취기관앞 통보</t>
  </si>
  <si>
    <t>2) 대기거래 취소 신청 요구</t>
    <phoneticPr fontId="1" type="noConversion"/>
  </si>
  <si>
    <t>② 한국은행 대행 대기취소 처리결과 이체기관앞 통보</t>
    <phoneticPr fontId="1" type="noConversion"/>
  </si>
  <si>
    <t>④ 미결제 대기일괄취소 처리결과 이체기관앞 통보</t>
    <phoneticPr fontId="1" type="noConversion"/>
  </si>
  <si>
    <t>3) 예약거래 취소 신청 요구</t>
    <phoneticPr fontId="1" type="noConversion"/>
  </si>
  <si>
    <t>② 한국은행 대행 예약취소 처리결과 이체기관앞 통보</t>
    <phoneticPr fontId="1" type="noConversion"/>
  </si>
  <si>
    <t>미결제 예약일괄취소 처리결과 이체기관앞 통보</t>
    <phoneticPr fontId="1" type="noConversion"/>
  </si>
  <si>
    <t>미결제 지급지시유형 일괄변경 처리결과 이체기관앞 통보</t>
    <phoneticPr fontId="1" type="noConversion"/>
  </si>
  <si>
    <t>대기거래 조정 신청 요구</t>
    <phoneticPr fontId="1" type="noConversion"/>
  </si>
  <si>
    <t>BKS10B031</t>
    <phoneticPr fontId="1" type="noConversion"/>
  </si>
  <si>
    <t>BKS20B360</t>
    <phoneticPr fontId="1" type="noConversion"/>
  </si>
  <si>
    <t>BKS20B370</t>
    <phoneticPr fontId="1" type="noConversion"/>
  </si>
  <si>
    <t>1) 일반자금이체 신청 요구</t>
    <phoneticPr fontId="1" type="noConversion"/>
  </si>
  <si>
    <t>② 일반자금이체 대기해소 이체기관앞 통보</t>
    <phoneticPr fontId="1" type="noConversion"/>
  </si>
  <si>
    <t>③ 일반자금이체 대기해소 수취기관앞 통보</t>
    <phoneticPr fontId="1" type="noConversion"/>
  </si>
  <si>
    <t>④ 일반자금이체 예약자금이체 실행결과 이체기관앞 통보</t>
    <phoneticPr fontId="1" type="noConversion"/>
  </si>
  <si>
    <t>⑤ 일반자금이체 예약자금이체 실행결과 수취기관앞 통보</t>
    <phoneticPr fontId="1" type="noConversion"/>
  </si>
  <si>
    <t>① 연계결제 신청 이체기관앞 통보</t>
    <phoneticPr fontId="1" type="noConversion"/>
  </si>
  <si>
    <t>② 연계결제 신청 수취기관앞 통보</t>
    <phoneticPr fontId="1" type="noConversion"/>
  </si>
  <si>
    <t>② 연계결제 반환 신청 수취기관앞 통보</t>
    <phoneticPr fontId="1" type="noConversion"/>
  </si>
  <si>
    <t>지급지시유형</t>
    <phoneticPr fontId="1" type="noConversion"/>
  </si>
  <si>
    <t>결제시점</t>
    <phoneticPr fontId="1" type="noConversion"/>
  </si>
  <si>
    <t>신청일련번호</t>
    <phoneticPr fontId="1" type="noConversion"/>
  </si>
  <si>
    <t>BKS20B360,
BKS20B370</t>
    <phoneticPr fontId="1" type="noConversion"/>
  </si>
  <si>
    <t>결제실패원인</t>
    <phoneticPr fontId="1" type="noConversion"/>
  </si>
  <si>
    <t>수수료부과구분</t>
    <phoneticPr fontId="1" type="noConversion"/>
  </si>
  <si>
    <t>이체수수료</t>
    <phoneticPr fontId="1" type="noConversion"/>
  </si>
  <si>
    <t>구분</t>
    <phoneticPr fontId="1" type="noConversion"/>
  </si>
  <si>
    <t>회계번호</t>
    <phoneticPr fontId="1" type="noConversion"/>
  </si>
  <si>
    <t>거래기관</t>
    <phoneticPr fontId="1" type="noConversion"/>
  </si>
  <si>
    <t>결제형태코드</t>
    <phoneticPr fontId="1" type="noConversion"/>
  </si>
  <si>
    <t>증권대금코드</t>
    <phoneticPr fontId="1" type="noConversion"/>
  </si>
  <si>
    <t>결제상태</t>
    <phoneticPr fontId="1" type="noConversion"/>
  </si>
  <si>
    <t>-</t>
    <phoneticPr fontId="1" type="noConversion"/>
  </si>
  <si>
    <t>마감후 자금이체 신청 요구</t>
    <phoneticPr fontId="1" type="noConversion"/>
  </si>
  <si>
    <t>마감후 자금이체 결과 이체기관앞 통보</t>
    <phoneticPr fontId="1" type="noConversion"/>
  </si>
  <si>
    <t>마감후 자금이체 결과 수취기관앞 통보</t>
    <phoneticPr fontId="1" type="noConversion"/>
  </si>
  <si>
    <t>① 마감후 자금이체 결과 이체기관앞 통보</t>
    <phoneticPr fontId="1" type="noConversion"/>
  </si>
  <si>
    <t>② 마감후 자금이체 결과 수취기관앞 통보</t>
    <phoneticPr fontId="1" type="noConversion"/>
  </si>
  <si>
    <t>SLP120301SW</t>
    <phoneticPr fontId="1" type="noConversion"/>
  </si>
  <si>
    <t>SLP230301SW</t>
    <phoneticPr fontId="1" type="noConversion"/>
  </si>
  <si>
    <t>SLP230302SW</t>
    <phoneticPr fontId="1" type="noConversion"/>
  </si>
  <si>
    <t>SLP210109BW</t>
    <phoneticPr fontId="1" type="noConversion"/>
  </si>
  <si>
    <t>ZLP410102ZW</t>
    <phoneticPr fontId="1" type="noConversion"/>
  </si>
  <si>
    <t>SLP250102SW</t>
    <phoneticPr fontId="1" type="noConversion"/>
  </si>
  <si>
    <t>SLP210302SW</t>
    <phoneticPr fontId="1" type="noConversion"/>
  </si>
  <si>
    <t>SLP120302SW</t>
    <phoneticPr fontId="1" type="noConversion"/>
  </si>
  <si>
    <t>SLP530301ZW</t>
    <phoneticPr fontId="1" type="noConversion"/>
  </si>
  <si>
    <t>SLP220304SR</t>
    <phoneticPr fontId="1" type="noConversion"/>
  </si>
  <si>
    <t>SLP240403SR</t>
    <phoneticPr fontId="1" type="noConversion"/>
  </si>
  <si>
    <t>SLP870902PW</t>
    <phoneticPr fontId="1" type="noConversion"/>
  </si>
  <si>
    <t>SLP210109BW</t>
    <phoneticPr fontId="1" type="noConversion"/>
  </si>
  <si>
    <t>BKS20A030</t>
    <phoneticPr fontId="1" type="noConversion"/>
  </si>
  <si>
    <t>SLP540201BW
SLP540301ZW</t>
    <phoneticPr fontId="1" type="noConversion"/>
  </si>
  <si>
    <t>SLP530101BW
SLP530102BW</t>
    <phoneticPr fontId="1" type="noConversion"/>
  </si>
  <si>
    <t>수수료기준시간 조회 시 오류가 발생하였습니다.</t>
  </si>
  <si>
    <t>서면 수수료 생성 시 오류가 발생하였습니다.</t>
  </si>
  <si>
    <t>한은망 수수료 생성 시 오류가 발생하였습니다.</t>
  </si>
  <si>
    <t xml:space="preserve">이미　한은망거래　마감상태임          </t>
  </si>
  <si>
    <t>순번</t>
    <phoneticPr fontId="1" type="noConversion"/>
  </si>
  <si>
    <t>거래구분코드</t>
    <phoneticPr fontId="1" type="noConversion"/>
  </si>
  <si>
    <t>전문한글명</t>
    <phoneticPr fontId="1" type="noConversion"/>
  </si>
  <si>
    <t>관련서비스</t>
    <phoneticPr fontId="1" type="noConversion"/>
  </si>
  <si>
    <t>대표서비스명</t>
    <phoneticPr fontId="1" type="noConversion"/>
  </si>
  <si>
    <t>대표서비스ID</t>
    <phoneticPr fontId="1" type="noConversion"/>
  </si>
  <si>
    <t>SLP870806BW 대사결과송신요청</t>
    <phoneticPr fontId="1" type="noConversion"/>
  </si>
  <si>
    <t>서버참가기관집계지시등록</t>
  </si>
  <si>
    <t>대사결과송신요청</t>
  </si>
  <si>
    <t>건별대사자료신청요구응답</t>
  </si>
  <si>
    <t>자금이체결제취소</t>
  </si>
  <si>
    <t>대기거래취소신청</t>
  </si>
  <si>
    <t>미결제예약거래취소신청</t>
  </si>
  <si>
    <t>PAYIN신청</t>
  </si>
  <si>
    <t>PAYIN대기결제대기취소등록</t>
  </si>
  <si>
    <t>일반자금이체신청</t>
  </si>
  <si>
    <t>일반자금이체대기결제등록</t>
  </si>
  <si>
    <t>일반예약자금이체실행</t>
  </si>
  <si>
    <t>일반자금이체대행거래신청</t>
  </si>
  <si>
    <t>마감후자금이체신청</t>
  </si>
  <si>
    <t>마감후자금이체승인</t>
  </si>
  <si>
    <t>수취인지정자금이체등록</t>
  </si>
  <si>
    <t>수취인지정자금이체대기결제등록</t>
  </si>
  <si>
    <t>수취인지정예약자금이체실행</t>
  </si>
  <si>
    <t>수취인지정자금반환이체신청</t>
  </si>
  <si>
    <t>수취인지정자금이체반환등록</t>
  </si>
  <si>
    <t>수취인지정자금이체결과통보요청</t>
  </si>
  <si>
    <t>수취인지정자금이체입금결과조회</t>
  </si>
  <si>
    <t>대기거래조정신청</t>
  </si>
  <si>
    <t>대기거래지급지시유형일괄변경</t>
  </si>
  <si>
    <t>당좌예금잔액한도조회</t>
  </si>
  <si>
    <t>연계결제신청</t>
  </si>
  <si>
    <t>연계결제반환신청</t>
  </si>
  <si>
    <t>PAYIN거래정상서면신청
PAYIN거래장애서면신청</t>
    <phoneticPr fontId="1" type="noConversion"/>
  </si>
  <si>
    <t>PAYOUT서면이체등록
PAYOUT이체등록</t>
    <phoneticPr fontId="1" type="noConversion"/>
  </si>
  <si>
    <t>SLP870503BW 서버참가기관집계지시등록
SLP870504BW 서버참가기관집계지시취소</t>
    <phoneticPr fontId="1" type="noConversion"/>
  </si>
  <si>
    <t>SLP210404BW 예약처리현황일괄취소
ZLP230103ZW 미결제예약자금이체일괄취소</t>
    <phoneticPr fontId="1" type="noConversion"/>
  </si>
  <si>
    <t>SLP810110ZW	 단말접속서버개시USM요청
SLP870802BW 참가기관대사파일재수신요청</t>
    <phoneticPr fontId="1" type="noConversion"/>
  </si>
  <si>
    <t xml:space="preserve">ZLP240102ZW 일반자금이체대기결제등록		
ZLP240103ZW 수취인지정자금이체대기결제등록		
ZLP240104ZW 수취인지정자금이체반환등록		
ZLP650108ZW 장내주식대기결제등록		</t>
    <phoneticPr fontId="1" type="noConversion"/>
  </si>
  <si>
    <t>ZLP650108ZW 장내주식대기결제등록</t>
    <phoneticPr fontId="1" type="noConversion"/>
  </si>
  <si>
    <t xml:space="preserve">SLP210403BR 예약처리현황일괄취소목록조회		
SLP210404BW	 예약처리현황일괄취소		
SLP250206BW 지정시점예약자금이체취소		
ZLP230104ZW 총액미결제예약자금이체취소		</t>
    <phoneticPr fontId="1" type="noConversion"/>
  </si>
  <si>
    <t>SLP540301ZW PAYOUT이체등록
SLP540202BW PAYOUT서면이체전자서명파일등록
SLP540201BW PAYOUT서면이체등록</t>
    <phoneticPr fontId="1" type="noConversion"/>
  </si>
  <si>
    <t>SLP210102BR 자금이체결제취소대상조회</t>
    <phoneticPr fontId="1" type="noConversion"/>
  </si>
  <si>
    <t>SLP780103BW	 증권대금이체대기취소
SLP530103BW	 PAYIN 대기거래취소
SLP120101BW	 자금이체대기거래취소
SLP250206BW	 지정시점예약자금이체취소</t>
    <phoneticPr fontId="1" type="noConversion"/>
  </si>
  <si>
    <t xml:space="preserve">ZLP240104ZW 수취인지정자금이체반환등록
SLP780401BW 증권대금이체수기마감등록      </t>
    <phoneticPr fontId="1" type="noConversion"/>
  </si>
  <si>
    <t>수취인지정자금이체등록</t>
    <phoneticPr fontId="1" type="noConversion"/>
  </si>
  <si>
    <t>SLP220301SW</t>
    <phoneticPr fontId="1" type="noConversion"/>
  </si>
  <si>
    <t>수취인지정자금이체계좌조회요청</t>
    <phoneticPr fontId="1" type="noConversion"/>
  </si>
  <si>
    <t>SLP220305SR</t>
    <phoneticPr fontId="1" type="noConversion"/>
  </si>
  <si>
    <t>SLP210201PW 일반자금이체신청</t>
    <phoneticPr fontId="1" type="noConversion"/>
  </si>
  <si>
    <t>LINK</t>
    <phoneticPr fontId="1" type="noConversion"/>
  </si>
  <si>
    <t>값</t>
  </si>
  <si>
    <t>설명</t>
  </si>
  <si>
    <t>Numeric(숫자), 우측정렬하고 남는 부분은 0(Zero)로 채운다.</t>
  </si>
  <si>
    <t>Alphabet(영문자), 좌측정렬하고 남는 부분은 Space로 채운다.</t>
  </si>
  <si>
    <t>- 신청거래 (중개기관 → 한국은행)</t>
  </si>
  <si>
    <t>O 좌측정렬하고 남은 공백은 반드시 전각 SPACE를 채운다.</t>
  </si>
  <si>
    <t>- 통보거래 (한국은행 → 중개기관)</t>
  </si>
  <si>
    <t>O KSC5601 완성형의 전각코드와 반각코드 모두를 사용한다.</t>
  </si>
  <si>
    <t>O 좌측정렬하고 남은 공백은 전각 또는 반각 SPACE를 사용할 수 있다. (한국은행 설정항목은 변경 없이 회신)</t>
  </si>
  <si>
    <t>Alpha-Numeric, 좌측정렬하고 남는 부분은 Space로 채운다.</t>
  </si>
  <si>
    <t>송신기관에서 해당항목을 세팅</t>
  </si>
  <si>
    <t>한국은행에서 해당항목을 세팅</t>
  </si>
  <si>
    <t>수신기관에서 해당항목을 세팅</t>
  </si>
  <si>
    <t>송신기관과 한국은행에서 해당항목을 세팅</t>
  </si>
  <si>
    <t>SR</t>
  </si>
  <si>
    <t>송신기관과 수신기관에서 해당항목을 세팅</t>
  </si>
  <si>
    <t>BR</t>
  </si>
  <si>
    <t>한국은행과 수신기관에서 해당항목을 세팅</t>
  </si>
  <si>
    <t>송신기관, 한국은행, 수신기관에서 해당항목을 세팅</t>
  </si>
  <si>
    <t>기본 값 세팅</t>
  </si>
  <si>
    <r>
      <t>O KSC5601 완성형 전각코드만을 사용(</t>
    </r>
    <r>
      <rPr>
        <b/>
        <u/>
        <sz val="10"/>
        <color rgb="FF000000"/>
        <rFont val="맑은 고딕"/>
        <family val="3"/>
        <charset val="129"/>
        <scheme val="minor"/>
      </rPr>
      <t>반각 문자 사용시 포맷 오류응답 회신</t>
    </r>
    <r>
      <rPr>
        <sz val="10"/>
        <color rgb="FF000000"/>
        <rFont val="맑은 고딕"/>
        <family val="3"/>
        <charset val="129"/>
        <scheme val="minor"/>
      </rPr>
      <t>)</t>
    </r>
  </si>
  <si>
    <r>
      <t>O 한글항목 값의 유효길이는 기본설계서의 길이에서 -2byte 를 제외한 길이까지 유효(</t>
    </r>
    <r>
      <rPr>
        <b/>
        <u/>
        <sz val="10"/>
        <color rgb="FF000000"/>
        <rFont val="맑은 고딕"/>
        <family val="3"/>
        <charset val="129"/>
        <scheme val="minor"/>
      </rPr>
      <t>초과 2byte는 삭제됨</t>
    </r>
    <r>
      <rPr>
        <sz val="10"/>
        <color rgb="FF000000"/>
        <rFont val="맑은 고딕"/>
        <family val="3"/>
        <charset val="129"/>
        <scheme val="minor"/>
      </rPr>
      <t>)</t>
    </r>
  </si>
  <si>
    <t>거래유형코드</t>
    <phoneticPr fontId="28" type="noConversion"/>
  </si>
  <si>
    <t>별첨8</t>
    <phoneticPr fontId="1" type="noConversion"/>
  </si>
  <si>
    <t>수수료종류코드</t>
    <phoneticPr fontId="17" type="noConversion"/>
  </si>
  <si>
    <t>별첨7</t>
    <phoneticPr fontId="1" type="noConversion"/>
  </si>
  <si>
    <t>별첨4</t>
    <phoneticPr fontId="1" type="noConversion"/>
  </si>
  <si>
    <t>거래기관코드</t>
    <phoneticPr fontId="17" type="noConversion"/>
  </si>
  <si>
    <t>별첨3</t>
    <phoneticPr fontId="1" type="noConversion"/>
  </si>
  <si>
    <t>Y</t>
    <phoneticPr fontId="1" type="noConversion"/>
  </si>
  <si>
    <t>Y</t>
    <phoneticPr fontId="17" type="noConversion"/>
  </si>
  <si>
    <t>계정개설처코드</t>
    <phoneticPr fontId="17" type="noConversion"/>
  </si>
  <si>
    <t>별첨2</t>
    <phoneticPr fontId="1" type="noConversion"/>
  </si>
  <si>
    <t>응답코드</t>
    <phoneticPr fontId="17" type="noConversion"/>
  </si>
  <si>
    <t>별첨1</t>
    <phoneticPr fontId="1" type="noConversion"/>
  </si>
  <si>
    <t>수취기관계정개설처 입력 오류 입니다.</t>
  </si>
  <si>
    <t>이체기관계정개설처 입력 오류 입니다.</t>
  </si>
  <si>
    <t xml:space="preserve">전자단기사채 접수(심사)시간초과 </t>
  </si>
  <si>
    <t xml:space="preserve">전자단기사채DB 데이터 중복        </t>
  </si>
  <si>
    <t xml:space="preserve">증권대금이체DB 데이터 중복        </t>
  </si>
  <si>
    <t xml:space="preserve">집계레코드의 총금액 확인요망      </t>
  </si>
  <si>
    <t xml:space="preserve">집계레코드의 총건수 확인요망      </t>
  </si>
  <si>
    <t xml:space="preserve">집계레코드가 없거나 중복임        </t>
  </si>
  <si>
    <t xml:space="preserve">종료표시(E) 오류                    </t>
  </si>
  <si>
    <t xml:space="preserve">공란항목이 SPACE가 아님           </t>
  </si>
  <si>
    <t xml:space="preserve">오류코드항목이 SPACE가 아님       </t>
  </si>
  <si>
    <t xml:space="preserve">예탁자계좌번호 항목이 공백임      </t>
  </si>
  <si>
    <t xml:space="preserve">금액 또는 건수가 숫자가 아님  </t>
  </si>
  <si>
    <t xml:space="preserve">이체(발행)기관 거래점포코드오류 </t>
  </si>
  <si>
    <t xml:space="preserve">결제번호별 총금액 오류            </t>
  </si>
  <si>
    <t xml:space="preserve">결제번호별 총건수 오류            </t>
  </si>
  <si>
    <t xml:space="preserve">결제번호별 총건수. 총금액 오류  </t>
  </si>
  <si>
    <t xml:space="preserve">수취기관에 예탁결제원이 없음      </t>
  </si>
  <si>
    <t xml:space="preserve">원천징수대상(자기분) 건수 오류  </t>
  </si>
  <si>
    <t xml:space="preserve">원천징수값은 1.2만 가능           </t>
  </si>
  <si>
    <t xml:space="preserve">증권대금코드 오류                   </t>
  </si>
  <si>
    <t xml:space="preserve">결제번호 항목이 공란임            </t>
  </si>
  <si>
    <t xml:space="preserve">계정개설처 오류                     </t>
  </si>
  <si>
    <t xml:space="preserve">수취(매도)기관코드 확인요망     </t>
  </si>
  <si>
    <t xml:space="preserve">이체(매수)기관코드 확인요망     </t>
  </si>
  <si>
    <t xml:space="preserve">집계 오류건수(금액)은 0만가능 </t>
  </si>
  <si>
    <t xml:space="preserve">집계 정상건수(금액)은 0만가능 </t>
  </si>
  <si>
    <t xml:space="preserve">집계레코드 총금액이 숫자가 아님 </t>
  </si>
  <si>
    <t xml:space="preserve">집계레코드 총건수가 숫자가 아님 </t>
  </si>
  <si>
    <t xml:space="preserve">상환일자 오류                       </t>
  </si>
  <si>
    <t xml:space="preserve">전송일자 오류                       </t>
  </si>
  <si>
    <t xml:space="preserve">레코드구분 오류                     </t>
  </si>
  <si>
    <t xml:space="preserve">파일구분(Q8) 오류                   </t>
  </si>
  <si>
    <t xml:space="preserve">기관코드(870) 오류                  </t>
  </si>
  <si>
    <t>한은금융망 오류 발생</t>
  </si>
  <si>
    <t xml:space="preserve">포맷오류(데이터부)                  </t>
  </si>
  <si>
    <t xml:space="preserve">한국은행 단말정보 조회 오류     </t>
  </si>
  <si>
    <t xml:space="preserve">회계　ＤＡＴＡ　오류                  </t>
  </si>
  <si>
    <t xml:space="preserve">머니기관　수수료　부족                </t>
  </si>
  <si>
    <t xml:space="preserve">차액결제　결제파일　오류              </t>
  </si>
  <si>
    <t xml:space="preserve">차액결제　수행중　（거래불가）        </t>
  </si>
  <si>
    <t xml:space="preserve">상환파일　오류                        </t>
  </si>
  <si>
    <t xml:space="preserve">차액결제정보파일　오류                </t>
  </si>
  <si>
    <t xml:space="preserve">체결파일　오류                        </t>
  </si>
  <si>
    <t xml:space="preserve">마감시간후　거래불가                  </t>
  </si>
  <si>
    <t xml:space="preserve">참가기관 확인 오류입니다.         </t>
  </si>
  <si>
    <t xml:space="preserve">해당　자료가　없습니다．              </t>
  </si>
  <si>
    <t>인출예정일 현금지급 마감상태입니다</t>
  </si>
  <si>
    <t xml:space="preserve">당좌거래약정이체결되지않았습니다      </t>
  </si>
  <si>
    <t xml:space="preserve">당좌거래약정이　해지되었습니다！      </t>
  </si>
  <si>
    <t xml:space="preserve">현금지급　신청건이　없습니다！        </t>
  </si>
  <si>
    <t xml:space="preserve">인출취급점을　확인하세요！            </t>
  </si>
  <si>
    <t xml:space="preserve">현금지급대기테이블에없습니다          </t>
  </si>
  <si>
    <t xml:space="preserve">인출예정일이　영업일　전　입니다！    </t>
  </si>
  <si>
    <t xml:space="preserve">신청금액이신청시금액과다릅니다        </t>
  </si>
  <si>
    <t xml:space="preserve">처리상태코드　오류！                  </t>
  </si>
  <si>
    <t xml:space="preserve">이미　현금지급이　완료된　건입니다！  </t>
  </si>
  <si>
    <t xml:space="preserve">이미지급의뢰오류처리된건입니다        </t>
  </si>
  <si>
    <t xml:space="preserve">의뢰완료건이므로취소할수없습니다      </t>
  </si>
  <si>
    <t xml:space="preserve">이미　신청취소된　건입니다！          </t>
  </si>
  <si>
    <t xml:space="preserve">신청번호를　확인하십시오！            </t>
  </si>
  <si>
    <t xml:space="preserve">등록되지않은　당좌계정개설처입니다！  </t>
  </si>
  <si>
    <t xml:space="preserve">당좌계좌를　개설할수없는　곳입니다！  </t>
  </si>
  <si>
    <t xml:space="preserve">사용불가능한　당좌계정개설처입니다！  </t>
  </si>
  <si>
    <t xml:space="preserve">당좌거래정지중입니다！                </t>
  </si>
  <si>
    <t xml:space="preserve">대리인　주민번호를　확인하십시오！    </t>
  </si>
  <si>
    <t xml:space="preserve">이미현금지급이신청되어있습니다        </t>
  </si>
  <si>
    <t xml:space="preserve">지정책임자의　소속기관이　다릅니다！  </t>
  </si>
  <si>
    <t xml:space="preserve">지정책임자가　등록되지　않았습니다！  </t>
  </si>
  <si>
    <t xml:space="preserve">현송책임자의계정개설처가다릅니다      </t>
  </si>
  <si>
    <t xml:space="preserve">현송책임자의　소속기관이　다릅니다！  </t>
  </si>
  <si>
    <t xml:space="preserve">현송책임자가　등록되지　않았습니다！  </t>
  </si>
  <si>
    <t xml:space="preserve">대리인의　소속기관이　다릅니다！      </t>
  </si>
  <si>
    <t xml:space="preserve">대리인이　등록되지　않았습니다！      </t>
  </si>
  <si>
    <t xml:space="preserve">비밀번호　두개가　서로　다릅니다！    </t>
  </si>
  <si>
    <t xml:space="preserve">비밀번호　재확인을　입력하세요！      </t>
  </si>
  <si>
    <t xml:space="preserve">비밀번호6자를모두채우시오           </t>
  </si>
  <si>
    <t xml:space="preserve">비밀번호를　입력하십시오！            </t>
  </si>
  <si>
    <t xml:space="preserve">한국은행원주분실만지정책임자입력가능  </t>
  </si>
  <si>
    <t xml:space="preserve">지정책임자확인요-현송책임자와동일   </t>
  </si>
  <si>
    <t xml:space="preserve">지정책임자주민번호를확인하시오        </t>
  </si>
  <si>
    <t xml:space="preserve">현송책임자주민번호를확인하시오        </t>
  </si>
  <si>
    <t xml:space="preserve">신청금액이　０　입니다！              </t>
  </si>
  <si>
    <t xml:space="preserve">현금　지급업무　취급　불가            </t>
  </si>
  <si>
    <t xml:space="preserve">당좌계정개설처를　입력하십시오！      </t>
  </si>
  <si>
    <t xml:space="preserve">인출예정일자를확인하시오              </t>
  </si>
  <si>
    <t xml:space="preserve">마감　상태　입니다！                  </t>
  </si>
  <si>
    <t xml:space="preserve">중개기관ＢＩＣ코드　미입력！          </t>
  </si>
  <si>
    <t xml:space="preserve">수혜기관ＢＩＣ코드　미입력！          </t>
  </si>
  <si>
    <t xml:space="preserve">지시기관ＢＩＣ코드　미입력！          </t>
  </si>
  <si>
    <t xml:space="preserve">신청기관ＢＩＣ코드　미입력！          </t>
  </si>
  <si>
    <t xml:space="preserve">ＣＬＳ　ＬＩＮＫ　오류                </t>
  </si>
  <si>
    <t xml:space="preserve">대기거래　생성　오류                  </t>
  </si>
  <si>
    <t xml:space="preserve">당좌거래　가능여부　확인　오류        </t>
  </si>
  <si>
    <t xml:space="preserve">중개기관　입력　오류                  </t>
  </si>
  <si>
    <t xml:space="preserve">수혜기관　입력　오류                  </t>
  </si>
  <si>
    <t>지시기관오류（ＮＯＳＴＲＯ기관　아님）</t>
  </si>
  <si>
    <t xml:space="preserve">ＮＯＳＴＲＯ기관만　신청가능          </t>
  </si>
  <si>
    <t xml:space="preserve">ＣＬＳ거래상태를　확인하십시오！      </t>
  </si>
  <si>
    <t xml:space="preserve">ＣＬＳ　연계시스템　마감상태가　아님  </t>
  </si>
  <si>
    <t xml:space="preserve">차액결제　처리중！　                  </t>
  </si>
  <si>
    <t xml:space="preserve">지시기관ＢＩＣ코드　미등록            </t>
  </si>
  <si>
    <t xml:space="preserve">지시기관을　확인하세요                </t>
  </si>
  <si>
    <t xml:space="preserve">지시기관오류（유동성공급기관아님）    </t>
  </si>
  <si>
    <t xml:space="preserve">지시기관오류（결제회원은행아님）      </t>
  </si>
  <si>
    <t xml:space="preserve">지시기관과　수혜기관　불일치          </t>
  </si>
  <si>
    <t xml:space="preserve">지시기관（유동성공급기관오류）        </t>
  </si>
  <si>
    <t xml:space="preserve">중개기관　코드오류                    </t>
  </si>
  <si>
    <t xml:space="preserve">중개기관　입력대상　아님              </t>
  </si>
  <si>
    <t xml:space="preserve">신청기관ＢＩＣ코드　미등록！          </t>
  </si>
  <si>
    <t xml:space="preserve">신청기관과　지시기관　불일치          </t>
  </si>
  <si>
    <t xml:space="preserve">신청기관（유동성，ＮＯＳＴＲＯ아님）  </t>
  </si>
  <si>
    <t xml:space="preserve">수혜기관ＢＩＣ코드　미등록            </t>
  </si>
  <si>
    <t xml:space="preserve">수혜기관을　확인하세요                </t>
  </si>
  <si>
    <t xml:space="preserve">수혜기관오류（ＣＬＳＢＡＮＫ아님）    </t>
  </si>
  <si>
    <t xml:space="preserve">결제또는NOSTRO기관만신청가능        </t>
  </si>
  <si>
    <t xml:space="preserve">한글파일　오류                        </t>
  </si>
  <si>
    <t>당좌대출 실행을 위한 가용금액이 부족합니다.</t>
  </si>
  <si>
    <t>당좌대출 상환 처리할 잔액이 부족합니다.</t>
  </si>
  <si>
    <t>당좌대출 차입금지상태입니다.</t>
  </si>
  <si>
    <t>연쇄결제 잔액이 부족합니다.</t>
  </si>
  <si>
    <t>연쇄결제여부는 입력 항목이 아닙니다.</t>
  </si>
  <si>
    <t>수신. 거액간 이체는 기관내 자금이체만 가능합니다</t>
  </si>
  <si>
    <t>마감후자금이체신청사유 입력 오류입니다.</t>
  </si>
  <si>
    <t>자동수행거래ID 입력 오류입니다.</t>
  </si>
  <si>
    <t>채무증권전문회원 정보 입력/수정/해지 불가 입니다.</t>
  </si>
  <si>
    <t>증권대금이체 마감후 거래가능한 자금코드 입니다.</t>
  </si>
  <si>
    <t>신청기관은 예탁결제원만 가능합니다.</t>
  </si>
  <si>
    <t>예약신청 가능시각이 아닙니다.</t>
  </si>
  <si>
    <t>대기(예약)취소동의 신청기관은 수취기관이어야 합니다.</t>
  </si>
  <si>
    <t>참가기관에서 등록한 거래제한기관 입니다.</t>
  </si>
  <si>
    <t>CLS관련 자금이체 가능시각이 아닙니다.</t>
  </si>
  <si>
    <t>신청기관앞 CLS자금수취내역이 없습니다.</t>
  </si>
  <si>
    <t>상환할 일중당좌대출잔액이 없습니다.</t>
  </si>
  <si>
    <t>상대기관 개별마감연장 상태가 아닙니다.</t>
  </si>
  <si>
    <t>신청기관 개별마감연장 상태가 아닙니다.</t>
  </si>
  <si>
    <t>해당 업무가 장애 상태입니다.</t>
  </si>
  <si>
    <t>한은금융망 운영상태 정보가 없습니다.</t>
  </si>
  <si>
    <t>수취의뢰인 지역 입력 오류입니다.</t>
  </si>
  <si>
    <t>수취의뢰인 구분 입력 오류입니다.</t>
  </si>
  <si>
    <t>이체의뢰인 지역 입력 오류입니다.</t>
  </si>
  <si>
    <t>이체의뢰인 구분 입력 오류입니다.</t>
  </si>
  <si>
    <t>금액구분 오류 입니다.</t>
  </si>
  <si>
    <t>예약은 차액결제 참가기관만 가능합니다.</t>
  </si>
  <si>
    <t>현재 당좌계좌(한은거래)잔액 오류입니다.</t>
  </si>
  <si>
    <t>수취기관의 일중당좌대출 상환용도인 경우만 기관간 자금이체가 가능합니다.</t>
  </si>
  <si>
    <t>수취인 지역 입력 오류입니다.</t>
  </si>
  <si>
    <t>수취인 구분 입력 오류입니다.</t>
  </si>
  <si>
    <t>반려사유를 확인하세요.</t>
  </si>
  <si>
    <t>마감후자금이체 갱신 오류입니다.</t>
  </si>
  <si>
    <t>마감후자금이체 신청내역이 없습니다.</t>
  </si>
  <si>
    <t>마감후자금이체신청이 마감 되었습니다.</t>
  </si>
  <si>
    <t>마감후자금이체신청 가능시간이 아닙니다.</t>
  </si>
  <si>
    <t>신청사유 입력 오류입니다.</t>
  </si>
  <si>
    <t>취소동의가 불가능한 거래입니다.</t>
  </si>
  <si>
    <t>10월 마지막 일요일 조회 시 오류가 발생하였습니다.</t>
  </si>
  <si>
    <t>03월 마지막 일요일 조회 시 오류가 발생하였습니다.</t>
  </si>
  <si>
    <t>신청의뢰기관은 입력항목이 아닙니다.</t>
  </si>
  <si>
    <t>거래구분 코드 입력 오류입니다.</t>
  </si>
  <si>
    <t>마감종류코드가 미입력 되었습니다.</t>
  </si>
  <si>
    <t>신속지급지시 대기해제 처리중 오류입니다.</t>
  </si>
  <si>
    <t>처리업무내용이 미입력 되었습니다.</t>
  </si>
  <si>
    <t>신청프로그램명이 미입력 되었습니다.</t>
  </si>
  <si>
    <t>통지서 재출력을 위한 기본정보가 존재하지 않습니다.</t>
  </si>
  <si>
    <t>단말기검증조회시 단말기분실조회여부를 입력하세요.</t>
  </si>
  <si>
    <t>상대예금업무상태내역검증조회구분코드를 입력하세요</t>
  </si>
  <si>
    <t>한은망수수료 수취완료된 거래일입니다.</t>
  </si>
  <si>
    <t>분개유형내역 개별조회 오류입니다.</t>
  </si>
  <si>
    <t>분개유형내역 목록조회 오류입니다.</t>
  </si>
  <si>
    <t>분개유형일련번호를 입력하세요.</t>
  </si>
  <si>
    <t>분개일련번호를 입력하세요.</t>
  </si>
  <si>
    <t>통지내역 테이블 조회 오류입니다.</t>
  </si>
  <si>
    <t>상대부서의 예금거래정보가 존재하지 않습니다.</t>
  </si>
  <si>
    <t>상대거래기관 금융기관약정이 미등록 되었습니다.</t>
  </si>
  <si>
    <t>상대거래기관코드가 미등록 되었습니다.</t>
  </si>
  <si>
    <t>상대부서코드가 미등록 되었습니다.</t>
  </si>
  <si>
    <t>사용불가능한 프로그램입니다.</t>
  </si>
  <si>
    <t>처리권한이 없는 부서(분실포함)입니다.</t>
  </si>
  <si>
    <t>상대거래기관약정종류코드를 입력하세요.</t>
  </si>
  <si>
    <t>거래기관약정종류코드를 입력하세요.</t>
  </si>
  <si>
    <t>상대거래기관코드를 입력하세요.</t>
  </si>
  <si>
    <t>거래기관코드를 입력하세요.</t>
  </si>
  <si>
    <t>상대부서코드를 입력하세요.</t>
  </si>
  <si>
    <t>입력거래일자와 단말기거래일자가 다릅니다.</t>
  </si>
  <si>
    <t>프로그램ID를 입력하세요.</t>
  </si>
  <si>
    <t>회계업무구분코드를 입력하세요.</t>
  </si>
  <si>
    <t>국가휴일 데이터가 존재하지 않습니다.</t>
  </si>
  <si>
    <t>회계국가코드를 입력하세요.</t>
  </si>
  <si>
    <t>프로그램관리 데이터가 존재하지 않습니다.</t>
  </si>
  <si>
    <t>단말기검증조회시 단말기번호를 입력하세요.</t>
  </si>
  <si>
    <t>예금업무상태내역검증조회구분코드를 입력하세요.</t>
  </si>
  <si>
    <t>상대기관부서별금융기관약정검증조회구분코드를 입력하세요.</t>
  </si>
  <si>
    <t>기관부서별금융기관약정검증조회구분코드를 입력하세요.</t>
  </si>
  <si>
    <t>상대기관코드검증조회구분코드를 입력하세요.</t>
  </si>
  <si>
    <t>기관코드검증조회구분코드를 입력하세요.</t>
  </si>
  <si>
    <t>부서코드검증조회구분코드를 입력하세요.</t>
  </si>
  <si>
    <t>프로그램검증조회구분코드를 입력하세요.</t>
  </si>
  <si>
    <t>국가휴일검증조회구분코드를 입력하세요.</t>
  </si>
  <si>
    <t>단말기검증조회구분코드를 입력하세요.</t>
  </si>
  <si>
    <t>상대기관 당좌거래약정이 해지 되었습니다.</t>
  </si>
  <si>
    <t>당좌거래약정이 거래정지 되었습니다.</t>
  </si>
  <si>
    <t>분개유형기본 조회 오류입니다.</t>
  </si>
  <si>
    <t>상대기관 당좌거래약정이 거래정지 되었습니다.</t>
  </si>
  <si>
    <t>서비스ID매핑내역 조회 오류입니다.</t>
  </si>
  <si>
    <t>해당 분개유형을 조립할 수 있는 서비스ID가 아닙니다.</t>
  </si>
  <si>
    <t>취소부문분류코드를 입력하세요.</t>
  </si>
  <si>
    <t>취소사유코드를 입력하세요.</t>
  </si>
  <si>
    <t>당초전표일련번호를 입력하세요.</t>
  </si>
  <si>
    <t>당초회계번호를 입력하세요.</t>
  </si>
  <si>
    <t>당초거래일자를 입력하세요.</t>
  </si>
  <si>
    <t>건별관리번호를 입력하세요.</t>
  </si>
  <si>
    <t>상대계정과목를 입력하세요.</t>
  </si>
  <si>
    <t>개별전표등록 처리 대상 서비스 입니다.</t>
  </si>
  <si>
    <t xml:space="preserve">한국은행 중계기기 처리오류        </t>
  </si>
  <si>
    <t xml:space="preserve">증권예탁원앞　미통보내역　존재        </t>
  </si>
  <si>
    <t xml:space="preserve">증권대금이체　마감상태가　아님        </t>
  </si>
  <si>
    <t xml:space="preserve">전송작업　대기시간　초과              </t>
  </si>
  <si>
    <t xml:space="preserve">예탁원취급점이　영업중이　아닙니다．  </t>
  </si>
  <si>
    <t xml:space="preserve">사용자　ＯＲ　비밀번호　오류          </t>
  </si>
  <si>
    <t xml:space="preserve">매수기관결제전용약정을확인하시오      </t>
  </si>
  <si>
    <t xml:space="preserve">매도기관결제전용약정을확인하시오      </t>
  </si>
  <si>
    <t xml:space="preserve">한국은행중계기기처리오류(기타오류)  </t>
  </si>
  <si>
    <t xml:space="preserve">거래구분코드 오류입니다.            </t>
  </si>
  <si>
    <t xml:space="preserve">응답전문 종별코드 오류입니다.     </t>
  </si>
  <si>
    <t xml:space="preserve">요청전문의 공란이 공백이아닙니다  </t>
  </si>
  <si>
    <t>수신기관은한국은행으로지정되어야합니다</t>
  </si>
  <si>
    <t xml:space="preserve">전문관리번호 중복 오류입니다.     </t>
  </si>
  <si>
    <t xml:space="preserve">영업일자 오류                       </t>
  </si>
  <si>
    <t xml:space="preserve">통지전문의SYSTEM ID 오류입니다      </t>
  </si>
  <si>
    <t xml:space="preserve">요청전문의SYSTEM ID 오류입니다      </t>
  </si>
  <si>
    <t xml:space="preserve">전문 전송일자 오류입니다.         </t>
  </si>
  <si>
    <t xml:space="preserve">영업일자 오류입니다.                </t>
  </si>
  <si>
    <t>통지전문의응답코드가  SPACE가 아님</t>
  </si>
  <si>
    <t>요청전문의응답코드가  SPACE가 아님</t>
  </si>
  <si>
    <t xml:space="preserve">송신기관이등록된참가기관이아닙니다    </t>
  </si>
  <si>
    <t xml:space="preserve">수신기관과 수취기관 상이          </t>
  </si>
  <si>
    <t xml:space="preserve">송신기관과 이체기관 상이          </t>
  </si>
  <si>
    <t xml:space="preserve">송신기관과 수신기관이 동일합니다. </t>
  </si>
  <si>
    <t xml:space="preserve">한국은행을 수신기관으로 지정불가  </t>
  </si>
  <si>
    <t xml:space="preserve">전문관리번호 중복 오류            </t>
  </si>
  <si>
    <t xml:space="preserve">실제송신기관과 입력송신기관불일치   </t>
  </si>
  <si>
    <t>암호화된 전문 복호화 오류입니다.</t>
  </si>
  <si>
    <t xml:space="preserve">암호화 여부가 Y이어야 합니다.   </t>
  </si>
  <si>
    <t xml:space="preserve">암호화 여부가 N이어야 합니다.   </t>
  </si>
  <si>
    <t xml:space="preserve">암호화 여부 값을 확인(Y OR N)   </t>
  </si>
  <si>
    <t xml:space="preserve">구비밀번호가 일치하지 않습니다.   </t>
  </si>
  <si>
    <t xml:space="preserve">사용한 적이 있는 비밀번호       </t>
  </si>
  <si>
    <t xml:space="preserve">비밀번호가 참가기관ID와 동일    </t>
  </si>
  <si>
    <t xml:space="preserve">비밀번호 규칙 오류                </t>
  </si>
  <si>
    <t xml:space="preserve">신비밀번호를 확인하십시오.          </t>
  </si>
  <si>
    <t xml:space="preserve">구비밀번호를 확인하십시오.          </t>
  </si>
  <si>
    <t xml:space="preserve">삭제된 참가기관ID입니다.          </t>
  </si>
  <si>
    <t xml:space="preserve">비밀번호 갱신일(90일)이 초과  </t>
  </si>
  <si>
    <t xml:space="preserve">비밀번호 3회 이상 입력오류      </t>
  </si>
  <si>
    <t xml:space="preserve">비밀번호 오류(2회)                </t>
  </si>
  <si>
    <t xml:space="preserve">비밀번호 오류(1회)                </t>
  </si>
  <si>
    <t xml:space="preserve">비밀번호 3회이상 오류             </t>
  </si>
  <si>
    <t xml:space="preserve">비밀번호를 변경 후 사용하시오.  </t>
  </si>
  <si>
    <t xml:space="preserve">참가기관ID가 존재하지 않습니다. </t>
  </si>
  <si>
    <t xml:space="preserve">비밀번호를 확인하시오.              </t>
  </si>
  <si>
    <t xml:space="preserve">참가기관ID를 확인하시오.          </t>
  </si>
  <si>
    <t xml:space="preserve">업무 미개시 상태입니다.           </t>
  </si>
  <si>
    <t xml:space="preserve">점별정보파일　오류                    </t>
  </si>
  <si>
    <t xml:space="preserve">거래일자가 영업일자와 다릅니다    </t>
  </si>
  <si>
    <t xml:space="preserve">작업종료지시/취소구분 입력오류    </t>
  </si>
  <si>
    <t xml:space="preserve">집계지시/취소구분 입력오류        </t>
  </si>
  <si>
    <t xml:space="preserve">예비지시/취소구분 입력오류        </t>
  </si>
  <si>
    <t xml:space="preserve">송수신정상                            </t>
  </si>
  <si>
    <t xml:space="preserve">송수신오류                            </t>
  </si>
  <si>
    <t xml:space="preserve">파일열기오류                          </t>
  </si>
  <si>
    <t xml:space="preserve">회선이상                              </t>
  </si>
  <si>
    <t xml:space="preserve">응답코드오류                          </t>
  </si>
  <si>
    <t xml:space="preserve">집계응답전문미수신                    </t>
  </si>
  <si>
    <t xml:space="preserve">업무게시전오류                        </t>
  </si>
  <si>
    <t xml:space="preserve">참가기관ID오류                      </t>
  </si>
  <si>
    <t xml:space="preserve">비밀번호오류                          </t>
  </si>
  <si>
    <t xml:space="preserve">중복수신오류                          </t>
  </si>
  <si>
    <t xml:space="preserve">결번확인오류                          </t>
  </si>
  <si>
    <t xml:space="preserve">TIME-OUT오류                          </t>
  </si>
  <si>
    <t xml:space="preserve">데이터시퀀스오류                      </t>
  </si>
  <si>
    <t xml:space="preserve">불럭번호오류                          </t>
  </si>
  <si>
    <t xml:space="preserve">거래코드불일치오류                    </t>
  </si>
  <si>
    <t xml:space="preserve">종별코드불일치오류                    </t>
  </si>
  <si>
    <t xml:space="preserve">거래코드오류                          </t>
  </si>
  <si>
    <t xml:space="preserve">종별코드오류                          </t>
  </si>
  <si>
    <t xml:space="preserve">업무코드오류                          </t>
  </si>
  <si>
    <t xml:space="preserve">참가기관 대사자료 중복 오류     </t>
  </si>
  <si>
    <t xml:space="preserve">집계 작성구분 오류                </t>
  </si>
  <si>
    <t xml:space="preserve">총괄계리마감이 안되었습니다         </t>
  </si>
  <si>
    <t xml:space="preserve">이체수취구분 오류                   </t>
  </si>
  <si>
    <t xml:space="preserve">요청전문관리번호 오류               </t>
  </si>
  <si>
    <t xml:space="preserve">대사내역 없음(대사결과 미통지)  </t>
  </si>
  <si>
    <t xml:space="preserve">대사자료　HEAD/DATA　건수　상이     </t>
  </si>
  <si>
    <t xml:space="preserve">대사업무구분　오류                    </t>
  </si>
  <si>
    <t xml:space="preserve">대사자료　DATA구분　오류            </t>
  </si>
  <si>
    <t>서버참가기관　대사자료송수신　자료없음</t>
  </si>
  <si>
    <t xml:space="preserve">대사자료　반복횟수　오류              </t>
  </si>
  <si>
    <t xml:space="preserve">대사자료　HEAD/TRAIL　건수　상이    </t>
  </si>
  <si>
    <t xml:space="preserve">대사자료　거래구분　오류              </t>
  </si>
  <si>
    <t xml:space="preserve">서버참가기관　진행상황　자료　없음    </t>
  </si>
  <si>
    <t xml:space="preserve">당일　단말전환후　서버전환　불가      </t>
  </si>
  <si>
    <t xml:space="preserve">서버간　거래개시　전　입니다.         </t>
  </si>
  <si>
    <t xml:space="preserve">집계지시　미응답　기관　입니다        </t>
  </si>
  <si>
    <t xml:space="preserve">파일　송수신　처리구분　오류　입니다  </t>
  </si>
  <si>
    <t xml:space="preserve">파일　송수신구분　오류　입니다        </t>
  </si>
  <si>
    <t xml:space="preserve">서버　참가기관이　아닙니다.           </t>
  </si>
  <si>
    <t xml:space="preserve">단말전환여부　입력　오류　입니다.     </t>
  </si>
  <si>
    <t xml:space="preserve">이미　장애해지　처리　되었습니다.     </t>
  </si>
  <si>
    <t xml:space="preserve">이미　장애등록　처리　되었습니다.     </t>
  </si>
  <si>
    <t xml:space="preserve">장애구분　입력　오류　입니다.         </t>
  </si>
  <si>
    <t xml:space="preserve">거래종료취소가 정상적으로되었습니다 </t>
  </si>
  <si>
    <t xml:space="preserve">예비종료취소가 정상적으로되었습니다 </t>
  </si>
  <si>
    <t xml:space="preserve">집계취소가　정상적으로　되었습니다．  </t>
  </si>
  <si>
    <t xml:space="preserve">거래종료　통보응답　에러　입니다．    </t>
  </si>
  <si>
    <t xml:space="preserve">대사결과송신통보응답에러입니다        </t>
  </si>
  <si>
    <t xml:space="preserve">집계　통보응답　에러　입니다．        </t>
  </si>
  <si>
    <t xml:space="preserve">예비종료　통보응답　에러　입니다．    </t>
  </si>
  <si>
    <t xml:space="preserve">업무개시통보응답에러입니다            </t>
  </si>
  <si>
    <t xml:space="preserve">신청기관장애정보를전체참가기관에통보  </t>
  </si>
  <si>
    <t xml:space="preserve">서버기관간메세지교환정보를상대에통보  </t>
  </si>
  <si>
    <t xml:space="preserve">집계자료가　일치하지　않습니다．　    </t>
  </si>
  <si>
    <t xml:space="preserve">집계자료가　일치　합니다．            </t>
  </si>
  <si>
    <t xml:space="preserve">집계가　정상적으로　되었습니다．      </t>
  </si>
  <si>
    <t xml:space="preserve">집계　시각은　１７：１５　입니다．    </t>
  </si>
  <si>
    <t xml:space="preserve">정상적으로대사화일을만들었습니다      </t>
  </si>
  <si>
    <t xml:space="preserve">정상적으로　대사를　완료하였습니다．  </t>
  </si>
  <si>
    <t xml:space="preserve">이미　예비종료가　되었습니다．        </t>
  </si>
  <si>
    <t xml:space="preserve">예비종료가　정상적으로　되었습니다．  </t>
  </si>
  <si>
    <t xml:space="preserve">예비종료이후에접수된자료처리불가함    </t>
  </si>
  <si>
    <t xml:space="preserve">예비종료시각은17:00입니다           </t>
  </si>
  <si>
    <t xml:space="preserve">업무거래개시가 정상적으로됨         </t>
  </si>
  <si>
    <t xml:space="preserve">업무거래개시시각은09:30입니다       </t>
  </si>
  <si>
    <t xml:space="preserve">서버간거래개시가정상적으로 됨       </t>
  </si>
  <si>
    <t xml:space="preserve">대사파일이　일치하지　않습니다．      </t>
  </si>
  <si>
    <t xml:space="preserve">대사파일을　만들지　않았습니다．      </t>
  </si>
  <si>
    <t xml:space="preserve">대사작업이　완료　되었습니다．        </t>
  </si>
  <si>
    <t xml:space="preserve">대사작업이　실행중　입니다．          </t>
  </si>
  <si>
    <t xml:space="preserve">대사작업실행시간은17:20 입니다      </t>
  </si>
  <si>
    <t xml:space="preserve">거래종료가　정상적으로　되었습니다．  </t>
  </si>
  <si>
    <t xml:space="preserve">거래종료지시가해당참가기관에통보됨    </t>
  </si>
  <si>
    <t xml:space="preserve">거래종료지시가모든참가기관에통보됨    </t>
  </si>
  <si>
    <t xml:space="preserve">거래종료시각은17:30입니다           </t>
  </si>
  <si>
    <t xml:space="preserve">강제거래종료가정상처리됨              </t>
  </si>
  <si>
    <t xml:space="preserve">회계구좌파일　오류                    </t>
  </si>
  <si>
    <t xml:space="preserve">설정구분 입력 오류입니다          </t>
  </si>
  <si>
    <t>일중댱좌대출이자 수취완료 거래불가</t>
  </si>
  <si>
    <t xml:space="preserve">설정금액은 억원단위로 입력하세요  </t>
  </si>
  <si>
    <t xml:space="preserve">순지급금액은 입력항목 아님        </t>
  </si>
  <si>
    <t xml:space="preserve">순지급금액 부호는 입력항목 아님 </t>
  </si>
  <si>
    <t>순지급한도여유액부호 입력항목 아님</t>
  </si>
  <si>
    <t xml:space="preserve">변경하고자하는 그룹명이 동일함    </t>
  </si>
  <si>
    <t xml:space="preserve">종료일자가 영업일자보다 큽니다    </t>
  </si>
  <si>
    <t xml:space="preserve">시작일자가 영업일자보다 큽니다    </t>
  </si>
  <si>
    <t xml:space="preserve">변경전 설정금액을 입력하시오      </t>
  </si>
  <si>
    <t xml:space="preserve">상대코드는 특정 일때만 입력함   </t>
  </si>
  <si>
    <t xml:space="preserve">상대구분 전체만 입력 가능함     </t>
  </si>
  <si>
    <t xml:space="preserve">시작시간이 종료시간보다 큽니다    </t>
  </si>
  <si>
    <t xml:space="preserve">거래시간-종료 입력오류            </t>
  </si>
  <si>
    <t xml:space="preserve">거래시간-시작 입력오류            </t>
  </si>
  <si>
    <t xml:space="preserve">총순지급한도 상대구분 입력불가    </t>
  </si>
  <si>
    <t xml:space="preserve">거래종료일자 입력 오류입니다      </t>
  </si>
  <si>
    <t xml:space="preserve">거래시작일자 입력 오류입니다      </t>
  </si>
  <si>
    <t xml:space="preserve">변경전 설정금액 입력 불가합니다 </t>
  </si>
  <si>
    <t xml:space="preserve">상대기관이 존재하지 않습니다      </t>
  </si>
  <si>
    <t xml:space="preserve">총순지급한도 상대코드 입력불가    </t>
  </si>
  <si>
    <t>총순지급한도 기관그룹구분 입력불가</t>
  </si>
  <si>
    <t xml:space="preserve">총순지급금액은입력항목이아닙니다      </t>
  </si>
  <si>
    <t xml:space="preserve">최저순지급한도는입력항목이아닙니다    </t>
  </si>
  <si>
    <t xml:space="preserve">총순지급한도는입력항목이아닙니다      </t>
  </si>
  <si>
    <t xml:space="preserve">일중당좌대출잔액은입력항목이아닙니다  </t>
  </si>
  <si>
    <t xml:space="preserve">신청기관이 존재하지 않습니다      </t>
  </si>
  <si>
    <t xml:space="preserve">입력부서 계정개설처와 불일치함    </t>
  </si>
  <si>
    <t xml:space="preserve">금일잔액은 입력항목이 아닙니다    </t>
  </si>
  <si>
    <t xml:space="preserve">출금액은 입력항목이 아닙니다      </t>
  </si>
  <si>
    <t xml:space="preserve">입금액은 입력항목이아닙니다         </t>
  </si>
  <si>
    <t xml:space="preserve">전일잔액은 입력항목이 아닙니다    </t>
  </si>
  <si>
    <t>계좌구분코드는 입력항목이 아닙니다</t>
  </si>
  <si>
    <t xml:space="preserve">취급점코드는 입력항목이 아닙니다  </t>
  </si>
  <si>
    <t xml:space="preserve">상대코드 입력 오류입니다          </t>
  </si>
  <si>
    <t xml:space="preserve">설정금액은 입력항목이 아닙니다    </t>
  </si>
  <si>
    <t xml:space="preserve">거래일자 입력항목이 아닙니다      </t>
  </si>
  <si>
    <t xml:space="preserve">총조회건수는 입력항목이 아닙니다  </t>
  </si>
  <si>
    <t xml:space="preserve">총전문수는 입력항목이 아닙니다    </t>
  </si>
  <si>
    <t xml:space="preserve">조회건수는 입력항목이 아닙니다    </t>
  </si>
  <si>
    <t xml:space="preserve">시작일자가 종료일자보다 큽니다    </t>
  </si>
  <si>
    <t xml:space="preserve">변경시간은 입력항목이 아닙니다    </t>
  </si>
  <si>
    <t xml:space="preserve">최종한도변경일은 입력항목이 아님  </t>
  </si>
  <si>
    <t>순지급한도여유액은 입력항목이 아님</t>
  </si>
  <si>
    <t>신규.변경 이외 그룹명 입력불가</t>
  </si>
  <si>
    <t xml:space="preserve">설정시간은  입력항목이  아닙니다  </t>
  </si>
  <si>
    <t xml:space="preserve">당좌대출가능금액  입력항목  아님  </t>
  </si>
  <si>
    <t>결제전용잔액  입력항목이  아닙니다</t>
  </si>
  <si>
    <t>당좌예금잔액  입력항목이  아닙니다</t>
  </si>
  <si>
    <t xml:space="preserve">회계번호는  입력항목이  아닙니다  </t>
  </si>
  <si>
    <t xml:space="preserve">이체시간은  입력항목이  아닙니다  </t>
  </si>
  <si>
    <t xml:space="preserve">기관이  이미  존재합니다          </t>
  </si>
  <si>
    <t xml:space="preserve">변경전  설정금액이  불일치함      </t>
  </si>
  <si>
    <t xml:space="preserve">변경 전-후 금액이 동일함      </t>
  </si>
  <si>
    <t xml:space="preserve">삭제 거래를 이용하십시요          </t>
  </si>
  <si>
    <t xml:space="preserve">조회건수 초과 조회기간 수정요망 </t>
  </si>
  <si>
    <t>신청기관은  소속기관으로  입력불가</t>
  </si>
  <si>
    <t>신청기관과  상대기관이  동일합니다</t>
  </si>
  <si>
    <t xml:space="preserve">삭제시 그룹명 소속기관 입력불가 </t>
  </si>
  <si>
    <t xml:space="preserve">소속기관 입력 불가합니다          </t>
  </si>
  <si>
    <t xml:space="preserve">그룹코드 입력 불가합니다          </t>
  </si>
  <si>
    <t xml:space="preserve">기관/그룹구분 코드 입력 오류  </t>
  </si>
  <si>
    <t xml:space="preserve">기관/그룹구분 코드 입력 불가  </t>
  </si>
  <si>
    <t xml:space="preserve">변경후한도금액은  입력불가함        </t>
  </si>
  <si>
    <t xml:space="preserve">최대그룹 설정수 초과입니다        </t>
  </si>
  <si>
    <t xml:space="preserve">상계결제구분입력 오류입니다         </t>
  </si>
  <si>
    <t xml:space="preserve">거래시간입력 오류입니다             </t>
  </si>
  <si>
    <t xml:space="preserve">상대기관코드 오류입니다             </t>
  </si>
  <si>
    <t xml:space="preserve">상대기관구분 오류입니다             </t>
  </si>
  <si>
    <t xml:space="preserve">계좌간자금이체 처리  오류입니다   </t>
  </si>
  <si>
    <t xml:space="preserve">처리시각  입력  오류입니다        </t>
  </si>
  <si>
    <t xml:space="preserve">처리일자  입력  오류입니다        </t>
  </si>
  <si>
    <t xml:space="preserve">약정종류  입력  오류입니다        </t>
  </si>
  <si>
    <t xml:space="preserve">신청기관 입력오류입니다             </t>
  </si>
  <si>
    <t xml:space="preserve">부과기간년월 입력오류입니다         </t>
  </si>
  <si>
    <t xml:space="preserve">서버참가기관이 존재하지 않습니다  </t>
  </si>
  <si>
    <t xml:space="preserve">예상조회시점입력오류                  </t>
  </si>
  <si>
    <t xml:space="preserve">처리결과입력오류                      </t>
  </si>
  <si>
    <t xml:space="preserve">자금이체시스템종류오류                </t>
  </si>
  <si>
    <t xml:space="preserve">소속기관  입력  오류입니다        </t>
  </si>
  <si>
    <t xml:space="preserve">그룹코드  입력  오류입니다        </t>
  </si>
  <si>
    <t xml:space="preserve">그룹구분  입력  오류입니다        </t>
  </si>
  <si>
    <t xml:space="preserve">상대구분  입력  오류입니다        </t>
  </si>
  <si>
    <t xml:space="preserve">변경후  한도금액  오류입니다      </t>
  </si>
  <si>
    <t xml:space="preserve">한도구분  입력  오류입니다        </t>
  </si>
  <si>
    <t xml:space="preserve">다른그룹에  소속된  기관입니다    </t>
  </si>
  <si>
    <t xml:space="preserve">동일한도그룹설정  이미  존재함    </t>
  </si>
  <si>
    <t xml:space="preserve">소속기관을  확인  하세요          </t>
  </si>
  <si>
    <t xml:space="preserve">상대그룹코드를  확인  하세요      </t>
  </si>
  <si>
    <t xml:space="preserve">그룹명을  확인  하세요            </t>
  </si>
  <si>
    <t xml:space="preserve">처리구분  입력  오류입니다        </t>
  </si>
  <si>
    <t xml:space="preserve">한도변경내역  이미  존재함        </t>
  </si>
  <si>
    <t xml:space="preserve">한도그룹변경내역  이미  존재함    </t>
  </si>
  <si>
    <t xml:space="preserve">양자간순지급한도  이미  존재함    </t>
  </si>
  <si>
    <t xml:space="preserve">총순지급한도  이미  존재함        </t>
  </si>
  <si>
    <t>동일한도그룹설정  금액이  없습니다</t>
  </si>
  <si>
    <t xml:space="preserve">동일한도그룹설정  금액이  존재함  </t>
  </si>
  <si>
    <t>동일한도그룹설정  내역이  없습니다</t>
  </si>
  <si>
    <t xml:space="preserve">동일한도그룹내  소속기관이  없음  </t>
  </si>
  <si>
    <t>양자간순지급한도  내역이  없습니다</t>
  </si>
  <si>
    <t>동일한도그룹에  소속된  기관입니다</t>
  </si>
  <si>
    <t xml:space="preserve">총순지급한도  내역이  없습니다    </t>
  </si>
  <si>
    <t xml:space="preserve">거래구분  입력  오류입니다        </t>
  </si>
  <si>
    <t xml:space="preserve">상대코드를  확인  하세요          </t>
  </si>
  <si>
    <t xml:space="preserve">기관그룹구분  입력  오류입니다    </t>
  </si>
  <si>
    <t xml:space="preserve">설정내역이  이미  존재합니다      </t>
  </si>
  <si>
    <t xml:space="preserve">전문관리번호를  확인  하세요      </t>
  </si>
  <si>
    <t xml:space="preserve">변경후 설정금액 입력 오류입니다 </t>
  </si>
  <si>
    <t xml:space="preserve">약정  체결  상태가  아닙니다    </t>
  </si>
  <si>
    <t xml:space="preserve">약정체결이  안된  기관  입니다  </t>
  </si>
  <si>
    <t xml:space="preserve">유효하지  않은 기관  입니다     </t>
  </si>
  <si>
    <t xml:space="preserve">서버전문조회 오류입니다             </t>
  </si>
  <si>
    <t xml:space="preserve">계좌간자금이체 이미 존재합니다    </t>
  </si>
  <si>
    <t xml:space="preserve">이체금액 입력 오류입니다          </t>
  </si>
  <si>
    <t xml:space="preserve">결제전용  ＴＯ　당좌만　가능합니다  </t>
  </si>
  <si>
    <t xml:space="preserve">당좌  ＴＯ　결제전용만　가능합니다  </t>
  </si>
  <si>
    <t xml:space="preserve">계좌간자금이체시점  오류입니다      </t>
  </si>
  <si>
    <t xml:space="preserve">계좌간이체구분  입력  오류입니다  </t>
  </si>
  <si>
    <t xml:space="preserve">거래기관을  확인  하세요          </t>
  </si>
  <si>
    <t xml:space="preserve">거래일자를  확인  하세요          </t>
  </si>
  <si>
    <t xml:space="preserve">자금이체　ＨＩＳＴＯＲＹ　파일　오류  </t>
  </si>
  <si>
    <t xml:space="preserve">의뢰인구분 입력 오류              </t>
  </si>
  <si>
    <t xml:space="preserve">의뢰인이름 입력 오류              </t>
  </si>
  <si>
    <t xml:space="preserve">수취인이름 입력 오류              </t>
  </si>
  <si>
    <t xml:space="preserve">대상년월 입력오류입니다             </t>
  </si>
  <si>
    <t xml:space="preserve">입력한대리인명과등록된대리인명불일치  </t>
  </si>
  <si>
    <t xml:space="preserve">총계정원장을 확인 하세요          </t>
  </si>
  <si>
    <t>가용양자간순지급한도항목은입력항목아님</t>
  </si>
  <si>
    <t xml:space="preserve">가용총순지급한도항목은입력항목아님    </t>
  </si>
  <si>
    <t xml:space="preserve">결제실패원인항목은입력항목이아님      </t>
  </si>
  <si>
    <t xml:space="preserve">결제방법항목은입력항목이아닙니다      </t>
  </si>
  <si>
    <t xml:space="preserve">복합대기순서항목은입력항목이아닙니다  </t>
  </si>
  <si>
    <t xml:space="preserve">자금이체일련번호는입력항목이아님      </t>
  </si>
  <si>
    <t xml:space="preserve">현금지급신청번호는입력항목이아닙니다  </t>
  </si>
  <si>
    <t xml:space="preserve">당좌예금차기일련번호는입력항목이아님  </t>
  </si>
  <si>
    <t xml:space="preserve">지정책임자성명은입력항목이아닙니다    </t>
  </si>
  <si>
    <t xml:space="preserve">현송책임자성명은입력항목이아닙니다    </t>
  </si>
  <si>
    <t xml:space="preserve">처리시간은 입력 항목이 아닙니다 </t>
  </si>
  <si>
    <t xml:space="preserve">처리상태는 입력항목이 아닙니다    </t>
  </si>
  <si>
    <t xml:space="preserve">당좌대출가능금액은입력항목이아님      </t>
  </si>
  <si>
    <t xml:space="preserve">결제전용예금잔액은입력항목이아님      </t>
  </si>
  <si>
    <t xml:space="preserve">당좌예금잔액은입력항목이아닙니다      </t>
  </si>
  <si>
    <t xml:space="preserve">결제시간은 입력 항목이 아닙니다 </t>
  </si>
  <si>
    <t xml:space="preserve">신청시간은 입력 항목이 아닙니다 </t>
  </si>
  <si>
    <t xml:space="preserve">회계번호는 입력 항목이 아닙니다 </t>
  </si>
  <si>
    <t xml:space="preserve">대기번호는 입력 항목이 아닙니다 </t>
  </si>
  <si>
    <t xml:space="preserve">예약번호는 입력 항목이 아닙니다 </t>
  </si>
  <si>
    <t xml:space="preserve">결제상태는 입력 항목이 아닙니다 </t>
  </si>
  <si>
    <t xml:space="preserve">처리상태코드　오류！（테이블　확인）  </t>
  </si>
  <si>
    <t xml:space="preserve">이미　현금지급이　완료된　건입니다    </t>
  </si>
  <si>
    <t xml:space="preserve">이미　당좌차기된　건입니다            </t>
  </si>
  <si>
    <t xml:space="preserve">이미　지급의뢰　오류처리된　건입니다  </t>
  </si>
  <si>
    <t>의뢰완료건이므로　취소할　수　없습니다</t>
  </si>
  <si>
    <t xml:space="preserve">이미　신청취소된　건입니다            </t>
  </si>
  <si>
    <t xml:space="preserve">등록되지않은　당좌계정개설처입니다    </t>
  </si>
  <si>
    <t xml:space="preserve">당좌계좌를　개설할수없는　곳입니다    </t>
  </si>
  <si>
    <t xml:space="preserve">사용불가능한　당좌계정개설처입니다    </t>
  </si>
  <si>
    <t xml:space="preserve">당좌거래약정이　체결되지　않았습니다  </t>
  </si>
  <si>
    <t xml:space="preserve">당좌거래약정이　해지되었습니다        </t>
  </si>
  <si>
    <t xml:space="preserve">당좌거래정지중입니다                  </t>
  </si>
  <si>
    <t xml:space="preserve">회계시스템운영팀으로　연락바랍니다    </t>
  </si>
  <si>
    <t xml:space="preserve">영업일이　도래하지　않았습니다        </t>
  </si>
  <si>
    <t xml:space="preserve">마감　상태　입니다                    </t>
  </si>
  <si>
    <t xml:space="preserve">오늘은　휴일입니다                    </t>
  </si>
  <si>
    <t xml:space="preserve">인출취급점을　확인하세요              </t>
  </si>
  <si>
    <t xml:space="preserve">인출예정일이　영업일　전　입니다      </t>
  </si>
  <si>
    <t xml:space="preserve">현금지급　신청건이　없습니다          </t>
  </si>
  <si>
    <t xml:space="preserve">신청금액을　확인하십시오              </t>
  </si>
  <si>
    <t xml:space="preserve">신청금액이　신청시　금액과　다름니다  </t>
  </si>
  <si>
    <t xml:space="preserve">현금지급신청 건이 없습니다        </t>
  </si>
  <si>
    <t xml:space="preserve">신청번호를　확인하십시오              </t>
  </si>
  <si>
    <t xml:space="preserve">신청일자가　영업일자　전입니다        </t>
  </si>
  <si>
    <t xml:space="preserve">현금지급　신청취소가　완료되었습니다  </t>
  </si>
  <si>
    <t xml:space="preserve">지정책임자를확인-현송책임자와동일   </t>
  </si>
  <si>
    <t xml:space="preserve">지정책임자의소속기관이다릅니다        </t>
  </si>
  <si>
    <t xml:space="preserve">지정책임자가등록되지않았습니다        </t>
  </si>
  <si>
    <t xml:space="preserve">대리인의 소속기관이 다릅니다      </t>
  </si>
  <si>
    <t xml:space="preserve">현송책임자의 소속기관이다릅니다     </t>
  </si>
  <si>
    <t xml:space="preserve">비밀번호자리를모두채우시오            </t>
  </si>
  <si>
    <t xml:space="preserve">당좌계정개설처를확인하시오            </t>
  </si>
  <si>
    <t xml:space="preserve">당좌계정개설처를입력하시오            </t>
  </si>
  <si>
    <t xml:space="preserve">이미현금지금이 신청되어있습니다     </t>
  </si>
  <si>
    <t xml:space="preserve">비밀번호두개가 서로다릅니다         </t>
  </si>
  <si>
    <t xml:space="preserve">비밀번호재확인을입력하시오            </t>
  </si>
  <si>
    <t xml:space="preserve">비밀번호를입력하시오                  </t>
  </si>
  <si>
    <t>현송책임자가등록되지않았습니다</t>
  </si>
  <si>
    <t xml:space="preserve">현송책임자주민번호를 확인하시오     </t>
  </si>
  <si>
    <t xml:space="preserve">대리인이 등록되지않았습니다         </t>
  </si>
  <si>
    <t xml:space="preserve">대리인 주민번호를 확인하시오      </t>
  </si>
  <si>
    <t xml:space="preserve">신청금액을 확인하시오               </t>
  </si>
  <si>
    <t xml:space="preserve">신청금액이 0 입니다                 </t>
  </si>
  <si>
    <t xml:space="preserve">인출예정일자가 영업일자전입니다     </t>
  </si>
  <si>
    <t xml:space="preserve">신청일자가영업일자와다릅니다          </t>
  </si>
  <si>
    <t xml:space="preserve">신청일자를확인하시오                  </t>
  </si>
  <si>
    <t xml:space="preserve">현금지급신청이완료되었습니다          </t>
  </si>
  <si>
    <t xml:space="preserve">단말기CHECK오류입니다               </t>
  </si>
  <si>
    <t xml:space="preserve">등록되지않은단말기입니다              </t>
  </si>
  <si>
    <t xml:space="preserve">기관코드오류-한국은행전산부로연락   </t>
  </si>
  <si>
    <t xml:space="preserve">DB오류-한국은행전산정보부로연락     </t>
  </si>
  <si>
    <t xml:space="preserve">오류-한국은행전산정보부로연락바람   </t>
  </si>
  <si>
    <t xml:space="preserve">의뢰인계좌번호 입력 오류입니다    </t>
  </si>
  <si>
    <t xml:space="preserve">제한구분　입력　오류                  </t>
  </si>
  <si>
    <t xml:space="preserve">서버참가기관이　장애등록　상태입니다  </t>
  </si>
  <si>
    <t xml:space="preserve">자동수행 START 오류                 </t>
  </si>
  <si>
    <t xml:space="preserve">혼합형장애시만 기관간 거래가능    </t>
  </si>
  <si>
    <t xml:space="preserve">처리시작일시 입력오류입니다         </t>
  </si>
  <si>
    <t xml:space="preserve">자동수행일별내역 삭제오류           </t>
  </si>
  <si>
    <t xml:space="preserve">자동수행일별내역 SELECT 오류        </t>
  </si>
  <si>
    <t xml:space="preserve">START TRAN 처리현황 생성오류        </t>
  </si>
  <si>
    <t xml:space="preserve">START TRAN 처리현황 이미 존재함   </t>
  </si>
  <si>
    <t xml:space="preserve">자동INVOKE TRAN 생성오류            </t>
  </si>
  <si>
    <t xml:space="preserve">자동INVOKE TRAN 이미 존재함       </t>
  </si>
  <si>
    <t xml:space="preserve">지정처리시간 입력오류               </t>
  </si>
  <si>
    <t xml:space="preserve">처리시간 입력오류입니다             </t>
  </si>
  <si>
    <t xml:space="preserve">자동수행일별내역 생성오류           </t>
  </si>
  <si>
    <t xml:space="preserve">TBEB246 DELETE ERROR                    </t>
  </si>
  <si>
    <t xml:space="preserve">TBEB246 UPDATE ERROR                    </t>
  </si>
  <si>
    <t xml:space="preserve">TBEB246 INSERT ERROR                    </t>
  </si>
  <si>
    <t xml:space="preserve">거래구분코드명 입력 오류          </t>
  </si>
  <si>
    <t xml:space="preserve">통보대상구분 입력 오류            </t>
  </si>
  <si>
    <t xml:space="preserve">프로그램 ID 입력 오류             </t>
  </si>
  <si>
    <t xml:space="preserve">자동수행 갱신오류                   </t>
  </si>
  <si>
    <t xml:space="preserve">자동수행 내역이 없습니다          </t>
  </si>
  <si>
    <t xml:space="preserve">프로그램기동구분 오류입니다         </t>
  </si>
  <si>
    <t xml:space="preserve">단말번호 입력 오류                </t>
  </si>
  <si>
    <t xml:space="preserve">자금이체취소처리(EVENT)확인오류     </t>
  </si>
  <si>
    <t xml:space="preserve">자금이체취소처리EVENT 이미 존재함 </t>
  </si>
  <si>
    <t xml:space="preserve">특정시간대 1개월이상 조회제한     </t>
  </si>
  <si>
    <t xml:space="preserve">입력한 제한기간내 등록건 존재   </t>
  </si>
  <si>
    <t xml:space="preserve">거래제한 SELECT 오류                </t>
  </si>
  <si>
    <t xml:space="preserve">거래제한 DELETE 오류                </t>
  </si>
  <si>
    <t xml:space="preserve">취소대상거래가 아닙니다             </t>
  </si>
  <si>
    <t xml:space="preserve">거래제한 INSERT 오류                </t>
  </si>
  <si>
    <t xml:space="preserve">입력대상거래가 아닙니다             </t>
  </si>
  <si>
    <t xml:space="preserve">약정관리 SELECT 오류                </t>
  </si>
  <si>
    <t xml:space="preserve">약정체결기관이 아님                 </t>
  </si>
  <si>
    <t xml:space="preserve">제한기간-시작 확인바람            </t>
  </si>
  <si>
    <t xml:space="preserve">제한기간-종료 입력오류            </t>
  </si>
  <si>
    <t xml:space="preserve">제한기간-시작 입력오류            </t>
  </si>
  <si>
    <t xml:space="preserve">수취인지정자금이체 확인오류         </t>
  </si>
  <si>
    <t xml:space="preserve">일반자금이체 확인오류               </t>
  </si>
  <si>
    <t xml:space="preserve">자금이체 확인오류                   </t>
  </si>
  <si>
    <t xml:space="preserve">총액결제시스템에서는 불가능한거래임 </t>
  </si>
  <si>
    <t xml:space="preserve">이미 입력된 자료입니다            </t>
  </si>
  <si>
    <t xml:space="preserve">TBEB252 DELETE ERROR                    </t>
  </si>
  <si>
    <t xml:space="preserve">취소할 자료가 없습니다            </t>
  </si>
  <si>
    <t xml:space="preserve">삭제 되었습니다                     </t>
  </si>
  <si>
    <t xml:space="preserve">TBEB252 UPDATE ERROR                    </t>
  </si>
  <si>
    <t xml:space="preserve">수정할 자료가 없습니다            </t>
  </si>
  <si>
    <t xml:space="preserve">수정 되었습니다                     </t>
  </si>
  <si>
    <t xml:space="preserve">TBEB252 SELECT ERROR                    </t>
  </si>
  <si>
    <t xml:space="preserve">등록 되었습니다                     </t>
  </si>
  <si>
    <t xml:space="preserve">TBEB246 SELECT ERROR                    </t>
  </si>
  <si>
    <t xml:space="preserve">거래코드를 먼저 등록바람          </t>
  </si>
  <si>
    <t xml:space="preserve">보고서종류 입력 오류입니다        </t>
  </si>
  <si>
    <t xml:space="preserve">전문명 입력오류                     </t>
  </si>
  <si>
    <t xml:space="preserve">시스템ID 입력오류                   </t>
  </si>
  <si>
    <t xml:space="preserve">입력시 사용상태=사용만가능        </t>
  </si>
  <si>
    <t xml:space="preserve">사용상태 입력오류                   </t>
  </si>
  <si>
    <t xml:space="preserve">중복체크여부 입력오류               </t>
  </si>
  <si>
    <t xml:space="preserve">대사업무구분 입력오류               </t>
  </si>
  <si>
    <t xml:space="preserve">대사여부 입력오류                   </t>
  </si>
  <si>
    <t xml:space="preserve">전문유형 입력오류                   </t>
  </si>
  <si>
    <t xml:space="preserve">전문종별코드 입력오류               </t>
  </si>
  <si>
    <t xml:space="preserve">전문길이 입력오류                   </t>
  </si>
  <si>
    <t xml:space="preserve">조회기간(1개월) 초과              </t>
  </si>
  <si>
    <t xml:space="preserve">PGM-ID 입력오류                       </t>
  </si>
  <si>
    <t xml:space="preserve">혼합형 장애시만 조회가능          </t>
  </si>
  <si>
    <t xml:space="preserve">잔액증가기관 대기해소 처리오류    </t>
  </si>
  <si>
    <t xml:space="preserve">다자간동시처리 실행시간 예약불가  </t>
  </si>
  <si>
    <t xml:space="preserve">혼합형시스템 업무마감됨             </t>
  </si>
  <si>
    <t xml:space="preserve">예약자금이체 입력마감되었습니다     </t>
  </si>
  <si>
    <t xml:space="preserve">전문관리번호 오류                   </t>
  </si>
  <si>
    <t xml:space="preserve">수취기관점포명 입력 오류          </t>
  </si>
  <si>
    <t xml:space="preserve">수취기관점포코드 입력 오류        </t>
  </si>
  <si>
    <t xml:space="preserve">이체기관점포명 입력 오류          </t>
  </si>
  <si>
    <t xml:space="preserve">이체기관점포코드 입력 오류        </t>
  </si>
  <si>
    <t xml:space="preserve">자기계정으로 이체불가합니다         </t>
  </si>
  <si>
    <t xml:space="preserve">담당자번호  입력오류입니다          </t>
  </si>
  <si>
    <t xml:space="preserve">전문등록일시  입력오류입니다        </t>
  </si>
  <si>
    <t xml:space="preserve">거래일자-시작  확인하세요         </t>
  </si>
  <si>
    <t xml:space="preserve">거래일자-종료  입력오류           </t>
  </si>
  <si>
    <t xml:space="preserve">거래일자-시작  입력오류           </t>
  </si>
  <si>
    <t xml:space="preserve">처리상태 입력오류                   </t>
  </si>
  <si>
    <t xml:space="preserve">거래일자 입력오류                   </t>
  </si>
  <si>
    <t xml:space="preserve">통지처리 오류                       </t>
  </si>
  <si>
    <t xml:space="preserve">CURSOR FETCH ERROR                      </t>
  </si>
  <si>
    <t xml:space="preserve">CURSOR OPEN ERROR                       </t>
  </si>
  <si>
    <t xml:space="preserve">수취인지정자금이체 갱신 오류      </t>
  </si>
  <si>
    <t xml:space="preserve">일반자금이체 갱신 오류            </t>
  </si>
  <si>
    <t xml:space="preserve">일반자금이체 내역이 없습니다      </t>
  </si>
  <si>
    <t xml:space="preserve">자금이체 갱신 오류                </t>
  </si>
  <si>
    <t xml:space="preserve">자금이체 내역이 없습니다          </t>
  </si>
  <si>
    <t xml:space="preserve">입력 되었습니다                     </t>
  </si>
  <si>
    <t xml:space="preserve">자금코드 입력오류입니다             </t>
  </si>
  <si>
    <t xml:space="preserve">합계금액 일치하지 않음            </t>
  </si>
  <si>
    <t xml:space="preserve">합계금액 입력오류입니다             </t>
  </si>
  <si>
    <t xml:space="preserve">합계건수 일치하지 않음            </t>
  </si>
  <si>
    <t xml:space="preserve">합계건수 입력오류입니다             </t>
  </si>
  <si>
    <t xml:space="preserve">수수료금액 오류입니다               </t>
  </si>
  <si>
    <t xml:space="preserve">불승인 되었습니다                   </t>
  </si>
  <si>
    <t xml:space="preserve">조회 되었습니다                     </t>
  </si>
  <si>
    <t xml:space="preserve">취소 되었습니다                     </t>
  </si>
  <si>
    <t xml:space="preserve">자료의 마지막입니다                 </t>
  </si>
  <si>
    <t xml:space="preserve">자료가 계속됩니다                   </t>
  </si>
  <si>
    <t xml:space="preserve">금융기관 입력오류                   </t>
  </si>
  <si>
    <t xml:space="preserve">신청일자 입력오류                   </t>
  </si>
  <si>
    <t xml:space="preserve">대기거래종류가　원화자금이　아닙니다  </t>
  </si>
  <si>
    <t xml:space="preserve">해당일원화원장없슴                    </t>
  </si>
  <si>
    <t xml:space="preserve">한은망현금지급　완료후　수행　바람    </t>
  </si>
  <si>
    <t xml:space="preserve">한은망현금입금　완료후　수행　바람    </t>
  </si>
  <si>
    <t xml:space="preserve">한은망이용수수료　처리가　되었습니다  </t>
  </si>
  <si>
    <t xml:space="preserve">한은금융망　이용수수료　결제　미실행  </t>
  </si>
  <si>
    <t xml:space="preserve">통안갑계정이자　미지급상태　입니다    </t>
  </si>
  <si>
    <t xml:space="preserve">타취급점의　타기관으로　불가　！！    </t>
  </si>
  <si>
    <t xml:space="preserve">차액결제자료　미수신                  </t>
  </si>
  <si>
    <t xml:space="preserve">차액결제실행중　입니다                </t>
  </si>
  <si>
    <t xml:space="preserve">징수취소처리가　완료되었습니다        </t>
  </si>
  <si>
    <t xml:space="preserve">징수처리가　완료되었습니다            </t>
  </si>
  <si>
    <t xml:space="preserve">오후 지정시점예약자금이체신청마감임 </t>
  </si>
  <si>
    <t xml:space="preserve">오전 지정시점예약자금이체신청마감임 </t>
  </si>
  <si>
    <t xml:space="preserve">지정시점구분　입력　오류입니다．      </t>
  </si>
  <si>
    <t xml:space="preserve">지정시점결제대상이　없습니다          </t>
  </si>
  <si>
    <t xml:space="preserve">지점수행　불가                        </t>
  </si>
  <si>
    <t xml:space="preserve">적기전표일괄처리시　오류              </t>
  </si>
  <si>
    <t xml:space="preserve">자기앞수표　미발행상태　입니다        </t>
  </si>
  <si>
    <t xml:space="preserve">자금이체코드오류                      </t>
  </si>
  <si>
    <t xml:space="preserve">입력불가능　자금코드입니다            </t>
  </si>
  <si>
    <t xml:space="preserve">의뢰인명　입력바랍니다．              </t>
  </si>
  <si>
    <t xml:space="preserve">의뢰인　지역　입력　오류입니다．      </t>
  </si>
  <si>
    <t xml:space="preserve">의뢰인　구분　입력　오류입니다．      </t>
  </si>
  <si>
    <t xml:space="preserve">의뢰기관명　입력　오류입니다．        </t>
  </si>
  <si>
    <t xml:space="preserve">의뢰기관　입력　오류입니다．          </t>
  </si>
  <si>
    <t xml:space="preserve">오후차액결제가　처리중입니다          </t>
  </si>
  <si>
    <t xml:space="preserve">오후차액결제가　완료되었습니다        </t>
  </si>
  <si>
    <t xml:space="preserve">오후차액결제　수신이전입니다．        </t>
  </si>
  <si>
    <t xml:space="preserve">오후차액결제　결제중입니다．          </t>
  </si>
  <si>
    <t xml:space="preserve">오후결제가　완료되지않았습니다        </t>
  </si>
  <si>
    <t xml:space="preserve">오전차액결제자료　수신이전입니다．    </t>
  </si>
  <si>
    <t xml:space="preserve">오전차액결제가　처리중입니다          </t>
  </si>
  <si>
    <t xml:space="preserve">오전차액결제가　완료되었습니다        </t>
  </si>
  <si>
    <t xml:space="preserve">오전차액결제　결제중입니다．          </t>
  </si>
  <si>
    <t xml:space="preserve">오전예약이체는 금융결제국만 가능  </t>
  </si>
  <si>
    <t xml:space="preserve">오전예약이체 타취급점으로이체불가   </t>
  </si>
  <si>
    <t xml:space="preserve">예약자금이체내역이　없습니다．        </t>
  </si>
  <si>
    <t xml:space="preserve">예약시간을　확인하십시요．            </t>
  </si>
  <si>
    <t xml:space="preserve">예약시간은 최소한10분이후에가능   </t>
  </si>
  <si>
    <t xml:space="preserve">예약시각　입력　오류입니다．          </t>
  </si>
  <si>
    <t xml:space="preserve">예약번호　입력　오류입니다．          </t>
  </si>
  <si>
    <t xml:space="preserve">예약거래　입력　마감　상태입니다．    </t>
  </si>
  <si>
    <t xml:space="preserve">예약취소(혼합)되었습니다          </t>
  </si>
  <si>
    <t xml:space="preserve">예약취소(총액)되었습니다          </t>
  </si>
  <si>
    <t xml:space="preserve">예약결제(혼합)되었습니다          </t>
  </si>
  <si>
    <t xml:space="preserve">예약결제(총액)되었습니다          </t>
  </si>
  <si>
    <t xml:space="preserve">예상당좌예금잔액　범위내로　제한      </t>
  </si>
  <si>
    <t xml:space="preserve">신청시간을　확인하십시요．            </t>
  </si>
  <si>
    <t xml:space="preserve">신청　장소　오류입니다．              </t>
  </si>
  <si>
    <t xml:space="preserve">수취인지정이체내역이　없습니다        </t>
  </si>
  <si>
    <t xml:space="preserve">수취인　이름　입력　오류입니다．      </t>
  </si>
  <si>
    <t xml:space="preserve">수취인　계좌번호　입력　오류입니다．  </t>
  </si>
  <si>
    <t xml:space="preserve">수취인거래지정명입력오류              </t>
  </si>
  <si>
    <t xml:space="preserve">수신코드의　결제일을　확인하시오      </t>
  </si>
  <si>
    <t xml:space="preserve">수동수행　실행중　입니다．            </t>
  </si>
  <si>
    <t xml:space="preserve">비참가기관　타취급점으로　불가　！！  </t>
  </si>
  <si>
    <t xml:space="preserve">등록되지않은　자금코드입니다          </t>
  </si>
  <si>
    <t xml:space="preserve">동일계좌로의　이체불가　！！          </t>
  </si>
  <si>
    <t xml:space="preserve">대기제한　금융기관입니다              </t>
  </si>
  <si>
    <t xml:space="preserve">대기취소(혼합)되었습니다          </t>
  </si>
  <si>
    <t xml:space="preserve">대기취소(총액)되었습니다          </t>
  </si>
  <si>
    <t xml:space="preserve">대기결제(혼합)되었습니다          </t>
  </si>
  <si>
    <t xml:space="preserve">대기결제(총액)되었습니다          </t>
  </si>
  <si>
    <t xml:space="preserve">당일건　전표취소처리시　오류          </t>
  </si>
  <si>
    <t xml:space="preserve">다자간동시실행시간은예약시간될수없음  </t>
  </si>
  <si>
    <t xml:space="preserve">금융기관간예약이체불가능　！！        </t>
  </si>
  <si>
    <t xml:space="preserve">계좌번호가　존재하지않습니다．        </t>
  </si>
  <si>
    <t xml:space="preserve">계좌번호　입력바랍니다                </t>
  </si>
  <si>
    <t xml:space="preserve">결제일이　아닙니다                    </t>
  </si>
  <si>
    <t>결제시점이 예약인경우만 입력가능함</t>
  </si>
  <si>
    <t xml:space="preserve">결제시점은　즉시만　가능합니다．      </t>
  </si>
  <si>
    <t xml:space="preserve">결제시점　입력　오류입니다．          </t>
  </si>
  <si>
    <t xml:space="preserve">결제방법　입력　오류입니다．          </t>
  </si>
  <si>
    <t xml:space="preserve">의뢰인지역（１０）　오류              </t>
  </si>
  <si>
    <t xml:space="preserve">의뢰인지역（９）　오류                </t>
  </si>
  <si>
    <t xml:space="preserve">의뢰인지역（８）　오류                </t>
  </si>
  <si>
    <t xml:space="preserve">의뢰인지역（７）　오류                </t>
  </si>
  <si>
    <t xml:space="preserve">의뢰인지역（６）　오류                </t>
  </si>
  <si>
    <t xml:space="preserve">의뢰인지역（５）　오류                </t>
  </si>
  <si>
    <t xml:space="preserve">의뢰인지역（４）　오류                </t>
  </si>
  <si>
    <t xml:space="preserve">의뢰인지역（３）　오류                </t>
  </si>
  <si>
    <t xml:space="preserve">의뢰인지역（２）　오류                </t>
  </si>
  <si>
    <t xml:space="preserve">의뢰인지역（１）　오류                </t>
  </si>
  <si>
    <t xml:space="preserve">예비종료이후접수된자료는처리불가      </t>
  </si>
  <si>
    <t xml:space="preserve">대기파일　오류                        </t>
  </si>
  <si>
    <t xml:space="preserve">참가기관코드와 통합코드 중복      </t>
  </si>
  <si>
    <t xml:space="preserve">한국은행 지준코드 확인            </t>
  </si>
  <si>
    <t xml:space="preserve">위탁기관 확인                       </t>
  </si>
  <si>
    <t xml:space="preserve">현재 변경중인 거래입니다          </t>
  </si>
  <si>
    <t xml:space="preserve">중개회사에서 변경신청한 건입니다  </t>
  </si>
  <si>
    <t xml:space="preserve">상태구분 확인                       </t>
  </si>
  <si>
    <t xml:space="preserve">금융권 분류코드 확인              </t>
  </si>
  <si>
    <t xml:space="preserve">콜취소테이블 조회 오류            </t>
  </si>
  <si>
    <t xml:space="preserve">수신코드테이블조회 오류             </t>
  </si>
  <si>
    <t xml:space="preserve">콜상환이 불가능한 체결건임        </t>
  </si>
  <si>
    <t xml:space="preserve">체결유형및결제구분불일치　　　　　　  </t>
  </si>
  <si>
    <t xml:space="preserve">취소유보중인거래내역은취소요청불가　  </t>
  </si>
  <si>
    <t xml:space="preserve">상환진행중인거래내역은취소요청불가　  </t>
  </si>
  <si>
    <t xml:space="preserve">반일물콜체결유형확인　　　　　　　　  </t>
  </si>
  <si>
    <t xml:space="preserve">거래은행예금차입은취소불가　　　　　  </t>
  </si>
  <si>
    <t xml:space="preserve">연결상환은 직거래만 가능합니다    </t>
  </si>
  <si>
    <t xml:space="preserve">차입업체및거래은행지준계좌전부미입력  </t>
  </si>
  <si>
    <t xml:space="preserve">공급업체수탁업체거래은행지준계좌화인  </t>
  </si>
  <si>
    <t xml:space="preserve">뮤추얼 펀드는 등록 불가         </t>
  </si>
  <si>
    <t xml:space="preserve">이미반환신청된건입니다　　　　　　　  </t>
  </si>
  <si>
    <t xml:space="preserve">반환동의신청건이없습니다　　　　　　  </t>
  </si>
  <si>
    <t xml:space="preserve">변경구분확인　　　　　　　　　　　　  </t>
  </si>
  <si>
    <t xml:space="preserve">반환일련번호확인　　　　　　　　　　  </t>
  </si>
  <si>
    <t xml:space="preserve">신청구분확인　　　　　　　　　　　　  </t>
  </si>
  <si>
    <t xml:space="preserve">일반상환대상이없습니다　　　　　　　  </t>
  </si>
  <si>
    <t xml:space="preserve">콜체결일련번호확인　　　　　　　　　  </t>
  </si>
  <si>
    <t xml:space="preserve">콜체결일자확인　　　　　　　　　　　  </t>
  </si>
  <si>
    <t xml:space="preserve">반환구분확인　　　　　　　　　　　　  </t>
  </si>
  <si>
    <t xml:space="preserve">콜체결유형(거래유형)확인　　　　  </t>
  </si>
  <si>
    <t xml:space="preserve">체결상태가상환불가능한거래입니다　　  </t>
  </si>
  <si>
    <t xml:space="preserve">한국은행상환일련번호확인　　　　　　  </t>
  </si>
  <si>
    <t xml:space="preserve">콜상환번호채번오류　　　　　　　　　  </t>
  </si>
  <si>
    <t xml:space="preserve">콜반환테이블갱신오류　　　　　　　　  </t>
  </si>
  <si>
    <t xml:space="preserve">반환동의신청이먼저수행되어야합니다　  </t>
  </si>
  <si>
    <t xml:space="preserve">콜반환테이블조회오류　　　　　　　　  </t>
  </si>
  <si>
    <t xml:space="preserve">콜반환테이블입력오류　　　　　　　　  </t>
  </si>
  <si>
    <t xml:space="preserve">콜상환테이블조회오류　　　　　　　　  </t>
  </si>
  <si>
    <t xml:space="preserve">이미자금공급이신청된건입니다　　　　  </t>
  </si>
  <si>
    <t xml:space="preserve">결제시점확인　　　　　　　　　　　　  </t>
  </si>
  <si>
    <t xml:space="preserve">예약시간확인　　　　　　　　　　　　  </t>
  </si>
  <si>
    <t xml:space="preserve">콜상환이벤트테이블입력오류　　　　　  </t>
  </si>
  <si>
    <t xml:space="preserve">콜상환이벤트테이블갱신오류　　　　　  </t>
  </si>
  <si>
    <t xml:space="preserve">변경후상환금액확인　　　　　　　　　  </t>
  </si>
  <si>
    <t xml:space="preserve">중개회사의변경신청확인　　　　　　　  </t>
  </si>
  <si>
    <t xml:space="preserve">변경후금리확인　　　　　　　　　　　  </t>
  </si>
  <si>
    <t xml:space="preserve">변경후기일확인　　　　　　　　　　　  </t>
  </si>
  <si>
    <t xml:space="preserve">변경후만기일자오류　　　　　　　　　  </t>
  </si>
  <si>
    <t xml:space="preserve">변경후이자금액오류　　　　　　　　　  </t>
  </si>
  <si>
    <t xml:space="preserve">변경전후내역변경이동일합니다　　　　  </t>
  </si>
  <si>
    <t xml:space="preserve">변경전후체결번호가동일합니다　　　　  </t>
  </si>
  <si>
    <t xml:space="preserve">콜상환테이블입력오류　　　　　　　　  </t>
  </si>
  <si>
    <t xml:space="preserve">변경후체결번호확인　　　　　　　　　  </t>
  </si>
  <si>
    <t xml:space="preserve">변경전체결번호확인　　　　　　　　　  </t>
  </si>
  <si>
    <t xml:space="preserve">변경동의신청이먼저수행되어야합니다　  </t>
  </si>
  <si>
    <t xml:space="preserve">콜제결변경테이블갱신오류　　　　　　  </t>
  </si>
  <si>
    <t xml:space="preserve">변경신청일자확인　　　　　　　　　　  </t>
  </si>
  <si>
    <t xml:space="preserve">콜체결변경신청내역이없습니다　　　　  </t>
  </si>
  <si>
    <t xml:space="preserve">신청이불가능한체결상태입니다　　　　  </t>
  </si>
  <si>
    <t xml:space="preserve">거래구분확인　　　　　　　　　　　　  </t>
  </si>
  <si>
    <t xml:space="preserve">변경신청미처리건이존재합니다　　　　  </t>
  </si>
  <si>
    <t xml:space="preserve">변경후상환방식확인　　　　　　　　　  </t>
  </si>
  <si>
    <t xml:space="preserve">변경전상환방식확인　　　　　　　　　  </t>
  </si>
  <si>
    <t xml:space="preserve">이미상환된거래입니다　　　　　　　　  </t>
  </si>
  <si>
    <t xml:space="preserve">소급거래는변경이불가합니다　　　　　  </t>
  </si>
  <si>
    <t xml:space="preserve">이미취소된거래입니다　　　　　　　　  </t>
  </si>
  <si>
    <t xml:space="preserve">콜제결변경테이블입력오류　　　　　　  </t>
  </si>
  <si>
    <t xml:space="preserve">콜체결변경테이블조회오류　　　　　　  </t>
  </si>
  <si>
    <t xml:space="preserve">콜체결내역이없습니다　　　　　　　　  </t>
  </si>
  <si>
    <t xml:space="preserve">서버기관테이블조회오류　　　　　　　  </t>
  </si>
  <si>
    <t xml:space="preserve">콜중개거래참가기관테이블탈퇴처리오류  </t>
  </si>
  <si>
    <t xml:space="preserve">콜중개거래참가기관테이블갱신처리오류  </t>
  </si>
  <si>
    <t xml:space="preserve">콜중개거래참가기관테이블신규입력오류  </t>
  </si>
  <si>
    <t xml:space="preserve">콜중개거래참가기관테이블조회오류　　  </t>
  </si>
  <si>
    <t xml:space="preserve">등록되지않은콜중개거래참가기관임　　  </t>
  </si>
  <si>
    <t xml:space="preserve">이미탈퇴한콜중개거래참가기관임　　　  </t>
  </si>
  <si>
    <t xml:space="preserve">이미등록된콜중개거래참가기관임　　　  </t>
  </si>
  <si>
    <t xml:space="preserve">참가기관지준코드테이블조회오류　　　  </t>
  </si>
  <si>
    <t xml:space="preserve">미등록된참가기관지준코드임　　　　　  </t>
  </si>
  <si>
    <t xml:space="preserve">콜중개거래체결테이블갱신오류　　　　  </t>
  </si>
  <si>
    <t xml:space="preserve">차입업체지준코드확인　　　　　　　　  </t>
  </si>
  <si>
    <t xml:space="preserve">공급업체지준코드확인　　　　　　　　  </t>
  </si>
  <si>
    <t>변경(취소)사유확인　　　　　　　　</t>
  </si>
  <si>
    <t xml:space="preserve">한국은행콜체결일련번호확인　　　　　  </t>
  </si>
  <si>
    <t xml:space="preserve">콜중개거래체결테이블입력오류　　　　  </t>
  </si>
  <si>
    <t xml:space="preserve">상환방식및결제구분불일치　　　　　　  </t>
  </si>
  <si>
    <t xml:space="preserve">자동및일반상환방식입력불가　　　　　  </t>
  </si>
  <si>
    <t xml:space="preserve">상환방식확인　　　　　　　　　　　　  </t>
  </si>
  <si>
    <t xml:space="preserve">체결시점과체결일자불일치　　　　　　  </t>
  </si>
  <si>
    <t xml:space="preserve">체결시점(당일소급구분)확인　　　  </t>
  </si>
  <si>
    <t xml:space="preserve">차입업체거래은행지준코드와계좌확인　  </t>
  </si>
  <si>
    <t xml:space="preserve">공급업체거래은행지준코드와계좌확인　  </t>
  </si>
  <si>
    <t xml:space="preserve">결제구분지준인데수탁업체지준코드미입  </t>
  </si>
  <si>
    <t xml:space="preserve">결제구분지준인데공급지준코드미등록    </t>
  </si>
  <si>
    <t xml:space="preserve">차입업체거래은행지준코드테이블조회오  </t>
  </si>
  <si>
    <t xml:space="preserve">차입업체거래은행지준코드확인　        </t>
  </si>
  <si>
    <t xml:space="preserve">공급업체거래은행지준코드테이블조회오  </t>
  </si>
  <si>
    <t xml:space="preserve">공급업체거래은행지준코드확인　        </t>
  </si>
  <si>
    <t xml:space="preserve">수탁업체지준코드테이블조회오류　　　  </t>
  </si>
  <si>
    <t xml:space="preserve">수탁업체지준코드미등록　　　　　　　  </t>
  </si>
  <si>
    <t xml:space="preserve">수탁업체지준코드확인　　　　　　　　  </t>
  </si>
  <si>
    <t xml:space="preserve">차입업체지준코드테이블조회오류　　　  </t>
  </si>
  <si>
    <t xml:space="preserve">차입업체지준코드미등록　　　　　　　  </t>
  </si>
  <si>
    <t xml:space="preserve">공급업체지준코드테이블조회오류　　　  </t>
  </si>
  <si>
    <t xml:space="preserve">공급업체지준코드미등록　　　　　　　  </t>
  </si>
  <si>
    <t xml:space="preserve">만기일자계산오류　　　　　　　　　　  </t>
  </si>
  <si>
    <t xml:space="preserve">수탁업체통합코드테이블조회오류　　　  </t>
  </si>
  <si>
    <t xml:space="preserve">수탁업체통합코드미등록　　　　　　　  </t>
  </si>
  <si>
    <t xml:space="preserve">수탁업체통합코드확인　　　　　　　　  </t>
  </si>
  <si>
    <t xml:space="preserve">중개회사부여수탁업체코드테이블조회오  </t>
  </si>
  <si>
    <t xml:space="preserve">중개회사부여수탁업체코드미등록　　　  </t>
  </si>
  <si>
    <t xml:space="preserve">콜차입업체접수번호확인　　　　　　　  </t>
  </si>
  <si>
    <t xml:space="preserve">콜차입업체통합코드테이블조회오류　　  </t>
  </si>
  <si>
    <t xml:space="preserve">콜차입업체통합코드미등록　　　　　　  </t>
  </si>
  <si>
    <t xml:space="preserve">콜차입업체통합코드확인　　　　　　　  </t>
  </si>
  <si>
    <t xml:space="preserve">중개회사부여콜차입업체코드테이블조회  </t>
  </si>
  <si>
    <t xml:space="preserve">중개회사부여콜차입업체코드미등록　　  </t>
  </si>
  <si>
    <t xml:space="preserve">중개회사부여콜차입업체코드확인　　　  </t>
  </si>
  <si>
    <t xml:space="preserve">콜공급업체접수번호확인　　　　　　　  </t>
  </si>
  <si>
    <t xml:space="preserve">콜공급업체통합코드테이블조회오류　　  </t>
  </si>
  <si>
    <t xml:space="preserve">콜공급업체통합코드미등록　　　　　　  </t>
  </si>
  <si>
    <t xml:space="preserve">콜공급업체통합코드확인　　　　　　　  </t>
  </si>
  <si>
    <t xml:space="preserve">중개회사부여콜공급업체코드테이블조회  </t>
  </si>
  <si>
    <t xml:space="preserve">중개회사부여콜공급업체코드미등록　　  </t>
  </si>
  <si>
    <t xml:space="preserve">중개회사부여콜공급업체코드확인　　　  </t>
  </si>
  <si>
    <t xml:space="preserve">결제구분확인　　　　　　　　　　　　  </t>
  </si>
  <si>
    <t xml:space="preserve">상환금액 불일치                     </t>
  </si>
  <si>
    <t xml:space="preserve">중개회사콜체결내역테이블조회오류　　  </t>
  </si>
  <si>
    <t xml:space="preserve">중개회사콜체결번호중복　　　　　　　  </t>
  </si>
  <si>
    <t xml:space="preserve">중개회사콜체결번호확인　　　　　　　  </t>
  </si>
  <si>
    <t xml:space="preserve">콜중개거래참가기관통합코드확인　　　  </t>
  </si>
  <si>
    <t xml:space="preserve">콜중개거래참가기관명확인　　　　　　  </t>
  </si>
  <si>
    <t xml:space="preserve">콜중개거래 참가기관코드 확인      </t>
  </si>
  <si>
    <t>공급마감시간을　예약시각으로　지정불가</t>
  </si>
  <si>
    <t xml:space="preserve">반일물콜은지급지시유형변경불가합니다  </t>
  </si>
  <si>
    <t xml:space="preserve">송신기관과　대행기관　불일치          </t>
  </si>
  <si>
    <t xml:space="preserve">송신기관과　콜머니기관　불일치        </t>
  </si>
  <si>
    <t xml:space="preserve">송신기관과　콜론기관　불일치          </t>
  </si>
  <si>
    <t xml:space="preserve">신규체결금액　입력　오류              </t>
  </si>
  <si>
    <t xml:space="preserve">통신회선사업자는　입력항목이　아님    </t>
  </si>
  <si>
    <t>징수(예정)금액은　입력항목이　아님</t>
  </si>
  <si>
    <t>국고전산망사용금액은　입력항목이　아님</t>
  </si>
  <si>
    <t xml:space="preserve">징수년월일은　입력항목이　아님        </t>
  </si>
  <si>
    <t xml:space="preserve">징수여부는　입력항목이　아님          </t>
  </si>
  <si>
    <t xml:space="preserve">반복수는　입력항목이　아님            </t>
  </si>
  <si>
    <t xml:space="preserve">콜체결일련번호　입력　오류            </t>
  </si>
  <si>
    <t xml:space="preserve">거래선택　입력　오류                  </t>
  </si>
  <si>
    <t xml:space="preserve">거래참조번호는　입력항목이　아님      </t>
  </si>
  <si>
    <t xml:space="preserve">일련번호는　입력항목이　아님          </t>
  </si>
  <si>
    <t xml:space="preserve">콜체결회계번호는　입력항목이　아님    </t>
  </si>
  <si>
    <t xml:space="preserve">콜상환회계번호는　입력항목이　아님    </t>
  </si>
  <si>
    <t xml:space="preserve">신규상환금액은　입력항목이　아님      </t>
  </si>
  <si>
    <t xml:space="preserve">신규이자금액은　입력항목이　아님      </t>
  </si>
  <si>
    <t xml:space="preserve">신규만기일자는　입력항목이　아님      </t>
  </si>
  <si>
    <t>신규콜상환일련번호는　입력항목이　아님</t>
  </si>
  <si>
    <t>신규콜체결일련번호는　입력항목이　아님</t>
  </si>
  <si>
    <t xml:space="preserve">신규거래종류는　입력항목이　아님      </t>
  </si>
  <si>
    <t xml:space="preserve">신규담보여부는　입력항목이　아님      </t>
  </si>
  <si>
    <t xml:space="preserve">처리시간은　입력항목이　아님          </t>
  </si>
  <si>
    <t xml:space="preserve">처리상태는　입력항목이　아님          </t>
  </si>
  <si>
    <t>가용양자간순지급한도는　입력항목　아님</t>
  </si>
  <si>
    <t xml:space="preserve">가용총순지급한도는　입력항목이　아님  </t>
  </si>
  <si>
    <t xml:space="preserve">당좌대출가능금액은　입력항목이　아님  </t>
  </si>
  <si>
    <t xml:space="preserve">결제전용예금잔액은　입력항목이　아님  </t>
  </si>
  <si>
    <t xml:space="preserve">당좌예금잔액은　입력항목이　아님      </t>
  </si>
  <si>
    <t xml:space="preserve">결제실패원인은　입력항목이　아님      </t>
  </si>
  <si>
    <t xml:space="preserve">결제방법은　입력항목이　아님          </t>
  </si>
  <si>
    <t xml:space="preserve">결제시간은　입력항목이　아님          </t>
  </si>
  <si>
    <t xml:space="preserve">신청시간은　입력항목이　아님          </t>
  </si>
  <si>
    <t xml:space="preserve">복합대기순서는　입력항목이　아님      </t>
  </si>
  <si>
    <t xml:space="preserve">대기번호는　입력항목이　아님          </t>
  </si>
  <si>
    <t xml:space="preserve">회계번호는　입력항목이　아님          </t>
  </si>
  <si>
    <t xml:space="preserve">예약번호는　입력항목이　아님          </t>
  </si>
  <si>
    <t xml:space="preserve">결제상태는　입력항목이　아님          </t>
  </si>
  <si>
    <t xml:space="preserve">상환금액은　입력항목이　아님          </t>
  </si>
  <si>
    <t xml:space="preserve">이자금액은　입력항목이　아님          </t>
  </si>
  <si>
    <t xml:space="preserve">콜상환일련번호는　입력항목이　아님    </t>
  </si>
  <si>
    <t xml:space="preserve">만기일자는　입력항목이　아님          </t>
  </si>
  <si>
    <t xml:space="preserve">콜체결일련번호는　입력항목이　아님    </t>
  </si>
  <si>
    <t xml:space="preserve">콜상환금액이　불일치함                </t>
  </si>
  <si>
    <t xml:space="preserve">콜체결금액이　불일치함                </t>
  </si>
  <si>
    <t xml:space="preserve">연결상환신청　신규금리와　불일치함    </t>
  </si>
  <si>
    <t xml:space="preserve">연결상환신청　신규금액과　불일치함    </t>
  </si>
  <si>
    <t xml:space="preserve">연결상환신청　신규기일물과　불일치함  </t>
  </si>
  <si>
    <t xml:space="preserve">콜체결금액은　억단위로　입력하세요    </t>
  </si>
  <si>
    <t xml:space="preserve">상환일자　입력　오류                  </t>
  </si>
  <si>
    <t xml:space="preserve">종료일자가　시작일자보다　큽니다      </t>
  </si>
  <si>
    <t xml:space="preserve">콜거래　종류　오류                    </t>
  </si>
  <si>
    <t xml:space="preserve">콜상환EVENT 테이블　오류            </t>
  </si>
  <si>
    <t xml:space="preserve">콜지급지시유형 변경내역 확인오류  </t>
  </si>
  <si>
    <t xml:space="preserve">콜수도(EVENT)확인오류               </t>
  </si>
  <si>
    <t xml:space="preserve">반일물콜수도 확인오류               </t>
  </si>
  <si>
    <t xml:space="preserve">직접기일물콜수도 확인오류           </t>
  </si>
  <si>
    <t xml:space="preserve">만기일　산출　오류                    </t>
  </si>
  <si>
    <t xml:space="preserve">거래코드，프로그램　미등록(TBEB246)   </t>
  </si>
  <si>
    <t xml:space="preserve">회계처리여부　오류                    </t>
  </si>
  <si>
    <t xml:space="preserve">콜론기관　취소동의후　거래요          </t>
  </si>
  <si>
    <t xml:space="preserve">이미　취소동의　상태　임              </t>
  </si>
  <si>
    <t xml:space="preserve">위탁기관（콜론기관）　오류            </t>
  </si>
  <si>
    <t xml:space="preserve">예약거래 취소오류                   </t>
  </si>
  <si>
    <t xml:space="preserve">예약거래 처리오류                   </t>
  </si>
  <si>
    <t>오후반일물　예약거래　입력마감상태　임</t>
  </si>
  <si>
    <t>오후반일물　즉시거래　입력마감상태　임</t>
  </si>
  <si>
    <t>오전반일물　예약거래　입력마감상태　임</t>
  </si>
  <si>
    <t>오전반일물　즉시거래　입력마감상태　임</t>
  </si>
  <si>
    <t xml:space="preserve">기일물콜　예약입력　마감상태　임      </t>
  </si>
  <si>
    <t xml:space="preserve">금액이　콜거래최소금액　보다　적음    </t>
  </si>
  <si>
    <t xml:space="preserve">예약시간이　예약가능시간을　초과함    </t>
  </si>
  <si>
    <t xml:space="preserve">신규보통지급지시　입력중지상태　임    </t>
  </si>
  <si>
    <t xml:space="preserve">신청시간　오류                        </t>
  </si>
  <si>
    <t xml:space="preserve">연결번호　오류                        </t>
  </si>
  <si>
    <t xml:space="preserve">자동상환으로　전환된　상태　임        </t>
  </si>
  <si>
    <t xml:space="preserve">연결상환확정신청　마감상태　임        </t>
  </si>
  <si>
    <t xml:space="preserve">통보처리오류                          </t>
  </si>
  <si>
    <t xml:space="preserve">통보　거래코드가　한건이　아닙니다    </t>
  </si>
  <si>
    <t xml:space="preserve">콜연결상환 확인오류                 </t>
  </si>
  <si>
    <t xml:space="preserve">연결신청　상태가　아닙니다            </t>
  </si>
  <si>
    <t xml:space="preserve">지급지시유형이　보통만　가능합니다    </t>
  </si>
  <si>
    <t xml:space="preserve">연결신청　상태　임                    </t>
  </si>
  <si>
    <t xml:space="preserve">기일물이　아닙니다                    </t>
  </si>
  <si>
    <t xml:space="preserve">미결제　상태가　아님                  </t>
  </si>
  <si>
    <t xml:space="preserve">콜상환　일련번호　오류                </t>
  </si>
  <si>
    <t xml:space="preserve">기일물콜　연결상환신청　마감상태　임  </t>
  </si>
  <si>
    <t xml:space="preserve">콜체결(EB012)테이블 UPDATE  오류  </t>
  </si>
  <si>
    <t xml:space="preserve">콜체결 확인오류입니다               </t>
  </si>
  <si>
    <t xml:space="preserve">콜체결 확인오류                     </t>
  </si>
  <si>
    <t xml:space="preserve">콜상환 확인오류                     </t>
  </si>
  <si>
    <t>콜체결거래상태가　대기상태가　아닙니다</t>
  </si>
  <si>
    <t xml:space="preserve">콜상환이　대기상태가　아님            </t>
  </si>
  <si>
    <t xml:space="preserve">콜론기관계정개설처　오류              </t>
  </si>
  <si>
    <t xml:space="preserve">콜론기관　오류                        </t>
  </si>
  <si>
    <t xml:space="preserve">처리종류오류-기일물및오전오후반일물 </t>
  </si>
  <si>
    <t xml:space="preserve">오후반일물콜상환　미결제              </t>
  </si>
  <si>
    <t xml:space="preserve">예약상태가　아님                      </t>
  </si>
  <si>
    <t xml:space="preserve">예약거래처리（혼합형）　처리　오류    </t>
  </si>
  <si>
    <t xml:space="preserve">신청기관과　콜론기관이　불일치        </t>
  </si>
  <si>
    <t xml:space="preserve">대기거래종류가콜체결/상환이아닙니다 </t>
  </si>
  <si>
    <t xml:space="preserve">기일물　입력　오류                    </t>
  </si>
  <si>
    <t xml:space="preserve">선택항목　입력　오류                  </t>
  </si>
  <si>
    <t>지정예약이체는예상당좌잔액내에서만가능</t>
  </si>
  <si>
    <t xml:space="preserve">머니기관　토요일　휴무                </t>
  </si>
  <si>
    <t xml:space="preserve">론기관　토요일　휴무                  </t>
  </si>
  <si>
    <t xml:space="preserve">마감후　거래불가입니다．              </t>
  </si>
  <si>
    <t xml:space="preserve">차액결제수행중-거래할수없습니다     </t>
  </si>
  <si>
    <t xml:space="preserve">지불가능액이　부족합니다．            </t>
  </si>
  <si>
    <t xml:space="preserve">잔액이　부족합니다．                  </t>
  </si>
  <si>
    <t xml:space="preserve">구좌파일이　없습니다．                </t>
  </si>
  <si>
    <t xml:space="preserve">원장거래일자　오류                    </t>
  </si>
  <si>
    <t xml:space="preserve">자금이체　번호파일　오류              </t>
  </si>
  <si>
    <t xml:space="preserve">오후예약거래할수없음-차액결제완료   </t>
  </si>
  <si>
    <t xml:space="preserve">오전예약거래할수없음-차액결제완료   </t>
  </si>
  <si>
    <t xml:space="preserve">차액결제　결제파일　내용　오류        </t>
  </si>
  <si>
    <t xml:space="preserve">차액결제　정보파일　내용　오류        </t>
  </si>
  <si>
    <t xml:space="preserve">차액결제　정보파일　오류              </t>
  </si>
  <si>
    <t xml:space="preserve">거래번호　파일　오류                  </t>
  </si>
  <si>
    <t xml:space="preserve">지불가능액　부족                      </t>
  </si>
  <si>
    <t xml:space="preserve">파일이　없습니다．                    </t>
  </si>
  <si>
    <t xml:space="preserve">콜상환파일　오류                      </t>
  </si>
  <si>
    <t xml:space="preserve">콜체결파일　오류                      </t>
  </si>
  <si>
    <t xml:space="preserve">머니기관　약정상태　오류              </t>
  </si>
  <si>
    <t xml:space="preserve">콜론기관　약정상태　오류              </t>
  </si>
  <si>
    <t xml:space="preserve">연장후　만기일　오류                  </t>
  </si>
  <si>
    <t xml:space="preserve">이미　만기연장　완료상태입니다．      </t>
  </si>
  <si>
    <t xml:space="preserve">만기연장　가능거래　아닙니다．        </t>
  </si>
  <si>
    <t xml:space="preserve">론기관　미확인　거래입니다．          </t>
  </si>
  <si>
    <t xml:space="preserve">만기연장　가능시간　오류              </t>
  </si>
  <si>
    <t xml:space="preserve">거래종류　오류                        </t>
  </si>
  <si>
    <t xml:space="preserve">거래번호파일　오류                    </t>
  </si>
  <si>
    <t xml:space="preserve">파일간　내용이　상이합니다．          </t>
  </si>
  <si>
    <t xml:space="preserve">취소대상　거래가　아닙니다．          </t>
  </si>
  <si>
    <t xml:space="preserve">거래구분　오류                        </t>
  </si>
  <si>
    <t xml:space="preserve">콜론，　콜머니기관　동일              </t>
  </si>
  <si>
    <t xml:space="preserve">업무종류　오류                        </t>
  </si>
  <si>
    <t xml:space="preserve">참가기관코드　오류                    </t>
  </si>
  <si>
    <t xml:space="preserve">현재당좌계정잔액　오류                </t>
  </si>
  <si>
    <t xml:space="preserve">현재결제대기금액　오류                </t>
  </si>
  <si>
    <t xml:space="preserve">현재결제대기건수　오류                </t>
  </si>
  <si>
    <t xml:space="preserve">거래번호　오류                        </t>
  </si>
  <si>
    <t xml:space="preserve">이미　머니기관확인한　거래입니다．    </t>
  </si>
  <si>
    <t xml:space="preserve">이미　론기관확인한　거래입니다．      </t>
  </si>
  <si>
    <t xml:space="preserve">이미　양기관확인한　거래입니다．      </t>
  </si>
  <si>
    <t xml:space="preserve">이미　취소한　거래입니다．            </t>
  </si>
  <si>
    <t xml:space="preserve">이미　결제한　거래입니다．            </t>
  </si>
  <si>
    <t xml:space="preserve">중개기관　콜거래가　아닙니다．        </t>
  </si>
  <si>
    <t xml:space="preserve">ＢＯＫ결제거래가　아닙니다．          </t>
  </si>
  <si>
    <t xml:space="preserve">당초　체결거래와　상이합니다．        </t>
  </si>
  <si>
    <t xml:space="preserve">자금이체승인여부　오류                </t>
  </si>
  <si>
    <t xml:space="preserve">승인기관단말기　오류                  </t>
  </si>
  <si>
    <t xml:space="preserve">승인기관책임자　오류                  </t>
  </si>
  <si>
    <t xml:space="preserve">승인기관담당자　오류                  </t>
  </si>
  <si>
    <t xml:space="preserve">중개수수료　오류                      </t>
  </si>
  <si>
    <t xml:space="preserve">승인상태　오류                        </t>
  </si>
  <si>
    <t xml:space="preserve">이체완료시간　오류                    </t>
  </si>
  <si>
    <t xml:space="preserve">회계번호　오류                        </t>
  </si>
  <si>
    <t xml:space="preserve">대기번호　오류                        </t>
  </si>
  <si>
    <t xml:space="preserve">응답코드　오류                        </t>
  </si>
  <si>
    <t xml:space="preserve">결제상태　오류                        </t>
  </si>
  <si>
    <t xml:space="preserve">콜머니승인ＳＩＧＮ　오류              </t>
  </si>
  <si>
    <t xml:space="preserve">콜론승인ＳＩＧＮ　오류                </t>
  </si>
  <si>
    <t xml:space="preserve">콜머니기관확인시간　오류              </t>
  </si>
  <si>
    <t xml:space="preserve">콜머니기관단말기　오류                </t>
  </si>
  <si>
    <t xml:space="preserve">콜머니기관책임자　오류                </t>
  </si>
  <si>
    <t xml:space="preserve">콜머니기관담당자　오류                </t>
  </si>
  <si>
    <t xml:space="preserve">취소시간　오류                        </t>
  </si>
  <si>
    <t xml:space="preserve">취소단말기　오류                      </t>
  </si>
  <si>
    <t xml:space="preserve">취소책임자　오류                      </t>
  </si>
  <si>
    <t xml:space="preserve">취소담당자　오류                      </t>
  </si>
  <si>
    <t xml:space="preserve">콜론기관입력시간　오류                </t>
  </si>
  <si>
    <t xml:space="preserve">콜론기관확인시간　오류                </t>
  </si>
  <si>
    <t xml:space="preserve">콜론기관단말기　오류                  </t>
  </si>
  <si>
    <t xml:space="preserve">콜론기관책임자　오류                  </t>
  </si>
  <si>
    <t xml:space="preserve">콜론기관담당자　오류                  </t>
  </si>
  <si>
    <t xml:space="preserve">중개기관입력시간　오류                </t>
  </si>
  <si>
    <t xml:space="preserve">중개기관단말기　오류                  </t>
  </si>
  <si>
    <t xml:space="preserve">중개기관책임자　오류                  </t>
  </si>
  <si>
    <t xml:space="preserve">중개기관담당자　오류                  </t>
  </si>
  <si>
    <t xml:space="preserve">중개기관코드　오류                    </t>
  </si>
  <si>
    <t xml:space="preserve">총합계금액　오류                      </t>
  </si>
  <si>
    <t xml:space="preserve">총합계건수　오류                      </t>
  </si>
  <si>
    <t xml:space="preserve">ＢＯＫ결제유무　오류                  </t>
  </si>
  <si>
    <t xml:space="preserve">결제시점　오류                        </t>
  </si>
  <si>
    <t xml:space="preserve">담보여부　오류                        </t>
  </si>
  <si>
    <t xml:space="preserve">상환금액　오류                        </t>
  </si>
  <si>
    <t xml:space="preserve">이자액　오류                          </t>
  </si>
  <si>
    <t xml:space="preserve">금리　오류                            </t>
  </si>
  <si>
    <t xml:space="preserve">기일물　오류                          </t>
  </si>
  <si>
    <t xml:space="preserve">거래금액　오류                        </t>
  </si>
  <si>
    <t xml:space="preserve">머니기관　약정확인오류                </t>
  </si>
  <si>
    <t xml:space="preserve">콜머니기관코드　오류                  </t>
  </si>
  <si>
    <t xml:space="preserve">만기일자　오류                        </t>
  </si>
  <si>
    <t xml:space="preserve">콜머니계정개설처　오류                </t>
  </si>
  <si>
    <t xml:space="preserve">대행기관코드오류                      </t>
  </si>
  <si>
    <t xml:space="preserve">콜론기관코드　오류                    </t>
  </si>
  <si>
    <t xml:space="preserve">론기관　약정확인　오류                </t>
  </si>
  <si>
    <t xml:space="preserve">콜론계정개설처　오류                  </t>
  </si>
  <si>
    <t xml:space="preserve">국제금융　요일파일　오류              </t>
  </si>
  <si>
    <t xml:space="preserve">국제금융시스템　오류                  </t>
  </si>
  <si>
    <t xml:space="preserve">전자단기사채 심사결과 오류발생    </t>
  </si>
  <si>
    <t xml:space="preserve">전자단기사채 심사 미처리          </t>
  </si>
  <si>
    <t xml:space="preserve">금액(20)은　입력항목아닙니다        </t>
  </si>
  <si>
    <t xml:space="preserve">금액(19)은　입력항목아닙니다        </t>
  </si>
  <si>
    <t xml:space="preserve">금액(18)은　입력항목아닙니다        </t>
  </si>
  <si>
    <t xml:space="preserve">금액(17)은　입력항목아닙니다        </t>
  </si>
  <si>
    <t xml:space="preserve">금액(16)은　입력항목아닙니다        </t>
  </si>
  <si>
    <t xml:space="preserve">금액(15)은　입력항목아닙니다        </t>
  </si>
  <si>
    <t xml:space="preserve">금액(14)은　입력항목아닙니다        </t>
  </si>
  <si>
    <t xml:space="preserve">금액(13)은　입력항목아닙니다        </t>
  </si>
  <si>
    <t xml:space="preserve">금액(12)은　입력항목아닙니다        </t>
  </si>
  <si>
    <t xml:space="preserve">금액(11)은　입력항목아닙니다        </t>
  </si>
  <si>
    <t xml:space="preserve">금액(10)은　입력항목아닙니다        </t>
  </si>
  <si>
    <t xml:space="preserve">금액(09)은　입력항목아닙니다        </t>
  </si>
  <si>
    <t xml:space="preserve">금액(08)은　입력항목아닙니다        </t>
  </si>
  <si>
    <t xml:space="preserve">금액(07)은　입력항목아닙니다        </t>
  </si>
  <si>
    <t xml:space="preserve">금액(06)은　입력항목아닙니다        </t>
  </si>
  <si>
    <t xml:space="preserve">금액(05)은　입력항목아닙니다        </t>
  </si>
  <si>
    <t xml:space="preserve">금액(04)은　입력항목아닙니다        </t>
  </si>
  <si>
    <t xml:space="preserve">금액(03)은　입력항목아닙니다        </t>
  </si>
  <si>
    <t xml:space="preserve">금액(02)은　입력항목아닙니다        </t>
  </si>
  <si>
    <t xml:space="preserve">금액(01)은　입력항목아닙니다        </t>
  </si>
  <si>
    <t xml:space="preserve">공란(20)은　입력항목이　아닙니다    </t>
  </si>
  <si>
    <t xml:space="preserve">공란(19)은　입력항목이　아닙니다    </t>
  </si>
  <si>
    <t xml:space="preserve">공란(18)은　입력항목이　아닙니다    </t>
  </si>
  <si>
    <t xml:space="preserve">공란(17)은　입력항목이　아닙니다    </t>
  </si>
  <si>
    <t xml:space="preserve">공란(16)은　입력항목이　아닙니다    </t>
  </si>
  <si>
    <t xml:space="preserve">공란(15)은　입력항목이　아닙니다    </t>
  </si>
  <si>
    <t xml:space="preserve">공란(14)은　입력항목이　아닙니다    </t>
  </si>
  <si>
    <t xml:space="preserve">공란(13)은　입력항목이　아닙니다    </t>
  </si>
  <si>
    <t xml:space="preserve">공란(12)은　입력항목이　아닙니다    </t>
  </si>
  <si>
    <t xml:space="preserve">공란(11)은　입력항목이　아닙니다    </t>
  </si>
  <si>
    <t xml:space="preserve">공란(10)은　입력항목이　아닙니다    </t>
  </si>
  <si>
    <t xml:space="preserve">공란(09)은　입력항목이　아닙니다    </t>
  </si>
  <si>
    <t xml:space="preserve">공란(08)은　입력항목이　아닙니다    </t>
  </si>
  <si>
    <t xml:space="preserve">공란(07)은　입력항목이　아닙니다    </t>
  </si>
  <si>
    <t xml:space="preserve">공란(06)은　입력항목이　아닙니다    </t>
  </si>
  <si>
    <t xml:space="preserve">공란(05)은　입력항목이　아닙니다    </t>
  </si>
  <si>
    <t xml:space="preserve">공란(04)은　입력항목이　아닙니다    </t>
  </si>
  <si>
    <t xml:space="preserve">공란(03)은　입력항목이　아닙니다    </t>
  </si>
  <si>
    <t xml:space="preserve">공란(02)은　입력항목이　아닙니다    </t>
  </si>
  <si>
    <t xml:space="preserve">공란(01)은　입력항목이　아닙니다    </t>
  </si>
  <si>
    <t xml:space="preserve">일련번호(20)는　입력항목이아닙니다  </t>
  </si>
  <si>
    <t xml:space="preserve">일련번호(19)는　입력항목이아닙니다  </t>
  </si>
  <si>
    <t xml:space="preserve">일련번호(18)는　입력항목이아닙니다  </t>
  </si>
  <si>
    <t xml:space="preserve">일련번호(17)는　입력항목이아닙니다  </t>
  </si>
  <si>
    <t xml:space="preserve">일련번호(16)는　입력항목이아닙니다  </t>
  </si>
  <si>
    <t xml:space="preserve">일련번호(15)는　입력항목이아닙니다  </t>
  </si>
  <si>
    <t xml:space="preserve">일련번호(14)는　입력항목이아닙니다  </t>
  </si>
  <si>
    <t xml:space="preserve">일련번호(13)는　입력항목이아닙니다  </t>
  </si>
  <si>
    <t xml:space="preserve">일련번호(12)는　입력항목이아닙니다  </t>
  </si>
  <si>
    <t xml:space="preserve">일련번호(11)는　입력항목이아닙니다  </t>
  </si>
  <si>
    <t xml:space="preserve">일련번호(10)는　입력항목이아닙니다  </t>
  </si>
  <si>
    <t xml:space="preserve">일련번호(09)는　입력항목이아닙니다  </t>
  </si>
  <si>
    <t xml:space="preserve">일련번호(08)는　입력항목이아닙니다  </t>
  </si>
  <si>
    <t xml:space="preserve">일련번호(07)는　입력항목이아닙니다  </t>
  </si>
  <si>
    <t xml:space="preserve">일련번호(06)는　입력항목이아닙니다  </t>
  </si>
  <si>
    <t xml:space="preserve">일련번호(05)는　입력항목이아닙니다  </t>
  </si>
  <si>
    <t xml:space="preserve">일련번호(04)는　입력항목이아닙니다  </t>
  </si>
  <si>
    <t xml:space="preserve">일련번호(03)는　입력항목이아닙니다  </t>
  </si>
  <si>
    <t xml:space="preserve">일련번호(02)는　입력항목이아닙니다  </t>
  </si>
  <si>
    <t xml:space="preserve">일련번호(01)는　입력항목이아닙니다  </t>
  </si>
  <si>
    <t xml:space="preserve">매도기관수는 입력항목이아닙니다     </t>
  </si>
  <si>
    <t xml:space="preserve">합계금액은 입력항목이 아닙니다    </t>
  </si>
  <si>
    <t xml:space="preserve">매수기관과예탁원이동일합니다          </t>
  </si>
  <si>
    <t xml:space="preserve">결제실패원인은　입력항목이아닙니다    </t>
  </si>
  <si>
    <t xml:space="preserve">결제방법은　입력항목이아닙니다        </t>
  </si>
  <si>
    <t xml:space="preserve">처리시간은　입력항목이아닙니다        </t>
  </si>
  <si>
    <t xml:space="preserve">이체요청시간은　입력항목이아닙니다    </t>
  </si>
  <si>
    <t xml:space="preserve">회계번호는　입력항목이아닙니다        </t>
  </si>
  <si>
    <t xml:space="preserve">복합대기순서는　입력항목이아닙니다    </t>
  </si>
  <si>
    <t xml:space="preserve">대기번호는　입력항목이아닙니다        </t>
  </si>
  <si>
    <t xml:space="preserve">가용양자간총순지급한도는입력항목아님  </t>
  </si>
  <si>
    <t xml:space="preserve">가용총순지급한도는입력항목아닙니다    </t>
  </si>
  <si>
    <t xml:space="preserve">결제상태는　입력항목이　아닙니다      </t>
  </si>
  <si>
    <t xml:space="preserve">매도기관수를　확인하세요              </t>
  </si>
  <si>
    <t xml:space="preserve">대표매도기관을　확인하세요            </t>
  </si>
  <si>
    <t xml:space="preserve">증권대금이체의뢰내역이없습니다        </t>
  </si>
  <si>
    <t xml:space="preserve">예탁원코드를　확인하세요              </t>
  </si>
  <si>
    <t xml:space="preserve">증권결제형태코드를확인하세요          </t>
  </si>
  <si>
    <t xml:space="preserve">금액（２０）을　확인하시오．          </t>
  </si>
  <si>
    <t xml:space="preserve">금액（１９）을　확인하시오．          </t>
  </si>
  <si>
    <t xml:space="preserve">금액（１８）을　확인하시오．          </t>
  </si>
  <si>
    <t xml:space="preserve">금액（１７）을　확인하시오．          </t>
  </si>
  <si>
    <t xml:space="preserve">금액（１６）을　확인하시오．          </t>
  </si>
  <si>
    <t xml:space="preserve">금액（１５）을　확인하시오．          </t>
  </si>
  <si>
    <t xml:space="preserve">금액（１４）을　확인하시오．          </t>
  </si>
  <si>
    <t xml:space="preserve">금액（１３）을　확인하시오．          </t>
  </si>
  <si>
    <t xml:space="preserve">금액（１２）을　확인하시오．          </t>
  </si>
  <si>
    <t xml:space="preserve">금액（１１）을　확인하시오．          </t>
  </si>
  <si>
    <t xml:space="preserve">금액（１０）을　확인하시오．          </t>
  </si>
  <si>
    <t xml:space="preserve">금액（０９）을　확인하시오．          </t>
  </si>
  <si>
    <t xml:space="preserve">금액（０８）을　확인하시오．          </t>
  </si>
  <si>
    <t xml:space="preserve">금액（０７）을　확인하시오．          </t>
  </si>
  <si>
    <t xml:space="preserve">금액（０６）을　확인하시오．          </t>
  </si>
  <si>
    <t xml:space="preserve">금액（０５）을　확인하시오．          </t>
  </si>
  <si>
    <t xml:space="preserve">금액（０４）을　확인하시오．          </t>
  </si>
  <si>
    <t xml:space="preserve">금액（０３）을　확인하시오．          </t>
  </si>
  <si>
    <t xml:space="preserve">금액（０２）을　확인하시오．          </t>
  </si>
  <si>
    <t xml:space="preserve">금액（０１）을　확인하시오．          </t>
  </si>
  <si>
    <t>개별결제번호(20)는　입력항목아닙니다</t>
  </si>
  <si>
    <t>개별결제번호(19)는　입력항목아닙니다</t>
  </si>
  <si>
    <t>개별결제번호(18)는　입력항목아닙니다</t>
  </si>
  <si>
    <t>개별결제번호(17)는　입력항목아닙니다</t>
  </si>
  <si>
    <t>개별결제번호(16)는　입력항목아닙니다</t>
  </si>
  <si>
    <t>개별결제번호(15)는　입력항목아닙니다</t>
  </si>
  <si>
    <t>개별결제번호(14)는　입력항목아닙니다</t>
  </si>
  <si>
    <t>개별결제번호(13)는　입력항목아닙니다</t>
  </si>
  <si>
    <t>개별결제번호(12)는　입력항목아닙니다</t>
  </si>
  <si>
    <t>개별결제번호(11)는　입력항목아닙니다</t>
  </si>
  <si>
    <t>개별결제번호(10)는　입력항목아닙니다</t>
  </si>
  <si>
    <t>개별결제번호(09)는　입력항목아닙니다</t>
  </si>
  <si>
    <t>개별결제번호(08)는　입력항목아닙니다</t>
  </si>
  <si>
    <t>개별결제번호(07)는　입력항목아닙니다</t>
  </si>
  <si>
    <t>개별결제번호(06)는　입력항목아닙니다</t>
  </si>
  <si>
    <t>개별결제번호(05)는　입력항목아닙니다</t>
  </si>
  <si>
    <t>개별결제번호(04)는　입력항목아닙니다</t>
  </si>
  <si>
    <t>개별결제번호(03)는　입력항목아닙니다</t>
  </si>
  <si>
    <t>개별결제번호(02)는　입력항목아닙니다</t>
  </si>
  <si>
    <t>개별결제번호(01)는　입력항목아닙니다</t>
  </si>
  <si>
    <t xml:space="preserve">개별결제번호（２０）를　확인하시오．  </t>
  </si>
  <si>
    <t xml:space="preserve">개별결제번호（１９）를　확인하시오．  </t>
  </si>
  <si>
    <t xml:space="preserve">개별결제번호（１８）를　확인하시오．  </t>
  </si>
  <si>
    <t xml:space="preserve">개별결제번호（１７）를　확인하시오．  </t>
  </si>
  <si>
    <t xml:space="preserve">개별결제번호（１６）를　확인하시오．  </t>
  </si>
  <si>
    <t xml:space="preserve">개별결제번호（１５）를　확인하시오．  </t>
  </si>
  <si>
    <t xml:space="preserve">개별결제번호（１４）를　확인하시오．  </t>
  </si>
  <si>
    <t xml:space="preserve">개별결제번호（１３）를　확인하시오．  </t>
  </si>
  <si>
    <t xml:space="preserve">개별결제번호（１２）를　확인하시오．  </t>
  </si>
  <si>
    <t xml:space="preserve">개별결제번호（１１）를　확인하시오．  </t>
  </si>
  <si>
    <t xml:space="preserve">개별결제번호（１０）를　확인하시오．  </t>
  </si>
  <si>
    <t xml:space="preserve">개별결제번호（０９）를　확인하시오．  </t>
  </si>
  <si>
    <t xml:space="preserve">개별결제번호（０８）를　확인하시오．  </t>
  </si>
  <si>
    <t xml:space="preserve">개별결제번호（０７）를　확인하시오．  </t>
  </si>
  <si>
    <t xml:space="preserve">개별결제번호（０６）를　확인하시오．  </t>
  </si>
  <si>
    <t xml:space="preserve">개별결제번호（０５）를　확인하시오．  </t>
  </si>
  <si>
    <t xml:space="preserve">개별결제번호（０４）를　확인하시오．  </t>
  </si>
  <si>
    <t xml:space="preserve">개별결제번호（０３）를　확인하시오．  </t>
  </si>
  <si>
    <t xml:space="preserve">개별결제번호（０２）를　확인하시오．  </t>
  </si>
  <si>
    <t xml:space="preserve">개별결제번호（０１）를　확인하시오．  </t>
  </si>
  <si>
    <t xml:space="preserve">매도기관계정개설처(20)가영업일아님  </t>
  </si>
  <si>
    <t xml:space="preserve">매도기관계정개설처(19)가영업일아님  </t>
  </si>
  <si>
    <t xml:space="preserve">매도기관계정개설처(18)가영업일아님  </t>
  </si>
  <si>
    <t xml:space="preserve">매도기관계정개설처(17)가영업일아님  </t>
  </si>
  <si>
    <t xml:space="preserve">매도기관계정개설처(16)가영업일아님  </t>
  </si>
  <si>
    <t xml:space="preserve">매도기관계정개설처(15)가영업일아님  </t>
  </si>
  <si>
    <t xml:space="preserve">매도기관계정개설처(14)가영업일아님  </t>
  </si>
  <si>
    <t xml:space="preserve">매도기관계정개설처(13)가영업일아님  </t>
  </si>
  <si>
    <t xml:space="preserve">매도기관계정개설처(12)가영업일아님  </t>
  </si>
  <si>
    <t xml:space="preserve">매도기관계정개설처(21)가영업일아님  </t>
  </si>
  <si>
    <t xml:space="preserve">매도기관계정개설처(09)가영업일아님  </t>
  </si>
  <si>
    <t xml:space="preserve">매도기관계정개설처(08)가영업일아님  </t>
  </si>
  <si>
    <t xml:space="preserve">매도기관계정개설처(07)가영업일아님  </t>
  </si>
  <si>
    <t xml:space="preserve">매도기관계정개설처(06)가영업일아님  </t>
  </si>
  <si>
    <t xml:space="preserve">매도기관계정개설처(05)가영업일아님  </t>
  </si>
  <si>
    <t xml:space="preserve">매도기관계정개설처(04)가영업일아님  </t>
  </si>
  <si>
    <t xml:space="preserve">매도기관계정개설처(03)가영업일아님  </t>
  </si>
  <si>
    <t xml:space="preserve">매도기관계정개설처(02)가영업일아님  </t>
  </si>
  <si>
    <t xml:space="preserve">매도기관계정개설처(01)가영업일아님  </t>
  </si>
  <si>
    <t>매도기관계정개설처(20)는입력항목아님</t>
  </si>
  <si>
    <t>매도기관계정개설처(19)는입력항목아님</t>
  </si>
  <si>
    <t>매도기관계정개설처(18)는입력항목아님</t>
  </si>
  <si>
    <t>매도기관계정개설처(17)는입력항목아님</t>
  </si>
  <si>
    <t>매도기관계정개설처(16)는입력항목아님</t>
  </si>
  <si>
    <t>매도기관계정개설처(15)는입력항목아님</t>
  </si>
  <si>
    <t>매도기관계정개설처(14)는입력항목아님</t>
  </si>
  <si>
    <t>매도기관계정개설처(13)는입력항목아님</t>
  </si>
  <si>
    <t>매도기관계정개설처(12)는입력항목아님</t>
  </si>
  <si>
    <t>매도기관계정개설처(11)는입력항목아님</t>
  </si>
  <si>
    <t>매도기관계정개설처(10)는입력항목아님</t>
  </si>
  <si>
    <t>매도기관계정개설처(09)는입력항목아님</t>
  </si>
  <si>
    <t>매도기관계정개설처(08)는입력항목아님</t>
  </si>
  <si>
    <t>매도기관계정개설처(07)는입력항목아님</t>
  </si>
  <si>
    <t>매도기관계정개설처(06)는입력항목아님</t>
  </si>
  <si>
    <t>매도기관계정개설처(05)는입력항목아님</t>
  </si>
  <si>
    <t>매도기관계정개설처(04)는입력항목아님</t>
  </si>
  <si>
    <t>매도기관계정개설처(03)는입력항목아님</t>
  </si>
  <si>
    <t>매도기관계정개설처(02)는입력항목아님</t>
  </si>
  <si>
    <t>매도기관계정개설처(01)는입력항목아님</t>
  </si>
  <si>
    <t xml:space="preserve">매도기관계정개설처(20)를확인하시오  </t>
  </si>
  <si>
    <t xml:space="preserve">매도기관계정개설처(19)를확인하시오  </t>
  </si>
  <si>
    <t xml:space="preserve">매도기관계정개설처(18)를확인하시오  </t>
  </si>
  <si>
    <t xml:space="preserve">매도기관계정개설처(17)를확인하시오  </t>
  </si>
  <si>
    <t xml:space="preserve">매도기관계정개설처(16)를확인하시오  </t>
  </si>
  <si>
    <t xml:space="preserve">매도기관계정개설처(15)를확인하시오  </t>
  </si>
  <si>
    <t xml:space="preserve">매도기관계정개설처(14)를확인하시오  </t>
  </si>
  <si>
    <t xml:space="preserve">매도기관계정개설처(13)를확인하시오  </t>
  </si>
  <si>
    <t xml:space="preserve">매도기관계정개설처(12)를확인하시오  </t>
  </si>
  <si>
    <t xml:space="preserve">매도기관계정개설처(11)를확인하시오  </t>
  </si>
  <si>
    <t xml:space="preserve">매도기관계정개설처(10)를확인하시오  </t>
  </si>
  <si>
    <t xml:space="preserve">매도기관계정개설처(09)를확인하시오  </t>
  </si>
  <si>
    <t xml:space="preserve">매도기관계정개설처(08)를확인하시오  </t>
  </si>
  <si>
    <t xml:space="preserve">매도기관계정개설처(07)를확인하시오  </t>
  </si>
  <si>
    <t xml:space="preserve">매도기관계정개설처(06)를확인하시오  </t>
  </si>
  <si>
    <t xml:space="preserve">매도기관계정개설처(05)를확인하시오  </t>
  </si>
  <si>
    <t xml:space="preserve">매도기관계정개설처(04)를확인하시오  </t>
  </si>
  <si>
    <t xml:space="preserve">매도기관계정개설처(03)를확인하시오  </t>
  </si>
  <si>
    <t xml:space="preserve">매도기관계정개설처(02)를확인하시오  </t>
  </si>
  <si>
    <t xml:space="preserve">매도기관계정개설처(01)를확인하시오  </t>
  </si>
  <si>
    <t xml:space="preserve">매도기관약정（２０）을　확인하시오．  </t>
  </si>
  <si>
    <t xml:space="preserve">매도기관약정（１９）을　확인하시오．  </t>
  </si>
  <si>
    <t xml:space="preserve">매도기관약정（１８）을　확인하시오．  </t>
  </si>
  <si>
    <t xml:space="preserve">매도기관약정（１７）을　확인하시오．  </t>
  </si>
  <si>
    <t xml:space="preserve">매도기관약정（１６）을　확인하시오．  </t>
  </si>
  <si>
    <t xml:space="preserve">매도기관약정（１５）을　확인하시오．  </t>
  </si>
  <si>
    <t xml:space="preserve">매도기관약정（１４）을　확인하시오．  </t>
  </si>
  <si>
    <t xml:space="preserve">매도기관약정（１３）을　확인하시오．  </t>
  </si>
  <si>
    <t xml:space="preserve">매도기관약정（１２）을　확인하시오．  </t>
  </si>
  <si>
    <t xml:space="preserve">매도기관약정（１１）을　확인하시오．  </t>
  </si>
  <si>
    <t xml:space="preserve">매도기관약정（１０）을　확인하시오．  </t>
  </si>
  <si>
    <t xml:space="preserve">매도기관약정（０９）을　확인하시오．  </t>
  </si>
  <si>
    <t xml:space="preserve">매도기관약정（０８）을　확인하시오．  </t>
  </si>
  <si>
    <t xml:space="preserve">매도기관약정（０７）을　확인하시오．  </t>
  </si>
  <si>
    <t xml:space="preserve">매도기관약정（０６）을　확인하시오．  </t>
  </si>
  <si>
    <t xml:space="preserve">매도기관약정（０５）을　확인하시오．  </t>
  </si>
  <si>
    <t xml:space="preserve">매도기관약정（０４）을　확인하시오．  </t>
  </si>
  <si>
    <t xml:space="preserve">매도기관약정（０３）을　확인하시오．  </t>
  </si>
  <si>
    <t xml:space="preserve">매도기관약정（０２）을　확인하시오．  </t>
  </si>
  <si>
    <t xml:space="preserve">매도기관약정（０１）을　확인하시오．  </t>
  </si>
  <si>
    <t xml:space="preserve">매도기관(20)은　입력항목아닙니다    </t>
  </si>
  <si>
    <t xml:space="preserve">매도기관(19)은　입력항목아닙니다    </t>
  </si>
  <si>
    <t xml:space="preserve">매도기관(18)은　입력항목아닙니다    </t>
  </si>
  <si>
    <t xml:space="preserve">매도기관(17)은　입력항목아닙니다    </t>
  </si>
  <si>
    <t xml:space="preserve">매도기관(16)은　입력항목아닙니다    </t>
  </si>
  <si>
    <t xml:space="preserve">매도기관(15)은　입력항목아닙니다    </t>
  </si>
  <si>
    <t xml:space="preserve">매도기관(14)은　입력항목아닙니다    </t>
  </si>
  <si>
    <t xml:space="preserve">매도기관(13)은　입력항목아닙니다    </t>
  </si>
  <si>
    <t xml:space="preserve">매도기관(12)은　입력항목아닙니다    </t>
  </si>
  <si>
    <t xml:space="preserve">매도기관(11)은　입력항목아닙니다    </t>
  </si>
  <si>
    <t xml:space="preserve">매도기관(10)은　입력항목아닙니다    </t>
  </si>
  <si>
    <t xml:space="preserve">매도기관(09)은　입력항목아닙니다    </t>
  </si>
  <si>
    <t xml:space="preserve">매도기관(08)은　입력항목아닙니다    </t>
  </si>
  <si>
    <t xml:space="preserve">매도기관(07)은　입력항목아닙니다    </t>
  </si>
  <si>
    <t xml:space="preserve">매도기관(06)은　입력항목아닙니다    </t>
  </si>
  <si>
    <t xml:space="preserve">매도기관(05)은　입력항목아닙니다    </t>
  </si>
  <si>
    <t xml:space="preserve">매도기관(04)은　입력항목아닙니다    </t>
  </si>
  <si>
    <t xml:space="preserve">매도기관(03)은　입력항목아닙니다    </t>
  </si>
  <si>
    <t xml:space="preserve">매도기관(02)은　입력항목아닙니다    </t>
  </si>
  <si>
    <t xml:space="preserve">매도기관(01)은　입력항목아닙니다    </t>
  </si>
  <si>
    <t xml:space="preserve">매도기관코드（２０）를　확인하시오．  </t>
  </si>
  <si>
    <t xml:space="preserve">매도기관코드（１９）를　확인하시오．  </t>
  </si>
  <si>
    <t xml:space="preserve">매도기관코드（１８）를　확인하시오．  </t>
  </si>
  <si>
    <t xml:space="preserve">매도기관코드（１７）를　확인하시오．  </t>
  </si>
  <si>
    <t xml:space="preserve">매도기관코드（１６）를　확인하시오．  </t>
  </si>
  <si>
    <t xml:space="preserve">매도기관코드（１５）를　확인하시오．  </t>
  </si>
  <si>
    <t xml:space="preserve">매도기관코드（１４）를　확인하시오．  </t>
  </si>
  <si>
    <t xml:space="preserve">매도기관코드（１３）를　확인하시오．  </t>
  </si>
  <si>
    <t xml:space="preserve">매도기관코드（１２）를　확인하시오．  </t>
  </si>
  <si>
    <t xml:space="preserve">매도기관코드（１１）를　확인하시오．  </t>
  </si>
  <si>
    <t xml:space="preserve">매도기관코드（１０）를　확인하시오．  </t>
  </si>
  <si>
    <t xml:space="preserve">매도기관코드（０９）를　확인하시오．  </t>
  </si>
  <si>
    <t xml:space="preserve">매도기관코드（０８）를　확인하시오．  </t>
  </si>
  <si>
    <t xml:space="preserve">매도기관코드（０７）를　확인하시오．  </t>
  </si>
  <si>
    <t xml:space="preserve">매도기관코드（０６）를　확인하시오．  </t>
  </si>
  <si>
    <t xml:space="preserve">매도기관코드（０５）를　확인하시오．  </t>
  </si>
  <si>
    <t xml:space="preserve">매도기관코드（０４）를　확인하시오．  </t>
  </si>
  <si>
    <t xml:space="preserve">매도기관코드（０３）를　확인하시오．  </t>
  </si>
  <si>
    <t xml:space="preserve">매도기관코드（０２）를　확인하시오．  </t>
  </si>
  <si>
    <t xml:space="preserve">매도기관코드（０１）를　확인하시오．  </t>
  </si>
  <si>
    <t xml:space="preserve">미결제자료가　없습니다．              </t>
  </si>
  <si>
    <t xml:space="preserve">ＣＩＣＳ　ＡＢＥＮＤ                  </t>
  </si>
  <si>
    <t xml:space="preserve">ＳＱＬ　ＡＢＥＮＤ                    </t>
  </si>
  <si>
    <t xml:space="preserve">사용자단말　미등록                    </t>
  </si>
  <si>
    <t xml:space="preserve">거래기관코드　미등록                  </t>
  </si>
  <si>
    <t xml:space="preserve">부서코드　미등록                      </t>
  </si>
  <si>
    <t xml:space="preserve">예금거래정보 테이블없습니다         </t>
  </si>
  <si>
    <t xml:space="preserve">변환코드 확인오류                   </t>
  </si>
  <si>
    <t xml:space="preserve">취소할증권대금이체의뢰내역이없습니다  </t>
  </si>
  <si>
    <t xml:space="preserve">대기취소처리　오류입니다．            </t>
  </si>
  <si>
    <t xml:space="preserve">대기거래 테이블없습니다             </t>
  </si>
  <si>
    <t xml:space="preserve">이체대기　취소후　의뢰취소하십시오．  </t>
  </si>
  <si>
    <t xml:space="preserve">이미　이체취소된　거래입니다．        </t>
  </si>
  <si>
    <t xml:space="preserve">이미　이체완료된　거래입니다．        </t>
  </si>
  <si>
    <t xml:space="preserve">이미　이체의뢰된　거래입니다．        </t>
  </si>
  <si>
    <t xml:space="preserve">증권예탁원취급점이영업일이아닙니다．  </t>
  </si>
  <si>
    <t>매수기관취급점이　영업일이　아닙니다．</t>
  </si>
  <si>
    <t xml:space="preserve">증권예탁원계정개설처를　확인하시오．  </t>
  </si>
  <si>
    <t>매수기관계정개설처코드를　확인하시오．</t>
  </si>
  <si>
    <t xml:space="preserve">매수기관약정을　확인하시오．          </t>
  </si>
  <si>
    <t xml:space="preserve">매수기관코드를　확인하시오．          </t>
  </si>
  <si>
    <t xml:space="preserve">DVP(전자단기사채상환) 마감          </t>
  </si>
  <si>
    <t xml:space="preserve">증권자금이체가　마감되었습니다．      </t>
  </si>
  <si>
    <t xml:space="preserve">한은망입력이　종료되었습니다．        </t>
  </si>
  <si>
    <t xml:space="preserve">전자단기사채 이체인명 조회오류    </t>
  </si>
  <si>
    <t xml:space="preserve">CMS 코드를 확인하시오               </t>
  </si>
  <si>
    <t xml:space="preserve">CMS 계좌여부를 확인하시오           </t>
  </si>
  <si>
    <t xml:space="preserve">실명번호를 확인하시오               </t>
  </si>
  <si>
    <t xml:space="preserve">수취기관명을 확인하시오             </t>
  </si>
  <si>
    <t xml:space="preserve">수취기관 계좌번호를 확인하시오    </t>
  </si>
  <si>
    <t xml:space="preserve">수취기관 거래점포코드 오류        </t>
  </si>
  <si>
    <t xml:space="preserve">KR-CODE를 확인하시오                </t>
  </si>
  <si>
    <t xml:space="preserve">발행일자를 확인하시오               </t>
  </si>
  <si>
    <t xml:space="preserve">매도기관수를　확인하시오              </t>
  </si>
  <si>
    <t xml:space="preserve">거래부호를　확인하시오                </t>
  </si>
  <si>
    <t xml:space="preserve">합계금액을　확인하시오                </t>
  </si>
  <si>
    <t xml:space="preserve">증권대금코드를　확인하시오            </t>
  </si>
  <si>
    <t xml:space="preserve">결제번호를　확인하시오                </t>
  </si>
  <si>
    <t xml:space="preserve">거래일자를　확인하시오                </t>
  </si>
  <si>
    <t xml:space="preserve">환파일　오류                          </t>
  </si>
  <si>
    <t xml:space="preserve">반환거래에 대한 재반환 불가     </t>
  </si>
  <si>
    <t xml:space="preserve">수취계좌입금실패거래가 아님         </t>
  </si>
  <si>
    <t xml:space="preserve">이미 반환처리된 거래임            </t>
  </si>
  <si>
    <t xml:space="preserve">이미 입금결과통보된 거래임        </t>
  </si>
  <si>
    <t xml:space="preserve">입금결과통보대상거래 조회오류       </t>
  </si>
  <si>
    <t xml:space="preserve">입금결과통보대상거래 금액 불일치  </t>
  </si>
  <si>
    <t xml:space="preserve">입금처리시간 입력오류               </t>
  </si>
  <si>
    <t xml:space="preserve">입금결과 입력오류                   </t>
  </si>
  <si>
    <t xml:space="preserve">송신기관과 수취기관 불일치        </t>
  </si>
  <si>
    <t xml:space="preserve">CMS코드 사용여부 확인             </t>
  </si>
  <si>
    <t>수취인지정자금이체 원거래 조회오류</t>
  </si>
  <si>
    <t xml:space="preserve">수취인지정자금이체업무마감완료        </t>
  </si>
  <si>
    <t xml:space="preserve">원거래(결제)정보가 없습니다     </t>
  </si>
  <si>
    <t xml:space="preserve">의뢰인구분（１０）　오류              </t>
  </si>
  <si>
    <t xml:space="preserve">의뢰인구분（９）　오류                </t>
  </si>
  <si>
    <t xml:space="preserve">의뢰인구분（８）　오류                </t>
  </si>
  <si>
    <t xml:space="preserve">의뢰인구분（７）　오류                </t>
  </si>
  <si>
    <t xml:space="preserve">의뢰인구분（６）　오류                </t>
  </si>
  <si>
    <t xml:space="preserve">의뢰인구분（５）　오류                </t>
  </si>
  <si>
    <t xml:space="preserve">의뢰인구분（４）　오류                </t>
  </si>
  <si>
    <t xml:space="preserve">의뢰인구분（３）　오류                </t>
  </si>
  <si>
    <t xml:space="preserve">의뢰인구분（２）　오류                </t>
  </si>
  <si>
    <t xml:space="preserve">의뢰인구분（１）　오류                </t>
  </si>
  <si>
    <t xml:space="preserve">자금코드（３０）　오류                </t>
  </si>
  <si>
    <t xml:space="preserve">자금코드（２９）　오류                </t>
  </si>
  <si>
    <t xml:space="preserve">자금코드（２８）　오류                </t>
  </si>
  <si>
    <t xml:space="preserve">자금코드（２７）　오류                </t>
  </si>
  <si>
    <t xml:space="preserve">자금코드（２６）　오류                </t>
  </si>
  <si>
    <t xml:space="preserve">자금코드（２５）　오류                </t>
  </si>
  <si>
    <t xml:space="preserve">자금코드（２４）　오류                </t>
  </si>
  <si>
    <t xml:space="preserve">자금코드（２３）　오류                </t>
  </si>
  <si>
    <t xml:space="preserve">자금코드（２２）　오류                </t>
  </si>
  <si>
    <t xml:space="preserve">자금코드（２１）　오류                </t>
  </si>
  <si>
    <t xml:space="preserve">자금코드（２０）　오류                </t>
  </si>
  <si>
    <t xml:space="preserve">자금코드（１９）　오류                </t>
  </si>
  <si>
    <t xml:space="preserve">자금코드（１８）　오류                </t>
  </si>
  <si>
    <t xml:space="preserve">자금코드（１７）　오류                </t>
  </si>
  <si>
    <t xml:space="preserve">자금코드（１６）　오류                </t>
  </si>
  <si>
    <t xml:space="preserve">자금코드（１５）　오류                </t>
  </si>
  <si>
    <t xml:space="preserve">자금코드（１４）　오류                </t>
  </si>
  <si>
    <t xml:space="preserve">자금코드（１３）　오류                </t>
  </si>
  <si>
    <t xml:space="preserve">자금코드（１２）　오류                </t>
  </si>
  <si>
    <t xml:space="preserve">자금코드（１１）　오류                </t>
  </si>
  <si>
    <t xml:space="preserve">자금코드（１０）　오류                </t>
  </si>
  <si>
    <t xml:space="preserve">자금코드（９）　오류                  </t>
  </si>
  <si>
    <t xml:space="preserve">자금코드（８）　오류                  </t>
  </si>
  <si>
    <t xml:space="preserve">자금코드（７）　오류                  </t>
  </si>
  <si>
    <t xml:space="preserve">자금코드（６）　오류                  </t>
  </si>
  <si>
    <t xml:space="preserve">자금코드（５）　오류                  </t>
  </si>
  <si>
    <t xml:space="preserve">자금코드（４）　오류                  </t>
  </si>
  <si>
    <t xml:space="preserve">자금코드（３）　오류                  </t>
  </si>
  <si>
    <t xml:space="preserve">자금코드（２）　오류                  </t>
  </si>
  <si>
    <t xml:space="preserve">자금코드（１）　오류                  </t>
  </si>
  <si>
    <t xml:space="preserve">의뢰인이름（１５）　오류              </t>
  </si>
  <si>
    <t xml:space="preserve">의뢰인이름（１４）　오류              </t>
  </si>
  <si>
    <t xml:space="preserve">의뢰인이름（１３）　오류              </t>
  </si>
  <si>
    <t xml:space="preserve">의뢰인이름（１２）　오류              </t>
  </si>
  <si>
    <t xml:space="preserve">의뢰인이름（１１）　오류              </t>
  </si>
  <si>
    <t xml:space="preserve">의뢰인이름（１０）　오류              </t>
  </si>
  <si>
    <t xml:space="preserve">의뢰인이름（９）　오류                </t>
  </si>
  <si>
    <t xml:space="preserve">의뢰인이름（８）　오류                </t>
  </si>
  <si>
    <t xml:space="preserve">의뢰인이름（７）　오류                </t>
  </si>
  <si>
    <t xml:space="preserve">의뢰인이름（６）　오류                </t>
  </si>
  <si>
    <t xml:space="preserve">의뢰인이름（５）　오류                </t>
  </si>
  <si>
    <t xml:space="preserve">의뢰인이름（４）　오류                </t>
  </si>
  <si>
    <t xml:space="preserve">의뢰인이름（３）　오류                </t>
  </si>
  <si>
    <t xml:space="preserve">의뢰인이름（２）　오류                </t>
  </si>
  <si>
    <t xml:space="preserve">의뢰인이름（１）　오류                </t>
  </si>
  <si>
    <t xml:space="preserve">수취인이름（１５）　오류              </t>
  </si>
  <si>
    <t xml:space="preserve">수취인이름（１４）　오류              </t>
  </si>
  <si>
    <t xml:space="preserve">수취인이름（１３）　오류              </t>
  </si>
  <si>
    <t xml:space="preserve">수취인이름（１２）　오류              </t>
  </si>
  <si>
    <t xml:space="preserve">수취인이름（１１）　오류              </t>
  </si>
  <si>
    <t xml:space="preserve">수취인이름（１０）　오류              </t>
  </si>
  <si>
    <t xml:space="preserve">수취인이름（９）　오류                </t>
  </si>
  <si>
    <t xml:space="preserve">수취인이름（８）　오류                </t>
  </si>
  <si>
    <t xml:space="preserve">수취인이름（７）　오류                </t>
  </si>
  <si>
    <t xml:space="preserve">수취인이름（６）　오류                </t>
  </si>
  <si>
    <t xml:space="preserve">수취인이름（５）　오류                </t>
  </si>
  <si>
    <t xml:space="preserve">수취인이름（４）　오류                </t>
  </si>
  <si>
    <t xml:space="preserve">수취인이름（３）　오류                </t>
  </si>
  <si>
    <t xml:space="preserve">수취인이름（２）　오류                </t>
  </si>
  <si>
    <t xml:space="preserve">수취인이름（１）　오류                </t>
  </si>
  <si>
    <t xml:space="preserve">계좌번호（２０）　오류                </t>
  </si>
  <si>
    <t xml:space="preserve">계좌번호（１９）　오류                </t>
  </si>
  <si>
    <t xml:space="preserve">계좌번호（１８）　오류                </t>
  </si>
  <si>
    <t xml:space="preserve">계좌번호（１７）　오류                </t>
  </si>
  <si>
    <t xml:space="preserve">계좌번호（１６）　오류                </t>
  </si>
  <si>
    <t xml:space="preserve">계좌번호（１５）　오류                </t>
  </si>
  <si>
    <t xml:space="preserve">계좌번호（１４）　오류                </t>
  </si>
  <si>
    <t xml:space="preserve">계좌번호（１３）　오류                </t>
  </si>
  <si>
    <t xml:space="preserve">계좌번호（１２）　오류                </t>
  </si>
  <si>
    <t xml:space="preserve">계좌번호（１１）　오류                </t>
  </si>
  <si>
    <t xml:space="preserve">계좌번호（１０）오류                  </t>
  </si>
  <si>
    <t xml:space="preserve">계좌번호（９）오류                    </t>
  </si>
  <si>
    <t xml:space="preserve">계좌번호（８）오류                    </t>
  </si>
  <si>
    <t xml:space="preserve">계좌번호（７）오류                    </t>
  </si>
  <si>
    <t xml:space="preserve">계좌번호（６）오류                    </t>
  </si>
  <si>
    <t xml:space="preserve">계좌번호（５）오류                    </t>
  </si>
  <si>
    <t xml:space="preserve">계좌번호（４）오류                    </t>
  </si>
  <si>
    <t xml:space="preserve">계좌번호（３）오류                    </t>
  </si>
  <si>
    <t xml:space="preserve">계좌번호（２）오류                    </t>
  </si>
  <si>
    <t xml:space="preserve">계좌번호（１）오류                    </t>
  </si>
  <si>
    <t xml:space="preserve">금액（１５）　오류                    </t>
  </si>
  <si>
    <t xml:space="preserve">금액（１４）　오류                    </t>
  </si>
  <si>
    <t xml:space="preserve">금액（１３）　오류                    </t>
  </si>
  <si>
    <t xml:space="preserve">금액（１２）　오류                    </t>
  </si>
  <si>
    <t xml:space="preserve">금액（１１）　오류                    </t>
  </si>
  <si>
    <t xml:space="preserve">금액（１０）　오류                    </t>
  </si>
  <si>
    <t xml:space="preserve">금액（９）　오류                      </t>
  </si>
  <si>
    <t xml:space="preserve">금액（８）　오류                      </t>
  </si>
  <si>
    <t xml:space="preserve">금액（７）　오류                      </t>
  </si>
  <si>
    <t xml:space="preserve">금액（６）　오류                      </t>
  </si>
  <si>
    <t xml:space="preserve">금액（５）　오류                      </t>
  </si>
  <si>
    <t xml:space="preserve">금액（４）　오류                      </t>
  </si>
  <si>
    <t xml:space="preserve">금액（３）　오류                      </t>
  </si>
  <si>
    <t xml:space="preserve">금액（２）　오류                      </t>
  </si>
  <si>
    <t xml:space="preserve">금액（１）　오류                      </t>
  </si>
  <si>
    <t xml:space="preserve">수취기관계정개설처（３０）　오류      </t>
  </si>
  <si>
    <t xml:space="preserve">수취기관계정개설처（２９）　오류      </t>
  </si>
  <si>
    <t xml:space="preserve">수취기관계정개설처（２８）　오류      </t>
  </si>
  <si>
    <t xml:space="preserve">수취기관계정개설처（２７）　오류      </t>
  </si>
  <si>
    <t xml:space="preserve">수취기관계정개설처（２６）　오류      </t>
  </si>
  <si>
    <t xml:space="preserve">수취기관계정개설처（２５）　오류      </t>
  </si>
  <si>
    <t xml:space="preserve">수취기관계정개설처（２４）　오류      </t>
  </si>
  <si>
    <t xml:space="preserve">수취기관계정개설처（２３）　오류      </t>
  </si>
  <si>
    <t xml:space="preserve">수취기관계정개설처（２２）　오류      </t>
  </si>
  <si>
    <t xml:space="preserve">수취기관계정개설처（２１）　오류      </t>
  </si>
  <si>
    <t xml:space="preserve">수취기관계정개설처（２０）　오류      </t>
  </si>
  <si>
    <t xml:space="preserve">수취기관계정개설처（１９）　오류      </t>
  </si>
  <si>
    <t xml:space="preserve">수취기관계정개설처（１８）　오류      </t>
  </si>
  <si>
    <t xml:space="preserve">수취기관계정개설처（１７）　오류      </t>
  </si>
  <si>
    <t xml:space="preserve">수취기관계정개설처（１６）　오류      </t>
  </si>
  <si>
    <t xml:space="preserve">수취기관계정개설처（１５）　오류      </t>
  </si>
  <si>
    <t xml:space="preserve">수취기관계정개설처（１４）　오류      </t>
  </si>
  <si>
    <t xml:space="preserve">수취기관계정개설처（１３）　오류      </t>
  </si>
  <si>
    <t xml:space="preserve">수취기관계정개설처（１２）　오류      </t>
  </si>
  <si>
    <t xml:space="preserve">수취기관계정개설처（１１）　오류      </t>
  </si>
  <si>
    <t xml:space="preserve">수취기관계정개설처（１０）　오류      </t>
  </si>
  <si>
    <t xml:space="preserve">수취기관계정개설처（９）　오류        </t>
  </si>
  <si>
    <t xml:space="preserve">수취기관계정개설처（８）　오류        </t>
  </si>
  <si>
    <t xml:space="preserve">수취기관계정개설처（７）　오류        </t>
  </si>
  <si>
    <t xml:space="preserve">수취기관계정개설처（６）　오류        </t>
  </si>
  <si>
    <t xml:space="preserve">수취기관계정개설처（５）　오류        </t>
  </si>
  <si>
    <t xml:space="preserve">수취기관계정개설처（４）　오류        </t>
  </si>
  <si>
    <t xml:space="preserve">수취기관계정개설처（３）　오류        </t>
  </si>
  <si>
    <t xml:space="preserve">수취기관계정개설처（２）　오류        </t>
  </si>
  <si>
    <t xml:space="preserve">수취기관계정개설처（１）　오류        </t>
  </si>
  <si>
    <t xml:space="preserve">수취기관（３０）　오류                </t>
  </si>
  <si>
    <t xml:space="preserve">수취기관（２９）　오류                </t>
  </si>
  <si>
    <t xml:space="preserve">수취기관（２８）　오류                </t>
  </si>
  <si>
    <t xml:space="preserve">수취기관（２７）　오류                </t>
  </si>
  <si>
    <t xml:space="preserve">수취기관（２６）　오류                </t>
  </si>
  <si>
    <t xml:space="preserve">수취기관（２５）　오류                </t>
  </si>
  <si>
    <t xml:space="preserve">수취기관（２４）　오류                </t>
  </si>
  <si>
    <t xml:space="preserve">수취기관（２３）　오류                </t>
  </si>
  <si>
    <t xml:space="preserve">수취기관（２２）　오류                </t>
  </si>
  <si>
    <t xml:space="preserve">수취기관（２１）　오류                </t>
  </si>
  <si>
    <t xml:space="preserve">수취기관（２０）　오류                </t>
  </si>
  <si>
    <t xml:space="preserve">수취기관（１９）　오류                </t>
  </si>
  <si>
    <t xml:space="preserve">수취기관（１８）　오류                </t>
  </si>
  <si>
    <t xml:space="preserve">수취기관（１７）　오류                </t>
  </si>
  <si>
    <t xml:space="preserve">수취기관（１６）　오류                </t>
  </si>
  <si>
    <t xml:space="preserve">수취기관（１５）　오류                </t>
  </si>
  <si>
    <t xml:space="preserve">수취기관（１４）　오류                </t>
  </si>
  <si>
    <t xml:space="preserve">수취기관（１３）　오류                </t>
  </si>
  <si>
    <t xml:space="preserve">수취기관（１２）　오류                </t>
  </si>
  <si>
    <t xml:space="preserve">수취기관（１１）　오류                </t>
  </si>
  <si>
    <t xml:space="preserve">수취기관（１０）　오류                </t>
  </si>
  <si>
    <t xml:space="preserve">수취기관（９）　오류                  </t>
  </si>
  <si>
    <t xml:space="preserve">수취기관（８）　오류                  </t>
  </si>
  <si>
    <t xml:space="preserve">수취기관（７）　오류                  </t>
  </si>
  <si>
    <t xml:space="preserve">수취기관（６）　오류                  </t>
  </si>
  <si>
    <t xml:space="preserve">수취기관（５）　오류                  </t>
  </si>
  <si>
    <t xml:space="preserve">수취기관（４）　오류                  </t>
  </si>
  <si>
    <t xml:space="preserve">수취기관（３）　오류                  </t>
  </si>
  <si>
    <t xml:space="preserve">수취기관（２）　오류                  </t>
  </si>
  <si>
    <t xml:space="preserve">수취기관（１）　오류                  </t>
  </si>
  <si>
    <t xml:space="preserve">참가기관　종료                        </t>
  </si>
  <si>
    <t xml:space="preserve">참가기관　업무개시　이전              </t>
  </si>
  <si>
    <t xml:space="preserve">참가기관시스템　장애                  </t>
  </si>
  <si>
    <t xml:space="preserve">DVP시스템DATABASE장애               </t>
  </si>
  <si>
    <t xml:space="preserve">ＤＶＰ　시스템　종료                  </t>
  </si>
  <si>
    <t xml:space="preserve">ＤＶＰ　시스템　업무개시　이전        </t>
  </si>
  <si>
    <t xml:space="preserve">ＤＶＰ　시스템　장애                  </t>
  </si>
  <si>
    <t xml:space="preserve">대기거래가　허용되지　않습니다．      </t>
  </si>
  <si>
    <t xml:space="preserve">차액결제전 예상잔액 부족          </t>
  </si>
  <si>
    <t xml:space="preserve">자금이체번호파일　오류                </t>
  </si>
  <si>
    <t xml:space="preserve">취소유보(자금공급완료상태)          </t>
  </si>
  <si>
    <t xml:space="preserve">취소유보(콜자금공급대기중)          </t>
  </si>
  <si>
    <t xml:space="preserve">취소유보(자금공급예약중)            </t>
  </si>
  <si>
    <t xml:space="preserve">취소유보(자금공급반환중)            </t>
  </si>
  <si>
    <t xml:space="preserve">상환방식변경유보중(통지완료)        </t>
  </si>
  <si>
    <t xml:space="preserve">유보(콜상환내역변경)                </t>
  </si>
  <si>
    <t>해당관리번호의 최초전문 아직처리중</t>
  </si>
  <si>
    <t xml:space="preserve">한은망마감(혼합)연장상태입니다    </t>
  </si>
  <si>
    <t xml:space="preserve">마감시분단위결제전용잔액생성미완료    </t>
  </si>
  <si>
    <t xml:space="preserve">마감시분단위결제전용잔액생성완료      </t>
  </si>
  <si>
    <t xml:space="preserve">예약거래종류 오류입니다             </t>
  </si>
  <si>
    <t xml:space="preserve">송신기관　입력　오류                  </t>
  </si>
  <si>
    <t xml:space="preserve">영업일자　입력　오류                  </t>
  </si>
  <si>
    <t>대기일괄취소대상여부 입력항목 아님</t>
  </si>
  <si>
    <t xml:space="preserve">결제여부는　입력항목이아닙니다        </t>
  </si>
  <si>
    <t xml:space="preserve">잔액은 입력항목이 아닙니다        </t>
  </si>
  <si>
    <t xml:space="preserve">계정명은 입력항목이 아닙니다      </t>
  </si>
  <si>
    <t xml:space="preserve">계정개설처는 입력항목이 아닙니다  </t>
  </si>
  <si>
    <t xml:space="preserve">출력건수는 입력항목이 아닙니다    </t>
  </si>
  <si>
    <t>당좌대출금액은 입력항목이 아닙니다</t>
  </si>
  <si>
    <t>당좌예금(결제전용)잔액은 입력항목이 아닙니다.</t>
  </si>
  <si>
    <t>당좌예금(한은거래)잔액은 입력항목이 아닙니다.</t>
  </si>
  <si>
    <t>자금조정잔액은 입력항목이 아닙니다</t>
  </si>
  <si>
    <t xml:space="preserve">이체시간은 입력항목이 아닙니다    </t>
  </si>
  <si>
    <t xml:space="preserve">회계번호는 입력항목이 아닙니다    </t>
  </si>
  <si>
    <t xml:space="preserve">거래번호는 입력항목이 아닙니다    </t>
  </si>
  <si>
    <t xml:space="preserve">공란은　입력항목이　아닙니다          </t>
  </si>
  <si>
    <t xml:space="preserve">처리시간은　입력항목이　아닙니다      </t>
  </si>
  <si>
    <t xml:space="preserve">한국은행이　셋팅하는항목입니다        </t>
  </si>
  <si>
    <t xml:space="preserve">대기일괄취소마감상태임                </t>
  </si>
  <si>
    <t xml:space="preserve">결제전용잔액이　남아있습니다          </t>
  </si>
  <si>
    <t xml:space="preserve">대기내역이남아있습니다                </t>
  </si>
  <si>
    <t xml:space="preserve">자금이체의　지급지시유형오류입니다    </t>
  </si>
  <si>
    <t xml:space="preserve">자금이체가　대기상태가　아닙니다      </t>
  </si>
  <si>
    <t xml:space="preserve">통지내역 오류                       </t>
  </si>
  <si>
    <t xml:space="preserve">예약내역（총액）테이블CLOSE 오류    </t>
  </si>
  <si>
    <t xml:space="preserve">예약내역（총액）테이블FETCH 오류    </t>
  </si>
  <si>
    <t xml:space="preserve">예약내역（총액）테이블OPEN  오류    </t>
  </si>
  <si>
    <t xml:space="preserve">예약내역(총액)확인오류            </t>
  </si>
  <si>
    <t>처리할 대기내역이 없습니다.</t>
  </si>
  <si>
    <t xml:space="preserve">대기내역（총액）테이블CLOSE 오류    </t>
  </si>
  <si>
    <t xml:space="preserve">대기내역（총액）테이블FETCH 오류    </t>
  </si>
  <si>
    <t xml:space="preserve">대기내역（총액）테이블OPEN  오류    </t>
  </si>
  <si>
    <t>대기내역 갱신 오류입니다.</t>
  </si>
  <si>
    <t>대기취소 오류입니다.</t>
  </si>
  <si>
    <t>대기취소만 가능합니다.</t>
  </si>
  <si>
    <t xml:space="preserve">총액은　대기취소만　가능합니다        </t>
  </si>
  <si>
    <t xml:space="preserve">증권은　대기취소만　가능합니다        </t>
  </si>
  <si>
    <t xml:space="preserve">결제시스템구분오류입니다              </t>
  </si>
  <si>
    <t xml:space="preserve">송신기관 입력오류입니다             </t>
  </si>
  <si>
    <t xml:space="preserve">동시처리일련번호 확인오류           </t>
  </si>
  <si>
    <t xml:space="preserve">동시처리일련번호 갱신 오류        </t>
  </si>
  <si>
    <t xml:space="preserve">동시처리일련번호 생성 오류        </t>
  </si>
  <si>
    <t xml:space="preserve">전문관리번호 생성 오류            </t>
  </si>
  <si>
    <t xml:space="preserve">전문관리번호가 이미 존재합니다    </t>
  </si>
  <si>
    <t xml:space="preserve">로그등록일시 입력오류입니다         </t>
  </si>
  <si>
    <t xml:space="preserve">전문내용데이터 입력오류입니다       </t>
  </si>
  <si>
    <t xml:space="preserve">전문내용길이 입력오류입니다         </t>
  </si>
  <si>
    <t xml:space="preserve">전문처리상태 입력오류입니다         </t>
  </si>
  <si>
    <t xml:space="preserve">송수신구분 입력오류입니다           </t>
  </si>
  <si>
    <t xml:space="preserve">통지대상 자료가 없습니다          </t>
  </si>
  <si>
    <t xml:space="preserve">통지내역 테이블 CLOSE 오류        </t>
  </si>
  <si>
    <t xml:space="preserve">통지내역 테이블 FETCH 오류        </t>
  </si>
  <si>
    <t xml:space="preserve">통지내역 테이블 OPEN 오류         </t>
  </si>
  <si>
    <t xml:space="preserve">혼합형시스템 업무마감이전입니다     </t>
  </si>
  <si>
    <t xml:space="preserve">자동수행거래 처리현황 생성오류    </t>
  </si>
  <si>
    <t xml:space="preserve">중계기로부터 응답 없음            </t>
  </si>
  <si>
    <t xml:space="preserve">연결된 세션 없음                  </t>
  </si>
  <si>
    <t xml:space="preserve">INVREQ-ERR                              </t>
  </si>
  <si>
    <t xml:space="preserve">세션 오류                           </t>
  </si>
  <si>
    <t xml:space="preserve">잠시후 재처리하세요                 </t>
  </si>
  <si>
    <t xml:space="preserve">전송작업중 오류코드 수신          </t>
  </si>
  <si>
    <t xml:space="preserve">비정상 처리되었습니다               </t>
  </si>
  <si>
    <t>중계기로부터 전문포맷오류를 수신함</t>
  </si>
  <si>
    <t xml:space="preserve">서버기관장애시 통지내역갱신 오류  </t>
  </si>
  <si>
    <t>수신기관이 장애등록처리 되었읍니다</t>
  </si>
  <si>
    <t xml:space="preserve">통지내역 갱신 오류                </t>
  </si>
  <si>
    <t xml:space="preserve">통지내역이 존재하지 않습니다      </t>
  </si>
  <si>
    <t>단말일자와 거래일자가 불일치합니다.</t>
  </si>
  <si>
    <t xml:space="preserve">접속유형 입력오류입니다             </t>
  </si>
  <si>
    <t xml:space="preserve">일중운영시간정보 확인오류           </t>
  </si>
  <si>
    <t xml:space="preserve">일중운영시간정보 자료가 없습니다  </t>
  </si>
  <si>
    <t xml:space="preserve">일중구분 입력오류입니다             </t>
  </si>
  <si>
    <t xml:space="preserve">대기순서 확인오류                   </t>
  </si>
  <si>
    <t xml:space="preserve">대기순서 갱신 오류                </t>
  </si>
  <si>
    <t xml:space="preserve">대기내역（혼합형）테이블CLOSE오류   </t>
  </si>
  <si>
    <t xml:space="preserve">대기내역（혼합형）테이블FETCH오류   </t>
  </si>
  <si>
    <t xml:space="preserve">대기내역（혼합형）테이블OPEN오류    </t>
  </si>
  <si>
    <t xml:space="preserve">대기순서 생성 오류                </t>
  </si>
  <si>
    <t xml:space="preserve">대기번호 확인오류                   </t>
  </si>
  <si>
    <t xml:space="preserve">대기번호 갱신 오류                </t>
  </si>
  <si>
    <t xml:space="preserve">대기번호 생성 오류                </t>
  </si>
  <si>
    <t xml:space="preserve">자금이체일련번호 확인오류           </t>
  </si>
  <si>
    <t xml:space="preserve">자금이체일련번호 갱신 오류        </t>
  </si>
  <si>
    <t xml:space="preserve">자금이체일련번호 생성 오류        </t>
  </si>
  <si>
    <t xml:space="preserve">비고 입력오류입니다                 </t>
  </si>
  <si>
    <t xml:space="preserve">테이블ID 입력오류입니다             </t>
  </si>
  <si>
    <t>참가기관업무별접속유형 테이블 오류</t>
  </si>
  <si>
    <t xml:space="preserve">혼합형결제시스템장애 확인오류       </t>
  </si>
  <si>
    <t xml:space="preserve">서버참가기관진행상황 확인오류       </t>
  </si>
  <si>
    <t xml:space="preserve">차액결제수신(EB033)테이블 오류    </t>
  </si>
  <si>
    <t xml:space="preserve">1순위 거래내역(EB040) 오류        </t>
  </si>
  <si>
    <t xml:space="preserve">차액결제 참가부서가 아닙니다      </t>
  </si>
  <si>
    <t xml:space="preserve">부서별금융기관 약정 확인오류      </t>
  </si>
  <si>
    <t xml:space="preserve">예상잔액 미확인 거래              </t>
  </si>
  <si>
    <t xml:space="preserve">전표종류 입력오류입니다             </t>
  </si>
  <si>
    <t xml:space="preserve">통보거래전문 확인오류               </t>
  </si>
  <si>
    <t xml:space="preserve">통보거래전문이 존재하지 않습니다  </t>
  </si>
  <si>
    <t xml:space="preserve">통보거래코드 확인오류               </t>
  </si>
  <si>
    <t xml:space="preserve">통보거래코드가 존재하지 않습니다  </t>
  </si>
  <si>
    <t xml:space="preserve">통보구분 입력오류입니다             </t>
  </si>
  <si>
    <t xml:space="preserve">통보PGMID 입력오류입니다            </t>
  </si>
  <si>
    <t xml:space="preserve">요구PGMID 입력오류입니다            </t>
  </si>
  <si>
    <t xml:space="preserve">요구거래코드 입력오류입니다         </t>
  </si>
  <si>
    <t xml:space="preserve">요구통보접속유형 입력오류입니다     </t>
  </si>
  <si>
    <t xml:space="preserve">거래구분 입력오류입니다             </t>
  </si>
  <si>
    <t xml:space="preserve">응답코드 입력오류입니다             </t>
  </si>
  <si>
    <t xml:space="preserve">응답코드처리 오류                   </t>
  </si>
  <si>
    <t xml:space="preserve">응답코드가 존재하지 않습니다      </t>
  </si>
  <si>
    <t xml:space="preserve">전문등록일시가　입력되지않았습니다    </t>
  </si>
  <si>
    <t xml:space="preserve">대기내역(혼합형)확인오류          </t>
  </si>
  <si>
    <t xml:space="preserve">대기거래조정내역 생성오류           </t>
  </si>
  <si>
    <t xml:space="preserve">신청장소는 '1'만 입력가능합니다   </t>
  </si>
  <si>
    <t xml:space="preserve">콜상환변경TBEB017조회오류           </t>
  </si>
  <si>
    <t xml:space="preserve">콜상환변경 생성오류                 </t>
  </si>
  <si>
    <t xml:space="preserve">이미 등록된 콜상환 변경있슴     </t>
  </si>
  <si>
    <t xml:space="preserve">처리할 콜상환이 없습니다          </t>
  </si>
  <si>
    <t xml:space="preserve">처리할 콜체결이 없습니다          </t>
  </si>
  <si>
    <t xml:space="preserve">콜상환 갱신오류                     </t>
  </si>
  <si>
    <t xml:space="preserve">콜체결 갱신오류                     </t>
  </si>
  <si>
    <t>콜체결（상환）의　지급지시유형확인바람</t>
  </si>
  <si>
    <t xml:space="preserve">콜체결（상환），대기상태가　아님      </t>
  </si>
  <si>
    <t xml:space="preserve">대기순위의　조정한계를　넘었습니다    </t>
  </si>
  <si>
    <t xml:space="preserve">해당하는　대기내역이　없습니다        </t>
  </si>
  <si>
    <t xml:space="preserve">처리할예약(혼합)건이없습니다      </t>
  </si>
  <si>
    <t xml:space="preserve">이미　예약처리되었습니다              </t>
  </si>
  <si>
    <t xml:space="preserve">예약취소동의가　안되었습니다          </t>
  </si>
  <si>
    <t xml:space="preserve">입출금구분 입력 오류입니다        </t>
  </si>
  <si>
    <t>통지응답거래검증시 개별부내용 상이</t>
  </si>
  <si>
    <t xml:space="preserve">송신기관이 한국은행입니다           </t>
  </si>
  <si>
    <t xml:space="preserve">전문전송시간 검증오류               </t>
  </si>
  <si>
    <t xml:space="preserve">전문관리번호 검증오류(일련번호)   </t>
  </si>
  <si>
    <t xml:space="preserve">전문관리번호 검증오류(참가기관)   </t>
  </si>
  <si>
    <t xml:space="preserve">전문관리번호 검증오류(영업일자)   </t>
  </si>
  <si>
    <t xml:space="preserve">송수신기관이 동일합니다             </t>
  </si>
  <si>
    <t xml:space="preserve">계정개설처 오류입니다               </t>
  </si>
  <si>
    <t xml:space="preserve">이미　예약취소처리되었습니다          </t>
  </si>
  <si>
    <t xml:space="preserve">이미예약취소동의처리되었습니다        </t>
  </si>
  <si>
    <t xml:space="preserve">처리할예약(총액)건이 없습니다   </t>
  </si>
  <si>
    <t xml:space="preserve">예약내역(혼합형)생성오류          </t>
  </si>
  <si>
    <t xml:space="preserve">예약내역(혼합형)갱신오류          </t>
  </si>
  <si>
    <t xml:space="preserve">예약내역(혼합형)확인오류          </t>
  </si>
  <si>
    <t xml:space="preserve">조정전　대기내역오류입니다            </t>
  </si>
  <si>
    <t xml:space="preserve">복합대기순서　오류입니다              </t>
  </si>
  <si>
    <t xml:space="preserve">조정후　복합대기순서　오류입니다      </t>
  </si>
  <si>
    <t xml:space="preserve">이미　등록된　자료입니다              </t>
  </si>
  <si>
    <t xml:space="preserve">조정전후　복합대기순서가　동일합니다  </t>
  </si>
  <si>
    <t xml:space="preserve">조정전　복합대기순서　오류입니다      </t>
  </si>
  <si>
    <t xml:space="preserve">조정전후　지급지시유형이　상이합니다  </t>
  </si>
  <si>
    <t xml:space="preserve">조정전후　지급지시유형이　동일합니다  </t>
  </si>
  <si>
    <t xml:space="preserve">조정후　지급지시유형오류입니다        </t>
  </si>
  <si>
    <t xml:space="preserve">조정전　지급지시유형오류입니다        </t>
  </si>
  <si>
    <t xml:space="preserve">조정구분오류입니다                    </t>
  </si>
  <si>
    <t xml:space="preserve">요구전문이 아닙니다                 </t>
  </si>
  <si>
    <t xml:space="preserve">수신기관이 한국은행이 아닙니다    </t>
  </si>
  <si>
    <t xml:space="preserve">자금이체거래유형오류                  </t>
  </si>
  <si>
    <t xml:space="preserve">예약취소시간오류　　                  </t>
  </si>
  <si>
    <t xml:space="preserve">자금구분코드오류　　                  </t>
  </si>
  <si>
    <t xml:space="preserve">예약업무구분코드오류                  </t>
  </si>
  <si>
    <t xml:space="preserve">예금거래정보 갱신오류　             </t>
  </si>
  <si>
    <t xml:space="preserve">처리할대기내역이　없습니다　          </t>
  </si>
  <si>
    <t xml:space="preserve">이미등록된대기내역이있습니다          </t>
  </si>
  <si>
    <t xml:space="preserve">대기내역키오류                        </t>
  </si>
  <si>
    <t xml:space="preserve">지급지시유형오류                      </t>
  </si>
  <si>
    <t xml:space="preserve">취소프로그램ID오류                  </t>
  </si>
  <si>
    <t xml:space="preserve">결제프로그램ID 오류                 </t>
  </si>
  <si>
    <t xml:space="preserve">총괄계리 업무개시여부 확인 에러 </t>
  </si>
  <si>
    <t xml:space="preserve">거래기관의 계정개설처가 없습니다  </t>
  </si>
  <si>
    <t xml:space="preserve">대응코드 입력오류입니다             </t>
  </si>
  <si>
    <t xml:space="preserve">변환코드구분 입력오류입니다         </t>
  </si>
  <si>
    <t xml:space="preserve">해당 코드가 존재하지 않습니다   </t>
  </si>
  <si>
    <t xml:space="preserve">현재 결제전용계좌잔액 오류        </t>
  </si>
  <si>
    <t xml:space="preserve">해당일자에　예금거래정보가　없습니다  </t>
  </si>
  <si>
    <t xml:space="preserve">거래기관 입력오류입니다             </t>
  </si>
  <si>
    <t xml:space="preserve">부서코드 입력오류입니다             </t>
  </si>
  <si>
    <t xml:space="preserve">통지내용데이터 입력오류입니다       </t>
  </si>
  <si>
    <t xml:space="preserve">통지내용길이 입력오류입니다         </t>
  </si>
  <si>
    <t xml:space="preserve">공통헤더 입력오류입니다             </t>
  </si>
  <si>
    <t xml:space="preserve">사용자구분 입력오류입니다           </t>
  </si>
  <si>
    <t xml:space="preserve">참조전문관리번호 입력오류입니다     </t>
  </si>
  <si>
    <t xml:space="preserve">전문종별코드 입력오류입니다         </t>
  </si>
  <si>
    <t xml:space="preserve">거래구분코드 입력오류입니다         </t>
  </si>
  <si>
    <t xml:space="preserve">수취금액 입력오류입니다             </t>
  </si>
  <si>
    <t xml:space="preserve">수신기관 입력오류입니다             </t>
  </si>
  <si>
    <t xml:space="preserve">거래일자 입력오류입니다             </t>
  </si>
  <si>
    <t xml:space="preserve">일련번호 입력오류입니다             </t>
  </si>
  <si>
    <t xml:space="preserve">전문등록일시 입력오류입니다         </t>
  </si>
  <si>
    <t xml:space="preserve">다자간동시처리로그　갱신　오류        </t>
  </si>
  <si>
    <t xml:space="preserve">양자간동시처리로그　갱신　오류        </t>
  </si>
  <si>
    <t xml:space="preserve">다자간동시처리로그　생성　오류        </t>
  </si>
  <si>
    <t xml:space="preserve">양자간동시처리로그　생성　오류        </t>
  </si>
  <si>
    <t xml:space="preserve">동시처리일련번호　갱신　오류          </t>
  </si>
  <si>
    <t xml:space="preserve">동시처리일련번호　채번　오류          </t>
  </si>
  <si>
    <t xml:space="preserve">동시처리일련번호　테이블　오류        </t>
  </si>
  <si>
    <t xml:space="preserve">총순지급한도　갱신　실패              </t>
  </si>
  <si>
    <t xml:space="preserve">양자간순지급한도 갱신오류           </t>
  </si>
  <si>
    <t xml:space="preserve">다자간동시처리　회계처리　실패        </t>
  </si>
  <si>
    <t xml:space="preserve">양자간동시처리　회계처리　실패        </t>
  </si>
  <si>
    <t xml:space="preserve">다자간동시처리　구조부적합            </t>
  </si>
  <si>
    <t xml:space="preserve">동시처리　유형결정　오류              </t>
  </si>
  <si>
    <t xml:space="preserve">부서별계정계좌 확인오류             </t>
  </si>
  <si>
    <t xml:space="preserve">미등록　단말                          </t>
  </si>
  <si>
    <t xml:space="preserve">총계정원장이　마감되었습니다          </t>
  </si>
  <si>
    <t xml:space="preserve">사용자구분　오류                      </t>
  </si>
  <si>
    <t xml:space="preserve">양자간동시처리　구조부적합            </t>
  </si>
  <si>
    <t xml:space="preserve">양자간동시처리　대상없음              </t>
  </si>
  <si>
    <t xml:space="preserve">다자간동시처리　대상없음              </t>
  </si>
  <si>
    <t xml:space="preserve">다자간동시처리　로그　조회　오류      </t>
  </si>
  <si>
    <t xml:space="preserve">영업일이　아닙니다                    </t>
  </si>
  <si>
    <t xml:space="preserve">동시처리구분 입력오류입니다         </t>
  </si>
  <si>
    <t xml:space="preserve">양자간동시처리로그 확인오류         </t>
  </si>
  <si>
    <t xml:space="preserve">총순지급한도　조회　오류              </t>
  </si>
  <si>
    <t xml:space="preserve">양자간순지급한도　조회　오류          </t>
  </si>
  <si>
    <t xml:space="preserve">시스템(DB)오류(한국은행전산정보국 </t>
  </si>
  <si>
    <t>혼합형결제업무마감취소시테이블갱신오류</t>
  </si>
  <si>
    <t>혼합형결제업무마감등록시테이블갱신오류</t>
  </si>
  <si>
    <t xml:space="preserve">통지내역　생성　오류                  </t>
  </si>
  <si>
    <t xml:space="preserve">터미널정보　오류                      </t>
  </si>
  <si>
    <t xml:space="preserve">전문관리번호 확인오류               </t>
  </si>
  <si>
    <t xml:space="preserve">일별부서별원장 조회오류             </t>
  </si>
  <si>
    <t xml:space="preserve">일별부서별원장 확인오류             </t>
  </si>
  <si>
    <t xml:space="preserve">예금거래정보　오류                    </t>
  </si>
  <si>
    <t xml:space="preserve">영업일　조회　오류                    </t>
  </si>
  <si>
    <t xml:space="preserve">수신코드　오류                        </t>
  </si>
  <si>
    <t xml:space="preserve">부서확인오류                          </t>
  </si>
  <si>
    <t xml:space="preserve">변환코드　조회　오류                  </t>
  </si>
  <si>
    <t xml:space="preserve">대기내역(혼합형)생성오류          </t>
  </si>
  <si>
    <t xml:space="preserve">대기내역(혼합형)갱신오류          </t>
  </si>
  <si>
    <t xml:space="preserve">대기내역 확인오류                   </t>
  </si>
  <si>
    <t xml:space="preserve">거래전문로그가 이미 존재합니다    </t>
  </si>
  <si>
    <t xml:space="preserve">거래유형　테이블　오류　입니다        </t>
  </si>
  <si>
    <t xml:space="preserve">휴일체크시　오류                      </t>
  </si>
  <si>
    <t xml:space="preserve">회계처리　오류입니다．                </t>
  </si>
  <si>
    <t xml:space="preserve">시스템오류(한국은행전산정보국연락)  </t>
  </si>
  <si>
    <t xml:space="preserve">회계번호생성　오류                    </t>
  </si>
  <si>
    <t xml:space="preserve">회계번호를　확인하시오                </t>
  </si>
  <si>
    <t xml:space="preserve">혼합형결제시스템　정상　상태입니다．  </t>
  </si>
  <si>
    <t xml:space="preserve">혼합형결제시스템　장애　상태입니다．  </t>
  </si>
  <si>
    <t>혼합결제　시스템　업무마감　이후입니다</t>
  </si>
  <si>
    <t xml:space="preserve">혼합형결제시스템 업무개시이전입니다 </t>
  </si>
  <si>
    <t xml:space="preserve">혼합결제시스템업무가 마감되었습니다 </t>
  </si>
  <si>
    <t xml:space="preserve">한은망마감이　등록되지　않았습니다    </t>
  </si>
  <si>
    <t xml:space="preserve">한은망마감연장취소（결제원활화）완료  </t>
  </si>
  <si>
    <t xml:space="preserve">한은망마감연장상태　아님              </t>
  </si>
  <si>
    <t xml:space="preserve">한은망마감연장（전상장애）상태        </t>
  </si>
  <si>
    <t xml:space="preserve">한은망마감연장（결제원활화）상태      </t>
  </si>
  <si>
    <t xml:space="preserve">한은망거래연장（전산장애）            </t>
  </si>
  <si>
    <t xml:space="preserve">한은망거래연장（자금결제원활화）      </t>
  </si>
  <si>
    <t xml:space="preserve">한은망거래가　마감되었습니다．        </t>
  </si>
  <si>
    <t xml:space="preserve">한은망거래　마감상태가　아님          </t>
  </si>
  <si>
    <t xml:space="preserve">한은망　업무마감　이후입니다．        </t>
  </si>
  <si>
    <t xml:space="preserve">한은망　업무개시　이전입니다．        </t>
  </si>
  <si>
    <t xml:space="preserve">한은망　마감연장취소（전산장애）완료  </t>
  </si>
  <si>
    <t xml:space="preserve">한은망　마감연장（전산장애）완료      </t>
  </si>
  <si>
    <t xml:space="preserve">한은망　마감연장（결제원활화）완료    </t>
  </si>
  <si>
    <t xml:space="preserve">한도갱신처리시　오류                  </t>
  </si>
  <si>
    <t xml:space="preserve">통지내역이　이미　존재합니다          </t>
  </si>
  <si>
    <t xml:space="preserve">통지내역　테이블　입력　오류　입니다  </t>
  </si>
  <si>
    <t xml:space="preserve">테스트환경입니다                      </t>
  </si>
  <si>
    <t xml:space="preserve">취소　담당자　오류입니다．            </t>
  </si>
  <si>
    <t xml:space="preserve">취급점　또는　기관코드　오류　！！    </t>
  </si>
  <si>
    <t xml:space="preserve">총액결제시스템 업무마감이후입니다   </t>
  </si>
  <si>
    <t xml:space="preserve">총액결제시스템 업무개시이전입니다   </t>
  </si>
  <si>
    <t xml:space="preserve">총괄계리　마감되었습니다              </t>
  </si>
  <si>
    <t xml:space="preserve">처리종류　오류                        </t>
  </si>
  <si>
    <t xml:space="preserve">처리상태오류（책임자）                </t>
  </si>
  <si>
    <t xml:space="preserve">처리금액이　미입력되었습니다          </t>
  </si>
  <si>
    <t xml:space="preserve">처리구분　입력　오류　입니다          </t>
  </si>
  <si>
    <t xml:space="preserve">처리결과변경오류（책임자）            </t>
  </si>
  <si>
    <t xml:space="preserve">책임자ＩＤ오류（책임자）              </t>
  </si>
  <si>
    <t xml:space="preserve">책임자이름없음（책임자）              </t>
  </si>
  <si>
    <t xml:space="preserve">책임자번호　입력　오류                </t>
  </si>
  <si>
    <t xml:space="preserve">책임자　거래입니다                    </t>
  </si>
  <si>
    <t xml:space="preserve">거래전문로그 생성 오류            </t>
  </si>
  <si>
    <t xml:space="preserve">거래전문로그 확인오류               </t>
  </si>
  <si>
    <t xml:space="preserve">참가기관접속유형이서버가 아닙니다   </t>
  </si>
  <si>
    <t xml:space="preserve">지급지시처리상태를 확인하세요       </t>
  </si>
  <si>
    <t xml:space="preserve">지급지시유형이　입력되지　않았습니다  </t>
  </si>
  <si>
    <t xml:space="preserve">지급지시유형이　상이합니다            </t>
  </si>
  <si>
    <t xml:space="preserve">지급지시유형을　확인하시기　바랍니다  </t>
  </si>
  <si>
    <t xml:space="preserve">지급지시유형은　신속만　가능합니다．  </t>
  </si>
  <si>
    <t xml:space="preserve">조회구분　오류                        </t>
  </si>
  <si>
    <t xml:space="preserve">정상전표생성　오류                    </t>
  </si>
  <si>
    <t xml:space="preserve">정상　책임자　오류입니다．            </t>
  </si>
  <si>
    <t xml:space="preserve">정상　담당자　오류입니다．            </t>
  </si>
  <si>
    <t xml:space="preserve">전문관리번호가　입력되지　않았습니다  </t>
  </si>
  <si>
    <t xml:space="preserve">적요가　미입력되었습니다              </t>
  </si>
  <si>
    <t xml:space="preserve">잔액　부족입니다．                    </t>
  </si>
  <si>
    <t xml:space="preserve">자료가　존재하지　않습니다            </t>
  </si>
  <si>
    <t xml:space="preserve">자동마감　실행시간전에　처리불가능    </t>
  </si>
  <si>
    <t xml:space="preserve">자금이체처리상태가 대기가아닙니다   </t>
  </si>
  <si>
    <t xml:space="preserve">자금이체마감후　작업하십시요          </t>
  </si>
  <si>
    <t xml:space="preserve">자금이체거래　마감취소　완료          </t>
  </si>
  <si>
    <t xml:space="preserve">자금이체거래　마감완료                </t>
  </si>
  <si>
    <t xml:space="preserve">자금이체거래　마감상태가　아님        </t>
  </si>
  <si>
    <t xml:space="preserve">자금이체　마감후　처리요망            </t>
  </si>
  <si>
    <t xml:space="preserve">일중당좌예상금액처리　ＥＲＲＯＲ      </t>
  </si>
  <si>
    <t xml:space="preserve">일자정보　오류                        </t>
  </si>
  <si>
    <t xml:space="preserve">일자오류（책임자）                    </t>
  </si>
  <si>
    <t xml:space="preserve">일련번호오류（책임자）                </t>
  </si>
  <si>
    <t xml:space="preserve">익영업일　ＥＲＲＯＲ                  </t>
  </si>
  <si>
    <t xml:space="preserve">이체종류가　입력되지　않았습니다      </t>
  </si>
  <si>
    <t xml:space="preserve">이체기관이　입력되지　않았습니다      </t>
  </si>
  <si>
    <t xml:space="preserve">이체기관부서코드가입력되지않았습니다  </t>
  </si>
  <si>
    <t xml:space="preserve">이체금액이　입력되지　않았습니다      </t>
  </si>
  <si>
    <t xml:space="preserve">이미　한은망입력연장　상태임          </t>
  </si>
  <si>
    <t xml:space="preserve">이미　취소처리　되었습니다            </t>
  </si>
  <si>
    <t xml:space="preserve">이미　자금이체　마감상태임            </t>
  </si>
  <si>
    <t xml:space="preserve">이미　마감되었습니다                  </t>
  </si>
  <si>
    <t xml:space="preserve">이미　대기일괄취소　연장상태          </t>
  </si>
  <si>
    <t xml:space="preserve">이미　결제완료　되었습니다            </t>
  </si>
  <si>
    <t xml:space="preserve">오류처리되었음（책임자）              </t>
  </si>
  <si>
    <t xml:space="preserve">연장취소대상거래　아님                </t>
  </si>
  <si>
    <t xml:space="preserve">업무코드　오류（책임자）              </t>
  </si>
  <si>
    <t xml:space="preserve">업무구분코드　오류                    </t>
  </si>
  <si>
    <t xml:space="preserve">신청일자가　영업일자와　다릅니다      </t>
  </si>
  <si>
    <t xml:space="preserve">신청기관　총계정원장　미개설          </t>
  </si>
  <si>
    <t xml:space="preserve">신청기관　약정미체결                  </t>
  </si>
  <si>
    <t xml:space="preserve">신청기관계정개설처가입력되지않았슴    </t>
  </si>
  <si>
    <t xml:space="preserve">신청금액을　확인하세요                </t>
  </si>
  <si>
    <t xml:space="preserve">승인처리　완료（책임자）              </t>
  </si>
  <si>
    <t xml:space="preserve">승인요청내역오류（책임자）            </t>
  </si>
  <si>
    <t xml:space="preserve">승인요청내역없음（책임자）            </t>
  </si>
  <si>
    <t xml:space="preserve">수취기관이　입력되지　않았습니다      </t>
  </si>
  <si>
    <t xml:space="preserve">수취기관　약정오류                    </t>
  </si>
  <si>
    <t xml:space="preserve">수취기관　약정미체결                  </t>
  </si>
  <si>
    <t xml:space="preserve">수취기관계정개설처가입력되지않았슴    </t>
  </si>
  <si>
    <t xml:space="preserve">수신업무가　마감되었습니다            </t>
  </si>
  <si>
    <t xml:space="preserve">수신마감확인시　오류                  </t>
  </si>
  <si>
    <t xml:space="preserve">수신／환코드　미등록                  </t>
  </si>
  <si>
    <t xml:space="preserve">수수료여부　입력　오류입니다          </t>
  </si>
  <si>
    <t>서버기관이 업무개시상태가 아닙니다</t>
  </si>
  <si>
    <t xml:space="preserve">부서코드　오류                        </t>
  </si>
  <si>
    <t xml:space="preserve">마감이　되지않았습니다                </t>
  </si>
  <si>
    <t xml:space="preserve">마감　취소　처리가　되었습니다        </t>
  </si>
  <si>
    <t xml:space="preserve">마감　처리가　되었습니다              </t>
  </si>
  <si>
    <t xml:space="preserve">마감　권한이　없습니다                </t>
  </si>
  <si>
    <t xml:space="preserve">대기취소　되었습니다                  </t>
  </si>
  <si>
    <t xml:space="preserve">대기일괄취소　연장취소　완료          </t>
  </si>
  <si>
    <t xml:space="preserve">대기일괄취소　연장완료                </t>
  </si>
  <si>
    <t xml:space="preserve">대기일괄취소　연장상태가　아님        </t>
  </si>
  <si>
    <t xml:space="preserve">대기번호가　존재하지　않습니다        </t>
  </si>
  <si>
    <t xml:space="preserve">대기번호가　입력되지　않았습니다      </t>
  </si>
  <si>
    <t xml:space="preserve">대기번호가　대기상태가　아닙니다      </t>
  </si>
  <si>
    <t xml:space="preserve">대기내역KEY를확인하시기바랍니다     </t>
  </si>
  <si>
    <t xml:space="preserve">대기내역삭제중오류가발생하였습니다    </t>
  </si>
  <si>
    <t xml:space="preserve">대기금액이　미입력되었습니다          </t>
  </si>
  <si>
    <t xml:space="preserve">대기거래처리（혼합형）시　오류        </t>
  </si>
  <si>
    <t xml:space="preserve">대기거래내역이　없습니다              </t>
  </si>
  <si>
    <t xml:space="preserve">대기거래　미　결제                    </t>
  </si>
  <si>
    <t xml:space="preserve">담당자번호　입력　오류                </t>
  </si>
  <si>
    <t xml:space="preserve">기관　정보가　존재하지　않습니다      </t>
  </si>
  <si>
    <t xml:space="preserve">금융결제국이　영업중이　아닙니다      </t>
  </si>
  <si>
    <t xml:space="preserve">금융결제국만　가능한　업무입니다      </t>
  </si>
  <si>
    <t xml:space="preserve">금액　입력　오류입니다                </t>
  </si>
  <si>
    <t xml:space="preserve">구분코드를　확인하시기　바랍니다      </t>
  </si>
  <si>
    <t xml:space="preserve">계좌잔액조회　오류                    </t>
  </si>
  <si>
    <t xml:space="preserve">계좌구분　오류                        </t>
  </si>
  <si>
    <t xml:space="preserve">계정개설처　입력　오류입니다          </t>
  </si>
  <si>
    <t xml:space="preserve">결제프로그램ID가입력되지않았습니다  </t>
  </si>
  <si>
    <t xml:space="preserve">거래유형이　입력되지　않았습니다      </t>
  </si>
  <si>
    <t xml:space="preserve">거래기관코드　오류                    </t>
  </si>
  <si>
    <t xml:space="preserve">전자금융공동망 거래번호 중복      </t>
  </si>
  <si>
    <t xml:space="preserve">반환거래와 원거래 금액 불일치   </t>
  </si>
  <si>
    <t xml:space="preserve">반환수취기관과 원이체기관 불일치  </t>
  </si>
  <si>
    <t xml:space="preserve">반환이체기관과 원수취기관 불일치  </t>
  </si>
  <si>
    <t xml:space="preserve">연계결제테이블내 원거래 조회오류  </t>
  </si>
  <si>
    <t xml:space="preserve">금액오류(10억초과만 가능)         </t>
  </si>
  <si>
    <t xml:space="preserve">원거래 자금이체일련번호 확인요망  </t>
  </si>
  <si>
    <t>원거래 전자금융공동망거래번호 확인</t>
  </si>
  <si>
    <t>거래구분값(원거래/반환거래) 오류</t>
  </si>
  <si>
    <t xml:space="preserve">연계결제테이블 조회 오류          </t>
  </si>
  <si>
    <t xml:space="preserve">연계결제테이블 갱신 오류          </t>
  </si>
  <si>
    <t xml:space="preserve">연계결제테이블 입력 오류          </t>
  </si>
  <si>
    <t xml:space="preserve">연계결제 마감상태임                 </t>
  </si>
  <si>
    <t xml:space="preserve">원거래 자금이체일련번호 입력요망  </t>
  </si>
  <si>
    <t xml:space="preserve">원거래 전자금융망거래번호 입력    </t>
  </si>
  <si>
    <t xml:space="preserve">자금성격 입력 오류                </t>
  </si>
  <si>
    <t xml:space="preserve">매체구분 입력 오류                </t>
  </si>
  <si>
    <t xml:space="preserve">전자금융공동망 거래번호 입력오류  </t>
  </si>
  <si>
    <t xml:space="preserve">송신기관이 금융결제원이 아님      </t>
  </si>
  <si>
    <t xml:space="preserve">우편번호 유효성 오류              </t>
  </si>
  <si>
    <t>장내국채위신탁거래 일중RP 신청불가</t>
  </si>
  <si>
    <t xml:space="preserve">장내국채결제내역 조회 오류        </t>
  </si>
  <si>
    <t xml:space="preserve">재매도상환내역 테이블 갱신 오류 </t>
  </si>
  <si>
    <t xml:space="preserve">유동성지원대상이 아닙니다(CS거래) </t>
  </si>
  <si>
    <t xml:space="preserve">담보인정비율 조회 오류            </t>
  </si>
  <si>
    <t xml:space="preserve">채권정보 조회 오류                </t>
  </si>
  <si>
    <t xml:space="preserve">시가정보 입력 오류                </t>
  </si>
  <si>
    <t xml:space="preserve">시가정보 조회 오류                </t>
  </si>
  <si>
    <t xml:space="preserve">일중RP 취소내역 조회 오류       </t>
  </si>
  <si>
    <t>일중RP공급마감 이후에만 신청가능</t>
  </si>
  <si>
    <t xml:space="preserve">일중RP 신청상환이 마감되었습니다  </t>
  </si>
  <si>
    <t xml:space="preserve">3320 자금코드를 이용하세요          </t>
  </si>
  <si>
    <t xml:space="preserve">달력테이블 조회 오류              </t>
  </si>
  <si>
    <t xml:space="preserve">수취계좌 오류                       </t>
  </si>
  <si>
    <t xml:space="preserve">이체계좌 오류                       </t>
  </si>
  <si>
    <t xml:space="preserve">금리테이블 조회 오류              </t>
  </si>
  <si>
    <t xml:space="preserve">재매도진행중 신청상환불가           </t>
  </si>
  <si>
    <t xml:space="preserve">잔여금액 및 수량 불일치         </t>
  </si>
  <si>
    <t xml:space="preserve">잔여수량 및 금액 불일치         </t>
  </si>
  <si>
    <t xml:space="preserve">재매도상환금액및상환금액 불일치     </t>
  </si>
  <si>
    <t xml:space="preserve">재매도상환수량및상환수량 불일치     </t>
  </si>
  <si>
    <t xml:space="preserve">일중RP지원대상이 아닙니다         </t>
  </si>
  <si>
    <t xml:space="preserve">이미 신청된 거래입니다            </t>
  </si>
  <si>
    <t xml:space="preserve">시장구분 입력 오류                </t>
  </si>
  <si>
    <t xml:space="preserve">결제완료된 재매도 건임            </t>
  </si>
  <si>
    <t xml:space="preserve">이미 취소된 재매도 건임         </t>
  </si>
  <si>
    <t xml:space="preserve">취소대상 재매도건 없음            </t>
  </si>
  <si>
    <t xml:space="preserve">상환번호 입력 오류                </t>
  </si>
  <si>
    <t xml:space="preserve">재매도상환 취소 예정 거래임     </t>
  </si>
  <si>
    <t xml:space="preserve">일중RP신청금액 확인               </t>
  </si>
  <si>
    <t xml:space="preserve">일중RP가능금액 확인               </t>
  </si>
  <si>
    <t xml:space="preserve">증권대금이체의뢰 조회 오류        </t>
  </si>
  <si>
    <t xml:space="preserve">차감결제내역 입력 오류            </t>
  </si>
  <si>
    <t xml:space="preserve">DVP결제구분 입력 오류             </t>
  </si>
  <si>
    <t xml:space="preserve">차감수령금액 입력 오류            </t>
  </si>
  <si>
    <t xml:space="preserve">차감납부금액 입력 오류            </t>
  </si>
  <si>
    <t xml:space="preserve">차감수령수량 입력 오류            </t>
  </si>
  <si>
    <t xml:space="preserve">차감납부수량 입력 오류            </t>
  </si>
  <si>
    <t xml:space="preserve">매매구분 오류                       </t>
  </si>
  <si>
    <t xml:space="preserve">재매도상환내역 조회 오류          </t>
  </si>
  <si>
    <t xml:space="preserve">일중RP유형 입력 오류            </t>
  </si>
  <si>
    <t xml:space="preserve">결제대금 입력 오류                </t>
  </si>
  <si>
    <t xml:space="preserve">매매구분 입력 오류                </t>
  </si>
  <si>
    <t xml:space="preserve">상환취소내역 입력 오류            </t>
  </si>
  <si>
    <t xml:space="preserve">이미 상환신청된 거래입니다        </t>
  </si>
  <si>
    <t xml:space="preserve">한국거래소 잔액 갱신 오류       </t>
  </si>
  <si>
    <t xml:space="preserve">이미 상환된 거래입니다            </t>
  </si>
  <si>
    <t xml:space="preserve">증권대금이체 테이블 갱신 오류   </t>
  </si>
  <si>
    <t xml:space="preserve">일중RP 취소번호 생성 오류       </t>
  </si>
  <si>
    <t xml:space="preserve">일중RP공급 취소내역 생성 오류 </t>
  </si>
  <si>
    <t xml:space="preserve">일중RP공급금액 입력 오류        </t>
  </si>
  <si>
    <t xml:space="preserve">증권대금이체 금액 입력 오류     </t>
  </si>
  <si>
    <t xml:space="preserve">일중RP 공급업무 마감              </t>
  </si>
  <si>
    <t xml:space="preserve">RP상환 증권대체결과 생성 오류   </t>
  </si>
  <si>
    <t xml:space="preserve">RP상환 증권대체결과 중복          </t>
  </si>
  <si>
    <t xml:space="preserve">대행은행 계정개설처 입력 오류   </t>
  </si>
  <si>
    <t xml:space="preserve">대행은행 입력 오류                </t>
  </si>
  <si>
    <t xml:space="preserve">자동상환구분 입력 오류            </t>
  </si>
  <si>
    <t xml:space="preserve">상황유형(세부) 입력 오류        </t>
  </si>
  <si>
    <t xml:space="preserve">상환유형 입력 오류                </t>
  </si>
  <si>
    <t>일중RP상환신청 취소내역 생성오류</t>
  </si>
  <si>
    <t xml:space="preserve">할증수수료 조회 오류              </t>
  </si>
  <si>
    <t xml:space="preserve">수수료 테이블 갱신 오류         </t>
  </si>
  <si>
    <t xml:space="preserve">재매도상환 통지내역 입력 오류   </t>
  </si>
  <si>
    <t xml:space="preserve">재매도상환 통지내역 중복          </t>
  </si>
  <si>
    <t xml:space="preserve">결제회원앞 이체 오류              </t>
  </si>
  <si>
    <t xml:space="preserve">계좌계개설자번호는 숫자만 인정    </t>
  </si>
  <si>
    <t xml:space="preserve">지급기관수 오류                     </t>
  </si>
  <si>
    <t xml:space="preserve">납부기관수 오류                     </t>
  </si>
  <si>
    <t xml:space="preserve">주식기관결제 대금구분 오류        </t>
  </si>
  <si>
    <t xml:space="preserve">결제대금유형 입력 오류            </t>
  </si>
  <si>
    <t xml:space="preserve">증권대금이체금액 입력 오류        </t>
  </si>
  <si>
    <t xml:space="preserve">상환수량(금액) 입력 오류        </t>
  </si>
  <si>
    <t xml:space="preserve">일중RP 대기거래 입력 오류       </t>
  </si>
  <si>
    <t>일중RP 대기거래 정보 조회 오류</t>
  </si>
  <si>
    <t xml:space="preserve">일중RP 공급대기 선순위 존재     </t>
  </si>
  <si>
    <t xml:space="preserve">일중RP 공급신청이 마감되었습니다  </t>
  </si>
  <si>
    <t>일중RP 지원한도 정보 갱신 오류</t>
  </si>
  <si>
    <t>일중RP 지원한도 정보 조회 오류</t>
  </si>
  <si>
    <t xml:space="preserve">일중RP 지원한도 정보가 없습니다 </t>
  </si>
  <si>
    <t xml:space="preserve">일중RP 지원대상 증권이 아닙니다 </t>
  </si>
  <si>
    <t xml:space="preserve">채권시가정보 조회 오류            </t>
  </si>
  <si>
    <t xml:space="preserve">일중RP 심사대기 상태가 아닙니다 </t>
  </si>
  <si>
    <t xml:space="preserve">적격구분 입력 오류                </t>
  </si>
  <si>
    <t xml:space="preserve">채권구분 입력 오류                </t>
  </si>
  <si>
    <t xml:space="preserve">결제수량 입력 오류                </t>
  </si>
  <si>
    <t xml:space="preserve">일중RP 공급 테이블 입력 오류  </t>
  </si>
  <si>
    <t xml:space="preserve">일중RP 공급이 신청된 건임       </t>
  </si>
  <si>
    <t xml:space="preserve">채권시장 구분 오류                </t>
  </si>
  <si>
    <t xml:space="preserve">일중RP 신청여부 입력 오류       </t>
  </si>
  <si>
    <t xml:space="preserve">일중RP 참가기관 정보조회 오류   </t>
  </si>
  <si>
    <t xml:space="preserve">일중RP진행중 의뢰취소 불가      </t>
  </si>
  <si>
    <t xml:space="preserve">일중RP 공급테이블 갱신 오류     </t>
  </si>
  <si>
    <t xml:space="preserve">일중RP 상환테이블 입력 오류     </t>
  </si>
  <si>
    <t xml:space="preserve">일중RP 상환번호 중복 오류       </t>
  </si>
  <si>
    <t xml:space="preserve">일중RP 상환테이블 조회 오류     </t>
  </si>
  <si>
    <t xml:space="preserve">상환수량&gt;잔여수량 확인            </t>
  </si>
  <si>
    <t xml:space="preserve">일중RP 공급테이블 조회 오류     </t>
  </si>
  <si>
    <t xml:space="preserve">상환수량 입력 오류                </t>
  </si>
  <si>
    <t xml:space="preserve">잔여수량 입력 오류                </t>
  </si>
  <si>
    <t xml:space="preserve">종목코드 입력 오류                </t>
  </si>
  <si>
    <t xml:space="preserve">일중RP공급(상환)번호 오류     </t>
  </si>
  <si>
    <t xml:space="preserve">결제일자 입력 오류                </t>
  </si>
  <si>
    <t xml:space="preserve">참가기관 정보 변경 오류         </t>
  </si>
  <si>
    <t xml:space="preserve">참가기관 정보 미등록              </t>
  </si>
  <si>
    <t xml:space="preserve">변경된 내용 없음                  </t>
  </si>
  <si>
    <t xml:space="preserve">변경대상 입력 확인                </t>
  </si>
  <si>
    <t xml:space="preserve">참가유형 입력 오류                </t>
  </si>
  <si>
    <t xml:space="preserve">전화번호 입력 오류                </t>
  </si>
  <si>
    <t xml:space="preserve">담당자 입력 오류                  </t>
  </si>
  <si>
    <t>전문관리번호가 입력되지 않았습니다</t>
  </si>
  <si>
    <t xml:space="preserve">자기자본비율 입력 오류            </t>
  </si>
  <si>
    <t xml:space="preserve">영업용순자본비율 입력 오류        </t>
  </si>
  <si>
    <t xml:space="preserve">인허가사항 입력 오류              </t>
  </si>
  <si>
    <t xml:space="preserve">장내주식 결제정보 조회 오류     </t>
  </si>
  <si>
    <t xml:space="preserve">장내주식 결제대금 거래가 아님   </t>
  </si>
  <si>
    <t xml:space="preserve">장내주식결제정보 조회 오류        </t>
  </si>
  <si>
    <t xml:space="preserve">장내주식 예탁원앞이체 오류        </t>
  </si>
  <si>
    <t xml:space="preserve">약정체결정보 조회 오류            </t>
  </si>
  <si>
    <t xml:space="preserve">한은망 간접참가기관 조회 오류   </t>
  </si>
  <si>
    <t xml:space="preserve">한은망 참가기관이 아닙니다        </t>
  </si>
  <si>
    <t xml:space="preserve">장내주식 결제정보 잠정분 수신   </t>
  </si>
  <si>
    <t xml:space="preserve">장내주식 결제정보 확정분 미수신 </t>
  </si>
  <si>
    <t xml:space="preserve">장내주식 결제정보 채번 오류     </t>
  </si>
  <si>
    <t xml:space="preserve">장내주식 결제정보 입력 오류     </t>
  </si>
  <si>
    <t xml:space="preserve">장내주식 결제정보 중복 오류     </t>
  </si>
  <si>
    <t xml:space="preserve">전송일시 링크 오류                </t>
  </si>
  <si>
    <t xml:space="preserve">처리시각 링크 오류                </t>
  </si>
  <si>
    <t xml:space="preserve">결제포지션 확인                     </t>
  </si>
  <si>
    <t xml:space="preserve">매매일자 &gt;= 결제일자 확인         </t>
  </si>
  <si>
    <t xml:space="preserve">결제일자 영업일 확인              </t>
  </si>
  <si>
    <t xml:space="preserve">매매일자 영업일 확인              </t>
  </si>
  <si>
    <t xml:space="preserve">매매일자 입력 오류입니다          </t>
  </si>
  <si>
    <t xml:space="preserve">거래은행 약정확인 오류            </t>
  </si>
  <si>
    <t xml:space="preserve">등록구분 오류                       </t>
  </si>
  <si>
    <t>익영업일 차액정산정보잠정분 기수신</t>
  </si>
  <si>
    <t xml:space="preserve">차액정산정보 확정분 미수신        </t>
  </si>
  <si>
    <t xml:space="preserve">장내주식 거래회원정보 해지 오류 </t>
  </si>
  <si>
    <t xml:space="preserve">장내주식 거래회원정보 수정 오류 </t>
  </si>
  <si>
    <t xml:space="preserve">장내주식 거래회원정보 미등록      </t>
  </si>
  <si>
    <t xml:space="preserve">거래은행 변경은 해지후 신규등록 </t>
  </si>
  <si>
    <t xml:space="preserve">거래회원정보 입력 오류            </t>
  </si>
  <si>
    <t xml:space="preserve">거래회원정보 기등록                 </t>
  </si>
  <si>
    <t xml:space="preserve">예탁결제원만 등록 가능            </t>
  </si>
  <si>
    <t xml:space="preserve">결제회원 계좌번호 오류            </t>
  </si>
  <si>
    <t xml:space="preserve">결제회원명 오류                     </t>
  </si>
  <si>
    <t xml:space="preserve">장내주식 차액정산정보 확인오류    </t>
  </si>
  <si>
    <t xml:space="preserve">결제회원 거래은행코드 오류        </t>
  </si>
  <si>
    <t xml:space="preserve">결제회원 거래소코드 오류          </t>
  </si>
  <si>
    <t xml:space="preserve">결제회원 BOK코드 오류             </t>
  </si>
  <si>
    <t xml:space="preserve">지급지시일련번호오류입니다            </t>
  </si>
  <si>
    <t xml:space="preserve">현금지급대기파일　오류                </t>
  </si>
  <si>
    <t xml:space="preserve">현금영수증이　출력된　거래입니다．    </t>
  </si>
  <si>
    <t xml:space="preserve">이미　현금지급된　거래입니다．        </t>
  </si>
  <si>
    <t xml:space="preserve">이미　당좌예금　차기된　거래입니다．  </t>
  </si>
  <si>
    <t xml:space="preserve">현송책임자성명　오류                  </t>
  </si>
  <si>
    <t xml:space="preserve">현송책임자직위　오류                  </t>
  </si>
  <si>
    <t xml:space="preserve">출금예정시간　오류                    </t>
  </si>
  <si>
    <t xml:space="preserve">신청금액　오류                        </t>
  </si>
  <si>
    <t xml:space="preserve">신청일자　오류                        </t>
  </si>
  <si>
    <t xml:space="preserve">지급일자　오류                        </t>
  </si>
  <si>
    <t xml:space="preserve">동일지급지시유형내 순위조정가능     </t>
  </si>
  <si>
    <t xml:space="preserve">예탁결제원(8880) 수취인지정 불가  </t>
  </si>
  <si>
    <t xml:space="preserve">참가기관 입력 항목이 아닙니다   </t>
  </si>
  <si>
    <t xml:space="preserve">입력항목이  아닙니다                </t>
  </si>
  <si>
    <t xml:space="preserve">송신기관과 신청기관 불일치        </t>
  </si>
  <si>
    <t xml:space="preserve">자금조정예금　일시정지　상태입니다    </t>
  </si>
  <si>
    <t xml:space="preserve">자금조정예금　잔액이　부족합니다      </t>
  </si>
  <si>
    <t xml:space="preserve">당좌예금　잔액이　부족합니다          </t>
  </si>
  <si>
    <t xml:space="preserve">자금조정예금　총계정원장　오류        </t>
  </si>
  <si>
    <t xml:space="preserve">자금조정예금약정　오류                </t>
  </si>
  <si>
    <t xml:space="preserve">이미　수취기관　승인상태입니다．      </t>
  </si>
  <si>
    <t xml:space="preserve">수취기관 취소동의상태가아닙니다     </t>
  </si>
  <si>
    <t xml:space="preserve">예약상태가　아닙니다．                </t>
  </si>
  <si>
    <t xml:space="preserve">지정처리시점순위조정대상거래아닙니다  </t>
  </si>
  <si>
    <t xml:space="preserve">순위조정불가-수취기관예상잔액충분함 </t>
  </si>
  <si>
    <t xml:space="preserve">이체기관　예상잔액이　부족합니다．    </t>
  </si>
  <si>
    <t xml:space="preserve">차액결제　수신　전입니다．            </t>
  </si>
  <si>
    <t xml:space="preserve">차액결제　완료                        </t>
  </si>
  <si>
    <t xml:space="preserve">이미　순위조정　완료된　거래입니다．  </t>
  </si>
  <si>
    <t xml:space="preserve">순위조정전　거래입니다．              </t>
  </si>
  <si>
    <t xml:space="preserve">해당거래가　없습니다．                </t>
  </si>
  <si>
    <t xml:space="preserve">이체기관　계정개설처코드　오류        </t>
  </si>
  <si>
    <t xml:space="preserve">이체기관　코드　오류                  </t>
  </si>
  <si>
    <t xml:space="preserve">시점종류　오류                        </t>
  </si>
  <si>
    <t xml:space="preserve">예약자금이체　취소시간　오류          </t>
  </si>
  <si>
    <t xml:space="preserve">오전차액결제　완료                    </t>
  </si>
  <si>
    <t xml:space="preserve">예약자금이체　금액체크　오류          </t>
  </si>
  <si>
    <t xml:space="preserve">차액결제　미입력                      </t>
  </si>
  <si>
    <t xml:space="preserve">수취인지정은예약거래할수업습니다      </t>
  </si>
  <si>
    <t xml:space="preserve">오후차액결제　완료                    </t>
  </si>
  <si>
    <t xml:space="preserve">자금이체종류　오류                    </t>
  </si>
  <si>
    <t xml:space="preserve">거래구분오류                          </t>
  </si>
  <si>
    <t xml:space="preserve">취소　책임자　오류                    </t>
  </si>
  <si>
    <t xml:space="preserve">취소　단말기번호　오류                </t>
  </si>
  <si>
    <t xml:space="preserve">이미　취소된　거래입니다．            </t>
  </si>
  <si>
    <t xml:space="preserve">이미　결제된　거래입니다．            </t>
  </si>
  <si>
    <t xml:space="preserve">현재당좌예금잔액　오류                </t>
  </si>
  <si>
    <t xml:space="preserve">신청장소　오류                        </t>
  </si>
  <si>
    <t xml:space="preserve">합계금액　오류                        </t>
  </si>
  <si>
    <t xml:space="preserve">합계건수　오류                        </t>
  </si>
  <si>
    <t xml:space="preserve">정상책임자　오류                      </t>
  </si>
  <si>
    <t xml:space="preserve">보관용　회계구좌파일　오류            </t>
  </si>
  <si>
    <t xml:space="preserve">합계대기건수　오류                    </t>
  </si>
  <si>
    <t xml:space="preserve">자금코드　오류                        </t>
  </si>
  <si>
    <t xml:space="preserve">회계번호생성오류                      </t>
  </si>
  <si>
    <t xml:space="preserve">이체상태　오류                        </t>
  </si>
  <si>
    <t xml:space="preserve">최종이체완료시간　오류                </t>
  </si>
  <si>
    <t xml:space="preserve">수정입력시간　오류                    </t>
  </si>
  <si>
    <t xml:space="preserve">수정인　ＯＰＩＤ　오류                </t>
  </si>
  <si>
    <t xml:space="preserve">취소입력시간　오류                    </t>
  </si>
  <si>
    <t xml:space="preserve">정상입력시간　오류                    </t>
  </si>
  <si>
    <t xml:space="preserve">정상담당자　오류                      </t>
  </si>
  <si>
    <t xml:space="preserve">단말기번호　오류                      </t>
  </si>
  <si>
    <t xml:space="preserve">고유번호　오류                        </t>
  </si>
  <si>
    <t xml:space="preserve">적요　오류                            </t>
  </si>
  <si>
    <t xml:space="preserve">의뢰인　오류                          </t>
  </si>
  <si>
    <t xml:space="preserve">수취인 오류                         </t>
  </si>
  <si>
    <t xml:space="preserve">수취인예금계좌번호　오류              </t>
  </si>
  <si>
    <t xml:space="preserve">수취인거래지점명　오류                </t>
  </si>
  <si>
    <t xml:space="preserve">수취인거래은행명　오류                </t>
  </si>
  <si>
    <t xml:space="preserve">일반자금이체가　제한되었습니다．      </t>
  </si>
  <si>
    <t xml:space="preserve">금액　오류                            </t>
  </si>
  <si>
    <t xml:space="preserve">이체종류　오류                        </t>
  </si>
  <si>
    <t xml:space="preserve">수취기관　오류                        </t>
  </si>
  <si>
    <t xml:space="preserve">수취기관　계정개설처　오류            </t>
  </si>
  <si>
    <t xml:space="preserve">신청기관　오류                        </t>
  </si>
  <si>
    <t xml:space="preserve">거래일자　오류                        </t>
  </si>
  <si>
    <t xml:space="preserve">신청기관　계정개설처　오류            </t>
  </si>
  <si>
    <t xml:space="preserve">거래부호　오류                        </t>
  </si>
  <si>
    <t xml:space="preserve">정상　처리　되었습니다．              </t>
  </si>
  <si>
    <t>응답코드내용</t>
    <phoneticPr fontId="17" type="noConversion"/>
  </si>
  <si>
    <t>결제운영팀</t>
    <phoneticPr fontId="17" type="noConversion"/>
  </si>
  <si>
    <t>1062</t>
    <phoneticPr fontId="28" type="noConversion"/>
  </si>
  <si>
    <t>국제국</t>
  </si>
  <si>
    <t>0237</t>
    <phoneticPr fontId="28" type="noConversion"/>
  </si>
  <si>
    <t>금융업무실-국고증권</t>
    <phoneticPr fontId="28" type="noConversion"/>
  </si>
  <si>
    <t>0209</t>
    <phoneticPr fontId="28" type="noConversion"/>
  </si>
  <si>
    <t>강남본부</t>
  </si>
  <si>
    <t>0597</t>
    <phoneticPr fontId="28" type="noConversion"/>
  </si>
  <si>
    <t>포항본부</t>
  </si>
  <si>
    <t>0744</t>
    <phoneticPr fontId="28" type="noConversion"/>
  </si>
  <si>
    <t>울산본부</t>
  </si>
  <si>
    <t>0731</t>
    <phoneticPr fontId="28" type="noConversion"/>
  </si>
  <si>
    <t>강릉본부</t>
  </si>
  <si>
    <t>0727</t>
    <phoneticPr fontId="28" type="noConversion"/>
  </si>
  <si>
    <t>경남본부</t>
  </si>
  <si>
    <t>0713</t>
    <phoneticPr fontId="28" type="noConversion"/>
  </si>
  <si>
    <t>경기본부</t>
  </si>
  <si>
    <t>0700</t>
    <phoneticPr fontId="28" type="noConversion"/>
  </si>
  <si>
    <t>제주본부</t>
  </si>
  <si>
    <t>0690</t>
    <phoneticPr fontId="28" type="noConversion"/>
  </si>
  <si>
    <t>인천본부</t>
  </si>
  <si>
    <t>0686</t>
    <phoneticPr fontId="28" type="noConversion"/>
  </si>
  <si>
    <t>강원본부</t>
  </si>
  <si>
    <t>0672</t>
    <phoneticPr fontId="28" type="noConversion"/>
  </si>
  <si>
    <t>충북본부</t>
  </si>
  <si>
    <t>0669</t>
    <phoneticPr fontId="28" type="noConversion"/>
  </si>
  <si>
    <t>대전충남본부</t>
  </si>
  <si>
    <t>0655</t>
    <phoneticPr fontId="28" type="noConversion"/>
  </si>
  <si>
    <t>전북본부</t>
  </si>
  <si>
    <t>0641</t>
    <phoneticPr fontId="28" type="noConversion"/>
  </si>
  <si>
    <t>광주전남본부</t>
  </si>
  <si>
    <t>0638</t>
    <phoneticPr fontId="28" type="noConversion"/>
  </si>
  <si>
    <t>목포본부</t>
  </si>
  <si>
    <t>0624</t>
    <phoneticPr fontId="28" type="noConversion"/>
  </si>
  <si>
    <t>대구경북본부</t>
  </si>
  <si>
    <t>0611</t>
    <phoneticPr fontId="28" type="noConversion"/>
  </si>
  <si>
    <t>부산본부</t>
  </si>
  <si>
    <t>0607</t>
    <phoneticPr fontId="28" type="noConversion"/>
  </si>
  <si>
    <t>금융업무실</t>
    <phoneticPr fontId="17" type="noConversion"/>
  </si>
  <si>
    <t>0206</t>
    <phoneticPr fontId="28" type="noConversion"/>
  </si>
  <si>
    <t>계정개설처코드명</t>
    <phoneticPr fontId="17" type="noConversion"/>
  </si>
  <si>
    <t>케이비자산운용(주)</t>
  </si>
  <si>
    <t>한국투신운용</t>
  </si>
  <si>
    <t>삼성자산운용</t>
  </si>
  <si>
    <t>기업유동성지원기구</t>
    <phoneticPr fontId="17" type="noConversion"/>
  </si>
  <si>
    <t>트래디션코리아외국환중개</t>
    <phoneticPr fontId="17" type="noConversion"/>
  </si>
  <si>
    <t>GFI코리아외국환중개</t>
  </si>
  <si>
    <t>비지시캐피탈마켓외국환중개</t>
    <phoneticPr fontId="17" type="noConversion"/>
  </si>
  <si>
    <t>KIDB자금중개</t>
  </si>
  <si>
    <t>한국자금중개</t>
  </si>
  <si>
    <t>흥국증권</t>
  </si>
  <si>
    <t>한국포스증권</t>
    <phoneticPr fontId="17" type="noConversion"/>
  </si>
  <si>
    <t>토스증권</t>
    <phoneticPr fontId="17" type="noConversion"/>
  </si>
  <si>
    <t>케이알투자증권</t>
  </si>
  <si>
    <t>다이와증권캐피탈마켓코리아</t>
    <phoneticPr fontId="17" type="noConversion"/>
  </si>
  <si>
    <t>카카오페이증권</t>
    <phoneticPr fontId="17" type="noConversion"/>
  </si>
  <si>
    <t>디에스투자증권</t>
    <phoneticPr fontId="17" type="noConversion"/>
  </si>
  <si>
    <t>케이티비투자증권</t>
  </si>
  <si>
    <t>아이비케이투자증권</t>
  </si>
  <si>
    <t>케이프투자증권</t>
    <phoneticPr fontId="17" type="noConversion"/>
  </si>
  <si>
    <t>멜라트은행</t>
  </si>
  <si>
    <t>스테이트스트리트은행</t>
  </si>
  <si>
    <t>신한생명보험</t>
  </si>
  <si>
    <t>KIDB채권중개</t>
  </si>
  <si>
    <t>리딩투자증권</t>
  </si>
  <si>
    <t>이베스트투자증권</t>
  </si>
  <si>
    <t>코리아에셋투자증권</t>
  </si>
  <si>
    <t>서울외국환중개</t>
  </si>
  <si>
    <t>비엔케이투자증권</t>
  </si>
  <si>
    <t>수협중앙회</t>
  </si>
  <si>
    <t>농협중앙회</t>
  </si>
  <si>
    <t>한국거래소</t>
  </si>
  <si>
    <t>상호저축은행중앙회</t>
  </si>
  <si>
    <t>새마을금고중앙회</t>
  </si>
  <si>
    <t>신협중앙회</t>
  </si>
  <si>
    <t>산림조합중앙회</t>
  </si>
  <si>
    <t>예금보험공사</t>
  </si>
  <si>
    <t>CLS</t>
  </si>
  <si>
    <t>우리종합금융</t>
  </si>
  <si>
    <t>삼성증권</t>
  </si>
  <si>
    <t>DB금융투자</t>
    <phoneticPr fontId="17" type="noConversion"/>
  </si>
  <si>
    <t>흥국화재보험</t>
  </si>
  <si>
    <t>메리츠화재해상보험</t>
  </si>
  <si>
    <t>농협생명보험</t>
  </si>
  <si>
    <t>DB손해보험</t>
    <phoneticPr fontId="17" type="noConversion"/>
  </si>
  <si>
    <t>케이비손해보험</t>
    <phoneticPr fontId="17" type="noConversion"/>
  </si>
  <si>
    <t>미래에셋생명보험</t>
  </si>
  <si>
    <t>흥국생명보험</t>
  </si>
  <si>
    <t>삼성생명보험</t>
  </si>
  <si>
    <t>한화생명보험</t>
  </si>
  <si>
    <t>교보생명보험</t>
  </si>
  <si>
    <t>유비에스증권리미티드</t>
  </si>
  <si>
    <t>키움증권</t>
  </si>
  <si>
    <t>한국예탁결제원(국채)</t>
  </si>
  <si>
    <t>씨티글로벌마켓증권</t>
  </si>
  <si>
    <t>현대차증권</t>
    <phoneticPr fontId="17" type="noConversion"/>
  </si>
  <si>
    <t>교보증권</t>
  </si>
  <si>
    <t>한국예탁결제원</t>
  </si>
  <si>
    <t>메리츠증권</t>
    <phoneticPr fontId="17" type="noConversion"/>
  </si>
  <si>
    <t>부국증권</t>
  </si>
  <si>
    <t>상상인증권</t>
    <phoneticPr fontId="17" type="noConversion"/>
  </si>
  <si>
    <t>유진투자증권</t>
  </si>
  <si>
    <t>한양증권</t>
  </si>
  <si>
    <t>유화증권</t>
  </si>
  <si>
    <t>신영증권</t>
  </si>
  <si>
    <t>한화투자증권</t>
  </si>
  <si>
    <t>유안타증권</t>
  </si>
  <si>
    <t>에스케이증권</t>
  </si>
  <si>
    <t>대신증권</t>
  </si>
  <si>
    <t>KB증권</t>
    <phoneticPr fontId="17" type="noConversion"/>
  </si>
  <si>
    <t>NH투자증권</t>
    <phoneticPr fontId="17" type="noConversion"/>
  </si>
  <si>
    <t>신한금융투자</t>
  </si>
  <si>
    <t>노무라금융투자</t>
  </si>
  <si>
    <t>미래에셋대우</t>
    <phoneticPr fontId="17" type="noConversion"/>
  </si>
  <si>
    <t>한국투자증권</t>
  </si>
  <si>
    <t>하나금융투자</t>
    <phoneticPr fontId="17" type="noConversion"/>
  </si>
  <si>
    <t>하이투자증권</t>
  </si>
  <si>
    <t>한국증권금융</t>
  </si>
  <si>
    <t>노던트러스트</t>
  </si>
  <si>
    <t>중국광대은행</t>
  </si>
  <si>
    <t>인도네시아느가라은행</t>
  </si>
  <si>
    <t>스테이트뱅크오브인디아</t>
  </si>
  <si>
    <t>교통은행(청산은행)</t>
  </si>
  <si>
    <t>중국농업은행</t>
  </si>
  <si>
    <t>바덴뷔르템베르크주립은행</t>
    <phoneticPr fontId="17" type="noConversion"/>
  </si>
  <si>
    <t>모간스탠리은행</t>
  </si>
  <si>
    <t>교통은행</t>
  </si>
  <si>
    <t>중국건설</t>
  </si>
  <si>
    <t>중국공상</t>
  </si>
  <si>
    <t>크레디트스위스</t>
  </si>
  <si>
    <t>웰스파고은행</t>
  </si>
  <si>
    <t>METRO</t>
  </si>
  <si>
    <t>BOC</t>
  </si>
  <si>
    <t>HSBC</t>
  </si>
  <si>
    <t>OCBC</t>
  </si>
  <si>
    <t>뉴욕멜론은행</t>
  </si>
  <si>
    <t>NBP</t>
  </si>
  <si>
    <t>ANZ</t>
  </si>
  <si>
    <t>야마구찌</t>
    <phoneticPr fontId="17" type="noConversion"/>
  </si>
  <si>
    <t>UOB</t>
  </si>
  <si>
    <t>SGB</t>
  </si>
  <si>
    <t>디비에스은행</t>
  </si>
  <si>
    <t>UBAF</t>
  </si>
  <si>
    <t>크레디아그리콜CIB</t>
  </si>
  <si>
    <t>DEUTSCHE</t>
  </si>
  <si>
    <t>NOVAS</t>
  </si>
  <si>
    <t>ING</t>
  </si>
  <si>
    <t>비엔피파리바</t>
  </si>
  <si>
    <t>미쓰이스미토모</t>
  </si>
  <si>
    <t>미즈호은행</t>
  </si>
  <si>
    <t>엠유에프지은행</t>
    <phoneticPr fontId="17" type="noConversion"/>
  </si>
  <si>
    <t>BOA</t>
  </si>
  <si>
    <t>JP모간은행</t>
  </si>
  <si>
    <t>경남은행</t>
  </si>
  <si>
    <t>전북은행</t>
  </si>
  <si>
    <t>제주은행</t>
  </si>
  <si>
    <t>광주은행</t>
  </si>
  <si>
    <t>부산은행</t>
  </si>
  <si>
    <t>대구은행</t>
  </si>
  <si>
    <t>카카오뱅크</t>
  </si>
  <si>
    <t>케이뱅크</t>
  </si>
  <si>
    <t>하나은행</t>
  </si>
  <si>
    <t>한국씨티은행</t>
  </si>
  <si>
    <t>신한은행</t>
  </si>
  <si>
    <t>한국스탠다드차타드은행</t>
  </si>
  <si>
    <t>우리은행</t>
  </si>
  <si>
    <t>수출입은행</t>
  </si>
  <si>
    <t>수협은행</t>
  </si>
  <si>
    <t>국민은행</t>
  </si>
  <si>
    <t>중소기업은행</t>
  </si>
  <si>
    <t>농협은행</t>
  </si>
  <si>
    <t>한국산업은행</t>
  </si>
  <si>
    <t>한국은행</t>
    <phoneticPr fontId="1" type="noConversion"/>
  </si>
  <si>
    <t>당좌예금(결제전용)약정체결여부</t>
    <phoneticPr fontId="17" type="noConversion"/>
  </si>
  <si>
    <t>당좌예금(한은거래)약정체결여부</t>
    <phoneticPr fontId="17" type="noConversion"/>
  </si>
  <si>
    <t>거래기관코드명</t>
    <phoneticPr fontId="17" type="noConversion"/>
  </si>
  <si>
    <t>해당코드가 없는 자금이체</t>
  </si>
  <si>
    <t>원화파생금융상품 거래대금 지급</t>
  </si>
  <si>
    <t>예수금 등 인출을 위한 자금이체</t>
  </si>
  <si>
    <t>예수금 등 예치를 위한 자금이체</t>
  </si>
  <si>
    <t>자행(사)본지점간 자금이체</t>
  </si>
  <si>
    <t>거래고객의 반환이체의뢰자금</t>
  </si>
  <si>
    <t>거래고객의 이체의뢰자금</t>
  </si>
  <si>
    <t>거래고객의 자금이체 의뢰분</t>
  </si>
  <si>
    <t>기타 자기계좌 입금자금</t>
  </si>
  <si>
    <t>어음.당좌수표 등 결제대전</t>
  </si>
  <si>
    <t>타기관(고객)의 차입금상환</t>
  </si>
  <si>
    <t>對 금융기관 차입금 상환</t>
  </si>
  <si>
    <t>對 고객 대출금</t>
  </si>
  <si>
    <t>對 금융기관 대출금</t>
  </si>
  <si>
    <t>타기관 외환거래대금</t>
  </si>
  <si>
    <t>외환거래대금</t>
  </si>
  <si>
    <t>연쇄결제대금 자금이체</t>
    <phoneticPr fontId="17" type="noConversion"/>
  </si>
  <si>
    <t>기타채권 원리금지급을 위한 자금이체</t>
  </si>
  <si>
    <t>국채및통안채 원리금지급을 위한 자금이체</t>
  </si>
  <si>
    <t>장내REPO매매대금 자금이체</t>
  </si>
  <si>
    <t>장외REPO매매대금 자금이체</t>
  </si>
  <si>
    <t>기타기관 수익증권 관련자금</t>
  </si>
  <si>
    <t>자산운용회사의 집합투자증권 설정환매상환자금</t>
  </si>
  <si>
    <t>자사의 집합투자증권 설정환매상환관련 자금</t>
  </si>
  <si>
    <t>기타기관의 주식매수대금</t>
  </si>
  <si>
    <t>자산운용회사의 주식매수대금</t>
  </si>
  <si>
    <t>자사의 주식매수대금</t>
  </si>
  <si>
    <t>기타기관의 기타채권매수대금</t>
  </si>
  <si>
    <t>자산운용회사의 기타채권매수대금</t>
  </si>
  <si>
    <t>자사의 기타채권매수대금</t>
  </si>
  <si>
    <t>기타기관의 장내국채매수대금</t>
  </si>
  <si>
    <t>자산운용회사의 장내국채매수대금</t>
  </si>
  <si>
    <t>자사의 장내국채매수대금</t>
  </si>
  <si>
    <t>기타기관의 장외국채매수대금</t>
  </si>
  <si>
    <t>자산운용회사의 장외국채매수대금</t>
  </si>
  <si>
    <t>자사의 장외국채매수대금</t>
  </si>
  <si>
    <t>기타기관앞 콜머니상환</t>
  </si>
  <si>
    <t>자산운용회사앞 콜머니상환</t>
  </si>
  <si>
    <t>은행신탁부문앞 콜머니상환</t>
  </si>
  <si>
    <t>타사(은행신탁부문등 제외)앞 콜머니상환</t>
  </si>
  <si>
    <t>기타기관 의뢰 콜론</t>
  </si>
  <si>
    <t>자산운용회사의 자금운용지시에 의한 콜론</t>
  </si>
  <si>
    <t>은행신탁부문의 콜론</t>
  </si>
  <si>
    <t>자기자금 콜론</t>
  </si>
  <si>
    <t>대리교환 교환부</t>
  </si>
  <si>
    <t>대리교환 교환승</t>
  </si>
  <si>
    <t>자금코드명</t>
    <phoneticPr fontId="28" type="noConversion"/>
  </si>
  <si>
    <t>자금코드</t>
    <phoneticPr fontId="28" type="noConversion"/>
  </si>
  <si>
    <t>전자단기사채상환</t>
    <phoneticPr fontId="28" type="noConversion"/>
  </si>
  <si>
    <t>전자단기사채매매</t>
    <phoneticPr fontId="28" type="noConversion"/>
  </si>
  <si>
    <t>전자단기사채발행</t>
    <phoneticPr fontId="28" type="noConversion"/>
  </si>
  <si>
    <t>담보콜거래</t>
  </si>
  <si>
    <t>양도성예금증서매매</t>
  </si>
  <si>
    <t>은행채발행거래결제</t>
  </si>
  <si>
    <t>간접투자증권매매(구법펀드)</t>
  </si>
  <si>
    <t>간접투자증권상환금</t>
  </si>
  <si>
    <t>간접투자증권매매(신법펀드)</t>
  </si>
  <si>
    <t>주식매매거래결제</t>
  </si>
  <si>
    <t>한국은행R/P만기환매</t>
  </si>
  <si>
    <t>한국은행R/P통지환매</t>
  </si>
  <si>
    <t>한국은행R/P중도환매</t>
  </si>
  <si>
    <t>한국은행R/P매매(개시)</t>
  </si>
  <si>
    <t>기관간RP거래결제</t>
  </si>
  <si>
    <t>장내국채결제대금</t>
    <phoneticPr fontId="28" type="noConversion"/>
  </si>
  <si>
    <t>어음매매거래결제</t>
  </si>
  <si>
    <t>채권장외거래결제</t>
  </si>
  <si>
    <t>증권대금코드명</t>
    <phoneticPr fontId="28" type="noConversion"/>
  </si>
  <si>
    <t>증권대금코드</t>
    <phoneticPr fontId="28" type="noConversion"/>
  </si>
  <si>
    <t>보통지급지시에 따른 대기</t>
    <phoneticPr fontId="17" type="noConversion"/>
  </si>
  <si>
    <t>다자간동시처리 회계처리 실패</t>
  </si>
  <si>
    <t>38</t>
    <phoneticPr fontId="17" type="noConversion"/>
  </si>
  <si>
    <t>다자간동시처리 불가</t>
  </si>
  <si>
    <t>37</t>
    <phoneticPr fontId="17" type="noConversion"/>
  </si>
  <si>
    <t>다자간동시처리 대상 없음</t>
  </si>
  <si>
    <t>36</t>
    <phoneticPr fontId="17" type="noConversion"/>
  </si>
  <si>
    <t>다자간동시처리 총순지급한도 부족</t>
  </si>
  <si>
    <t>35</t>
    <phoneticPr fontId="17" type="noConversion"/>
  </si>
  <si>
    <t>다자간동시처리 양자간순지급한도 부족</t>
  </si>
  <si>
    <t>34</t>
    <phoneticPr fontId="17" type="noConversion"/>
  </si>
  <si>
    <t>다자간동시처리 차액결제전 예상당좌잔액부족</t>
  </si>
  <si>
    <t>33</t>
    <phoneticPr fontId="17" type="noConversion"/>
  </si>
  <si>
    <t>다자간동시처리 당좌예금(결제전용)잔액부족</t>
  </si>
  <si>
    <t>32</t>
    <phoneticPr fontId="17" type="noConversion"/>
  </si>
  <si>
    <t>수취기관 한도변경 실패</t>
  </si>
  <si>
    <t>29</t>
    <phoneticPr fontId="17" type="noConversion"/>
  </si>
  <si>
    <t>수취기관 총순지급한도 부족</t>
  </si>
  <si>
    <t>25</t>
    <phoneticPr fontId="17" type="noConversion"/>
  </si>
  <si>
    <t>수취기관 양자간순지급한도 부족</t>
  </si>
  <si>
    <t>24</t>
    <phoneticPr fontId="17" type="noConversion"/>
  </si>
  <si>
    <t>수취기관 차액결제전 예상당좌예금잔액 부족</t>
  </si>
  <si>
    <t>23</t>
    <phoneticPr fontId="17" type="noConversion"/>
  </si>
  <si>
    <t>수취기관 당좌예금(결제전용)잔액 부족</t>
  </si>
  <si>
    <t>22</t>
    <phoneticPr fontId="17" type="noConversion"/>
  </si>
  <si>
    <t>수취기관 유동성 유출(선순위대기)</t>
  </si>
  <si>
    <t>21</t>
    <phoneticPr fontId="17" type="noConversion"/>
  </si>
  <si>
    <t>이체기관 한도변경 실패</t>
  </si>
  <si>
    <t>19</t>
    <phoneticPr fontId="17" type="noConversion"/>
  </si>
  <si>
    <t>이체기관 총순지급한도 부족</t>
  </si>
  <si>
    <t>15</t>
    <phoneticPr fontId="17" type="noConversion"/>
  </si>
  <si>
    <t>이체기관 양자간순지급한도 부족</t>
  </si>
  <si>
    <t>14</t>
    <phoneticPr fontId="17" type="noConversion"/>
  </si>
  <si>
    <t>이체기관 차액결제전 예상당좌예금잔액 부족</t>
  </si>
  <si>
    <t>13</t>
    <phoneticPr fontId="17" type="noConversion"/>
  </si>
  <si>
    <t>이체기관 당좌예금(결제전용)잔액 부족</t>
  </si>
  <si>
    <t>12</t>
    <phoneticPr fontId="17" type="noConversion"/>
  </si>
  <si>
    <t>이체기관 유동성 유출(선순위대기)</t>
  </si>
  <si>
    <t>11</t>
    <phoneticPr fontId="17" type="noConversion"/>
  </si>
  <si>
    <t>대기결제처리 실패</t>
  </si>
  <si>
    <t>04</t>
    <phoneticPr fontId="28" type="noConversion"/>
  </si>
  <si>
    <t>차액결제전 예상당좌예금잔액 부족</t>
  </si>
  <si>
    <t>03</t>
    <phoneticPr fontId="28" type="noConversion"/>
  </si>
  <si>
    <t>선순위대기</t>
  </si>
  <si>
    <t>02</t>
    <phoneticPr fontId="28" type="noConversion"/>
  </si>
  <si>
    <t>당좌예금(결제전용) 잔액부족</t>
  </si>
  <si>
    <t>01</t>
    <phoneticPr fontId="28" type="noConversion"/>
  </si>
  <si>
    <t>결제실패원인코드명</t>
    <phoneticPr fontId="28" type="noConversion"/>
  </si>
  <si>
    <t>결제실패원인코드</t>
    <phoneticPr fontId="28" type="noConversion"/>
  </si>
  <si>
    <t>월정액수수료</t>
  </si>
  <si>
    <t>WF</t>
  </si>
  <si>
    <t>콜반환(기본)</t>
    <phoneticPr fontId="17" type="noConversion"/>
  </si>
  <si>
    <t>PI</t>
    <phoneticPr fontId="17" type="noConversion"/>
  </si>
  <si>
    <t>PAY-OUT(기본)</t>
    <phoneticPr fontId="17" type="noConversion"/>
  </si>
  <si>
    <t>PH</t>
    <phoneticPr fontId="17" type="noConversion"/>
  </si>
  <si>
    <t>연계결제(기본)</t>
    <phoneticPr fontId="29" type="noConversion"/>
  </si>
  <si>
    <t>PG</t>
    <phoneticPr fontId="29" type="noConversion"/>
  </si>
  <si>
    <t>금융결제국 내 당좌예금계좌간 자금이체(기본)</t>
    <phoneticPr fontId="29" type="noConversion"/>
  </si>
  <si>
    <t>PF</t>
    <phoneticPr fontId="29" type="noConversion"/>
  </si>
  <si>
    <t>본지점간 자금이체(기본)</t>
    <phoneticPr fontId="29" type="noConversion"/>
  </si>
  <si>
    <t>PE</t>
    <phoneticPr fontId="29" type="noConversion"/>
  </si>
  <si>
    <t>수취인지정자금이체(기본)</t>
    <phoneticPr fontId="29" type="noConversion"/>
  </si>
  <si>
    <t>PD</t>
    <phoneticPr fontId="29" type="noConversion"/>
  </si>
  <si>
    <t>참가기관 간 일반자금이체(기본)</t>
    <phoneticPr fontId="29" type="noConversion"/>
  </si>
  <si>
    <t>PC</t>
    <phoneticPr fontId="29" type="noConversion"/>
  </si>
  <si>
    <t>증권커스터디(기본)</t>
  </si>
  <si>
    <t>PB</t>
  </si>
  <si>
    <t>자금조정예금이체(기본)</t>
  </si>
  <si>
    <t>PA</t>
  </si>
  <si>
    <t>PAY-IN(기본)</t>
    <phoneticPr fontId="17" type="noConversion"/>
  </si>
  <si>
    <t>P9</t>
  </si>
  <si>
    <t>국공채양수도대금이체승인(기본)</t>
  </si>
  <si>
    <t>P8</t>
  </si>
  <si>
    <t>국공채양수도(기본)</t>
  </si>
  <si>
    <t>P7</t>
  </si>
  <si>
    <t>국공채부기등록(기본)</t>
  </si>
  <si>
    <t>P6</t>
  </si>
  <si>
    <t>외화자금이체(기본)</t>
  </si>
  <si>
    <t>P5</t>
  </si>
  <si>
    <t>증권대금이체(기본)</t>
  </si>
  <si>
    <t>P4</t>
  </si>
  <si>
    <t>콜상환(기본)</t>
  </si>
  <si>
    <t>P3</t>
  </si>
  <si>
    <t>콜체결(기본)</t>
  </si>
  <si>
    <t>P2</t>
  </si>
  <si>
    <t>콜반환(할증)</t>
    <phoneticPr fontId="17" type="noConversion"/>
  </si>
  <si>
    <t>EI</t>
    <phoneticPr fontId="17" type="noConversion"/>
  </si>
  <si>
    <t>연계결제(할증)</t>
    <phoneticPr fontId="29" type="noConversion"/>
  </si>
  <si>
    <t>EG</t>
    <phoneticPr fontId="29" type="noConversion"/>
  </si>
  <si>
    <t>금융결제국 내 당좌예금계좌간 자금이체(할증)</t>
    <phoneticPr fontId="29" type="noConversion"/>
  </si>
  <si>
    <t>EF</t>
    <phoneticPr fontId="29" type="noConversion"/>
  </si>
  <si>
    <t>본지점간 자금이체(할증)</t>
    <phoneticPr fontId="29" type="noConversion"/>
  </si>
  <si>
    <t>EE</t>
    <phoneticPr fontId="29" type="noConversion"/>
  </si>
  <si>
    <t>수취인지정자금이체(할증)</t>
    <phoneticPr fontId="29" type="noConversion"/>
  </si>
  <si>
    <t>ED</t>
    <phoneticPr fontId="29" type="noConversion"/>
  </si>
  <si>
    <t>참가기관 간 일반자금이체(할증)</t>
    <phoneticPr fontId="29" type="noConversion"/>
  </si>
  <si>
    <t>EC</t>
    <phoneticPr fontId="29" type="noConversion"/>
  </si>
  <si>
    <t>증권커스터디(할증)</t>
  </si>
  <si>
    <t>EB</t>
  </si>
  <si>
    <t>자금조정예금이체(할증)</t>
  </si>
  <si>
    <t>EA</t>
  </si>
  <si>
    <t>국공채양수도대금이체승인(할증)</t>
  </si>
  <si>
    <t>E8</t>
  </si>
  <si>
    <t>국공채양수도(할증)</t>
  </si>
  <si>
    <t>E7</t>
  </si>
  <si>
    <t>국공채부기등록(할증)</t>
  </si>
  <si>
    <t>E6</t>
  </si>
  <si>
    <t>외화자금이체(할증)</t>
  </si>
  <si>
    <t>E5</t>
  </si>
  <si>
    <t>증권대금이체(할증)</t>
  </si>
  <si>
    <t>E4</t>
  </si>
  <si>
    <t>콜상환(할증)</t>
  </si>
  <si>
    <t>E3</t>
  </si>
  <si>
    <t>콜체결(할증)</t>
  </si>
  <si>
    <t>E2</t>
  </si>
  <si>
    <t>콜반환(취소할증)</t>
    <phoneticPr fontId="17" type="noConversion"/>
  </si>
  <si>
    <t>DI</t>
    <phoneticPr fontId="17" type="noConversion"/>
  </si>
  <si>
    <t>연계결제(취소(할증))</t>
    <phoneticPr fontId="29" type="noConversion"/>
  </si>
  <si>
    <t>DG</t>
    <phoneticPr fontId="29" type="noConversion"/>
  </si>
  <si>
    <t>금융결제국 내 당좌예금계좌간 자금이체(취소(할증))</t>
    <phoneticPr fontId="29" type="noConversion"/>
  </si>
  <si>
    <t>DF</t>
    <phoneticPr fontId="29" type="noConversion"/>
  </si>
  <si>
    <t>본지점간 자금이체(취소(할증))</t>
    <phoneticPr fontId="29" type="noConversion"/>
  </si>
  <si>
    <t>DE</t>
    <phoneticPr fontId="29" type="noConversion"/>
  </si>
  <si>
    <t>수취인지정자금이체(취소(할증))</t>
    <phoneticPr fontId="29" type="noConversion"/>
  </si>
  <si>
    <t>DD</t>
    <phoneticPr fontId="29" type="noConversion"/>
  </si>
  <si>
    <t>참가기관 간 일반자금이체(취소(할증))</t>
    <phoneticPr fontId="29" type="noConversion"/>
  </si>
  <si>
    <t>DC</t>
    <phoneticPr fontId="29" type="noConversion"/>
  </si>
  <si>
    <t>증권커스터디(취소할증)</t>
  </si>
  <si>
    <t>DB</t>
  </si>
  <si>
    <t>PAY-IN(취소할증)</t>
    <phoneticPr fontId="17" type="noConversion"/>
  </si>
  <si>
    <t>D9</t>
  </si>
  <si>
    <t>국공채양수도대금이체승인(취소할증)</t>
  </si>
  <si>
    <t>D8</t>
  </si>
  <si>
    <t>국공채양수도(취소할증)</t>
  </si>
  <si>
    <t>D7</t>
  </si>
  <si>
    <t>외화자금이체(취소할증)</t>
  </si>
  <si>
    <t>D5</t>
  </si>
  <si>
    <t>증권대금이체(취소할증)</t>
  </si>
  <si>
    <t>D4</t>
  </si>
  <si>
    <t>콜상환(취소할증)</t>
  </si>
  <si>
    <t>D3</t>
  </si>
  <si>
    <t>콜체결(취소할증)</t>
  </si>
  <si>
    <t>D2</t>
  </si>
  <si>
    <t>콜반환(취소)</t>
    <phoneticPr fontId="17" type="noConversion"/>
  </si>
  <si>
    <t>CI</t>
    <phoneticPr fontId="17" type="noConversion"/>
  </si>
  <si>
    <t>연계결제(취소(기본))</t>
    <phoneticPr fontId="29" type="noConversion"/>
  </si>
  <si>
    <t>CG</t>
    <phoneticPr fontId="29" type="noConversion"/>
  </si>
  <si>
    <t>금융결제국 내 당좌예금계좌간 자금이체(취소(기본))</t>
    <phoneticPr fontId="29" type="noConversion"/>
  </si>
  <si>
    <t>CF</t>
    <phoneticPr fontId="29" type="noConversion"/>
  </si>
  <si>
    <t>본지점간 자금이체(취소(기본))</t>
    <phoneticPr fontId="29" type="noConversion"/>
  </si>
  <si>
    <t>CE</t>
    <phoneticPr fontId="29" type="noConversion"/>
  </si>
  <si>
    <t>수취인지정자금이체(취소(기본))</t>
    <phoneticPr fontId="29" type="noConversion"/>
  </si>
  <si>
    <t>CD</t>
    <phoneticPr fontId="29" type="noConversion"/>
  </si>
  <si>
    <t>참가기관 간 일반자금이체(취소(기본))</t>
    <phoneticPr fontId="29" type="noConversion"/>
  </si>
  <si>
    <t>CC</t>
    <phoneticPr fontId="29" type="noConversion"/>
  </si>
  <si>
    <t>증권커스터디(취소)</t>
  </si>
  <si>
    <t>CB</t>
  </si>
  <si>
    <t>PAY-IN(취소)</t>
    <phoneticPr fontId="17" type="noConversion"/>
  </si>
  <si>
    <t>C9</t>
  </si>
  <si>
    <t>국공채양수도대금이체승인(취소)</t>
  </si>
  <si>
    <t>C8</t>
  </si>
  <si>
    <t>국공채양수도(취소)</t>
  </si>
  <si>
    <t>C7</t>
  </si>
  <si>
    <t>외화자금이체(취소)</t>
  </si>
  <si>
    <t>C5</t>
  </si>
  <si>
    <t>증권대금이체(취소)</t>
  </si>
  <si>
    <t>C4</t>
  </si>
  <si>
    <t>콜상환(취소)</t>
  </si>
  <si>
    <t>C3</t>
  </si>
  <si>
    <t>연계결제(서면)</t>
    <phoneticPr fontId="29" type="noConversion"/>
  </si>
  <si>
    <t>BG</t>
    <phoneticPr fontId="29" type="noConversion"/>
  </si>
  <si>
    <t>콜체결(취소)</t>
  </si>
  <si>
    <t>C2</t>
  </si>
  <si>
    <t>콜반환(서면이체)</t>
    <phoneticPr fontId="17" type="noConversion"/>
  </si>
  <si>
    <t>BI</t>
    <phoneticPr fontId="17" type="noConversion"/>
  </si>
  <si>
    <t>PAY-OUT(서면)</t>
    <phoneticPr fontId="17" type="noConversion"/>
  </si>
  <si>
    <t>BH</t>
    <phoneticPr fontId="17" type="noConversion"/>
  </si>
  <si>
    <t>연계결제(할인)</t>
    <phoneticPr fontId="29" type="noConversion"/>
  </si>
  <si>
    <t>AG</t>
    <phoneticPr fontId="29" type="noConversion"/>
  </si>
  <si>
    <t>금융결제국 내 당좌예금계좌간 자금이체(서면)</t>
    <phoneticPr fontId="29" type="noConversion"/>
  </si>
  <si>
    <t>BF</t>
    <phoneticPr fontId="29" type="noConversion"/>
  </si>
  <si>
    <t>본지점간 자금이체(서면)</t>
    <phoneticPr fontId="29" type="noConversion"/>
  </si>
  <si>
    <t>BE</t>
    <phoneticPr fontId="29" type="noConversion"/>
  </si>
  <si>
    <t>수취인지정자금이체(서면)</t>
    <phoneticPr fontId="29" type="noConversion"/>
  </si>
  <si>
    <t>BD</t>
    <phoneticPr fontId="29" type="noConversion"/>
  </si>
  <si>
    <t>참가기관 간 일반자금이체(서면)</t>
    <phoneticPr fontId="29" type="noConversion"/>
  </si>
  <si>
    <t>BC</t>
    <phoneticPr fontId="29" type="noConversion"/>
  </si>
  <si>
    <t>자금조정예금(서면이체)</t>
  </si>
  <si>
    <t>BA</t>
  </si>
  <si>
    <t>PAY-IN(서면이체)</t>
    <phoneticPr fontId="17" type="noConversion"/>
  </si>
  <si>
    <t>B9</t>
  </si>
  <si>
    <t>증권대금이체(서면이체)</t>
  </si>
  <si>
    <t>B4</t>
  </si>
  <si>
    <t>콜반환(할인)</t>
    <phoneticPr fontId="17" type="noConversion"/>
  </si>
  <si>
    <t>AI</t>
    <phoneticPr fontId="17" type="noConversion"/>
  </si>
  <si>
    <t>PAY-OUT(할인)</t>
    <phoneticPr fontId="17" type="noConversion"/>
  </si>
  <si>
    <t>AH</t>
    <phoneticPr fontId="17" type="noConversion"/>
  </si>
  <si>
    <t>금융결제국 내 당좌예금계좌간 자금이체(할인)</t>
    <phoneticPr fontId="29" type="noConversion"/>
  </si>
  <si>
    <t>AF</t>
    <phoneticPr fontId="29" type="noConversion"/>
  </si>
  <si>
    <t>본지점간 자금이체(할인)</t>
    <phoneticPr fontId="29" type="noConversion"/>
  </si>
  <si>
    <t>AE</t>
    <phoneticPr fontId="29" type="noConversion"/>
  </si>
  <si>
    <t>수취인지정자금이체(할인)</t>
    <phoneticPr fontId="29" type="noConversion"/>
  </si>
  <si>
    <t>AD</t>
    <phoneticPr fontId="29" type="noConversion"/>
  </si>
  <si>
    <t>참가기관 간 일반자금이체(할인)</t>
    <phoneticPr fontId="29" type="noConversion"/>
  </si>
  <si>
    <t>AC</t>
    <phoneticPr fontId="29" type="noConversion"/>
  </si>
  <si>
    <t>증권커스터디(할인)</t>
  </si>
  <si>
    <t>AB</t>
    <phoneticPr fontId="17" type="noConversion"/>
  </si>
  <si>
    <t>자금조정예금이체(할인)</t>
  </si>
  <si>
    <t>AA</t>
    <phoneticPr fontId="17" type="noConversion"/>
  </si>
  <si>
    <t>PAY-IN(할인)</t>
    <phoneticPr fontId="17" type="noConversion"/>
  </si>
  <si>
    <t>A9</t>
    <phoneticPr fontId="17" type="noConversion"/>
  </si>
  <si>
    <t>국공채양수도대금이체승인(할인)</t>
  </si>
  <si>
    <t>A8</t>
    <phoneticPr fontId="17" type="noConversion"/>
  </si>
  <si>
    <t>국공채양수도(할인)</t>
  </si>
  <si>
    <t>A7</t>
    <phoneticPr fontId="17" type="noConversion"/>
  </si>
  <si>
    <t>국공채부기등록(할인)</t>
  </si>
  <si>
    <t>A6</t>
    <phoneticPr fontId="17" type="noConversion"/>
  </si>
  <si>
    <t>외화자금이체(할인)</t>
  </si>
  <si>
    <t>A5</t>
    <phoneticPr fontId="17" type="noConversion"/>
  </si>
  <si>
    <t>증권대금이체(할인)</t>
  </si>
  <si>
    <t>A4</t>
    <phoneticPr fontId="17" type="noConversion"/>
  </si>
  <si>
    <t>콜상환(할인)</t>
  </si>
  <si>
    <t>A3</t>
    <phoneticPr fontId="17" type="noConversion"/>
  </si>
  <si>
    <t>콜체결(할인)</t>
  </si>
  <si>
    <t>A2</t>
    <phoneticPr fontId="17" type="noConversion"/>
  </si>
  <si>
    <t>국고계좌 통할점 변경 관련 거래</t>
  </si>
  <si>
    <t>TR090000</t>
  </si>
  <si>
    <t>실시간 지출관앞 과오납금반환</t>
  </si>
  <si>
    <t>TR080134</t>
  </si>
  <si>
    <t>지출관지출 국고계정수입 통상</t>
  </si>
  <si>
    <t>TR080133</t>
  </si>
  <si>
    <t>우체국 일괄처리분 회수</t>
  </si>
  <si>
    <t>TR080132</t>
  </si>
  <si>
    <t>실시간 전자이체 대체수입</t>
  </si>
  <si>
    <t>TR080131</t>
  </si>
  <si>
    <t>실시간 지출금정정(반납정정)</t>
  </si>
  <si>
    <t>TR080130</t>
  </si>
  <si>
    <t>실시간 우체국특수계좌수입거래</t>
  </si>
  <si>
    <t>TR080129</t>
  </si>
  <si>
    <t>실시간 계정수입거래</t>
  </si>
  <si>
    <t>TR080128</t>
  </si>
  <si>
    <t>실시간 세입금 청구정정</t>
  </si>
  <si>
    <t>TR080127</t>
  </si>
  <si>
    <t>실시간 자금교부업무</t>
  </si>
  <si>
    <t>TR080126</t>
  </si>
  <si>
    <t>실시간 자금계획통보</t>
  </si>
  <si>
    <t>TR080125</t>
  </si>
  <si>
    <t>실시간지로납부일괄회계처리</t>
  </si>
  <si>
    <t>TR080124</t>
  </si>
  <si>
    <t>실시간(기타기관)지로납부</t>
  </si>
  <si>
    <t>TR080123</t>
  </si>
  <si>
    <t>실시간(서울시공과)지로납부</t>
  </si>
  <si>
    <t>TR080122</t>
  </si>
  <si>
    <t>실시간 수입대체 건별처리</t>
  </si>
  <si>
    <t>TR080121</t>
  </si>
  <si>
    <t>세입금오납정정일괄처리(회계처리)</t>
  </si>
  <si>
    <t>TR080120</t>
  </si>
  <si>
    <t>실시간이체반납거래(우체국)</t>
  </si>
  <si>
    <t>TR080119</t>
  </si>
  <si>
    <t>지출금 정정</t>
  </si>
  <si>
    <t>TR080118</t>
  </si>
  <si>
    <t>지출반납금 정정</t>
  </si>
  <si>
    <t>TR080117</t>
  </si>
  <si>
    <t>국고예금이자차기</t>
  </si>
  <si>
    <t>TR080116</t>
  </si>
  <si>
    <t>실시간이체반납거래(통상)</t>
  </si>
  <si>
    <t>TR080115</t>
  </si>
  <si>
    <t>지출반납금 일괄처리</t>
  </si>
  <si>
    <t>TR080114</t>
  </si>
  <si>
    <t>과오납금반환금실시간전자이체</t>
  </si>
  <si>
    <t>TR080113</t>
  </si>
  <si>
    <t>실시간국고금전자이체 통상분</t>
  </si>
  <si>
    <t>TR080112</t>
  </si>
  <si>
    <t>실시간 국고금전자이체 일괄거래</t>
  </si>
  <si>
    <t>TR080111</t>
  </si>
  <si>
    <t>실시간 국고금전자이체 건별거래</t>
  </si>
  <si>
    <t>TR080110</t>
  </si>
  <si>
    <t>세입금오납정정일괄처리</t>
  </si>
  <si>
    <t>TR080109</t>
  </si>
  <si>
    <t>조달기금반납처리</t>
  </si>
  <si>
    <t>TR080108</t>
  </si>
  <si>
    <t>조달기금불능분처리(오후)</t>
  </si>
  <si>
    <t>TR080107</t>
  </si>
  <si>
    <t>조달기금불능분처리(오전)</t>
  </si>
  <si>
    <t>TR080106</t>
  </si>
  <si>
    <t>조달기금이체요구분일괄처리(오후)</t>
  </si>
  <si>
    <t>TR080105</t>
  </si>
  <si>
    <t>조달기금이체요구분일괄처리(오전)</t>
  </si>
  <si>
    <t>TR080104</t>
  </si>
  <si>
    <t>국세환급금통상분처리</t>
  </si>
  <si>
    <t>TR080103</t>
  </si>
  <si>
    <t>국세환급불능,현금취소분처리(오전)</t>
  </si>
  <si>
    <t>TR080102</t>
  </si>
  <si>
    <t>국세환급금이체요구분처리(오전)</t>
  </si>
  <si>
    <t>TR080101</t>
  </si>
  <si>
    <t>특별계정계좌별잔액년도이월</t>
  </si>
  <si>
    <t>TR072500</t>
  </si>
  <si>
    <t>세출/세관환급/과오납지급미필금이월</t>
  </si>
  <si>
    <t>TR072400</t>
  </si>
  <si>
    <t>국고송금계정잔액년도이월</t>
  </si>
  <si>
    <t>TR072300</t>
  </si>
  <si>
    <t>전년도 국고송금 잔액정리</t>
  </si>
  <si>
    <t>TR072210</t>
  </si>
  <si>
    <t>특별계정잔액년도이월</t>
  </si>
  <si>
    <t>TR072200</t>
  </si>
  <si>
    <t>미결제 국고송금 세입편입</t>
  </si>
  <si>
    <t>TR072100</t>
  </si>
  <si>
    <t>지급미필 이월금 세입편입</t>
  </si>
  <si>
    <t>TR071300</t>
  </si>
  <si>
    <t>국고금수납액 조기결제</t>
  </si>
  <si>
    <t>TR071150</t>
  </si>
  <si>
    <t>불량대리점 자금조기회수</t>
  </si>
  <si>
    <t>TR071140</t>
  </si>
  <si>
    <t>당좌예금결제-당일중간공급</t>
  </si>
  <si>
    <t>TR071130</t>
  </si>
  <si>
    <t>국고금수납액 통상결제</t>
  </si>
  <si>
    <t>TR071120</t>
  </si>
  <si>
    <t>대리점수납액 대기후 결제</t>
  </si>
  <si>
    <t>TR071110</t>
  </si>
  <si>
    <t>대리점수납액 수동 결제</t>
  </si>
  <si>
    <t>TR071100</t>
  </si>
  <si>
    <t>지출반납 일괄처리 회수</t>
  </si>
  <si>
    <t>TR060801</t>
  </si>
  <si>
    <t>통합지출관이체일괄처리(오후)</t>
  </si>
  <si>
    <t>TR060702</t>
  </si>
  <si>
    <t>통합지출관이체일괄처리(오전)</t>
  </si>
  <si>
    <t>TR060701</t>
  </si>
  <si>
    <t>우체국수납세입금일괄처리</t>
  </si>
  <si>
    <t>TR060601</t>
  </si>
  <si>
    <t>일괄처리 공급(국고증권실 이외)</t>
  </si>
  <si>
    <t>TR060504</t>
  </si>
  <si>
    <t>일괄처리 공급(국고증권실)</t>
  </si>
  <si>
    <t>TR060503</t>
  </si>
  <si>
    <t>국고금수납분 일괄처리(지역본부)</t>
  </si>
  <si>
    <t>TR060502</t>
  </si>
  <si>
    <t>국고금수납분 일괄처리(국고증권실)</t>
  </si>
  <si>
    <t>TR060501</t>
  </si>
  <si>
    <t>우체국자금(국고증권실 이외)</t>
  </si>
  <si>
    <t>TR060404</t>
  </si>
  <si>
    <t>우체국자금(국고증권실)</t>
  </si>
  <si>
    <t>TR060403</t>
  </si>
  <si>
    <t>우체국과초금(국고증권실 이외)</t>
  </si>
  <si>
    <t>TR060402</t>
  </si>
  <si>
    <t>우체국과초금(국고증권실)</t>
  </si>
  <si>
    <t>TR060401</t>
  </si>
  <si>
    <t>국고송금 취결,결제,수입</t>
  </si>
  <si>
    <t>TR060305</t>
  </si>
  <si>
    <t>국고송금 퇴결</t>
  </si>
  <si>
    <t>TR060304</t>
  </si>
  <si>
    <t>국고송금 선지급</t>
  </si>
  <si>
    <t>TR060303</t>
  </si>
  <si>
    <t>국고송금 지급</t>
  </si>
  <si>
    <t>TR060302</t>
  </si>
  <si>
    <t>국고송금 취결</t>
  </si>
  <si>
    <t>TR060301</t>
  </si>
  <si>
    <t>우체국수납특별계정지급</t>
  </si>
  <si>
    <t>TR060208</t>
  </si>
  <si>
    <t>우체국수납특별계정수입</t>
  </si>
  <si>
    <t>TR060207</t>
  </si>
  <si>
    <t>카드수납특별계정지급</t>
  </si>
  <si>
    <t>TR060206</t>
  </si>
  <si>
    <t>카드수납특별계정수입</t>
  </si>
  <si>
    <t>TR060205</t>
  </si>
  <si>
    <t>보관금준기금,특별계정 지급</t>
  </si>
  <si>
    <t>TR060204</t>
  </si>
  <si>
    <t>보관금준기금,특별계정 수입</t>
  </si>
  <si>
    <t>TR060203</t>
  </si>
  <si>
    <t>보관금준기금,특별계정 연도이월</t>
  </si>
  <si>
    <t>TR060202</t>
  </si>
  <si>
    <t>일반,특별,세입세출준기금 지급</t>
  </si>
  <si>
    <t>TR060201</t>
  </si>
  <si>
    <t>수입대체경비 타국고대리점분 수납</t>
  </si>
  <si>
    <t>TR060107</t>
  </si>
  <si>
    <t>수입대체경비 타통할점분 수납</t>
  </si>
  <si>
    <t>TR060106</t>
  </si>
  <si>
    <t>보관금에준하는기금 타통할점분 수납</t>
  </si>
  <si>
    <t>TR060105</t>
  </si>
  <si>
    <t>일반세입금 타통할점분 수납</t>
  </si>
  <si>
    <t>TR060104</t>
  </si>
  <si>
    <t>수입대체경비 자통할점분 수납</t>
  </si>
  <si>
    <t>TR060103</t>
  </si>
  <si>
    <t>보관금에준하는기금 자통할점분 수납</t>
  </si>
  <si>
    <t>TR060102</t>
  </si>
  <si>
    <t>일반세입금 자통할점분 수납</t>
  </si>
  <si>
    <t>TR060101</t>
  </si>
  <si>
    <t>국고송금 미결제분 개시처리</t>
  </si>
  <si>
    <t>TR055000</t>
  </si>
  <si>
    <t>국고송금퇴결</t>
  </si>
  <si>
    <t>TR054000</t>
  </si>
  <si>
    <t>국고송금선지급</t>
  </si>
  <si>
    <t>TR053000</t>
  </si>
  <si>
    <t>국고송금결제</t>
  </si>
  <si>
    <t>TR052000</t>
  </si>
  <si>
    <t>국고송금취결</t>
  </si>
  <si>
    <t>TR051000</t>
  </si>
  <si>
    <t>채권압류 및 전부명령금 정리</t>
  </si>
  <si>
    <t>TR040311</t>
  </si>
  <si>
    <t>재정자금상환 자금이체</t>
  </si>
  <si>
    <t>TR040310</t>
  </si>
  <si>
    <t>재정자금발행 자금이체</t>
  </si>
  <si>
    <t>TR040309</t>
  </si>
  <si>
    <t>세계잉여금 처리</t>
  </si>
  <si>
    <t>TR040308</t>
  </si>
  <si>
    <t>선사용자금 반환</t>
  </si>
  <si>
    <t>TR040307</t>
  </si>
  <si>
    <t>선사용자금 교부</t>
  </si>
  <si>
    <t>TR040306</t>
  </si>
  <si>
    <t>국고여유자금 반환</t>
  </si>
  <si>
    <t>TR040305</t>
  </si>
  <si>
    <t>징발보상교부금 등 지급처리</t>
  </si>
  <si>
    <t>TR040304</t>
  </si>
  <si>
    <t>채권압류및전부명령금 지급/정리</t>
  </si>
  <si>
    <t>TR040303</t>
  </si>
  <si>
    <t>재정차관원리금 결제</t>
  </si>
  <si>
    <t>TR040302</t>
  </si>
  <si>
    <t>국고여유자금 전용</t>
  </si>
  <si>
    <t>TR040301</t>
  </si>
  <si>
    <t>우체국 차액결제(오전부)</t>
  </si>
  <si>
    <t>TR040204</t>
  </si>
  <si>
    <t>우체국 차액결제(오후부)</t>
  </si>
  <si>
    <t>TR040203</t>
  </si>
  <si>
    <t>우체국 차액결제(오후승)</t>
  </si>
  <si>
    <t>TR040202</t>
  </si>
  <si>
    <t>우체국 차액결제(오전승)</t>
  </si>
  <si>
    <t>TR040201</t>
  </si>
  <si>
    <t>정부대출금이자회수</t>
  </si>
  <si>
    <t>TR040103</t>
  </si>
  <si>
    <t>일시장기 차입금 상환</t>
  </si>
  <si>
    <t>TR040102</t>
  </si>
  <si>
    <t>정부대출금 대출</t>
  </si>
  <si>
    <t>TR040101</t>
  </si>
  <si>
    <t>우체국자금지급</t>
  </si>
  <si>
    <t>TR030104</t>
  </si>
  <si>
    <t>우체국과초금수납</t>
  </si>
  <si>
    <t>TR030103</t>
  </si>
  <si>
    <t>우체국과초금결제/우체국자금결제</t>
  </si>
  <si>
    <t>TR030102</t>
  </si>
  <si>
    <t>우체국과초금수납/우체국자금 지급</t>
  </si>
  <si>
    <t>TR030101</t>
  </si>
  <si>
    <t>우체국과초금/자금 보고누락분처리</t>
  </si>
  <si>
    <t>TR020402</t>
  </si>
  <si>
    <t>계정수급일보</t>
  </si>
  <si>
    <t>TR020401</t>
  </si>
  <si>
    <t>세출특별계정 당일중간결제</t>
  </si>
  <si>
    <t>TR020302</t>
  </si>
  <si>
    <t>국고송금 당일중간결제</t>
  </si>
  <si>
    <t>TR020301</t>
  </si>
  <si>
    <t>지출관앞 과오납금반환</t>
  </si>
  <si>
    <t>TR020206</t>
  </si>
  <si>
    <t>지출관 세입금대체 거래</t>
  </si>
  <si>
    <t>TR020205</t>
  </si>
  <si>
    <t>전도자금일괄공급분 일부회수</t>
  </si>
  <si>
    <t>TR020204</t>
  </si>
  <si>
    <t>전도자금 건별회수</t>
  </si>
  <si>
    <t>TR020203</t>
  </si>
  <si>
    <t>전도자금 건별공급</t>
  </si>
  <si>
    <t>TR020202</t>
  </si>
  <si>
    <t>전도자금 일괄공급회수</t>
  </si>
  <si>
    <t>TR020201</t>
  </si>
  <si>
    <t>통합지출관 채권좌이체</t>
  </si>
  <si>
    <t>TR020109</t>
  </si>
  <si>
    <t>국고가수금 지급</t>
  </si>
  <si>
    <t>TR020108</t>
  </si>
  <si>
    <t>국고가수금 수납</t>
  </si>
  <si>
    <t>TR020107</t>
  </si>
  <si>
    <t>보관금 거래점 변경</t>
  </si>
  <si>
    <t>TR020106</t>
  </si>
  <si>
    <t>세출특별계정 정정</t>
  </si>
  <si>
    <t>TR020105</t>
  </si>
  <si>
    <t>세출반납</t>
  </si>
  <si>
    <t>TR020104</t>
  </si>
  <si>
    <t>채권좌계좌이체</t>
  </si>
  <si>
    <t>TR020103</t>
  </si>
  <si>
    <t>특별계정세입계좌대체지급</t>
  </si>
  <si>
    <t>TR020102</t>
  </si>
  <si>
    <t>특별계정통상지급</t>
  </si>
  <si>
    <t>TR020101</t>
  </si>
  <si>
    <t>수납기관수납분 잔액회복</t>
  </si>
  <si>
    <t>TR017200</t>
  </si>
  <si>
    <t>수납기관수납분 잔액차감</t>
  </si>
  <si>
    <t>TR017100</t>
  </si>
  <si>
    <t>관세청관세환급금일괄처리(오후)</t>
  </si>
  <si>
    <t>TR016000</t>
  </si>
  <si>
    <t>관세청관세환급금일괄처리(오전)</t>
  </si>
  <si>
    <t>TR015000</t>
  </si>
  <si>
    <t>세입징수관계좌통할점변경</t>
  </si>
  <si>
    <t>TR013000</t>
  </si>
  <si>
    <t>국세수납정리계정이체정정</t>
  </si>
  <si>
    <t>TR012900</t>
  </si>
  <si>
    <t>국세수납정리계정이체</t>
  </si>
  <si>
    <t>TR012800</t>
  </si>
  <si>
    <t>관세환급금/과오납금반환금 정정</t>
  </si>
  <si>
    <t>TR012700</t>
  </si>
  <si>
    <t>관세환급금/과오납반환금 지급</t>
  </si>
  <si>
    <t>TR012600</t>
  </si>
  <si>
    <t>과오납금반환금 이체</t>
  </si>
  <si>
    <t>TR012500</t>
  </si>
  <si>
    <t>석유수입부과금이체/지급(당좌입금)</t>
  </si>
  <si>
    <t>TR012460</t>
  </si>
  <si>
    <t>관세환급금이체/지급(국고송금)</t>
  </si>
  <si>
    <t>TR012420</t>
  </si>
  <si>
    <t>관세환급금이체/지급(당좌입금)</t>
  </si>
  <si>
    <t>TR012410</t>
  </si>
  <si>
    <t>관세환급금이체</t>
  </si>
  <si>
    <t>TR012400</t>
  </si>
  <si>
    <t>국세환급금이체</t>
  </si>
  <si>
    <t>TR012300</t>
  </si>
  <si>
    <t>수입금 정정</t>
  </si>
  <si>
    <t>TR012200</t>
  </si>
  <si>
    <t>세입금정정 취소</t>
  </si>
  <si>
    <t>TR012100</t>
  </si>
  <si>
    <t>우체국예탁금수납</t>
  </si>
  <si>
    <t>TR011300</t>
  </si>
  <si>
    <t>당좌차기신청에따른국고계리처리</t>
  </si>
  <si>
    <t>TR011210</t>
  </si>
  <si>
    <t>예탁(납입)서 수납</t>
  </si>
  <si>
    <t>TR011200</t>
  </si>
  <si>
    <t>국고금수납(금융기관 보고분)</t>
  </si>
  <si>
    <t>TR011150</t>
  </si>
  <si>
    <t>국고금수납</t>
  </si>
  <si>
    <t>TR011100</t>
  </si>
  <si>
    <t>WIRE양수도대금이체</t>
  </si>
  <si>
    <t>SC071000</t>
  </si>
  <si>
    <t>매매(국채)중도매입중도매각(손)2</t>
  </si>
  <si>
    <t>SC065600</t>
  </si>
  <si>
    <t>매매(증권)중도매입중도매각(손)1</t>
  </si>
  <si>
    <t>SC065500</t>
  </si>
  <si>
    <t>매매(국채)중도매입중도매각(익)2</t>
  </si>
  <si>
    <t>SC065400</t>
  </si>
  <si>
    <t>매매(국채)중도매입중도매각(익)1</t>
  </si>
  <si>
    <t>SC065300</t>
  </si>
  <si>
    <t>매매(국채)중도매입중도매각2</t>
  </si>
  <si>
    <t>SC065200</t>
  </si>
  <si>
    <t>매매(국채)중도매입중도매각1</t>
  </si>
  <si>
    <t>SC065100</t>
  </si>
  <si>
    <t>매매(국채)발행매입중도매각(손)</t>
  </si>
  <si>
    <t>SC064300</t>
  </si>
  <si>
    <t>매매(국채)발행매입중도매각(익)</t>
  </si>
  <si>
    <t>SC064200</t>
  </si>
  <si>
    <t>매매(국채)발행매입중도매각</t>
  </si>
  <si>
    <t>SC064100</t>
  </si>
  <si>
    <t>매매(국채)이자수입2</t>
  </si>
  <si>
    <t>SC063200</t>
  </si>
  <si>
    <t>매매(국채)이자수입1</t>
  </si>
  <si>
    <t>SC063100</t>
  </si>
  <si>
    <t>매매(국채)중도매입만기상환(손)2</t>
  </si>
  <si>
    <t>SC062600</t>
  </si>
  <si>
    <t>매매(국채)중도매입만기상환(손)1</t>
  </si>
  <si>
    <t>SC062500</t>
  </si>
  <si>
    <t>매매(국채)중도매입만기상환(익)2</t>
  </si>
  <si>
    <t>SC062400</t>
  </si>
  <si>
    <t>매매(국채)중도매입만기상환(익)1</t>
  </si>
  <si>
    <t>SC062300</t>
  </si>
  <si>
    <t>매매(국채)중도매입만기상환2</t>
  </si>
  <si>
    <t>SC062200</t>
  </si>
  <si>
    <t>매매(국채)중도매입만기상환1</t>
  </si>
  <si>
    <t>SC062100</t>
  </si>
  <si>
    <t>매매(국채)발행매입만기상환</t>
  </si>
  <si>
    <t>SC061000</t>
  </si>
  <si>
    <t>매매(국채)중도매입</t>
  </si>
  <si>
    <t>SC060200</t>
  </si>
  <si>
    <t>매매발행매입(국고채,외평채이외)</t>
  </si>
  <si>
    <t>SC060150</t>
  </si>
  <si>
    <t>매매(국채)발행매입</t>
  </si>
  <si>
    <t>SC060100</t>
  </si>
  <si>
    <t>매매(국채) 만기상환 상각</t>
  </si>
  <si>
    <t>SC060007</t>
  </si>
  <si>
    <t>매매(국채) 만기상환</t>
  </si>
  <si>
    <t>SC060006</t>
  </si>
  <si>
    <t>매매(국채) 중도매각상각</t>
  </si>
  <si>
    <t>SC060005</t>
  </si>
  <si>
    <t>매매(국채) 중도매각</t>
  </si>
  <si>
    <t>SC060004</t>
  </si>
  <si>
    <t>매매(국채) 매입상각</t>
  </si>
  <si>
    <t>SC060003</t>
  </si>
  <si>
    <t>SC060002</t>
  </si>
  <si>
    <t>SC060001</t>
  </si>
  <si>
    <t>매매(증권)중도매입중도매각(손)2</t>
  </si>
  <si>
    <t>SC057600</t>
  </si>
  <si>
    <t>SC057500</t>
  </si>
  <si>
    <t>매매(증권)중도매입중도매각(익)2</t>
  </si>
  <si>
    <t>SC057400</t>
  </si>
  <si>
    <t>매매(증권)중도매입중도매각(익)1</t>
  </si>
  <si>
    <t>SC057300</t>
  </si>
  <si>
    <t>매매(증권)중도매입중도매각2</t>
  </si>
  <si>
    <t>SC057200</t>
  </si>
  <si>
    <t>매매(증권)중도매입중도매각1</t>
  </si>
  <si>
    <t>SC057100</t>
  </si>
  <si>
    <t>매매(증권)발행매입중도매각(손)</t>
  </si>
  <si>
    <t>SC056300</t>
  </si>
  <si>
    <t>매매(증권)발행매입중도매각(익)</t>
  </si>
  <si>
    <t>SC056200</t>
  </si>
  <si>
    <t>매매(증권)발행매입중도매각</t>
  </si>
  <si>
    <t>SC056100</t>
  </si>
  <si>
    <t>매매(증권)이표채이자수입2</t>
  </si>
  <si>
    <t>SC055200</t>
  </si>
  <si>
    <t>매매(증권)이표채이자수입1</t>
  </si>
  <si>
    <t>SC055100</t>
  </si>
  <si>
    <t>매매(증권)중도매입만기상환(손)2</t>
  </si>
  <si>
    <t>SC054600</t>
  </si>
  <si>
    <t>매매(증권)중도매입만기상환(손)1</t>
  </si>
  <si>
    <t>SC054500</t>
  </si>
  <si>
    <t>매매(증권)중도매입만기상환(익)2</t>
  </si>
  <si>
    <t>SC054400</t>
  </si>
  <si>
    <t>매매(증권)중도매입만기상환(익)1</t>
  </si>
  <si>
    <t>SC054300</t>
  </si>
  <si>
    <t>매매(증권)중도매입만기상환2</t>
  </si>
  <si>
    <t>SC054200</t>
  </si>
  <si>
    <t>매매(증권)중도매입만기상환1</t>
  </si>
  <si>
    <t>SC054100</t>
  </si>
  <si>
    <t>매매(증권)발행매입만기상환</t>
  </si>
  <si>
    <t>SC053000</t>
  </si>
  <si>
    <t>매매(증권)중도매입</t>
  </si>
  <si>
    <t>SC052000</t>
  </si>
  <si>
    <t>매매(증권)발행매입</t>
  </si>
  <si>
    <t>SC051000</t>
  </si>
  <si>
    <t>매매(증권) 만기상환 상각</t>
  </si>
  <si>
    <t>SC050007</t>
  </si>
  <si>
    <t>매매(증권) 만기상환</t>
  </si>
  <si>
    <t>SC050006</t>
  </si>
  <si>
    <t>매매(증권) 중도매각상각</t>
  </si>
  <si>
    <t>SC050005</t>
  </si>
  <si>
    <t>매매(증권) 중도매각</t>
  </si>
  <si>
    <t>SC050004</t>
  </si>
  <si>
    <t>매매(증권) 매입상각</t>
  </si>
  <si>
    <t>SC050003</t>
  </si>
  <si>
    <t>SC050002</t>
  </si>
  <si>
    <t>SC050001</t>
  </si>
  <si>
    <t>수입인지판매대금납부</t>
  </si>
  <si>
    <t>SC042000</t>
  </si>
  <si>
    <t>수입인지판매대금수납(우체국)</t>
  </si>
  <si>
    <t>SC041500</t>
  </si>
  <si>
    <t>수입인지판매대금수납(금융기관)</t>
  </si>
  <si>
    <t>SC041000</t>
  </si>
  <si>
    <t>공보채권상환자금수취</t>
  </si>
  <si>
    <t>SC039000</t>
  </si>
  <si>
    <t>국고채 재정증권 상환자금수취</t>
  </si>
  <si>
    <t>SC038000</t>
  </si>
  <si>
    <t>국고채,재정증권 발행자금납부</t>
  </si>
  <si>
    <t>SC037000</t>
  </si>
  <si>
    <t>공보채원리금지급</t>
  </si>
  <si>
    <t>SC036000</t>
  </si>
  <si>
    <t>외평채원리금지급</t>
  </si>
  <si>
    <t>SC035000</t>
  </si>
  <si>
    <t>국관채이자지급</t>
  </si>
  <si>
    <t>SC034000</t>
  </si>
  <si>
    <t>국채조기상환,할인국채 상환</t>
  </si>
  <si>
    <t>SC033100</t>
  </si>
  <si>
    <t>국관채원금지급</t>
  </si>
  <si>
    <t>SC033000</t>
  </si>
  <si>
    <t>외평채상환잔액전금</t>
  </si>
  <si>
    <t>SC032700</t>
  </si>
  <si>
    <t>국고,공보,재정 상환잔액세입</t>
  </si>
  <si>
    <t>SC032600</t>
  </si>
  <si>
    <t>외평채상환자금수취</t>
  </si>
  <si>
    <t>SC032500</t>
  </si>
  <si>
    <t>외평채발행자금전금</t>
  </si>
  <si>
    <t>SC032000</t>
  </si>
  <si>
    <t>국관채,외평채발행(대체)</t>
  </si>
  <si>
    <t>SC031001</t>
  </si>
  <si>
    <t>국고,외평,재정증권발행</t>
  </si>
  <si>
    <t>SC031000</t>
  </si>
  <si>
    <t>증권대차수수료</t>
  </si>
  <si>
    <t>SC027100</t>
  </si>
  <si>
    <t>RP수수료지급</t>
  </si>
  <si>
    <t>SC027000</t>
  </si>
  <si>
    <t>RP최초매각분만기환매</t>
  </si>
  <si>
    <t>SC026000</t>
  </si>
  <si>
    <t>RP최초매입분만기환매</t>
  </si>
  <si>
    <t>SC025000</t>
  </si>
  <si>
    <t>RP최초매각분중도환매</t>
  </si>
  <si>
    <t>SC024000</t>
  </si>
  <si>
    <t>RP최초매입분중도환매</t>
  </si>
  <si>
    <t>SC023000</t>
  </si>
  <si>
    <t>RP최초매각</t>
  </si>
  <si>
    <t>SC022000</t>
  </si>
  <si>
    <t>RP최초매입</t>
  </si>
  <si>
    <t>SC021000</t>
  </si>
  <si>
    <t>이표채중도환매(할인할증일괄처리분)</t>
  </si>
  <si>
    <t>SC017800</t>
  </si>
  <si>
    <t>이표채중도환매(할인할증분)</t>
  </si>
  <si>
    <t>SC017700</t>
  </si>
  <si>
    <t>이표채중도환매(당일이후최초전)(손)</t>
  </si>
  <si>
    <t>SC017600</t>
  </si>
  <si>
    <t>이표채중도환매(당일이후최초전)(익)</t>
  </si>
  <si>
    <t>SC017500</t>
  </si>
  <si>
    <t>이표채중도환매(당일이후최초전)</t>
  </si>
  <si>
    <t>SC017400</t>
  </si>
  <si>
    <t>이표채중도환매(당일,2기후)(손)</t>
  </si>
  <si>
    <t>SC017300</t>
  </si>
  <si>
    <t>이표채중도환매(당일,2기후)(익)</t>
  </si>
  <si>
    <t>SC017200</t>
  </si>
  <si>
    <t>이표채중도환매(당일,2기후)</t>
  </si>
  <si>
    <t>SC017100</t>
  </si>
  <si>
    <t>할인채중도환매(환매손익&lt;0)</t>
  </si>
  <si>
    <t>SC016300</t>
  </si>
  <si>
    <t>할인채중도환매(환매손익&gt;0)</t>
  </si>
  <si>
    <t>SC016200</t>
  </si>
  <si>
    <t>할인채중도환매(환매손익=0)</t>
  </si>
  <si>
    <t>SC016100</t>
  </si>
  <si>
    <t>이표채원금상환</t>
  </si>
  <si>
    <t>SC015000</t>
  </si>
  <si>
    <t>할인채만기상환</t>
  </si>
  <si>
    <t>SC014000</t>
  </si>
  <si>
    <t>이표채이자지급(발행일이후최초건)</t>
  </si>
  <si>
    <t>SC013200</t>
  </si>
  <si>
    <t>이표채이자지급(발행일,2기이후)</t>
  </si>
  <si>
    <t>SC013100</t>
  </si>
  <si>
    <t>이표채매출(발행일이후분,대체)</t>
  </si>
  <si>
    <t>SC012201</t>
  </si>
  <si>
    <t>이표채매출(발행일이후)</t>
  </si>
  <si>
    <t>SC012200</t>
  </si>
  <si>
    <t>이표채매출(당일분,대체)</t>
  </si>
  <si>
    <t>SC012101</t>
  </si>
  <si>
    <t>이표채매출(당일)</t>
  </si>
  <si>
    <t>SC012100</t>
  </si>
  <si>
    <t>할인채매출(대체)</t>
  </si>
  <si>
    <t>SC011001</t>
  </si>
  <si>
    <t>할인채매출</t>
  </si>
  <si>
    <t>SC011000</t>
  </si>
  <si>
    <t>연계결제(혼-총액)</t>
  </si>
  <si>
    <t>LP160011</t>
  </si>
  <si>
    <t>계좌간(결제-&gt;당좌)</t>
  </si>
  <si>
    <t>LP140011</t>
  </si>
  <si>
    <t>증권결제매도자앞이체(WIRE</t>
  </si>
  <si>
    <t>LP120299</t>
  </si>
  <si>
    <t>증권대금이체전자단기사채상환(다자간)</t>
  </si>
  <si>
    <t>LP120067</t>
  </si>
  <si>
    <t>증권대금이체(다자간)</t>
  </si>
  <si>
    <t>LP120066</t>
  </si>
  <si>
    <t>증권대금이체(전자단기사채상환)</t>
  </si>
  <si>
    <t>LP120016</t>
  </si>
  <si>
    <t>일중RP 결제유동성 상환</t>
  </si>
  <si>
    <t>LP120015</t>
  </si>
  <si>
    <t>일중RP 결제유동성 공급</t>
  </si>
  <si>
    <t>LP120014</t>
  </si>
  <si>
    <t>일중RP 결제준비금 확보</t>
  </si>
  <si>
    <t>LP120012</t>
  </si>
  <si>
    <t>증권대금이체(혼-총액)</t>
  </si>
  <si>
    <t>LP120011</t>
  </si>
  <si>
    <t>CLS(PAY-OUT) 입력(CLS)</t>
  </si>
  <si>
    <t>LP112099</t>
  </si>
  <si>
    <t>CLS(PAY-IN) 입력(WIRE)</t>
  </si>
  <si>
    <t>LP111099</t>
  </si>
  <si>
    <t>CLS(PAY-IN) 입력</t>
  </si>
  <si>
    <t>LP111000</t>
  </si>
  <si>
    <t>지정시점예약자금이체결제</t>
  </si>
  <si>
    <t>LP052600</t>
  </si>
  <si>
    <t>국가간ATM공동망</t>
  </si>
  <si>
    <t>LP051700</t>
  </si>
  <si>
    <t>어음교환(오전)</t>
  </si>
  <si>
    <t>LP051600</t>
  </si>
  <si>
    <t>전자정보교환어음</t>
  </si>
  <si>
    <t>LP051500</t>
  </si>
  <si>
    <t>전자정보교환자기앞수표</t>
  </si>
  <si>
    <t>LP051400</t>
  </si>
  <si>
    <t>전자어음</t>
  </si>
  <si>
    <t>LP051300</t>
  </si>
  <si>
    <t>자기앞수표정보교환</t>
  </si>
  <si>
    <t>LP051200</t>
  </si>
  <si>
    <t>B2B전자상거래</t>
  </si>
  <si>
    <t>LP051100</t>
  </si>
  <si>
    <t>전자금융공동망</t>
  </si>
  <si>
    <t>LP051000</t>
  </si>
  <si>
    <t>B2C전자상거래</t>
  </si>
  <si>
    <t>LP050900</t>
  </si>
  <si>
    <t>전자화폐공동망</t>
  </si>
  <si>
    <t>LP050800</t>
  </si>
  <si>
    <t>지방은행공동망</t>
  </si>
  <si>
    <t>LP050600</t>
  </si>
  <si>
    <t>CMS공동망</t>
  </si>
  <si>
    <t>LP050500</t>
  </si>
  <si>
    <t>직불카드공동망</t>
  </si>
  <si>
    <t>LP050400</t>
  </si>
  <si>
    <t>타행환공동망</t>
  </si>
  <si>
    <t>LP050300</t>
  </si>
  <si>
    <t>은행지로</t>
  </si>
  <si>
    <t>LP050200</t>
  </si>
  <si>
    <t>CD공동망</t>
  </si>
  <si>
    <t>LP050100</t>
  </si>
  <si>
    <t>콜상환(다자간)</t>
  </si>
  <si>
    <t>LP040066</t>
  </si>
  <si>
    <t>콜상환(양자간)</t>
  </si>
  <si>
    <t>LP040055</t>
  </si>
  <si>
    <t>콜연결상환</t>
  </si>
  <si>
    <t>LP040044</t>
  </si>
  <si>
    <t>콜상환(혼-총액)</t>
  </si>
  <si>
    <t>LP040011</t>
  </si>
  <si>
    <t>콜반환(다자간)</t>
  </si>
  <si>
    <t>LP030067</t>
  </si>
  <si>
    <t>콜체결(다자간)</t>
  </si>
  <si>
    <t>LP030066</t>
  </si>
  <si>
    <t>콜체결(양자간)</t>
  </si>
  <si>
    <t>LP030055</t>
  </si>
  <si>
    <t>콜반환(혼-총액)</t>
  </si>
  <si>
    <t>LP030012</t>
  </si>
  <si>
    <t>콜체결(혼-총액)</t>
  </si>
  <si>
    <t>LP030011</t>
  </si>
  <si>
    <t>자금이체(WIRE)</t>
  </si>
  <si>
    <t>LP020099</t>
  </si>
  <si>
    <t>자금이체(최적화대기결제)</t>
  </si>
  <si>
    <t>LP020088</t>
  </si>
  <si>
    <t>에약가능확인</t>
  </si>
  <si>
    <t>LP020077</t>
  </si>
  <si>
    <t>자금이체(다자간)</t>
  </si>
  <si>
    <t>LP020066</t>
  </si>
  <si>
    <t>자금이체(양자간)</t>
  </si>
  <si>
    <t>LP020055</t>
  </si>
  <si>
    <t>자금이체(혼-주식기관결제)</t>
  </si>
  <si>
    <t>LP020013</t>
  </si>
  <si>
    <t>자금이체(혼-장내주식거래)</t>
  </si>
  <si>
    <t>LP020012</t>
  </si>
  <si>
    <t>자금이체(혼-총액)</t>
  </si>
  <si>
    <t>LP020011</t>
  </si>
  <si>
    <t>자금이체(당행)</t>
  </si>
  <si>
    <t>LP020000</t>
  </si>
  <si>
    <t>자금조정대출이자수취</t>
  </si>
  <si>
    <t>LN040301</t>
  </si>
  <si>
    <t>자금조정대출회수</t>
  </si>
  <si>
    <t>LN040201</t>
  </si>
  <si>
    <t>자금조정대출실행</t>
  </si>
  <si>
    <t>LN040101</t>
  </si>
  <si>
    <t>담보대출로 전환(한은거래,결제전용)</t>
  </si>
  <si>
    <t>LN030321</t>
  </si>
  <si>
    <t>담보대출로 전환(결제전용)</t>
  </si>
  <si>
    <t>LN030311</t>
  </si>
  <si>
    <t>담보대출로 전환 취소</t>
  </si>
  <si>
    <t>LN030303</t>
  </si>
  <si>
    <t>일중당좌대출이자수취(G1전환)</t>
  </si>
  <si>
    <t>LN030302</t>
  </si>
  <si>
    <t>담보대출로 전환(한은거래)</t>
  </si>
  <si>
    <t>LN030301</t>
  </si>
  <si>
    <t>당좌대출회수(취소)</t>
  </si>
  <si>
    <t>LN030203</t>
  </si>
  <si>
    <t>당좌대출회수(정상)</t>
  </si>
  <si>
    <t>LN030201</t>
  </si>
  <si>
    <t>당좌대출제공(취소)</t>
  </si>
  <si>
    <t>LN030103</t>
  </si>
  <si>
    <t>당좌대출제공(정상)</t>
  </si>
  <si>
    <t>LN030101</t>
  </si>
  <si>
    <t>가수금정리</t>
  </si>
  <si>
    <t>LN020401</t>
  </si>
  <si>
    <t>가수금처리</t>
  </si>
  <si>
    <t>LN020400</t>
  </si>
  <si>
    <t>환출할인료지급</t>
  </si>
  <si>
    <t>LN020301</t>
  </si>
  <si>
    <t>재할인중도환매</t>
  </si>
  <si>
    <t>LN020300</t>
  </si>
  <si>
    <t>추징할인료지급</t>
  </si>
  <si>
    <t>LN020201</t>
  </si>
  <si>
    <t>재할인만기회수</t>
  </si>
  <si>
    <t>LN020200</t>
  </si>
  <si>
    <t>재할인실행(WIRE)</t>
  </si>
  <si>
    <t>LN020199</t>
  </si>
  <si>
    <t>재할인실행</t>
  </si>
  <si>
    <t>LN020100</t>
  </si>
  <si>
    <t>일중당좌대출이자수취</t>
  </si>
  <si>
    <t>LN010400</t>
  </si>
  <si>
    <t>이자수취</t>
  </si>
  <si>
    <t>LN010300</t>
  </si>
  <si>
    <t>담보대출회수(WIRE)</t>
  </si>
  <si>
    <t>LN010299</t>
  </si>
  <si>
    <t>담보대출회수</t>
  </si>
  <si>
    <t>LN010200</t>
  </si>
  <si>
    <t>담보대출실행(WIRE)</t>
  </si>
  <si>
    <t>LN010199</t>
  </si>
  <si>
    <t>담보대출실행</t>
  </si>
  <si>
    <t>LN010100</t>
  </si>
  <si>
    <t>TRI-PARTY 거래만기</t>
  </si>
  <si>
    <t>IF410400</t>
  </si>
  <si>
    <t>TRI-PARTY 거래체결</t>
  </si>
  <si>
    <t>IF410300</t>
  </si>
  <si>
    <t>CDS 보장원금 지급</t>
  </si>
  <si>
    <t>IF301100</t>
  </si>
  <si>
    <t>CDS 매도 중도청산</t>
  </si>
  <si>
    <t>IF301000</t>
  </si>
  <si>
    <t>CDS 매도 만기소멸</t>
  </si>
  <si>
    <t>IF300900</t>
  </si>
  <si>
    <t>CDS 매도 프리미엄 수수</t>
  </si>
  <si>
    <t>IF300800</t>
  </si>
  <si>
    <t>CDS 보장원금 수취</t>
  </si>
  <si>
    <t>IF300700</t>
  </si>
  <si>
    <t>CDS 매입 중도청산</t>
  </si>
  <si>
    <t>IF300600</t>
  </si>
  <si>
    <t>CDS 매입 만기소멸</t>
  </si>
  <si>
    <t>IF300500</t>
  </si>
  <si>
    <t>CDS 매입 프리미엄 수수</t>
  </si>
  <si>
    <t>IF300400</t>
  </si>
  <si>
    <t>현금담보반환</t>
  </si>
  <si>
    <t>IF300300</t>
  </si>
  <si>
    <t>현금담보이자 수수</t>
  </si>
  <si>
    <t>IF300200</t>
  </si>
  <si>
    <t>현금담보교환(마진콜)</t>
  </si>
  <si>
    <t>IF300100</t>
  </si>
  <si>
    <t>계정이체(외화)</t>
  </si>
  <si>
    <t>IF260000</t>
  </si>
  <si>
    <t>CS 자금지급(국제국)</t>
  </si>
  <si>
    <t>IF250900</t>
  </si>
  <si>
    <t>국제기구원화매매</t>
  </si>
  <si>
    <t>IF250500</t>
  </si>
  <si>
    <t>외환대사</t>
  </si>
  <si>
    <t>IF250400</t>
  </si>
  <si>
    <t>국제기구 수표발행 입출금</t>
  </si>
  <si>
    <t>IF250300</t>
  </si>
  <si>
    <t>국제기구와의 자금이체</t>
  </si>
  <si>
    <t>IF250200</t>
  </si>
  <si>
    <t>국제기구교환송금</t>
  </si>
  <si>
    <t>IF250100</t>
  </si>
  <si>
    <t>IMF협정체결수수료</t>
  </si>
  <si>
    <t>IF240400</t>
  </si>
  <si>
    <t>IMF신용수수료 지급</t>
  </si>
  <si>
    <t>IF240300</t>
  </si>
  <si>
    <t>IMF신용환매</t>
  </si>
  <si>
    <t>IF240200</t>
  </si>
  <si>
    <t>IMF신용인출</t>
  </si>
  <si>
    <t>IF240100</t>
  </si>
  <si>
    <t>국제기구대출이자SDR</t>
  </si>
  <si>
    <t>IF230800</t>
  </si>
  <si>
    <t>특별인출권운영경비부과금 지급</t>
  </si>
  <si>
    <t>IF230700</t>
  </si>
  <si>
    <t>BURDEN-SHARING 분담금</t>
  </si>
  <si>
    <t>IF230600</t>
  </si>
  <si>
    <t>특별인출권배분수수료지급</t>
  </si>
  <si>
    <t>IF230500</t>
  </si>
  <si>
    <t>IMF보상금 수취</t>
  </si>
  <si>
    <t>IF230400</t>
  </si>
  <si>
    <t>특별인출권보유이자 수취</t>
  </si>
  <si>
    <t>IF230300</t>
  </si>
  <si>
    <t>특별인출권매매</t>
  </si>
  <si>
    <t>IF230200</t>
  </si>
  <si>
    <t>특별인출권보유</t>
  </si>
  <si>
    <t>IF230100</t>
  </si>
  <si>
    <t>국제기구대출이자수취</t>
  </si>
  <si>
    <t>IF220300</t>
  </si>
  <si>
    <t>국제기구대출회수</t>
  </si>
  <si>
    <t>IF220200</t>
  </si>
  <si>
    <t>국제기구대출</t>
  </si>
  <si>
    <t>IF220100</t>
  </si>
  <si>
    <t>국제기구보유가치조정</t>
  </si>
  <si>
    <t>IF210500</t>
  </si>
  <si>
    <t>국제기구출연증권현금화</t>
  </si>
  <si>
    <t>IF210400</t>
  </si>
  <si>
    <t>국제기구출자증권현금화</t>
  </si>
  <si>
    <t>IF210300</t>
  </si>
  <si>
    <t>국제기구출연</t>
  </si>
  <si>
    <t>IF210200</t>
  </si>
  <si>
    <t>국제기구출자</t>
  </si>
  <si>
    <t>IF210100</t>
  </si>
  <si>
    <t>금리스왑션매도현금결제</t>
  </si>
  <si>
    <t>IF200900</t>
  </si>
  <si>
    <t>금리스왑션매입현금결제</t>
  </si>
  <si>
    <t>IF200800</t>
  </si>
  <si>
    <t>금리스왑션매도스왑이행</t>
  </si>
  <si>
    <t>IF200700</t>
  </si>
  <si>
    <t>금리스왑션매입스왑이행</t>
  </si>
  <si>
    <t>IF200600</t>
  </si>
  <si>
    <t>금리스왑션매도중도청산</t>
  </si>
  <si>
    <t>IF200500</t>
  </si>
  <si>
    <t>금리스왑션매입중도청산</t>
  </si>
  <si>
    <t>IF200400</t>
  </si>
  <si>
    <t>금리스왑션매도만기소멸</t>
  </si>
  <si>
    <t>IF200300</t>
  </si>
  <si>
    <t>금리스왑션매입만기소멸</t>
  </si>
  <si>
    <t>IF200200</t>
  </si>
  <si>
    <t>금리스왑션프리미엄지급</t>
  </si>
  <si>
    <t>IF200100</t>
  </si>
  <si>
    <t>금리스왑션프리미엄수취</t>
  </si>
  <si>
    <t>IF200000</t>
  </si>
  <si>
    <t>권리락증권 매입매도</t>
  </si>
  <si>
    <t>IF190900</t>
  </si>
  <si>
    <t>권리락증권매도증권 이자수취</t>
  </si>
  <si>
    <t>IF190800</t>
  </si>
  <si>
    <t>권리락증권 매도</t>
  </si>
  <si>
    <t>IF190700</t>
  </si>
  <si>
    <t>권리락증권매입증권 이자수취</t>
  </si>
  <si>
    <t>IF190600</t>
  </si>
  <si>
    <t>권리락증권 매입</t>
  </si>
  <si>
    <t>IF190500</t>
  </si>
  <si>
    <t>당좌예치금이자</t>
  </si>
  <si>
    <t>IF190400</t>
  </si>
  <si>
    <t>BANK NEGARA 거래</t>
  </si>
  <si>
    <t>IF190200</t>
  </si>
  <si>
    <t>국련군수표 매입</t>
  </si>
  <si>
    <t>IF190100</t>
  </si>
  <si>
    <t>외화증권분할상환(IO)</t>
  </si>
  <si>
    <t>IF180900</t>
  </si>
  <si>
    <t>이종통화간 통화스왑 만기</t>
  </si>
  <si>
    <t>IF180800</t>
  </si>
  <si>
    <t>이종통화간 통화스왑 이자</t>
  </si>
  <si>
    <t>IF180700</t>
  </si>
  <si>
    <t>이종통화간 통화스왑 체결</t>
  </si>
  <si>
    <t>IF180600</t>
  </si>
  <si>
    <t>해외예탁지금은 대여회수:현금</t>
  </si>
  <si>
    <t>IF180500</t>
  </si>
  <si>
    <t>해외예탁지금은 대여회수:금</t>
  </si>
  <si>
    <t>IF180400</t>
  </si>
  <si>
    <t>해외예탁지금은 대여</t>
  </si>
  <si>
    <t>IF180300</t>
  </si>
  <si>
    <t>해외예탁지금은 매각</t>
  </si>
  <si>
    <t>IF180200</t>
  </si>
  <si>
    <t>해외예탁지금은 매입</t>
  </si>
  <si>
    <t>IF180100</t>
  </si>
  <si>
    <t>증권대여현금담보상환</t>
  </si>
  <si>
    <t>IF170700</t>
  </si>
  <si>
    <t>증권대여현금담보수취</t>
  </si>
  <si>
    <t>IF170600</t>
  </si>
  <si>
    <t>선물이자수입</t>
  </si>
  <si>
    <t>IF170500</t>
  </si>
  <si>
    <t>지급잡수수료</t>
  </si>
  <si>
    <t>IF170400</t>
  </si>
  <si>
    <t>증권대여손실</t>
  </si>
  <si>
    <t>IF170300</t>
  </si>
  <si>
    <t>자금이체</t>
  </si>
  <si>
    <t>IF170200</t>
  </si>
  <si>
    <t>증권대여수수료</t>
  </si>
  <si>
    <t>IF170100</t>
  </si>
  <si>
    <t>위탁외화자산운용</t>
  </si>
  <si>
    <t>IF160300</t>
  </si>
  <si>
    <t>위탁자산 회수</t>
  </si>
  <si>
    <t>IF160200</t>
  </si>
  <si>
    <t>위탁자산운용</t>
  </si>
  <si>
    <t>IF160100</t>
  </si>
  <si>
    <t>이종통화간 스왑만기</t>
  </si>
  <si>
    <t>IF150300</t>
  </si>
  <si>
    <t>이종통화간 스왑 실시</t>
  </si>
  <si>
    <t>IF150200</t>
  </si>
  <si>
    <t>이종통화간 단순매매</t>
  </si>
  <si>
    <t>IF150100</t>
  </si>
  <si>
    <t>IF140400</t>
  </si>
  <si>
    <t>IF140300</t>
  </si>
  <si>
    <t>R/P 환매</t>
  </si>
  <si>
    <t>IF140200</t>
  </si>
  <si>
    <t>R/P 매입</t>
  </si>
  <si>
    <t>IF140100</t>
  </si>
  <si>
    <t>RE R/P 환매</t>
  </si>
  <si>
    <t>IF130200</t>
  </si>
  <si>
    <t>RE R/P매각</t>
  </si>
  <si>
    <t>IF130100</t>
  </si>
  <si>
    <t>해외정기예치금 회수</t>
  </si>
  <si>
    <t>IF120200</t>
  </si>
  <si>
    <t>해외정기예치금예치</t>
  </si>
  <si>
    <t>IF120100</t>
  </si>
  <si>
    <t>금리스왑 매도거래매각</t>
  </si>
  <si>
    <t>IF110E90</t>
  </si>
  <si>
    <t>금리스왑 매입거래매각</t>
  </si>
  <si>
    <t>IF110E80</t>
  </si>
  <si>
    <t>금리스왑 매도거래청산</t>
  </si>
  <si>
    <t>IF110E70</t>
  </si>
  <si>
    <t>금리스왑 매입거래청산</t>
  </si>
  <si>
    <t>IF110E60</t>
  </si>
  <si>
    <t>금리스왑 매도거래만기</t>
  </si>
  <si>
    <t>IF110E50</t>
  </si>
  <si>
    <t>금리스왑 매입거래만기</t>
  </si>
  <si>
    <t>IF110E40</t>
  </si>
  <si>
    <t>금리스왑 매도거래이자</t>
  </si>
  <si>
    <t>IF110E30</t>
  </si>
  <si>
    <t>금리스왑 매입거래이자</t>
  </si>
  <si>
    <t>IF110E20</t>
  </si>
  <si>
    <t>선물거래수수료</t>
  </si>
  <si>
    <t>IF110D70</t>
  </si>
  <si>
    <t>매도선물중도청산</t>
  </si>
  <si>
    <t>IF110D60</t>
  </si>
  <si>
    <t>매입선물중도청산</t>
  </si>
  <si>
    <t>IF110D50</t>
  </si>
  <si>
    <t>매도선물만기결제</t>
  </si>
  <si>
    <t>IF110D40</t>
  </si>
  <si>
    <t>매입선물만기결제</t>
  </si>
  <si>
    <t>IF110D30</t>
  </si>
  <si>
    <t>선물거래정산</t>
  </si>
  <si>
    <t>IF110D20</t>
  </si>
  <si>
    <t>선물거래증거금</t>
  </si>
  <si>
    <t>IF110D10</t>
  </si>
  <si>
    <t>매도통화옵션행사</t>
  </si>
  <si>
    <t>IF110C90</t>
  </si>
  <si>
    <t>매입통화옵션행사</t>
  </si>
  <si>
    <t>IF110C80</t>
  </si>
  <si>
    <t>매도통화옵션행사소멸</t>
  </si>
  <si>
    <t>IF110C70</t>
  </si>
  <si>
    <t>매입통화옵션행사소멸</t>
  </si>
  <si>
    <t>IF110C60</t>
  </si>
  <si>
    <t>매도통화옵션만기소멸</t>
  </si>
  <si>
    <t>IF110C50</t>
  </si>
  <si>
    <t>매입통화옵션만기소멸</t>
  </si>
  <si>
    <t>IF110C40</t>
  </si>
  <si>
    <t>통화옵션프리미엄지급</t>
  </si>
  <si>
    <t>IF110C30</t>
  </si>
  <si>
    <t>통화옵션프리미엄수취</t>
  </si>
  <si>
    <t>IF110C20</t>
  </si>
  <si>
    <t>매입옵션 만기전청산</t>
  </si>
  <si>
    <t>IF110B70</t>
  </si>
  <si>
    <t>매도옵션 만기전청산</t>
  </si>
  <si>
    <t>IF110B60</t>
  </si>
  <si>
    <t>금대여금리스왑정산</t>
  </si>
  <si>
    <t>IF110B50</t>
  </si>
  <si>
    <t>스프레드락정산지급</t>
  </si>
  <si>
    <t>IF110B40</t>
  </si>
  <si>
    <t>스프레드락정산수입</t>
  </si>
  <si>
    <t>IF110B30</t>
  </si>
  <si>
    <t>매도풋옵션행사</t>
  </si>
  <si>
    <t>IF110A90</t>
  </si>
  <si>
    <t>매도콜옵션행사</t>
  </si>
  <si>
    <t>IF110A80</t>
  </si>
  <si>
    <t>매입풋옵션행사</t>
  </si>
  <si>
    <t>IF110A70</t>
  </si>
  <si>
    <t>매입콜옵션행사</t>
  </si>
  <si>
    <t>IF110A60</t>
  </si>
  <si>
    <t>매도옵션소멸</t>
  </si>
  <si>
    <t>IF110A50</t>
  </si>
  <si>
    <t>매입옵션소멸</t>
  </si>
  <si>
    <t>IF110A40</t>
  </si>
  <si>
    <t>옵션프리미엄지급</t>
  </si>
  <si>
    <t>IF110A30</t>
  </si>
  <si>
    <t>옵션프리미엄수취</t>
  </si>
  <si>
    <t>IF110A20</t>
  </si>
  <si>
    <t>외화증권중도상환</t>
  </si>
  <si>
    <t>IF110900</t>
  </si>
  <si>
    <t>외화증권 결산상각</t>
  </si>
  <si>
    <t>IF110800</t>
  </si>
  <si>
    <t>외화증권 개시상각</t>
  </si>
  <si>
    <t>IF110700</t>
  </si>
  <si>
    <t>외화증권임치기관변경</t>
  </si>
  <si>
    <t>IF110600</t>
  </si>
  <si>
    <t>외화증권분할상환</t>
  </si>
  <si>
    <t>IF110500</t>
  </si>
  <si>
    <t>외화증권만기상환</t>
  </si>
  <si>
    <t>IF110400</t>
  </si>
  <si>
    <t>외화증권 매각</t>
  </si>
  <si>
    <t>IF110300</t>
  </si>
  <si>
    <t>외화증권 이자수취</t>
  </si>
  <si>
    <t>IF110200</t>
  </si>
  <si>
    <t>외화증권 매입</t>
  </si>
  <si>
    <t>IF110100</t>
  </si>
  <si>
    <t>외환시장 스왑 매도</t>
  </si>
  <si>
    <t>IF100210</t>
  </si>
  <si>
    <t>외환매도</t>
  </si>
  <si>
    <t>IF100200</t>
  </si>
  <si>
    <t>외환시장 스왑 매입</t>
  </si>
  <si>
    <t>IF100110</t>
  </si>
  <si>
    <t>외환매입</t>
  </si>
  <si>
    <t>IF100100</t>
  </si>
  <si>
    <t>FMS계정운용수익 이체</t>
  </si>
  <si>
    <t>IF090200</t>
  </si>
  <si>
    <t>FMS계정운용수익 수취</t>
  </si>
  <si>
    <t>IF090100</t>
  </si>
  <si>
    <t>외화차액결제</t>
  </si>
  <si>
    <t>IF080100</t>
  </si>
  <si>
    <t>중앙은행통화스왑 외화상환</t>
  </si>
  <si>
    <t>IF070740</t>
  </si>
  <si>
    <t>중앙은행통화스왑 외화사용</t>
  </si>
  <si>
    <t>IF070730</t>
  </si>
  <si>
    <t>중앙은행통화스왑 원화상환</t>
  </si>
  <si>
    <t>IF070720</t>
  </si>
  <si>
    <t>중앙은행통화스왑 원화사용</t>
  </si>
  <si>
    <t>IF070710</t>
  </si>
  <si>
    <t>중앙은행통화스왑 담보조정</t>
  </si>
  <si>
    <t>IF070640</t>
  </si>
  <si>
    <t>중앙은행통화스왑 이자지급</t>
  </si>
  <si>
    <t>IF070630</t>
  </si>
  <si>
    <t>외국중앙은행 통화스왑상환</t>
  </si>
  <si>
    <t>IF070620</t>
  </si>
  <si>
    <t>외국중앙은행 통화스왑인출</t>
  </si>
  <si>
    <t>IF070610</t>
  </si>
  <si>
    <t>국내통화스왑이자교환</t>
  </si>
  <si>
    <t>IF070300</t>
  </si>
  <si>
    <t>국내통화스왑만기상환</t>
  </si>
  <si>
    <t>IF070200</t>
  </si>
  <si>
    <t>국내통화스왑체결</t>
  </si>
  <si>
    <t>IF070100</t>
  </si>
  <si>
    <t>외화대출연계통화스왑이자교환</t>
  </si>
  <si>
    <t>IF061000</t>
  </si>
  <si>
    <t>외화대출연계통화스왑조기상환</t>
  </si>
  <si>
    <t>IF060900</t>
  </si>
  <si>
    <t>외화대출연계통화스왑정기분할상환</t>
  </si>
  <si>
    <t>IF060800</t>
  </si>
  <si>
    <t>외화대출연계통화스왑만기일시상환</t>
  </si>
  <si>
    <t>IF060700</t>
  </si>
  <si>
    <t>외화대출연계통화스왑체결</t>
  </si>
  <si>
    <t>IF060600</t>
  </si>
  <si>
    <t>통화스왑이자교환</t>
  </si>
  <si>
    <t>IF060500</t>
  </si>
  <si>
    <t>통화스왑조기상환</t>
  </si>
  <si>
    <t>IF060400</t>
  </si>
  <si>
    <t>통화스왑정기분할상환</t>
  </si>
  <si>
    <t>IF060300</t>
  </si>
  <si>
    <t>통화스왑만기일시상환</t>
  </si>
  <si>
    <t>IF060200</t>
  </si>
  <si>
    <t>통화스왑체결</t>
  </si>
  <si>
    <t>IF060100</t>
  </si>
  <si>
    <t>외화국내예탁 상환지연이자</t>
  </si>
  <si>
    <t>IF050400</t>
  </si>
  <si>
    <t>외화국내예탁이자</t>
  </si>
  <si>
    <t>IF050300</t>
  </si>
  <si>
    <t>외화국내예탁회수</t>
  </si>
  <si>
    <t>IF050200</t>
  </si>
  <si>
    <t>외화국내예탁</t>
  </si>
  <si>
    <t>IF050100</t>
  </si>
  <si>
    <t>담보관리수수료 납부</t>
  </si>
  <si>
    <t>IF040800</t>
  </si>
  <si>
    <t>통화스왑자금 외화대출 이자수취</t>
  </si>
  <si>
    <t>IF040730</t>
  </si>
  <si>
    <t>통화스왑자금 외화대출상환</t>
  </si>
  <si>
    <t>IF040720</t>
  </si>
  <si>
    <t>통화스왑자금 외화대출실시</t>
  </si>
  <si>
    <t>IF040710</t>
  </si>
  <si>
    <t>외화대출 회수</t>
  </si>
  <si>
    <t>IF040600</t>
  </si>
  <si>
    <t>외화대출 실시</t>
  </si>
  <si>
    <t>IF040500</t>
  </si>
  <si>
    <t>수출환어음담보대출회수</t>
  </si>
  <si>
    <t>IF040200</t>
  </si>
  <si>
    <t>수출환어음담보대출실행</t>
  </si>
  <si>
    <t>IF040100</t>
  </si>
  <si>
    <t>해외증권투자용스왑 환매</t>
  </si>
  <si>
    <t>IF030200</t>
  </si>
  <si>
    <t>해외증권투자용스왑 매각</t>
  </si>
  <si>
    <t>IF030100</t>
  </si>
  <si>
    <t>국내외환스왑매입환매</t>
  </si>
  <si>
    <t>IF021000</t>
  </si>
  <si>
    <t>국내외환스왑매입</t>
  </si>
  <si>
    <t>IF020900</t>
  </si>
  <si>
    <t>국내외환스왑매각환매</t>
  </si>
  <si>
    <t>IF020800</t>
  </si>
  <si>
    <t>국내외환스왑매각</t>
  </si>
  <si>
    <t>IF020700</t>
  </si>
  <si>
    <t>스왑환차손</t>
  </si>
  <si>
    <t>IF020600</t>
  </si>
  <si>
    <t>스왑환차익</t>
  </si>
  <si>
    <t>IF020500</t>
  </si>
  <si>
    <t>스왑프리미엄</t>
  </si>
  <si>
    <t>IF020400</t>
  </si>
  <si>
    <t>스왑코스트</t>
  </si>
  <si>
    <t>IF020300</t>
  </si>
  <si>
    <t>스왑환매</t>
  </si>
  <si>
    <t>IF020200</t>
  </si>
  <si>
    <t>스왑매입</t>
  </si>
  <si>
    <t>IF020100</t>
  </si>
  <si>
    <t>자금이체수수료</t>
  </si>
  <si>
    <t>IF010500</t>
  </si>
  <si>
    <t>외화수수료차기</t>
  </si>
  <si>
    <t>IF010400</t>
  </si>
  <si>
    <t>해외자금이체</t>
  </si>
  <si>
    <t>IF010300</t>
  </si>
  <si>
    <t>해외자금예치</t>
  </si>
  <si>
    <t>IF010200</t>
  </si>
  <si>
    <t>외화자금이체</t>
  </si>
  <si>
    <t>IF010100</t>
  </si>
  <si>
    <t>통상전표(국제금융)</t>
  </si>
  <si>
    <t>IF010099</t>
  </si>
  <si>
    <t>외환매매손익</t>
  </si>
  <si>
    <t>IF010092</t>
  </si>
  <si>
    <t>외환평가조정금 집중</t>
  </si>
  <si>
    <t>IF010091</t>
  </si>
  <si>
    <t>외환평가조정</t>
  </si>
  <si>
    <t>IF010090</t>
  </si>
  <si>
    <t>미결환일괄결제(국제금융)</t>
  </si>
  <si>
    <t>IF010080</t>
  </si>
  <si>
    <t>결산보정</t>
  </si>
  <si>
    <t>IF010070</t>
  </si>
  <si>
    <t>손익금이체(국제금융)</t>
  </si>
  <si>
    <t>IF010060</t>
  </si>
  <si>
    <t>외평융자보조원가충당금처리</t>
  </si>
  <si>
    <t>FF230500</t>
  </si>
  <si>
    <t>외평외화대출수수료지급</t>
  </si>
  <si>
    <t>FF230400</t>
  </si>
  <si>
    <t>외평외화대출이자수취</t>
  </si>
  <si>
    <t>FF230300</t>
  </si>
  <si>
    <t>외평외화대출상환</t>
  </si>
  <si>
    <t>FF230200</t>
  </si>
  <si>
    <t>외평외화대출실시</t>
  </si>
  <si>
    <t>FF230100</t>
  </si>
  <si>
    <t>부담금조정승인(과거-후-증)</t>
  </si>
  <si>
    <t>FF220900</t>
  </si>
  <si>
    <t>부담금조정승인(과거-후-감)</t>
  </si>
  <si>
    <t>FF220800</t>
  </si>
  <si>
    <t>부담금조정승인(당해-후-증)</t>
  </si>
  <si>
    <t>FF220700</t>
  </si>
  <si>
    <t>부담금조정승인(당해-후-감)</t>
  </si>
  <si>
    <t>FF220600</t>
  </si>
  <si>
    <t>부담금조정승인(당해-전-증)</t>
  </si>
  <si>
    <t>FF220500</t>
  </si>
  <si>
    <t>부담금조정승인(당해-전-감)</t>
  </si>
  <si>
    <t>FF220400</t>
  </si>
  <si>
    <t>부담금 납부결제(조정)</t>
  </si>
  <si>
    <t>FF220240</t>
  </si>
  <si>
    <t>부담금 납부결제(분할)</t>
  </si>
  <si>
    <t>FF220230</t>
  </si>
  <si>
    <t>부담금 납부결제(가산)</t>
  </si>
  <si>
    <t>FF220220</t>
  </si>
  <si>
    <t>부담금 납부결제(정상)</t>
  </si>
  <si>
    <t>FF220200</t>
  </si>
  <si>
    <t>부담금 정상고지</t>
  </si>
  <si>
    <t>FF220100</t>
  </si>
  <si>
    <t>외평외화환전이자처리</t>
  </si>
  <si>
    <t>FF210300</t>
  </si>
  <si>
    <t>외평외화환전원금처리</t>
  </si>
  <si>
    <t>FF210200</t>
  </si>
  <si>
    <t>외평외화환전기타예치</t>
  </si>
  <si>
    <t>FF210100</t>
  </si>
  <si>
    <t>외평KIC위탁원화환산</t>
  </si>
  <si>
    <t>FF200700</t>
  </si>
  <si>
    <t>외평KIC위탁실현손익</t>
  </si>
  <si>
    <t>FF200600</t>
  </si>
  <si>
    <t>외평KIC위탁시가평가</t>
  </si>
  <si>
    <t>FF200500</t>
  </si>
  <si>
    <t>외평KIC위탁분배금재예치</t>
  </si>
  <si>
    <t>FF200400</t>
  </si>
  <si>
    <t>외평KIC위탁분배금현금수령</t>
  </si>
  <si>
    <t>FF200300</t>
  </si>
  <si>
    <t>외평KIC위탁분배금확정</t>
  </si>
  <si>
    <t>FF200200</t>
  </si>
  <si>
    <t>외평KIC신규위탁</t>
  </si>
  <si>
    <t>FF200100</t>
  </si>
  <si>
    <t>채권형펀드 평가</t>
  </si>
  <si>
    <t>FF190300</t>
  </si>
  <si>
    <t>채권형펀드 출금</t>
  </si>
  <si>
    <t>FF190200</t>
  </si>
  <si>
    <t>채권형펀드 입금</t>
  </si>
  <si>
    <t>FF190100</t>
  </si>
  <si>
    <t>외평기금 출자</t>
  </si>
  <si>
    <t>FF180100</t>
  </si>
  <si>
    <t>MMF 평가</t>
  </si>
  <si>
    <t>FF170300</t>
  </si>
  <si>
    <t>MMF 출금</t>
  </si>
  <si>
    <t>FF170200</t>
  </si>
  <si>
    <t>MMF 입금</t>
  </si>
  <si>
    <t>FF170100</t>
  </si>
  <si>
    <t>공공자금관리기금이자지급</t>
  </si>
  <si>
    <t>FF160300</t>
  </si>
  <si>
    <t>공공자금관리기금상환</t>
  </si>
  <si>
    <t>FF160200</t>
  </si>
  <si>
    <t>공공자금관리기금예수금수취</t>
  </si>
  <si>
    <t>FF160100</t>
  </si>
  <si>
    <t>NDF 차액정산</t>
  </si>
  <si>
    <t>FF150000</t>
  </si>
  <si>
    <t>외평유가증권이자</t>
  </si>
  <si>
    <t>FF140400</t>
  </si>
  <si>
    <t>외평유가증권매각</t>
  </si>
  <si>
    <t>FF140300</t>
  </si>
  <si>
    <t>외평유가증권상환</t>
  </si>
  <si>
    <t>FF140200</t>
  </si>
  <si>
    <t>외평유가증권매입</t>
  </si>
  <si>
    <t>FF140100</t>
  </si>
  <si>
    <t>감채기금이자</t>
  </si>
  <si>
    <t>FF130300</t>
  </si>
  <si>
    <t>감채기금반환</t>
  </si>
  <si>
    <t>FF130200</t>
  </si>
  <si>
    <t>감채기금예수금</t>
  </si>
  <si>
    <t>FF130100</t>
  </si>
  <si>
    <t>외평채발행차금수정</t>
  </si>
  <si>
    <t>FF121400</t>
  </si>
  <si>
    <t>외평채상환</t>
  </si>
  <si>
    <t>FF121300</t>
  </si>
  <si>
    <t>외평채발행</t>
  </si>
  <si>
    <t>FF121200</t>
  </si>
  <si>
    <t>외평채수수료</t>
  </si>
  <si>
    <t>FF121100</t>
  </si>
  <si>
    <t>외평채선매출</t>
  </si>
  <si>
    <t>FF120800</t>
  </si>
  <si>
    <t>외평채상환-이표채</t>
  </si>
  <si>
    <t>FF120700</t>
  </si>
  <si>
    <t>외평채발행차금</t>
  </si>
  <si>
    <t>FF120600</t>
  </si>
  <si>
    <t>외평채이자-이표채</t>
  </si>
  <si>
    <t>FF120400</t>
  </si>
  <si>
    <t>외평채발행-이표채</t>
  </si>
  <si>
    <t>FF120100</t>
  </si>
  <si>
    <t>외평손익금이체</t>
  </si>
  <si>
    <t>FF110100</t>
  </si>
  <si>
    <t>외평재수정분개</t>
  </si>
  <si>
    <t>FF100600</t>
  </si>
  <si>
    <t>외평기금보정</t>
  </si>
  <si>
    <t>FF100100</t>
  </si>
  <si>
    <t>외평파생상품평가손</t>
  </si>
  <si>
    <t>FF090600</t>
  </si>
  <si>
    <t>외평파생상품평가익</t>
  </si>
  <si>
    <t>FF090500</t>
  </si>
  <si>
    <t>외평외환평가손</t>
  </si>
  <si>
    <t>FF090200</t>
  </si>
  <si>
    <t>외평외환평가익</t>
  </si>
  <si>
    <t>FF090100</t>
  </si>
  <si>
    <t>채권발행비지급</t>
  </si>
  <si>
    <t>FF080300</t>
  </si>
  <si>
    <t>예산역이체결제</t>
  </si>
  <si>
    <t>FF080200</t>
  </si>
  <si>
    <t>예산전금취결</t>
  </si>
  <si>
    <t>FF080100</t>
  </si>
  <si>
    <t>외평원화콜론회수</t>
  </si>
  <si>
    <t>FF070200</t>
  </si>
  <si>
    <t>외평원화콜론실시</t>
  </si>
  <si>
    <t>FF070100</t>
  </si>
  <si>
    <t>외평외화콜론회수</t>
  </si>
  <si>
    <t>FF060200</t>
  </si>
  <si>
    <t>외평외화콜론실시</t>
  </si>
  <si>
    <t>FF060100</t>
  </si>
  <si>
    <t>외평위탁선취이자</t>
  </si>
  <si>
    <t>FF050900</t>
  </si>
  <si>
    <t>외평금융기관위탁상환</t>
  </si>
  <si>
    <t>FF050800</t>
  </si>
  <si>
    <t>외평금융기관위탁실시</t>
  </si>
  <si>
    <t>FF050700</t>
  </si>
  <si>
    <t>외평위탁지급수수료</t>
  </si>
  <si>
    <t>FF050600</t>
  </si>
  <si>
    <t>외평금융기관예탁상환</t>
  </si>
  <si>
    <t>FF050500</t>
  </si>
  <si>
    <t>외평금융기관예탁실시</t>
  </si>
  <si>
    <t>FF050400</t>
  </si>
  <si>
    <t>외평O/N이자수취</t>
  </si>
  <si>
    <t>FF050300</t>
  </si>
  <si>
    <t>외평O/N해지</t>
  </si>
  <si>
    <t>FF050200</t>
  </si>
  <si>
    <t>외평O/N예치</t>
  </si>
  <si>
    <t>FF050100</t>
  </si>
  <si>
    <t>외평국내통화스왑이자</t>
  </si>
  <si>
    <t>FF040500</t>
  </si>
  <si>
    <t>외평국내통화스왑상환</t>
  </si>
  <si>
    <t>FF040400</t>
  </si>
  <si>
    <t>외평국내통화스왑체결</t>
  </si>
  <si>
    <t>FF040300</t>
  </si>
  <si>
    <t>외평정기예치해지</t>
  </si>
  <si>
    <t>FF040200</t>
  </si>
  <si>
    <t>외평정기예치예치</t>
  </si>
  <si>
    <t>FF040100</t>
  </si>
  <si>
    <t>통화스왑 이자지급</t>
  </si>
  <si>
    <t>FF030900</t>
  </si>
  <si>
    <t>통화스왑 상환</t>
  </si>
  <si>
    <t>FF030800</t>
  </si>
  <si>
    <t>통화스왑</t>
  </si>
  <si>
    <t>FF030700</t>
  </si>
  <si>
    <t>외평외환스왑매입</t>
  </si>
  <si>
    <t>FF030600</t>
  </si>
  <si>
    <t>외평외환스왑매입환매</t>
  </si>
  <si>
    <t>FF030500</t>
  </si>
  <si>
    <t>외평외환스왑매각</t>
  </si>
  <si>
    <t>FF030400</t>
  </si>
  <si>
    <t>외평외환스왑매각환매</t>
  </si>
  <si>
    <t>FF030300</t>
  </si>
  <si>
    <t>외평외환단순매각</t>
  </si>
  <si>
    <t>FF030200</t>
  </si>
  <si>
    <t>외평외환단순매입</t>
  </si>
  <si>
    <t>FF030100</t>
  </si>
  <si>
    <t>정부출연</t>
  </si>
  <si>
    <t>FF020100</t>
  </si>
  <si>
    <t>외평채권국세환급</t>
  </si>
  <si>
    <t>FF010800</t>
  </si>
  <si>
    <t>할인채상환</t>
  </si>
  <si>
    <t>FF010700</t>
  </si>
  <si>
    <t>이부채상환</t>
  </si>
  <si>
    <t>FF010600</t>
  </si>
  <si>
    <t>할인채발행</t>
  </si>
  <si>
    <t>FF010500</t>
  </si>
  <si>
    <t>이부채당일발행</t>
  </si>
  <si>
    <t>FF010400</t>
  </si>
  <si>
    <t>외평통상전표</t>
  </si>
  <si>
    <t>FF000000</t>
  </si>
  <si>
    <t>국투단기대여결제</t>
  </si>
  <si>
    <t>EG300002</t>
  </si>
  <si>
    <t>국투단기대여</t>
  </si>
  <si>
    <t>EG300001</t>
  </si>
  <si>
    <t>국투대하원금건별기일결제</t>
  </si>
  <si>
    <t>EG200007</t>
  </si>
  <si>
    <t>국투대하원금기일결제</t>
  </si>
  <si>
    <t>EG200006</t>
  </si>
  <si>
    <t>국투연불자금이자내입회수</t>
  </si>
  <si>
    <t>EG200005</t>
  </si>
  <si>
    <t>국투대하내입회수</t>
  </si>
  <si>
    <t>EG200004</t>
  </si>
  <si>
    <t>국투국산기계구입자금이자결제</t>
  </si>
  <si>
    <t>EG200003</t>
  </si>
  <si>
    <t>국투대하이자건별기일결제</t>
  </si>
  <si>
    <t>EG200002</t>
  </si>
  <si>
    <t>국투대하이자기일결제</t>
  </si>
  <si>
    <t>EG200001</t>
  </si>
  <si>
    <t>국투예탁이자건별결제</t>
  </si>
  <si>
    <t>EG100002</t>
  </si>
  <si>
    <t>국투예탁이자일괄기일결제</t>
  </si>
  <si>
    <t>EG100001</t>
  </si>
  <si>
    <t>당좌수표책대금징수</t>
  </si>
  <si>
    <t>DP991100</t>
  </si>
  <si>
    <t>최적화관련 일중대출</t>
  </si>
  <si>
    <t>DP880000</t>
  </si>
  <si>
    <t>DP160011</t>
  </si>
  <si>
    <t>통신회선사용료차기(한은망서버)</t>
  </si>
  <si>
    <t>DP151000</t>
  </si>
  <si>
    <t>이체-거액앞(WIRE)</t>
  </si>
  <si>
    <t>DP140099</t>
  </si>
  <si>
    <t>DP140011</t>
  </si>
  <si>
    <t>이체-거액앞(당행)</t>
  </si>
  <si>
    <t>DP140000</t>
  </si>
  <si>
    <t>자금조정예금상환</t>
  </si>
  <si>
    <t>DP131000</t>
  </si>
  <si>
    <t>자금조정예금이체(WIRE)</t>
  </si>
  <si>
    <t>DP130099</t>
  </si>
  <si>
    <t>자금조정예금이체(당행)</t>
  </si>
  <si>
    <t>DP130000</t>
  </si>
  <si>
    <t>DP120299</t>
  </si>
  <si>
    <t>증권결제대금입금(WIRE)</t>
  </si>
  <si>
    <t>DP120199</t>
  </si>
  <si>
    <t>증권결제대금입금</t>
  </si>
  <si>
    <t>DP120100</t>
  </si>
  <si>
    <t>DP120016</t>
  </si>
  <si>
    <t>DP120015</t>
  </si>
  <si>
    <t>DP120014</t>
  </si>
  <si>
    <t>일중RP 결제준비금 상환</t>
  </si>
  <si>
    <t>DP120013</t>
  </si>
  <si>
    <t>DP120012</t>
  </si>
  <si>
    <t>DP120011</t>
  </si>
  <si>
    <t>SWIFT망이용수수료 가지급처리</t>
  </si>
  <si>
    <t>DP113000</t>
  </si>
  <si>
    <t>DP112099</t>
  </si>
  <si>
    <t>DP111099</t>
  </si>
  <si>
    <t>DP111000</t>
  </si>
  <si>
    <t>당좌예금차기(WIRE)</t>
  </si>
  <si>
    <t>DP100099</t>
  </si>
  <si>
    <t>당좌예금차기</t>
  </si>
  <si>
    <t>DP100000</t>
  </si>
  <si>
    <t>자기앞수표타소대급결제</t>
  </si>
  <si>
    <t>DP092200</t>
  </si>
  <si>
    <t>자기앞수표결제</t>
  </si>
  <si>
    <t>DP092100</t>
  </si>
  <si>
    <t>자기앞수표발행</t>
  </si>
  <si>
    <t>DP091100</t>
  </si>
  <si>
    <t>통안계정이자지급</t>
  </si>
  <si>
    <t>DP083000</t>
  </si>
  <si>
    <t>통안을계정출금</t>
  </si>
  <si>
    <t>DP082200</t>
  </si>
  <si>
    <t>통화안정계정출금</t>
  </si>
  <si>
    <t>DP082100</t>
  </si>
  <si>
    <t>통안을계정입금</t>
  </si>
  <si>
    <t>DP081200</t>
  </si>
  <si>
    <t>통화안정계정입금</t>
  </si>
  <si>
    <t>DP081100</t>
  </si>
  <si>
    <t>수취인지정보수정산</t>
  </si>
  <si>
    <t>DP070000</t>
  </si>
  <si>
    <t>국공채수수료차기</t>
  </si>
  <si>
    <t>DP063000</t>
  </si>
  <si>
    <t>DP062000</t>
  </si>
  <si>
    <t>원화수수료차기</t>
  </si>
  <si>
    <t>DP061000</t>
  </si>
  <si>
    <t>차액결제취소</t>
  </si>
  <si>
    <t>DP053000</t>
  </si>
  <si>
    <t>예약자금이체결제</t>
  </si>
  <si>
    <t>DP052600</t>
  </si>
  <si>
    <t>콜상환</t>
  </si>
  <si>
    <t>DP052500</t>
  </si>
  <si>
    <t>오후반일물콜체결</t>
  </si>
  <si>
    <t>DP052400</t>
  </si>
  <si>
    <t>공동분담(오후)</t>
  </si>
  <si>
    <t>DP052300</t>
  </si>
  <si>
    <t>자기앞수표자금조정</t>
  </si>
  <si>
    <t>DP052200</t>
  </si>
  <si>
    <t>어음교환(오후)</t>
  </si>
  <si>
    <t>DP052100</t>
  </si>
  <si>
    <t>DP051700</t>
  </si>
  <si>
    <t>DP051600</t>
  </si>
  <si>
    <t>DP051500</t>
  </si>
  <si>
    <t>DP051400</t>
  </si>
  <si>
    <t>DP051300</t>
  </si>
  <si>
    <t>DP051200</t>
  </si>
  <si>
    <t>DP051100</t>
  </si>
  <si>
    <t>DP051000</t>
  </si>
  <si>
    <t>DP050900</t>
  </si>
  <si>
    <t>DP050800</t>
  </si>
  <si>
    <t>공동분담(오전)</t>
  </si>
  <si>
    <t>DP050700</t>
  </si>
  <si>
    <t>DP050600</t>
  </si>
  <si>
    <t>DP050500</t>
  </si>
  <si>
    <t>DP050400</t>
  </si>
  <si>
    <t>DP050300</t>
  </si>
  <si>
    <t>DP050100</t>
  </si>
  <si>
    <t>차액관련일중대출</t>
  </si>
  <si>
    <t>DP050000</t>
  </si>
  <si>
    <t>DP040099</t>
  </si>
  <si>
    <t>콜상환(최적화대기결제)</t>
  </si>
  <si>
    <t>DP040088</t>
  </si>
  <si>
    <t>DP040066</t>
  </si>
  <si>
    <t>DP040055</t>
  </si>
  <si>
    <t>DP040044</t>
  </si>
  <si>
    <t>DP040011</t>
  </si>
  <si>
    <t>콜체결</t>
  </si>
  <si>
    <t>DP030099</t>
  </si>
  <si>
    <t>콜체결(최적화대기결제)</t>
  </si>
  <si>
    <t>DP030088</t>
  </si>
  <si>
    <t>DP030067</t>
  </si>
  <si>
    <t>DP030066</t>
  </si>
  <si>
    <t>콜반환(양자간)</t>
  </si>
  <si>
    <t>DP030056</t>
  </si>
  <si>
    <t>DP030055</t>
  </si>
  <si>
    <t>DP030012</t>
  </si>
  <si>
    <t>DP030011</t>
  </si>
  <si>
    <t>DP020099</t>
  </si>
  <si>
    <t>DP020088</t>
  </si>
  <si>
    <t>예약가능확인</t>
  </si>
  <si>
    <t>DP020077</t>
  </si>
  <si>
    <t>DP020066</t>
  </si>
  <si>
    <t>DP020055</t>
  </si>
  <si>
    <t>DP020013</t>
  </si>
  <si>
    <t>DP020012</t>
  </si>
  <si>
    <t>DP020011</t>
  </si>
  <si>
    <t>DP020000</t>
  </si>
  <si>
    <t>현금출금(WIRE)</t>
  </si>
  <si>
    <t>DP012199</t>
  </si>
  <si>
    <t>현금출금(당행)</t>
  </si>
  <si>
    <t>DP012100</t>
  </si>
  <si>
    <t>출납현금입금</t>
  </si>
  <si>
    <t>DP011200</t>
  </si>
  <si>
    <t>당좌예금입금</t>
  </si>
  <si>
    <t>DP011100</t>
  </si>
  <si>
    <t>최대당좌잔액 초과분이체(CS)</t>
  </si>
  <si>
    <t>CS017100</t>
  </si>
  <si>
    <t>CS수수료차기-예탁원수수료(CS)</t>
  </si>
  <si>
    <t>CS016200</t>
  </si>
  <si>
    <t>CS수수료차기-당행분(CS)</t>
  </si>
  <si>
    <t>CS016100</t>
  </si>
  <si>
    <t>원리금수령(CS)-할인채</t>
  </si>
  <si>
    <t>CS015200</t>
  </si>
  <si>
    <t>원리금수령(CS)-이표채</t>
  </si>
  <si>
    <t>CS015100</t>
  </si>
  <si>
    <t>이자수령(CS)</t>
  </si>
  <si>
    <t>CS014000</t>
  </si>
  <si>
    <t>분리결제-증권매도(CS)</t>
  </si>
  <si>
    <t>CS013600</t>
  </si>
  <si>
    <t>분리결제-증권매수(CS)</t>
  </si>
  <si>
    <t>CS013500</t>
  </si>
  <si>
    <t>DVP-증권매도(CS)</t>
  </si>
  <si>
    <t>CS013200</t>
  </si>
  <si>
    <t>DVP-증권매수(CS)</t>
  </si>
  <si>
    <t>CS013100</t>
  </si>
  <si>
    <t>미결제환 자금반환(CS)</t>
  </si>
  <si>
    <t>CS012300</t>
  </si>
  <si>
    <t>미결제환 결제(CS)</t>
  </si>
  <si>
    <t>CS012200</t>
  </si>
  <si>
    <t>한은금융망-자금이체(CS)</t>
  </si>
  <si>
    <t>CS012100</t>
  </si>
  <si>
    <t>자금 반환</t>
  </si>
  <si>
    <t>CS011200</t>
  </si>
  <si>
    <t>자금지급지시(CS)-국제국앞환취결</t>
  </si>
  <si>
    <t>CS011100</t>
  </si>
  <si>
    <t>자금 지급 지시(CS)</t>
  </si>
  <si>
    <t>CS011000</t>
  </si>
  <si>
    <t>교환계마감</t>
  </si>
  <si>
    <t>BI901053</t>
  </si>
  <si>
    <t>수납계마감</t>
  </si>
  <si>
    <t>BI901052</t>
  </si>
  <si>
    <t>지급계마감</t>
  </si>
  <si>
    <t>BI901051</t>
  </si>
  <si>
    <t>정감사천공</t>
  </si>
  <si>
    <t>BI601010</t>
  </si>
  <si>
    <t>소각처리</t>
  </si>
  <si>
    <t>BI504020</t>
  </si>
  <si>
    <t>소각현송</t>
  </si>
  <si>
    <t>BI504010</t>
  </si>
  <si>
    <t>제조수납</t>
  </si>
  <si>
    <t>BI503010</t>
  </si>
  <si>
    <t>부서간현수</t>
  </si>
  <si>
    <t>BI502020</t>
  </si>
  <si>
    <t>부서간현송</t>
  </si>
  <si>
    <t>BI502010</t>
  </si>
  <si>
    <t>과간현수</t>
  </si>
  <si>
    <t>BI501020</t>
  </si>
  <si>
    <t>과간현송</t>
  </si>
  <si>
    <t>BI501010</t>
  </si>
  <si>
    <t>51호화폐상태변경</t>
  </si>
  <si>
    <t>BI405010</t>
  </si>
  <si>
    <t>소손권교환</t>
  </si>
  <si>
    <t>BI404010</t>
  </si>
  <si>
    <t>견양폐기</t>
  </si>
  <si>
    <t>BI403010</t>
  </si>
  <si>
    <t>소손소각</t>
  </si>
  <si>
    <t>BI402010</t>
  </si>
  <si>
    <t>출입고</t>
  </si>
  <si>
    <t>BI401010</t>
  </si>
  <si>
    <t>금융기관수납</t>
  </si>
  <si>
    <t>BI302020</t>
  </si>
  <si>
    <t>금융기관지급</t>
  </si>
  <si>
    <t>BI302010</t>
  </si>
  <si>
    <t>일반수납</t>
  </si>
  <si>
    <t>BI301020</t>
  </si>
  <si>
    <t>일반지급</t>
  </si>
  <si>
    <t>BI301010</t>
  </si>
  <si>
    <t>예산기타</t>
  </si>
  <si>
    <t>AD999900</t>
  </si>
  <si>
    <t>국제금융기구출연금</t>
  </si>
  <si>
    <t>AD210200</t>
  </si>
  <si>
    <t>신용카드대금결제</t>
  </si>
  <si>
    <t>AD030000</t>
  </si>
  <si>
    <t>국외사무소송금</t>
  </si>
  <si>
    <t>AD020000</t>
  </si>
  <si>
    <t>계좌출금방식수입및환입</t>
  </si>
  <si>
    <t>AD010900</t>
  </si>
  <si>
    <t>국외자본예산집행</t>
  </si>
  <si>
    <t>AD010700</t>
  </si>
  <si>
    <t>국외일반관리비집행</t>
  </si>
  <si>
    <t>AD010600</t>
  </si>
  <si>
    <t>국내자본예산집행</t>
  </si>
  <si>
    <t>AD010400</t>
  </si>
  <si>
    <t>국내부서비목정정</t>
  </si>
  <si>
    <t>AD010300</t>
  </si>
  <si>
    <t>국내부서예산환입</t>
  </si>
  <si>
    <t>AD010200</t>
  </si>
  <si>
    <t>국내일반관리비집행</t>
  </si>
  <si>
    <t>AD010100</t>
  </si>
  <si>
    <t>미결환일괄결제</t>
  </si>
  <si>
    <t>AC090000</t>
  </si>
  <si>
    <t>대지방환거래대체</t>
  </si>
  <si>
    <t>AC080000</t>
  </si>
  <si>
    <t>화폐각점대체</t>
  </si>
  <si>
    <t>AC070000</t>
  </si>
  <si>
    <t>이익잉여금 처분</t>
  </si>
  <si>
    <t>AC060000</t>
  </si>
  <si>
    <t>손익금이체</t>
  </si>
  <si>
    <t>AC050000</t>
  </si>
  <si>
    <t>결산 재수정</t>
  </si>
  <si>
    <t>AC040000</t>
  </si>
  <si>
    <t>결산수정</t>
  </si>
  <si>
    <t>AC030000</t>
  </si>
  <si>
    <t>금결국정사과부족처리</t>
  </si>
  <si>
    <t>AC022000</t>
  </si>
  <si>
    <t>현금입출금정산환거래</t>
  </si>
  <si>
    <t>AC021000</t>
  </si>
  <si>
    <t>통상전표</t>
  </si>
  <si>
    <t>AC010099</t>
  </si>
  <si>
    <t>계정이체</t>
  </si>
  <si>
    <t>AC010098</t>
  </si>
  <si>
    <t>정사부족금일괄출금(수신)</t>
  </si>
  <si>
    <t>AC010097</t>
  </si>
  <si>
    <t>LINK</t>
    <phoneticPr fontId="1" type="noConversion"/>
  </si>
  <si>
    <t>목록으로 이동</t>
    <phoneticPr fontId="17" type="noConversion"/>
  </si>
  <si>
    <t>바로가기</t>
    <phoneticPr fontId="17" type="noConversion"/>
  </si>
  <si>
    <t>별첨5</t>
    <phoneticPr fontId="1" type="noConversion"/>
  </si>
  <si>
    <t>별첨6</t>
    <phoneticPr fontId="1" type="noConversion"/>
  </si>
  <si>
    <t>순번</t>
    <phoneticPr fontId="1" type="noConversion"/>
  </si>
  <si>
    <t>바로가기</t>
    <phoneticPr fontId="1" type="noConversion"/>
  </si>
  <si>
    <t>목록으로 이동</t>
    <phoneticPr fontId="1" type="noConversion"/>
  </si>
  <si>
    <t>코드명</t>
    <phoneticPr fontId="1" type="noConversion"/>
  </si>
  <si>
    <t>증권대금코드</t>
    <phoneticPr fontId="17" type="noConversion"/>
  </si>
  <si>
    <t>자금코드</t>
    <phoneticPr fontId="17" type="noConversion"/>
  </si>
  <si>
    <t>결제실패원인코드</t>
    <phoneticPr fontId="17" type="noConversion"/>
  </si>
  <si>
    <t>거래유형코드</t>
    <phoneticPr fontId="1" type="noConversion"/>
  </si>
  <si>
    <t>Ⅰ. 전문작성 개요</t>
    <phoneticPr fontId="1" type="noConversion"/>
  </si>
  <si>
    <t>Ⅲ. 별첨</t>
    <phoneticPr fontId="1" type="noConversion"/>
  </si>
  <si>
    <t>개요명</t>
    <phoneticPr fontId="1" type="noConversion"/>
  </si>
  <si>
    <t>Ⅱ. 전문 개별부</t>
    <phoneticPr fontId="1" type="noConversion"/>
  </si>
  <si>
    <t>거래유형코드명</t>
    <phoneticPr fontId="1" type="noConversion"/>
  </si>
  <si>
    <t>수수료종류코드명</t>
    <phoneticPr fontId="17" type="noConversion"/>
  </si>
  <si>
    <t xml:space="preserve">속성 </t>
    <phoneticPr fontId="1" type="noConversion"/>
  </si>
  <si>
    <t>전문 공통부</t>
    <phoneticPr fontId="1" type="noConversion"/>
  </si>
  <si>
    <t>항목</t>
  </si>
  <si>
    <t>길이</t>
  </si>
  <si>
    <t>속성</t>
  </si>
  <si>
    <t>SET</t>
  </si>
  <si>
    <t>System ID</t>
  </si>
  <si>
    <t>‘BOK’</t>
  </si>
  <si>
    <t>전문종별 코드</t>
  </si>
  <si>
    <t>영업일자</t>
  </si>
  <si>
    <t>STATUS</t>
  </si>
  <si>
    <t>응답코드</t>
  </si>
  <si>
    <t>전문관리번호</t>
  </si>
  <si>
    <t>전문전송시간</t>
  </si>
  <si>
    <t>YYYYMMDDhhmmss</t>
  </si>
  <si>
    <t>참조번호</t>
  </si>
  <si>
    <t>송신기관코드</t>
  </si>
  <si>
    <t>수신기관코드</t>
  </si>
  <si>
    <t>암호화 여부</t>
  </si>
  <si>
    <t>Y/N</t>
  </si>
  <si>
    <t>전송횟수</t>
  </si>
  <si>
    <t>참가기관 ID</t>
  </si>
  <si>
    <t>한국은행이 부여한 ID</t>
  </si>
  <si>
    <t>참가기관 비밀번호</t>
  </si>
  <si>
    <t>참가기관에 등록된 비밀번호</t>
  </si>
  <si>
    <t>개별부 전문길이(전문 상세에 기재된 전문 길이 기재 – 200)</t>
    <phoneticPr fontId="1" type="noConversion"/>
  </si>
  <si>
    <t>전문 상세에 기재된 거래구분코드 기재</t>
    <phoneticPr fontId="1" type="noConversion"/>
  </si>
  <si>
    <t>포맷오류가 발생한 경우 항목 번호</t>
    <phoneticPr fontId="1" type="noConversion"/>
  </si>
  <si>
    <t>영업일자(8) + 참가기관(4) + 일련번호(8) 형식으로 중복되지 않게 생성</t>
    <phoneticPr fontId="1" type="noConversion"/>
  </si>
  <si>
    <t>전문 전송횟수를 기재, 재전송하는 경우 전송시마다 +1</t>
    <phoneticPr fontId="1" type="noConversion"/>
  </si>
  <si>
    <t xml:space="preserve">전문 종류(2) + 요구 또는 통보/응답(2)
 - 전문 종류 : 02(업무전문), 08(관리전문)
 - 요구 또는 통보/응답 구분 : 00(요구 또는 통보), 10(응답) </t>
    <phoneticPr fontId="1" type="noConversion"/>
  </si>
  <si>
    <t>전문송신 Byte 수</t>
    <phoneticPr fontId="1" type="noConversion"/>
  </si>
  <si>
    <t>2) 전문 공통부(200 Byte)</t>
    <phoneticPr fontId="1" type="noConversion"/>
  </si>
  <si>
    <t>&lt;별첨1&gt; 참조</t>
    <phoneticPr fontId="1" type="noConversion"/>
  </si>
  <si>
    <t>전문간에 연관관계가 있는 경우 원전문의 전문관리번호
채번방식은 전문관리번호와 동일</t>
    <phoneticPr fontId="1" type="noConversion"/>
  </si>
  <si>
    <t>584</t>
    <phoneticPr fontId="1" type="noConversion"/>
  </si>
  <si>
    <t>필수</t>
    <phoneticPr fontId="1" type="noConversion"/>
  </si>
  <si>
    <t>O</t>
    <phoneticPr fontId="1" type="noConversion"/>
  </si>
  <si>
    <t>이체기관점포코드</t>
    <phoneticPr fontId="1" type="noConversion"/>
  </si>
  <si>
    <t>SPACE</t>
    <phoneticPr fontId="1" type="noConversion"/>
  </si>
  <si>
    <t>이체의뢰기관</t>
    <phoneticPr fontId="1" type="noConversion"/>
  </si>
  <si>
    <t>■ 'Ⅰ. 전문작성 개요 &gt; 전문 공통부' 참조</t>
    <phoneticPr fontId="1" type="noConversion"/>
  </si>
  <si>
    <t>■ 자금이체 금액</t>
    <phoneticPr fontId="1" type="noConversion"/>
  </si>
  <si>
    <t>■ 자금이체 의뢰기관명</t>
    <phoneticPr fontId="1" type="noConversion"/>
  </si>
  <si>
    <t>■ 자금이체 적요</t>
    <phoneticPr fontId="1" type="noConversion"/>
  </si>
  <si>
    <t>■ 자금이체기관 점포코드</t>
    <phoneticPr fontId="1" type="noConversion"/>
  </si>
  <si>
    <t>■ 자금이체기관 점포명</t>
    <phoneticPr fontId="1" type="noConversion"/>
  </si>
  <si>
    <t>■ 자금수취기관 점포코드</t>
    <phoneticPr fontId="1" type="noConversion"/>
  </si>
  <si>
    <t>■ 자금수취기관 점포명</t>
    <phoneticPr fontId="1" type="noConversion"/>
  </si>
  <si>
    <t>수취인명</t>
    <phoneticPr fontId="1" type="noConversion"/>
  </si>
  <si>
    <t>■ 수취인명</t>
    <phoneticPr fontId="1" type="noConversion"/>
  </si>
  <si>
    <t>■ 자금이체시 등록순번의 일련번호</t>
    <phoneticPr fontId="1" type="noConversion"/>
  </si>
  <si>
    <t>■ 당좌예금(일반) 잔액 - 계정개설처 금융업무실 또는 지역본부</t>
    <phoneticPr fontId="1" type="noConversion"/>
  </si>
  <si>
    <t>■ 당좌예금(결제전용) 잔액 - 계정개설처 결제운영팀</t>
    <phoneticPr fontId="1" type="noConversion"/>
  </si>
  <si>
    <t>■ 일중당좌대출가능금액 - 당좌예금(결제전용) 계정개설처 결제운영팀</t>
    <phoneticPr fontId="1" type="noConversion"/>
  </si>
  <si>
    <t>■ 이체기관 가용총순지급한도금액</t>
    <phoneticPr fontId="1" type="noConversion"/>
  </si>
  <si>
    <t>■ 이체기관 및 수취기관간 가용순지급한도금액</t>
    <phoneticPr fontId="1" type="noConversion"/>
  </si>
  <si>
    <t>■ 자금이체 결제 예약번호
■ 결제상태별 예약번호
1) 결제상태가 ‘1 : 예약’ 인 경우
 - 예약순번의 일련번호
2) 결제상태가 ‘2 : 대기’ 또는 '3 : 결제' 인 경우 해당 없으므로 빈값
 - 00000</t>
    <phoneticPr fontId="1" type="noConversion"/>
  </si>
  <si>
    <t>■ 자금이체 결제 대기번호(기관별)
■ 결제상태별 대기번호
1) 결제상태가 ‘2 : 대기’ 인 경우
 - 대기순번의 일련번호
2) 결제상태가 ‘1 : 예약’ 또는 '3 : 결제' 인 경우 해당 없으므로 빈값
 - 00000</t>
    <phoneticPr fontId="1" type="noConversion"/>
  </si>
  <si>
    <t>■ 자금이체 결제 대기순번(전체기관)
■ 결제상태별 대기순번
1) 결제상태가 ‘2 : 대기’ 인 경우
 - 지급지시유형 + 전체기관대기순번 + 조정대기번호
2) 결제상태가 ‘1 : 예약’ 또는 '3 : 결제' 인 경우 해당 없으므로 빈값
 - SPACE</t>
    <phoneticPr fontId="1" type="noConversion"/>
  </si>
  <si>
    <t>■ 자금이체 결제시 한국은행 내부 회계처리번호
■ 결제상태별 회계번호
1) 결제상태가 ‘3 : 결제’ 인 경우
 - 회계번호
2) 결제상태가 ‘1 : 예약’ 또는 ‘2 : 대기’ 인 경우 해당 없으므로 빈값
 - SPACE</t>
    <phoneticPr fontId="1" type="noConversion"/>
  </si>
  <si>
    <t>■ 자금이체 결제처리 상태를 구분하는 코드
 - 유효값 : '1 : 예약', '2 : 대기', '3 : 결제'
■ 결제시점별 결재상태
1) 결제시점 '1 : 즉시' 인 경우에 당좌잔액 충족하여, 즉시결제 처리된 경우
 - '3 : 결제'
2) 결제시점 '1 : 즉시' 인 경우에 당좌잔액 부족하여, 결제대기 처리된 경우
 - '2 : 대기'
3) 결제시점 '2 : 예약' 인 경우
 - '1 : 예약'</t>
    <phoneticPr fontId="1" type="noConversion"/>
  </si>
  <si>
    <t>■ 자금이체 결제실패시 원인에 대한 유형을 구분하는 코드
 - 유효값 : &lt;별첨6&gt; 참조</t>
    <phoneticPr fontId="1" type="noConversion"/>
  </si>
  <si>
    <t>■ 자금이체시 자금의 종류를 구분하는 코드
 - 유효값 : &lt;별첨4&gt; 참조
■ 일반자금이체시 자금코드 제한
1) '1010 : 대리교환 교환승' 일 경우 아래 대상 기관분류만 가능
 - B0 : 일반은행, B1 : 시중은행, B2 : 지방은행, C0 : 특수은행, D0 : 개발기관
2) '1020 : 대리교환 교환부' 일 경우 아래 대상 기관분류만 가능
 - B3 : 외국은행지점
3) 그 외 불가
 - 3310 : 자사의 주식매수대금
 - 3330 : 기타기관의 주식매수대금
 - 3710 : 연쇄결제대금 자금이체
 - 5420 : 거래고객의 이체의뢰자금
 - 5500 : 자행(사)본지점간 자금이체</t>
    <phoneticPr fontId="1" type="noConversion"/>
  </si>
  <si>
    <t>■ 자금이체 금액</t>
    <phoneticPr fontId="1" type="noConversion"/>
  </si>
  <si>
    <t>■ 마감후 자금이체시 신청순번의 일련번호</t>
    <phoneticPr fontId="1" type="noConversion"/>
  </si>
  <si>
    <t>D</t>
    <phoneticPr fontId="1" type="noConversion"/>
  </si>
  <si>
    <t>■ 자금이체 결제시 한국은행 내부 회계처리번호
 - SPACE</t>
    <phoneticPr fontId="1" type="noConversion"/>
  </si>
  <si>
    <t>■ 자금이체 결제실패시 원인에 대한 유형을 구분하는 코드
■ 정상처리 되었을 경우에만 수취기관앞 통보
 - 따라서 실패의 경우는 해당 없으므로 빈값 00</t>
    <phoneticPr fontId="1" type="noConversion"/>
  </si>
  <si>
    <t>■ 자금이체 결제시 한국은행 내부 회계처리번호</t>
    <phoneticPr fontId="1" type="noConversion"/>
  </si>
  <si>
    <t>■ 자금이체 결제 대기순번(전체기관)
■ 결제상태별 대기순번
1) '3 : 결제' 인 경우로 해당 없으므로 빈값
 - SPACE</t>
    <phoneticPr fontId="1" type="noConversion"/>
  </si>
  <si>
    <t>■ 자금이체 결제처리 상태를 구분하는 코드
 - 유효값 : '1 : 예약', '2 : 대기', '3 : 결제'
■ 결제시점별 결재상태(기관 요구전문)
1) 결제시점 '1 : 즉시' 인 경우에 당좌잔액 충족하여, 즉시결제 처리된 경우
 - '3 : 결제'
2) 결제시점 '1 : 즉시' 인 경우에 당좌잔액 부족하여, 결제대기 처리된 경우
 - '2 : 대기'
3) 결제시점 '2 : 예약' 인 경우
 - '1 : 예약'</t>
    <phoneticPr fontId="1" type="noConversion"/>
  </si>
  <si>
    <t>■ 자금이체 결제처리시 결제유형을 구분하는 코드
 - 0</t>
    <phoneticPr fontId="1" type="noConversion"/>
  </si>
  <si>
    <t>■ 자금이체 결제실패시 원인에 대한 유형을 구분하는 코드
 - 00</t>
    <phoneticPr fontId="1" type="noConversion"/>
  </si>
  <si>
    <t>거래일자</t>
    <phoneticPr fontId="1" type="noConversion"/>
  </si>
  <si>
    <t>■ 마감후 자금이체시 결제처리의 일련번호</t>
    <phoneticPr fontId="1" type="noConversion"/>
  </si>
  <si>
    <t>일반자금이체 대행거래 신청 요구</t>
    <phoneticPr fontId="1" type="noConversion"/>
  </si>
  <si>
    <t>2) 일반자금이체 대행거래 신청 요구</t>
    <phoneticPr fontId="1" type="noConversion"/>
  </si>
  <si>
    <t>일반자금이체 신청 수취기관앞 통보</t>
    <phoneticPr fontId="1" type="noConversion"/>
  </si>
  <si>
    <t>자금코드</t>
    <phoneticPr fontId="1" type="noConversion"/>
  </si>
  <si>
    <t>① 일반자금이체 신청 수취기관앞 통보</t>
    <phoneticPr fontId="1" type="noConversion"/>
  </si>
  <si>
    <t>■ 한은금융망 이용 수수료</t>
    <phoneticPr fontId="1" type="noConversion"/>
  </si>
  <si>
    <t>■ 한은금융망 이용 수수료
 - 0</t>
    <phoneticPr fontId="1" type="noConversion"/>
  </si>
  <si>
    <t>■ 자금이체 결제실패시 원인에 대한 유형을 구분하는 코드
 - 0</t>
    <phoneticPr fontId="1" type="noConversion"/>
  </si>
  <si>
    <t>코드 유효값</t>
    <phoneticPr fontId="1" type="noConversion"/>
  </si>
  <si>
    <t>항목명</t>
    <phoneticPr fontId="1" type="noConversion"/>
  </si>
  <si>
    <t>코드값</t>
    <phoneticPr fontId="1" type="noConversion"/>
  </si>
  <si>
    <t>PYINST_TYP_CD</t>
  </si>
  <si>
    <t>0</t>
    <phoneticPr fontId="1" type="noConversion"/>
  </si>
  <si>
    <t>1</t>
    <phoneticPr fontId="1" type="noConversion"/>
  </si>
  <si>
    <t>2</t>
    <phoneticPr fontId="1" type="noConversion"/>
  </si>
  <si>
    <t>신속</t>
    <phoneticPr fontId="1" type="noConversion"/>
  </si>
  <si>
    <t>보통</t>
    <phoneticPr fontId="1" type="noConversion"/>
  </si>
  <si>
    <t>유효값</t>
    <phoneticPr fontId="1" type="noConversion"/>
  </si>
  <si>
    <t>SETT_TIM_CD</t>
  </si>
  <si>
    <t>즉시</t>
    <phoneticPr fontId="1" type="noConversion"/>
  </si>
  <si>
    <t>예약</t>
    <phoneticPr fontId="1" type="noConversion"/>
  </si>
  <si>
    <t>FNTR_PCS_STT_CD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</si>
  <si>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</si>
  <si>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</si>
  <si>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</si>
  <si>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</si>
  <si>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대기</t>
    <phoneticPr fontId="1" type="noConversion"/>
  </si>
  <si>
    <t>결제</t>
    <phoneticPr fontId="1" type="noConversion"/>
  </si>
  <si>
    <t>취소</t>
    <phoneticPr fontId="1" type="noConversion"/>
  </si>
  <si>
    <t>예약취소</t>
    <phoneticPr fontId="1" type="noConversion"/>
  </si>
  <si>
    <t>실행오류</t>
    <phoneticPr fontId="1" type="noConversion"/>
  </si>
  <si>
    <t>SETT_MTD_TYP_CD</t>
  </si>
  <si>
    <t>해당사항없음</t>
    <phoneticPr fontId="1" type="noConversion"/>
  </si>
  <si>
    <t>총액결제</t>
    <phoneticPr fontId="1" type="noConversion"/>
  </si>
  <si>
    <t>양자간 동시처리</t>
    <phoneticPr fontId="1" type="noConversion"/>
  </si>
  <si>
    <t>다자간 동시처리</t>
    <phoneticPr fontId="1" type="noConversion"/>
  </si>
  <si>
    <t>콜연결상환</t>
    <phoneticPr fontId="1" type="noConversion"/>
  </si>
  <si>
    <t>코드값 + 유효값</t>
    <phoneticPr fontId="1" type="noConversion"/>
  </si>
  <si>
    <t>거래일자</t>
    <phoneticPr fontId="1" type="noConversion"/>
  </si>
  <si>
    <t>없음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</si>
  <si>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</si>
  <si>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</si>
  <si>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</si>
  <si>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</si>
  <si>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</si>
  <si>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(지급준비금 예치의무가 없는 참가기관만 해당) 한은금융망 마감으로 대기거래가 취소되어 남아있는 당좌잔액을 거래은행앞 이체</t>
    <phoneticPr fontId="1" type="noConversion"/>
  </si>
  <si>
    <t>(지급준비금 예치의무가 없는 참가기관만 해당) 한은금융망 마감직전 수취하여 남아 있는 당좌잔액을 거래은행앞 이체</t>
    <phoneticPr fontId="1" type="noConversion"/>
  </si>
  <si>
    <t>착오이체자금 반환이체</t>
    <phoneticPr fontId="1" type="noConversion"/>
  </si>
  <si>
    <t>지준마감 당일 직전일의 지급준비금 부족기관앞 자금이체</t>
    <phoneticPr fontId="1" type="noConversion"/>
  </si>
  <si>
    <t>기타(사전에 한국은행과 협의가 완료된 경우에 한함)</t>
    <phoneticPr fontId="1" type="noConversion"/>
  </si>
  <si>
    <t>CLAF_FNTR_PCS_STT_CD</t>
    <phoneticPr fontId="1" type="noConversion"/>
  </si>
  <si>
    <t>1</t>
    <phoneticPr fontId="1" type="noConversion"/>
  </si>
  <si>
    <t>2</t>
    <phoneticPr fontId="1" type="noConversion"/>
  </si>
  <si>
    <t>9</t>
    <phoneticPr fontId="1" type="noConversion"/>
  </si>
  <si>
    <t>승인(결제)</t>
    <phoneticPr fontId="1" type="noConversion"/>
  </si>
  <si>
    <t>승인(오류)</t>
    <phoneticPr fontId="1" type="noConversion"/>
  </si>
  <si>
    <t>반려</t>
    <phoneticPr fontId="1" type="noConversion"/>
  </si>
  <si>
    <t>CLSNG_AF_FNTR_RTRN_RSN_CD</t>
    <phoneticPr fontId="1" type="noConversion"/>
  </si>
  <si>
    <t>00</t>
    <phoneticPr fontId="1" type="noConversion"/>
  </si>
  <si>
    <t>해당없음</t>
  </si>
  <si>
    <t>신청사유와 일치하지 않음</t>
  </si>
  <si>
    <t>입력내용에 대해 한국은행과 유선상 확인절차를 거치지 않음</t>
  </si>
  <si>
    <t>기타</t>
  </si>
  <si>
    <t>수수료부과구분</t>
    <phoneticPr fontId="1" type="noConversion"/>
  </si>
  <si>
    <t>FEE_LEVY_TGT_DV_CD</t>
    <phoneticPr fontId="1" type="noConversion"/>
  </si>
  <si>
    <t>0</t>
    <phoneticPr fontId="1" type="noConversion"/>
  </si>
  <si>
    <t>비수수료거래</t>
    <phoneticPr fontId="1" type="noConversion"/>
  </si>
  <si>
    <t>수수료거래</t>
    <phoneticPr fontId="1" type="noConversion"/>
  </si>
  <si>
    <t>ANSW_CD</t>
    <phoneticPr fontId="1" type="noConversion"/>
  </si>
  <si>
    <t>TS_ORG_CD</t>
    <phoneticPr fontId="1" type="noConversion"/>
  </si>
  <si>
    <t>LVP_FND_KIND_CD</t>
    <phoneticPr fontId="1" type="noConversion"/>
  </si>
  <si>
    <t>DPT_CD</t>
    <phoneticPr fontId="1" type="noConversion"/>
  </si>
  <si>
    <t>SETT_FLR_RSN_CD</t>
    <phoneticPr fontId="1" type="noConversion"/>
  </si>
  <si>
    <t>BOKWR_FEE_TS_KIND_CD</t>
    <phoneticPr fontId="1" type="noConversion"/>
  </si>
  <si>
    <t>&lt;별첨2&gt; 참조</t>
    <phoneticPr fontId="1" type="noConversion"/>
  </si>
  <si>
    <t>&lt;별첨4&gt; 참조</t>
    <phoneticPr fontId="1" type="noConversion"/>
  </si>
  <si>
    <t>&lt;별첨5&gt; 참조</t>
    <phoneticPr fontId="1" type="noConversion"/>
  </si>
  <si>
    <t>&lt;별첨7&gt; 참조</t>
    <phoneticPr fontId="1" type="noConversion"/>
  </si>
  <si>
    <t>&lt;별첨8&gt; 참조</t>
    <phoneticPr fontId="1" type="noConversion"/>
  </si>
  <si>
    <t>수취기관</t>
    <phoneticPr fontId="1" type="noConversion"/>
  </si>
  <si>
    <t>이체기관</t>
    <phoneticPr fontId="17" type="noConversion"/>
  </si>
  <si>
    <t>수취기관</t>
    <phoneticPr fontId="17" type="noConversion"/>
  </si>
  <si>
    <t>이체의뢰기관</t>
    <phoneticPr fontId="17" type="noConversion"/>
  </si>
  <si>
    <t>수취의뢰기관</t>
    <phoneticPr fontId="17" type="noConversion"/>
  </si>
  <si>
    <t>결제실패원인</t>
    <phoneticPr fontId="1" type="noConversion"/>
  </si>
  <si>
    <t>결제실패원인</t>
    <phoneticPr fontId="17" type="noConversion"/>
  </si>
  <si>
    <t>정상</t>
    <phoneticPr fontId="1" type="noConversion"/>
  </si>
  <si>
    <t>8) 지급지시유형 변경 및 대기거래순위 조정 신청 요구</t>
    <phoneticPr fontId="1" type="noConversion"/>
  </si>
  <si>
    <t>280</t>
    <phoneticPr fontId="1" type="noConversion"/>
  </si>
  <si>
    <t>■ 한국은행 부여 기관코드
 - 공통부의 송신기관과 동일 값</t>
    <phoneticPr fontId="1" type="noConversion"/>
  </si>
  <si>
    <t>■ 자금이체 시 대기로 처리된 대상건의 일련번호</t>
    <phoneticPr fontId="1" type="noConversion"/>
  </si>
  <si>
    <t>■ 대기건의 지급지시유형 및 대기거래순위 조정 구분 값</t>
    <phoneticPr fontId="1" type="noConversion"/>
  </si>
  <si>
    <t>지급지시유형 조정전</t>
    <phoneticPr fontId="1" type="noConversion"/>
  </si>
  <si>
    <t>■ 대기건의 지급지시유형 조정전 값</t>
    <phoneticPr fontId="1" type="noConversion"/>
  </si>
  <si>
    <t>지급지시유형 조정후</t>
    <phoneticPr fontId="1" type="noConversion"/>
  </si>
  <si>
    <t>■ 대기건의 지급지시유형 조정후 값
  - 조정구분 항목의 값 '1'
가. 지급지시유형 조정전 : 대기 중인 거래의 지급지시유형
나. 지급지시유형 조정후 : 조정하고자 하는 지급지시유형
다. 복합대기순위 조정전 : 변경하고자 하는 대기거래의 복합대기순서
라. 복합대기순위 조정후 : 대기순위까지 조정하고자 하는 경우 입력
  - 최상위순위로 조정하는경우 : ‘0000000000000000’
  - 최하위순위로 조정하는경우 : ‘9999999999999999’
  - 임의순위로 조정하는 경우 : 5순위에서 2순위로 조정하는 경우 2순위가 가지는
    대기내역의 복합대기순서의 값을 입력</t>
    <phoneticPr fontId="1" type="noConversion"/>
  </si>
  <si>
    <t>■ 대기건의 복합대기순위 조정전 값</t>
    <phoneticPr fontId="1" type="noConversion"/>
  </si>
  <si>
    <t>■ 대기건의 복합대기순위 조정후 값
  - 조정구분 항목의 값 '2'
가. 동일 지급지시유형 내에서만 조정 가능
  - 지급지시유형 조정전 값과 지급지시유형 조정후의 값이 0 또는 동일한 값이어야 함.
나. 복합대기순위 조정전 : 변경하고자 하는 대기거래의 복합대기순서
다. 복합대기순위 조정후 : 조정하고자 순위를 입력
  - 최상위순위로 조정하는경우 : ‘0000000000000000’
  - 최하위순위로 조정하는경우 : ‘9999999999999999’
  - 임의순위로 조정하는 경우 : 5순위에서 2순위로 조정하는 경우 2순위가 가지는
    대기내역의 복합대기순서의 값을 입력
  * 대기순위 조정요청시 동일 지급지시 유형 내 조정이 아닌 경우 응답코드
    '0718(조정전후 지급지시유형이 상이)'로 응답</t>
    <phoneticPr fontId="1" type="noConversion"/>
  </si>
  <si>
    <t>■ 참가기관에서 지급지시유형 및 대기거래순위 조정 요청건에 대해 처리완료 시간
  - 참가기관은 '0' 고정</t>
    <phoneticPr fontId="1" type="noConversion"/>
  </si>
  <si>
    <t>계좌구분</t>
    <phoneticPr fontId="1" type="noConversion"/>
  </si>
  <si>
    <t>■ 결제시스템계좌구분코드이며, '1'만 사용이 가능 함.
 - 계좌구분이 ‘1’ 일 경우 원화자금이체, 수취인지정자금이체, 콜거래,
   증권대금이체, CLS 거래의 취소 가능</t>
    <phoneticPr fontId="1" type="noConversion"/>
  </si>
  <si>
    <t>■ 직접참가인 경우, 신청기관과 동일, 간접참가인 경우, 신청 의뢰기관</t>
    <phoneticPr fontId="1" type="noConversion"/>
  </si>
  <si>
    <t>상대기관</t>
    <phoneticPr fontId="1" type="noConversion"/>
  </si>
  <si>
    <t>계정개설처</t>
    <phoneticPr fontId="17" type="noConversion"/>
  </si>
  <si>
    <t>참가기관 계정개설처</t>
    <phoneticPr fontId="17" type="noConversion"/>
  </si>
  <si>
    <t>신청기관 계정개설처</t>
    <phoneticPr fontId="1" type="noConversion"/>
  </si>
  <si>
    <t>이체기관 계정개설처</t>
    <phoneticPr fontId="1" type="noConversion"/>
  </si>
  <si>
    <t>수취기관 계정개설처</t>
    <phoneticPr fontId="1" type="noConversion"/>
  </si>
  <si>
    <t>SC_SETT_PYMT_KIND_CD</t>
    <phoneticPr fontId="1" type="noConversion"/>
  </si>
  <si>
    <t>조정구분</t>
    <phoneticPr fontId="1" type="noConversion"/>
  </si>
  <si>
    <t>지급지시유형조정</t>
    <phoneticPr fontId="1" type="noConversion"/>
  </si>
  <si>
    <t>대기순위조정</t>
    <phoneticPr fontId="1" type="noConversion"/>
  </si>
  <si>
    <t>신속</t>
  </si>
  <si>
    <t>보통</t>
  </si>
  <si>
    <t>변경전지급지시유형</t>
    <phoneticPr fontId="1" type="noConversion"/>
  </si>
  <si>
    <t>변경후지급지시유형</t>
    <phoneticPr fontId="1" type="noConversion"/>
  </si>
  <si>
    <t>계좌구분</t>
    <phoneticPr fontId="1" type="noConversion"/>
  </si>
  <si>
    <t>SETT_SYS_ACCT_DV_CD</t>
  </si>
  <si>
    <t>한은금융망 당좌예금계좌</t>
  </si>
  <si>
    <t>금융결제국 당좌예금계좌</t>
  </si>
  <si>
    <t>BKNG_TS_KIND_CD</t>
  </si>
  <si>
    <t>11</t>
  </si>
  <si>
    <t>지정시점예약자금이체</t>
  </si>
  <si>
    <t>21</t>
  </si>
  <si>
    <t>일반자금이체</t>
  </si>
  <si>
    <t>22</t>
  </si>
  <si>
    <t>수취인지정자금이체</t>
  </si>
  <si>
    <t>23</t>
  </si>
  <si>
    <t>콜공급-직거래</t>
  </si>
  <si>
    <t>24</t>
  </si>
  <si>
    <t>콜공급-중개거래</t>
  </si>
  <si>
    <t>25</t>
  </si>
  <si>
    <t>SSFT_SETT_SHP_CD</t>
  </si>
  <si>
    <t>01</t>
  </si>
  <si>
    <t>DVP결제</t>
  </si>
  <si>
    <t>02</t>
  </si>
  <si>
    <t>DVP결제제외(FOS)</t>
  </si>
  <si>
    <t>CLS_PAYIN_TS_KIND_CD</t>
  </si>
  <si>
    <t>PAY-IN</t>
  </si>
  <si>
    <t>유동성공급</t>
  </si>
  <si>
    <t>BULKING</t>
  </si>
  <si>
    <t>전문처리상태</t>
    <phoneticPr fontId="1" type="noConversion"/>
  </si>
  <si>
    <t>요구완료</t>
    <phoneticPr fontId="1" type="noConversion"/>
  </si>
  <si>
    <t>요구응답완료</t>
    <phoneticPr fontId="1" type="noConversion"/>
  </si>
  <si>
    <t>통보완료</t>
    <phoneticPr fontId="1" type="noConversion"/>
  </si>
  <si>
    <t>통보응답완료</t>
    <phoneticPr fontId="1" type="noConversion"/>
  </si>
  <si>
    <t>99</t>
    <phoneticPr fontId="1" type="noConversion"/>
  </si>
  <si>
    <t>미확인</t>
    <phoneticPr fontId="1" type="noConversion"/>
  </si>
  <si>
    <t>AGG_INRT_DV_CD</t>
    <phoneticPr fontId="1" type="noConversion"/>
  </si>
  <si>
    <t>집계</t>
    <phoneticPr fontId="1" type="noConversion"/>
  </si>
  <si>
    <t>집계취소</t>
    <phoneticPr fontId="1" type="noConversion"/>
  </si>
  <si>
    <t>작성구분</t>
    <phoneticPr fontId="1" type="noConversion"/>
  </si>
  <si>
    <t>AGG_DATA_WRT_DV_CD</t>
    <phoneticPr fontId="1" type="noConversion"/>
  </si>
  <si>
    <t>한국은행작성</t>
    <phoneticPr fontId="1" type="noConversion"/>
  </si>
  <si>
    <t>참가기관작성</t>
    <phoneticPr fontId="1" type="noConversion"/>
  </si>
  <si>
    <t>대사결과</t>
    <phoneticPr fontId="1" type="noConversion"/>
  </si>
  <si>
    <t>일치</t>
    <phoneticPr fontId="1" type="noConversion"/>
  </si>
  <si>
    <t>이체불일치</t>
    <phoneticPr fontId="1" type="noConversion"/>
  </si>
  <si>
    <t>수취불일치</t>
    <phoneticPr fontId="1" type="noConversion"/>
  </si>
  <si>
    <t>전체불일치</t>
    <phoneticPr fontId="1" type="noConversion"/>
  </si>
  <si>
    <t>결제</t>
  </si>
  <si>
    <t>QNTR_KIND_CD</t>
  </si>
  <si>
    <t>10</t>
  </si>
  <si>
    <t>중개거래콜체결</t>
  </si>
  <si>
    <t>12</t>
  </si>
  <si>
    <t>은행간직거래콜체결</t>
  </si>
  <si>
    <t>13</t>
  </si>
  <si>
    <t>중개거래콜상환</t>
  </si>
  <si>
    <t>14</t>
  </si>
  <si>
    <t>은행간직거래콜상환</t>
  </si>
  <si>
    <t>15</t>
  </si>
  <si>
    <t>16</t>
  </si>
  <si>
    <t>17</t>
  </si>
  <si>
    <t>19</t>
  </si>
  <si>
    <t>PAY-IN 입력</t>
  </si>
  <si>
    <t>20</t>
  </si>
  <si>
    <t>30</t>
  </si>
  <si>
    <t>61</t>
  </si>
  <si>
    <t>62</t>
  </si>
  <si>
    <t>65</t>
  </si>
  <si>
    <t>증권대금이체</t>
  </si>
  <si>
    <t>매체구분</t>
    <phoneticPr fontId="1" type="noConversion"/>
  </si>
  <si>
    <t>LNST_MDIA_DV_CD</t>
  </si>
  <si>
    <t>PC뱅킹</t>
  </si>
  <si>
    <t>인터넷벵킹</t>
  </si>
  <si>
    <t>03</t>
  </si>
  <si>
    <t>전화</t>
  </si>
  <si>
    <t>04</t>
  </si>
  <si>
    <t>휴대전화</t>
  </si>
  <si>
    <t>05</t>
  </si>
  <si>
    <t>건별이체</t>
  </si>
  <si>
    <t>06</t>
  </si>
  <si>
    <t>07</t>
  </si>
  <si>
    <t>대량이체</t>
  </si>
  <si>
    <t>08</t>
  </si>
  <si>
    <t>TV</t>
  </si>
  <si>
    <t>자금성격</t>
    <phoneticPr fontId="1" type="noConversion"/>
  </si>
  <si>
    <t>LKD_STTAMT_CHRC_CLF_CD</t>
    <phoneticPr fontId="1" type="noConversion"/>
  </si>
  <si>
    <t>00</t>
  </si>
  <si>
    <t>일반</t>
  </si>
  <si>
    <t>급여</t>
  </si>
  <si>
    <t>배당금</t>
  </si>
  <si>
    <t>타행 자동이체</t>
  </si>
  <si>
    <t>기초생활보장급여</t>
  </si>
  <si>
    <t>기초노령연금</t>
  </si>
  <si>
    <t>장애인연금</t>
  </si>
  <si>
    <t>장애(아동)수당</t>
  </si>
  <si>
    <t>한부모가족지원</t>
  </si>
  <si>
    <t>국민연금</t>
  </si>
  <si>
    <t>요양비 등 보험급여</t>
  </si>
  <si>
    <t>RCNC_TSK_DV_CD</t>
    <phoneticPr fontId="1" type="noConversion"/>
  </si>
  <si>
    <t>콜직거래</t>
  </si>
  <si>
    <t>콜중개거래</t>
  </si>
  <si>
    <t>콜상환(반환)</t>
  </si>
  <si>
    <t>연계결제</t>
  </si>
  <si>
    <t>■ 예약거래 시 계정개설처</t>
    <phoneticPr fontId="1" type="noConversion"/>
  </si>
  <si>
    <t>■ 한국은행 부여 기관코드</t>
    <phoneticPr fontId="1" type="noConversion"/>
  </si>
  <si>
    <t>■ 자금이체 예약 시 거래종류</t>
    <phoneticPr fontId="1" type="noConversion"/>
  </si>
  <si>
    <t>■ 자금이체 예약 시 요구응답 전문상의 예약번호</t>
    <phoneticPr fontId="1" type="noConversion"/>
  </si>
  <si>
    <t>■ 자금이체 예약 시 금액</t>
    <phoneticPr fontId="1" type="noConversion"/>
  </si>
  <si>
    <r>
      <t>3) 마감후 자금이체 신청</t>
    </r>
    <r>
      <rPr>
        <b/>
        <sz val="14"/>
        <rFont val="맑은 고딕"/>
        <family val="3"/>
        <charset val="129"/>
      </rPr>
      <t xml:space="preserve"> </t>
    </r>
    <r>
      <rPr>
        <b/>
        <sz val="14"/>
        <rFont val="휴먼명조"/>
        <charset val="129"/>
      </rPr>
      <t>요구</t>
    </r>
    <phoneticPr fontId="1" type="noConversion"/>
  </si>
  <si>
    <t>SLP120101BW</t>
    <phoneticPr fontId="1" type="noConversion"/>
  </si>
  <si>
    <t>자금이체대기거래취소</t>
  </si>
  <si>
    <t>■ 한국은행 부여 기관코드
 - 이체(매수)거래기관</t>
    <phoneticPr fontId="1" type="noConversion"/>
  </si>
  <si>
    <t>■ 대기거래종류</t>
    <phoneticPr fontId="1" type="noConversion"/>
  </si>
  <si>
    <t>■ 한국은행 부여 기관코드
 - 수취(매도)거래기관</t>
    <phoneticPr fontId="1" type="noConversion"/>
  </si>
  <si>
    <t>■ 증권대금이체인 경우 결제번호</t>
    <phoneticPr fontId="1" type="noConversion"/>
  </si>
  <si>
    <t>■ 증권대금이체인 경우 결제형태코드</t>
    <phoneticPr fontId="1" type="noConversion"/>
  </si>
  <si>
    <t>■ 증권대금이체인 경우 증권결제대금종류코드</t>
    <phoneticPr fontId="1" type="noConversion"/>
  </si>
  <si>
    <t>■ 증권대금이체인 경우 개별결제번호</t>
    <phoneticPr fontId="1" type="noConversion"/>
  </si>
  <si>
    <t>■ 증권대금이체인 경우 일련번호</t>
    <phoneticPr fontId="1" type="noConversion"/>
  </si>
  <si>
    <t>■ 증권대금이체인 경우 매도기관수</t>
    <phoneticPr fontId="1" type="noConversion"/>
  </si>
  <si>
    <t>■ 이체금액</t>
    <phoneticPr fontId="1" type="noConversion"/>
  </si>
  <si>
    <t>■ 대기취소 처리완료 시간</t>
    <phoneticPr fontId="1" type="noConversion"/>
  </si>
  <si>
    <t>■ 신청의뢰기관</t>
    <phoneticPr fontId="1" type="noConversion"/>
  </si>
  <si>
    <t>■ 변경전 대기순서</t>
    <phoneticPr fontId="1" type="noConversion"/>
  </si>
  <si>
    <t>■ 변경후 대기순서</t>
    <phoneticPr fontId="1" type="noConversion"/>
  </si>
  <si>
    <t>① 대기중인 지급지시유형 일괄변경 처리결과 이체기관앞 통보</t>
    <phoneticPr fontId="1" type="noConversion"/>
  </si>
  <si>
    <t>SLP210404BW</t>
  </si>
  <si>
    <t>예약처리현황일괄취소</t>
  </si>
  <si>
    <t>■ 참가기관에서 예약거래 취소 요청건에 대해 처리완료 시간</t>
    <phoneticPr fontId="1" type="noConversion"/>
  </si>
  <si>
    <t>D</t>
  </si>
  <si>
    <t>③ 예약거래(거액결제) 일괄취소 신청 이체기관앞 통보</t>
    <phoneticPr fontId="1" type="noConversion"/>
  </si>
  <si>
    <t>■ CLS거래번호이며, 처리완료 시 대상건의 일련번호</t>
    <phoneticPr fontId="1" type="noConversion"/>
  </si>
  <si>
    <t>■ 자금이체금액</t>
    <phoneticPr fontId="1" type="noConversion"/>
  </si>
  <si>
    <t>■ SWIFT의 은행인식 코드</t>
    <phoneticPr fontId="1" type="noConversion"/>
  </si>
  <si>
    <t>■ CLSPAYIN거래종류코드</t>
    <phoneticPr fontId="1" type="noConversion"/>
  </si>
  <si>
    <t>■ CLS거래참고번호</t>
    <phoneticPr fontId="1" type="noConversion"/>
  </si>
  <si>
    <t>■ CLS결제상태코드</t>
    <phoneticPr fontId="1" type="noConversion"/>
  </si>
  <si>
    <t>■ 대기번호</t>
    <phoneticPr fontId="1" type="noConversion"/>
  </si>
  <si>
    <t>■ 회계번호</t>
    <phoneticPr fontId="1" type="noConversion"/>
  </si>
  <si>
    <t>■ 계정개설부서당좌예금잔액
 - 결제(대기) 후 금융결제국 또는 지역본부 당좌예금잔액</t>
    <phoneticPr fontId="1" type="noConversion"/>
  </si>
  <si>
    <t>■ 결제전용당좌예금잔액
 - 결제(대기) 후 결제운영팀 당좌예금잔액</t>
    <phoneticPr fontId="1" type="noConversion"/>
  </si>
  <si>
    <t>■ 당좌대출가능금액
 - 결제(대기) 후 계정개설처 당좌대출가능금액</t>
    <phoneticPr fontId="1" type="noConversion"/>
  </si>
  <si>
    <t>1) PAY-IN 신청 요구</t>
    <phoneticPr fontId="1" type="noConversion"/>
  </si>
  <si>
    <t>■ 신청시간</t>
    <phoneticPr fontId="1" type="noConversion"/>
  </si>
  <si>
    <t>■ 결제시간</t>
    <phoneticPr fontId="1" type="noConversion"/>
  </si>
  <si>
    <t>PAY-IN대기해소 통보</t>
    <phoneticPr fontId="1" type="noConversion"/>
  </si>
  <si>
    <t>① PAY-IN 대기거래 대기해소 통보</t>
    <phoneticPr fontId="1" type="noConversion"/>
  </si>
  <si>
    <t>■ 수신거래참고번호</t>
    <phoneticPr fontId="1" type="noConversion"/>
  </si>
  <si>
    <t>■ 거래참고번호</t>
    <phoneticPr fontId="1" type="noConversion"/>
  </si>
  <si>
    <t>■ CLS거래이체금액</t>
    <phoneticPr fontId="1" type="noConversion"/>
  </si>
  <si>
    <t>■ 지시기관BIC코드</t>
    <phoneticPr fontId="1" type="noConversion"/>
  </si>
  <si>
    <t>중개기관BIC</t>
    <phoneticPr fontId="1" type="noConversion"/>
  </si>
  <si>
    <t>■ 중개기관BIC코드</t>
    <phoneticPr fontId="1" type="noConversion"/>
  </si>
  <si>
    <t>■ 수혜기관BIC코드</t>
    <phoneticPr fontId="1" type="noConversion"/>
  </si>
  <si>
    <t>■ 송신자대리기관BIC코드</t>
    <phoneticPr fontId="1" type="noConversion"/>
  </si>
  <si>
    <t>■ 처리시간</t>
    <phoneticPr fontId="1" type="noConversion"/>
  </si>
  <si>
    <t>② PAY-OUT 신청 결과 통보</t>
    <phoneticPr fontId="1" type="noConversion"/>
  </si>
  <si>
    <t>PAY-IN 신청 한국은행 대행처리 결과 통보</t>
    <phoneticPr fontId="1" type="noConversion"/>
  </si>
  <si>
    <t>■ CLS거래금액</t>
    <phoneticPr fontId="1" type="noConversion"/>
  </si>
  <si>
    <t>■ 신청기관BIC코드</t>
    <phoneticPr fontId="1" type="noConversion"/>
  </si>
  <si>
    <t>■ 처리시간
 - CLS결제상태코드가 '1' 인 경우 SPACE</t>
    <phoneticPr fontId="1" type="noConversion"/>
  </si>
  <si>
    <t>■ 결제대기번호
 - CLS결제상태코드가 '2' 인 경우 '00000'</t>
    <phoneticPr fontId="1" type="noConversion"/>
  </si>
  <si>
    <t>■ 회계번호
 - CLS결제상태코드가 '1' 인 경우 SPACE</t>
    <phoneticPr fontId="1" type="noConversion"/>
  </si>
  <si>
    <t>③ PAY-IN 신청 한국은행 대행처리 결과 통보</t>
    <phoneticPr fontId="1" type="noConversion"/>
  </si>
  <si>
    <t>BKS20G010
BKS20G020</t>
    <phoneticPr fontId="1" type="noConversion"/>
  </si>
  <si>
    <t>■ 이체기관 계정개설처</t>
    <phoneticPr fontId="1" type="noConversion"/>
  </si>
  <si>
    <t>■ 금융결제원 부여</t>
    <phoneticPr fontId="1" type="noConversion"/>
  </si>
  <si>
    <t>■ 한국은행 부여
 - 결제원은 '0' 고정</t>
    <phoneticPr fontId="1" type="noConversion"/>
  </si>
  <si>
    <t>■ 한국은행 부여</t>
    <phoneticPr fontId="1" type="noConversion"/>
  </si>
  <si>
    <t>■ 이체금액
 - 10억초과만 가능</t>
    <phoneticPr fontId="1" type="noConversion"/>
  </si>
  <si>
    <t>■ 지급지시유형 '1' (신속)만 가능</t>
    <phoneticPr fontId="1" type="noConversion"/>
  </si>
  <si>
    <t>■ 수취기관 계정개설처</t>
    <phoneticPr fontId="1" type="noConversion"/>
  </si>
  <si>
    <t>■ 이체기관 점포코드</t>
    <phoneticPr fontId="1" type="noConversion"/>
  </si>
  <si>
    <t>■ 의뢰인 계좌번호</t>
    <phoneticPr fontId="1" type="noConversion"/>
  </si>
  <si>
    <t>■ 수취인 계좌번호</t>
    <phoneticPr fontId="1" type="noConversion"/>
  </si>
  <si>
    <t>■ 예금주(송금인 실명)</t>
    <phoneticPr fontId="1" type="noConversion"/>
  </si>
  <si>
    <t>■ 출금인명</t>
    <phoneticPr fontId="1" type="noConversion"/>
  </si>
  <si>
    <t>■ 연계결제매체구분코드</t>
    <phoneticPr fontId="1" type="noConversion"/>
  </si>
  <si>
    <t>■ 연계결제자금성격분류코드</t>
    <phoneticPr fontId="1" type="noConversion"/>
  </si>
  <si>
    <t>■ CMS계좌번호, 고객번호 등</t>
    <phoneticPr fontId="1" type="noConversion"/>
  </si>
  <si>
    <t>■ 결제상태
 - 결제원은 '0' 고정</t>
    <phoneticPr fontId="1" type="noConversion"/>
  </si>
  <si>
    <t>■ 결제상태
 - 처리완료일 경우 '1' (결제)</t>
    <phoneticPr fontId="1" type="noConversion"/>
  </si>
  <si>
    <t>■ 대기번호
 - 대기허용에서 대기불가로 변경됨에 따라 공란 처리
 - BOK ‘0’ 고정</t>
    <phoneticPr fontId="1" type="noConversion"/>
  </si>
  <si>
    <t>■ 복합대기순서번호
 - 대기허용에서 대기불가로 변경됨에 따라 공란 처리
 - BOK SPACE</t>
    <phoneticPr fontId="1" type="noConversion"/>
  </si>
  <si>
    <t>■ 신청시각</t>
    <phoneticPr fontId="1" type="noConversion"/>
  </si>
  <si>
    <t>■ 결제시각</t>
    <phoneticPr fontId="1" type="noConversion"/>
  </si>
  <si>
    <t>■ 결제방법
 - 처리완료일 경우 '1' (총액결제)</t>
    <phoneticPr fontId="1" type="noConversion"/>
  </si>
  <si>
    <t>■ 결제실패원인
 - 미사용 항목, '0' 고정</t>
    <phoneticPr fontId="1" type="noConversion"/>
  </si>
  <si>
    <t>■ 계정개설부서당좌예금잔액
 - 미사용 항목, '0' 고정</t>
    <phoneticPr fontId="1" type="noConversion"/>
  </si>
  <si>
    <t>■ 결제전용당좌예금잔액
 - 미사용 항목, '0' 고정</t>
    <phoneticPr fontId="1" type="noConversion"/>
  </si>
  <si>
    <t>■ 당좌대출가능금액
 - 미사용 항목, '0' 고정</t>
    <phoneticPr fontId="1" type="noConversion"/>
  </si>
  <si>
    <t>■ 가용총순지급한도
 - 미사용 항목, '0' 고정</t>
    <phoneticPr fontId="1" type="noConversion"/>
  </si>
  <si>
    <t>■ 가용양자간순지급한도
 - 미사용 항목, '0' 고정</t>
    <phoneticPr fontId="1" type="noConversion"/>
  </si>
  <si>
    <t>■ 한국은행 부여 기관코드
 - 원거래기준 수취(매도)기관</t>
    <phoneticPr fontId="1" type="noConversion"/>
  </si>
  <si>
    <t>■ 한국은행 부여 기관코드
 - 원거래기준 이체(매수)기관</t>
    <phoneticPr fontId="1" type="noConversion"/>
  </si>
  <si>
    <t>■ 반환대상 원거래의 한은금융망 자금이체번호</t>
    <phoneticPr fontId="1" type="noConversion"/>
  </si>
  <si>
    <t>■ 반환대상 원거래의 전자금융공동망 거래고유번호</t>
    <phoneticPr fontId="1" type="noConversion"/>
  </si>
  <si>
    <t>연계결제상태</t>
    <phoneticPr fontId="1" type="noConversion"/>
  </si>
  <si>
    <t>■ 결제상태</t>
    <phoneticPr fontId="1" type="noConversion"/>
  </si>
  <si>
    <t>■ 대기번호
 - 대기허용에서 대기불가로 변경됨에 따라 공란 처리
 - ‘0’ 고정</t>
    <phoneticPr fontId="1" type="noConversion"/>
  </si>
  <si>
    <t>■ 복합대기순서번호
 - 대기허용에서 대기불가로 변경됨에 따라 공란 처리
 - SPACE</t>
    <phoneticPr fontId="1" type="noConversion"/>
  </si>
  <si>
    <t>■ 결제방법
 - '1' (총액결제)</t>
    <phoneticPr fontId="1" type="noConversion"/>
  </si>
  <si>
    <t>■ 결제실패원인
 - ‘0’ 고정</t>
    <phoneticPr fontId="1" type="noConversion"/>
  </si>
  <si>
    <t>■ 계정개설부서당좌예금잔액
 - 결제 후 금융결제국 또는 지역본부 당좌예금잔액</t>
    <phoneticPr fontId="1" type="noConversion"/>
  </si>
  <si>
    <t>■ 결제전용당좌예금잔액
 - 결제 후 결제운영팀 당좌예금잔액</t>
    <phoneticPr fontId="1" type="noConversion"/>
  </si>
  <si>
    <t>■ 당좌대출가능금액
 - 결제 후 계정개설처 당좌대출가능금액</t>
    <phoneticPr fontId="1" type="noConversion"/>
  </si>
  <si>
    <t>■ 가용총순지급한도</t>
    <phoneticPr fontId="1" type="noConversion"/>
  </si>
  <si>
    <t>■ 가용양자간순지급한도</t>
    <phoneticPr fontId="1" type="noConversion"/>
  </si>
  <si>
    <t>■ 결제방법
 - ‘0’ 고정</t>
    <phoneticPr fontId="1" type="noConversion"/>
  </si>
  <si>
    <t>① 연계결제 반환 신청 이체기관앞 통보</t>
    <phoneticPr fontId="1" type="noConversion"/>
  </si>
  <si>
    <t>BKS20A040</t>
    <phoneticPr fontId="1" type="noConversion"/>
  </si>
  <si>
    <t>미결제 대기일괄취소 처리결과 이체기관앞 통보</t>
    <phoneticPr fontId="1" type="noConversion"/>
  </si>
  <si>
    <t>한국은행 대행 예약취소 처리결과 이체기관앞 통보</t>
    <phoneticPr fontId="1" type="noConversion"/>
  </si>
  <si>
    <t>한국은행 대행 대기취소 처리결과 이체기관앞 통보</t>
    <phoneticPr fontId="1" type="noConversion"/>
  </si>
  <si>
    <t>■ 계정개설처</t>
    <phoneticPr fontId="1" type="noConversion"/>
  </si>
  <si>
    <t>■ 총순지급한도</t>
    <phoneticPr fontId="1" type="noConversion"/>
  </si>
  <si>
    <t>■ 최저순지급한도</t>
    <phoneticPr fontId="1" type="noConversion"/>
  </si>
  <si>
    <t>■ 총순지급금액</t>
    <phoneticPr fontId="1" type="noConversion"/>
  </si>
  <si>
    <t>1) 계좌잔액 및 한도조회(거액결제) 신청 요구</t>
    <phoneticPr fontId="1" type="noConversion"/>
  </si>
  <si>
    <t>■ 요청전문관리번호</t>
    <phoneticPr fontId="1" type="noConversion"/>
  </si>
  <si>
    <t>■ 전문진행상태코드</t>
    <phoneticPr fontId="1" type="noConversion"/>
  </si>
  <si>
    <t>9) 건별 대사자료(거액결제) 신청 요구</t>
    <phoneticPr fontId="1" type="noConversion"/>
  </si>
  <si>
    <t>집계 / 집계취소 구분</t>
    <phoneticPr fontId="1" type="noConversion"/>
  </si>
  <si>
    <t>■ 집계 / 집계취소 구분</t>
    <phoneticPr fontId="1" type="noConversion"/>
  </si>
  <si>
    <t>■ 아래 5 건의 항목 20회 반복</t>
    <phoneticPr fontId="1" type="noConversion"/>
  </si>
  <si>
    <t>■ 이체건수</t>
    <phoneticPr fontId="1" type="noConversion"/>
  </si>
  <si>
    <t>■ 수취건수</t>
    <phoneticPr fontId="1" type="noConversion"/>
  </si>
  <si>
    <t>■ 수취금액</t>
    <phoneticPr fontId="1" type="noConversion"/>
  </si>
  <si>
    <t>■ 집계업무구분</t>
    <phoneticPr fontId="1" type="noConversion"/>
  </si>
  <si>
    <t>5) 집계 및 집계취소(거액결제) 통보</t>
    <phoneticPr fontId="1" type="noConversion"/>
  </si>
  <si>
    <t>■ 아래 10 건의 항목 15회 반복</t>
    <phoneticPr fontId="1" type="noConversion"/>
  </si>
  <si>
    <t>참가기관 수취건수</t>
    <phoneticPr fontId="1" type="noConversion"/>
  </si>
  <si>
    <t>참가기관 수취금액</t>
    <phoneticPr fontId="1" type="noConversion"/>
  </si>
  <si>
    <t>한국은행 이체건수</t>
    <phoneticPr fontId="1" type="noConversion"/>
  </si>
  <si>
    <t>한국은행 이체금액</t>
    <phoneticPr fontId="1" type="noConversion"/>
  </si>
  <si>
    <t>한국은행 수취건수</t>
    <phoneticPr fontId="1" type="noConversion"/>
  </si>
  <si>
    <t>한국은행 수취금액</t>
    <phoneticPr fontId="1" type="noConversion"/>
  </si>
  <si>
    <t>■ 참가기관 이체건수</t>
    <phoneticPr fontId="1" type="noConversion"/>
  </si>
  <si>
    <t>■ 참가기관 이체금액</t>
    <phoneticPr fontId="1" type="noConversion"/>
  </si>
  <si>
    <t>■ 참가기관 수취건수</t>
    <phoneticPr fontId="1" type="noConversion"/>
  </si>
  <si>
    <t>■ 참가기관 수취금액</t>
    <phoneticPr fontId="1" type="noConversion"/>
  </si>
  <si>
    <t>■ 한국은행 이체건수</t>
    <phoneticPr fontId="1" type="noConversion"/>
  </si>
  <si>
    <t>■ 한국은행 이체금액</t>
    <phoneticPr fontId="1" type="noConversion"/>
  </si>
  <si>
    <t>■ 한국은행 수취건수</t>
    <phoneticPr fontId="1" type="noConversion"/>
  </si>
  <si>
    <t>■ 한국은행 수취금액</t>
    <phoneticPr fontId="1" type="noConversion"/>
  </si>
  <si>
    <t>■ 대사결과</t>
    <phoneticPr fontId="1" type="noConversion"/>
  </si>
  <si>
    <t>Y</t>
  </si>
  <si>
    <t>6) 대사결과(거액결제) 송신 통보</t>
    <phoneticPr fontId="1" type="noConversion"/>
  </si>
  <si>
    <t>BKF101021</t>
    <phoneticPr fontId="1" type="noConversion"/>
  </si>
  <si>
    <t>자금이체시스템종류</t>
    <phoneticPr fontId="1" type="noConversion"/>
  </si>
  <si>
    <t>■ 이체기관점포번호</t>
    <phoneticPr fontId="1" type="noConversion"/>
  </si>
  <si>
    <t>■ 이체기관점포명</t>
    <phoneticPr fontId="1" type="noConversion"/>
  </si>
  <si>
    <t>■ 수취기관점포번호</t>
    <phoneticPr fontId="1" type="noConversion"/>
  </si>
  <si>
    <t>■ 수취기관점포명</t>
    <phoneticPr fontId="1" type="noConversion"/>
  </si>
  <si>
    <t>가용총순지급한도</t>
    <phoneticPr fontId="1" type="noConversion"/>
  </si>
  <si>
    <t>가용양자간순지급한도</t>
    <phoneticPr fontId="1" type="noConversion"/>
  </si>
  <si>
    <t>① 한국은행 대행 자금이체 결제취소 실행결과 이체기관앞 통보</t>
    <phoneticPr fontId="1" type="noConversion"/>
  </si>
  <si>
    <t>별첨9</t>
    <phoneticPr fontId="1" type="noConversion"/>
  </si>
  <si>
    <t>전체코드</t>
    <phoneticPr fontId="28" type="noConversion"/>
  </si>
  <si>
    <t>DP050200</t>
    <phoneticPr fontId="1" type="noConversion"/>
  </si>
  <si>
    <t>TS_TYP_CD</t>
    <phoneticPr fontId="1" type="noConversion"/>
  </si>
  <si>
    <t>해당없음</t>
    <phoneticPr fontId="1" type="noConversion"/>
  </si>
  <si>
    <t>■ 가용총순지급한도</t>
  </si>
  <si>
    <t>■ 가용양자간순지급한도</t>
  </si>
  <si>
    <t>자금이체시스템종류</t>
    <phoneticPr fontId="1" type="noConversion"/>
  </si>
  <si>
    <t>FNTR_SYS_DV_CD</t>
  </si>
  <si>
    <t>1</t>
    <phoneticPr fontId="1" type="noConversion"/>
  </si>
  <si>
    <t>2</t>
  </si>
  <si>
    <t>2</t>
    <phoneticPr fontId="1" type="noConversion"/>
  </si>
  <si>
    <t>3</t>
  </si>
  <si>
    <t>3</t>
    <phoneticPr fontId="1" type="noConversion"/>
  </si>
  <si>
    <t>4</t>
  </si>
  <si>
    <t>4</t>
    <phoneticPr fontId="1" type="noConversion"/>
  </si>
  <si>
    <t>원화자금이체시스템</t>
  </si>
  <si>
    <t>CLS거래시스템</t>
  </si>
  <si>
    <t>증권대금이체시스템</t>
  </si>
  <si>
    <t>콜거래시스템</t>
  </si>
  <si>
    <r>
      <t>■ 자금이체시스템종류코드
 - 1 : 원화자금이체시스템</t>
    </r>
    <r>
      <rPr>
        <b/>
        <sz val="10"/>
        <rFont val="맑은 고딕"/>
        <family val="3"/>
        <charset val="129"/>
      </rPr>
      <t xml:space="preserve">
</t>
    </r>
    <phoneticPr fontId="1" type="noConversion"/>
  </si>
  <si>
    <t xml:space="preserve">■ 결제상태코드
 - 4 : 결제취소 </t>
    <phoneticPr fontId="1" type="noConversion"/>
  </si>
  <si>
    <t>■ 이체기관코드</t>
    <phoneticPr fontId="1" type="noConversion"/>
  </si>
  <si>
    <t>■ 수취기관코드</t>
    <phoneticPr fontId="1" type="noConversion"/>
  </si>
  <si>
    <t>■ 자금이체 결제취소시 취소된 한국은행 내부 회계처리번호</t>
    <phoneticPr fontId="1" type="noConversion"/>
  </si>
  <si>
    <t>■ 자금이체시 자금의 종류를 구분하는 코드
■ 일반자금이체시 자금코드 제한
1) '1010 : 대리교환 교환승' 일 경우 아래 대상 기관분류만 가능
 - B0 : 일반은행, B1 : 시중은행, B2 : 지방은행, C0 : 특수은행, D0 : 개발기관
2) '1020 : 대리교환 교환부' 일 경우 아래 대상 기관분류만 가능
 - B3 : 외국은행지점
3) '3710 : 연쇄결제대금 자금이체' 일 경우 아래 대상기관만 가능
 - 한국예탁결제원
4) 그 외 불가
 - 3310 : 자사의 주식매수대금
 - 3330 : 기타기관의 주식매수대금
 - 5420 : 거래고객의 이체의뢰자금
 - 5500 : 자행(사)본지점간 자금이체</t>
    <phoneticPr fontId="1" type="noConversion"/>
  </si>
  <si>
    <t>■ 이체의뢰 기관코드</t>
    <phoneticPr fontId="1" type="noConversion"/>
  </si>
  <si>
    <t>■ 수취의뢰 기관코드</t>
    <phoneticPr fontId="1" type="noConversion"/>
  </si>
  <si>
    <t>■ 자금이체를 의뢰한 기관코드</t>
    <phoneticPr fontId="1" type="noConversion"/>
  </si>
  <si>
    <t>■ 거액자금종류코드
 - 결제취소된 자금코드</t>
    <phoneticPr fontId="1" type="noConversion"/>
  </si>
  <si>
    <t>■ 자금이체일련번호</t>
    <phoneticPr fontId="1" type="noConversion"/>
  </si>
  <si>
    <t>■ 수취기관</t>
    <phoneticPr fontId="1" type="noConversion"/>
  </si>
  <si>
    <t>■ 수취인계좌번호</t>
    <phoneticPr fontId="1" type="noConversion"/>
  </si>
  <si>
    <t>■ 의뢰인계좌번호</t>
    <phoneticPr fontId="1" type="noConversion"/>
  </si>
  <si>
    <t>의뢰인 CMS코드
(의뢰인CMS번호내용)</t>
    <phoneticPr fontId="1" type="noConversion"/>
  </si>
  <si>
    <t>■ 적요</t>
    <phoneticPr fontId="1" type="noConversion"/>
  </si>
  <si>
    <t>수취기관점포코드</t>
    <phoneticPr fontId="1" type="noConversion"/>
  </si>
  <si>
    <t>■ 수취기관점포코드</t>
    <phoneticPr fontId="1" type="noConversion"/>
  </si>
  <si>
    <t>수취기관점포명</t>
    <phoneticPr fontId="1" type="noConversion"/>
  </si>
  <si>
    <t>■ 처리결과코드</t>
    <phoneticPr fontId="1" type="noConversion"/>
  </si>
  <si>
    <t>■ 결제방법유형코드</t>
    <phoneticPr fontId="1" type="noConversion"/>
  </si>
  <si>
    <t>■ 결제실패사유코드</t>
    <phoneticPr fontId="1" type="noConversion"/>
  </si>
  <si>
    <t>당좌예금(일반)잔액</t>
    <phoneticPr fontId="1" type="noConversion"/>
  </si>
  <si>
    <t>■ 당좌예금잔액조회. 당좌예금A잔액</t>
    <phoneticPr fontId="1" type="noConversion"/>
  </si>
  <si>
    <t>■ 당좌예금잔액조회. 당좌예금B잔액</t>
    <phoneticPr fontId="1" type="noConversion"/>
  </si>
  <si>
    <t>■ 당좌예금잔액조회.일중당좌대출잔여한도금액</t>
    <phoneticPr fontId="1" type="noConversion"/>
  </si>
  <si>
    <t>■ 당좌예금잔액조회.가용총순지급한도금액</t>
    <phoneticPr fontId="1" type="noConversion"/>
  </si>
  <si>
    <t>■ 당좌예금잔액조회.가용양자간순지급한도금액</t>
    <phoneticPr fontId="1" type="noConversion"/>
  </si>
  <si>
    <t xml:space="preserve">■ 자금이체금액 </t>
    <phoneticPr fontId="1" type="noConversion"/>
  </si>
  <si>
    <t>■ 이체기관코드
 - 송신거래기관코드와 이체기관코드 불일치하면 오류 처리</t>
    <phoneticPr fontId="1" type="noConversion"/>
  </si>
  <si>
    <t>■ 원거래 자금이체 일련번호
 - 원거래 자금이체일련번호 필수 입력 및 데이터 검증 처리</t>
    <phoneticPr fontId="1" type="noConversion"/>
  </si>
  <si>
    <t>■ 자금이체수취인명
 - 미입력시 오류 처리</t>
    <phoneticPr fontId="1" type="noConversion"/>
  </si>
  <si>
    <t>■ 자금이체의뢰인명
 - 미입력시 오류 처리</t>
    <phoneticPr fontId="1" type="noConversion"/>
  </si>
  <si>
    <t>■ 의뢰인CMS번호내용
 - CMS계좌사용상태코드 값이 '1 : 사용' 일 경우 필수입력 항목으로 검증</t>
    <phoneticPr fontId="1" type="noConversion"/>
  </si>
  <si>
    <t>■ 결제시첨코드 
 - '1 : 즉시' 만 가능</t>
    <phoneticPr fontId="1" type="noConversion"/>
  </si>
  <si>
    <t>■ 당좌예금잔액 
 - 금융결제국 또는 지역본부 당좌예금잔액</t>
    <phoneticPr fontId="1" type="noConversion"/>
  </si>
  <si>
    <t>■ 당좌예금(결제전용)잔액 
 - 결제운영팀 당좌예금잔액</t>
    <phoneticPr fontId="1" type="noConversion"/>
  </si>
  <si>
    <t>■ 당좌대출가능금액
 - 계정개설처 당좌대출가능금액</t>
    <phoneticPr fontId="1" type="noConversion"/>
  </si>
  <si>
    <t>■ 지금지시유형코드
 - '1 : 신속' 만 가능</t>
    <phoneticPr fontId="1" type="noConversion"/>
  </si>
  <si>
    <t>■ 자금이체일련번호
 - 기본값 : '00000' 으로 입력</t>
  </si>
  <si>
    <t>의뢰인 구분</t>
    <phoneticPr fontId="1" type="noConversion"/>
  </si>
  <si>
    <t>CMSR_DV_CD</t>
    <phoneticPr fontId="1" type="noConversion"/>
  </si>
  <si>
    <t>금융기관(연기금포함)</t>
  </si>
  <si>
    <t>기업</t>
  </si>
  <si>
    <t>5</t>
  </si>
  <si>
    <t>개인</t>
  </si>
  <si>
    <t>의뢰인 지역</t>
    <phoneticPr fontId="1" type="noConversion"/>
  </si>
  <si>
    <t>RG_CLF_CD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</si>
  <si>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</si>
  <si>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</si>
  <si>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</si>
  <si>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</si>
  <si>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</si>
  <si>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</si>
  <si>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</si>
  <si>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</si>
  <si>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09</t>
  </si>
  <si>
    <t>강원도</t>
  </si>
  <si>
    <t>충청남도</t>
  </si>
  <si>
    <t>충청북도</t>
  </si>
  <si>
    <t>전라남도</t>
  </si>
  <si>
    <t>전라북도</t>
  </si>
  <si>
    <t>경상남도</t>
  </si>
  <si>
    <t>경상북도</t>
  </si>
  <si>
    <t>제주도</t>
  </si>
  <si>
    <t>해외</t>
  </si>
  <si>
    <t>수취인 구분</t>
  </si>
  <si>
    <t>수취인 구분</t>
    <phoneticPr fontId="1" type="noConversion"/>
  </si>
  <si>
    <t>수취인 지역</t>
  </si>
  <si>
    <t>수취인 지역</t>
    <phoneticPr fontId="1" type="noConversion"/>
  </si>
  <si>
    <t>수취인 계좌번호</t>
    <phoneticPr fontId="1" type="noConversion"/>
  </si>
  <si>
    <t>4) 수취인지정 자금이체 신청 요구</t>
    <phoneticPr fontId="1" type="noConversion"/>
  </si>
  <si>
    <t>관련요구전문</t>
    <phoneticPr fontId="1" type="noConversion"/>
  </si>
  <si>
    <t>BKS20B150</t>
    <phoneticPr fontId="1" type="noConversion"/>
  </si>
  <si>
    <t>■ 결제상태코드
 - 기본값 : '0' 으로 입력</t>
    <phoneticPr fontId="1" type="noConversion"/>
  </si>
  <si>
    <t>■ 의뢰인CMS번호내용
 - CMS계좌사용상태코드 값이 '1:사용' 일경우 필수입력 항목으로 검증함</t>
  </si>
  <si>
    <t>■ 이체기관코드
 - 한은망서버 거래가능한 기관코드인지 유효여부 체크
 - 한국거래소 ( 예탁원 8880 ) 를 이체기관으로 지정할 수 없음</t>
    <phoneticPr fontId="1" type="noConversion"/>
  </si>
  <si>
    <t>■ 수취기관코드
 - 한은망서버 거래가능한 기관코드인지 유효여부 체크함
 - 한국거래소 ( 예탁원 8880 ) 를 수취기관으로 지정할 수 없음</t>
    <phoneticPr fontId="1" type="noConversion"/>
  </si>
  <si>
    <t>■ 예약시각
  - hhmm 결제시점이 ‘2 : 예약’ 인 경우 입력</t>
    <phoneticPr fontId="1" type="noConversion"/>
  </si>
  <si>
    <t>■ 예약번호
 - 결제상태가 ‘1 : 예약’ 인 경우 한은망서버에서 셋팅</t>
    <phoneticPr fontId="1" type="noConversion"/>
  </si>
  <si>
    <t>■ 회계번호
 - 한은망서버의 신청시간으로 셋팅함 'hhmmss'</t>
    <phoneticPr fontId="1" type="noConversion"/>
  </si>
  <si>
    <t>■ 대기번호 
 - 결제상태가 ‘2 : 대기’ 인 경우 한은망서버에서 셋팅</t>
    <phoneticPr fontId="1" type="noConversion"/>
  </si>
  <si>
    <t>■ 복합대기순서 
 - 결제상태가 ‘2 : 대기’ 인 경우 한은망서버에서 셋팅</t>
    <phoneticPr fontId="1" type="noConversion"/>
  </si>
  <si>
    <t>■ 회계번호
 - 결제상태가 ‘3 : 결제’ 인 경우 한은망서버에서 셋팅</t>
    <phoneticPr fontId="1" type="noConversion"/>
  </si>
  <si>
    <t>■ 예약시각
 - 'hhmmss'  한은망서버의 시각으로 셋팅</t>
    <phoneticPr fontId="1" type="noConversion"/>
  </si>
  <si>
    <t>■ 결제방법코드
  - 한은망서버의 결제방법코드로 셋팅함 
    '1 : 총액결제'</t>
    <phoneticPr fontId="1" type="noConversion"/>
  </si>
  <si>
    <t>■ 이체의뢰기관코드</t>
    <phoneticPr fontId="1" type="noConversion"/>
  </si>
  <si>
    <t>■ 이체기관</t>
    <phoneticPr fontId="1" type="noConversion"/>
  </si>
  <si>
    <t>수취인 거래지점명</t>
    <phoneticPr fontId="1" type="noConversion"/>
  </si>
  <si>
    <t>R</t>
    <phoneticPr fontId="1" type="noConversion"/>
  </si>
  <si>
    <t>■ 수취인거래지점명</t>
    <phoneticPr fontId="1" type="noConversion"/>
  </si>
  <si>
    <t>수취인 이름</t>
    <phoneticPr fontId="1" type="noConversion"/>
  </si>
  <si>
    <t>■ 수취인이름</t>
    <phoneticPr fontId="1" type="noConversion"/>
  </si>
  <si>
    <t>계좌유무</t>
    <phoneticPr fontId="1" type="noConversion"/>
  </si>
  <si>
    <t>9) 수취인지정자금 이체 신청 계좌조회 요구</t>
    <phoneticPr fontId="1" type="noConversion"/>
  </si>
  <si>
    <t>BKS10B170</t>
    <phoneticPr fontId="1" type="noConversion"/>
  </si>
  <si>
    <t>① 수취인지정자금 이체 신청 계좌조회 통보</t>
    <phoneticPr fontId="1" type="noConversion"/>
  </si>
  <si>
    <t>■ 자금이체 일련번호</t>
    <phoneticPr fontId="1" type="noConversion"/>
  </si>
  <si>
    <t>■ 의뢰인이름</t>
    <phoneticPr fontId="1" type="noConversion"/>
  </si>
  <si>
    <t>■ 금액</t>
    <phoneticPr fontId="1" type="noConversion"/>
  </si>
  <si>
    <t>결과통보 거래구분</t>
    <phoneticPr fontId="1" type="noConversion"/>
  </si>
  <si>
    <t>■ 의뢰인명</t>
    <phoneticPr fontId="1" type="noConversion"/>
  </si>
  <si>
    <t>6) 수취인지정자금 이체(반환) 입금결과 통보 신청 요구</t>
    <phoneticPr fontId="1" type="noConversion"/>
  </si>
  <si>
    <t>■ 입금결과</t>
    <phoneticPr fontId="1" type="noConversion"/>
  </si>
  <si>
    <t>입금처리시간</t>
    <phoneticPr fontId="1" type="noConversion"/>
  </si>
  <si>
    <t>7) 수취인지정자금 이체(반환) 입금결과 조회 신청 요구</t>
    <phoneticPr fontId="1" type="noConversion"/>
  </si>
  <si>
    <t>■ 지급지시유형
   - 1 : 신속</t>
    <phoneticPr fontId="1" type="noConversion"/>
  </si>
  <si>
    <t>■ 적요
    송금사유를 한글로 기재</t>
    <phoneticPr fontId="1" type="noConversion"/>
  </si>
  <si>
    <t>■ 이체기관점포코드</t>
    <phoneticPr fontId="1" type="noConversion"/>
  </si>
  <si>
    <t>이체기관점포명</t>
    <phoneticPr fontId="1" type="noConversion"/>
  </si>
  <si>
    <t>예약시각</t>
    <phoneticPr fontId="1" type="noConversion"/>
  </si>
  <si>
    <t>대기번호</t>
    <phoneticPr fontId="1" type="noConversion"/>
  </si>
  <si>
    <t>복합대기순서</t>
    <phoneticPr fontId="1" type="noConversion"/>
  </si>
  <si>
    <t>신청시간</t>
    <phoneticPr fontId="1" type="noConversion"/>
  </si>
  <si>
    <t>■ 결제실패원인</t>
    <phoneticPr fontId="1" type="noConversion"/>
  </si>
  <si>
    <t>■ 당좌예금(일반)잔액
   - 금융결제국 또는 지역본부 당좌예금잔액</t>
    <phoneticPr fontId="1" type="noConversion"/>
  </si>
  <si>
    <t>■ 당좌예금(결제전용)잔액
   - 결제운영팀 당좌예금잔액</t>
    <phoneticPr fontId="1" type="noConversion"/>
  </si>
  <si>
    <t>■ 당좌대출가능금액
   - 계정개설처 당좌대출가능금액</t>
    <phoneticPr fontId="1" type="noConversion"/>
  </si>
  <si>
    <t>■ 이체의뢰기관</t>
    <phoneticPr fontId="1" type="noConversion"/>
  </si>
  <si>
    <t>■ 결제방법
 - '1 : 총액결제'</t>
    <phoneticPr fontId="1" type="noConversion"/>
  </si>
  <si>
    <r>
      <t xml:space="preserve">■ 결제상태
</t>
    </r>
    <r>
      <rPr>
        <sz val="10"/>
        <color theme="1"/>
        <rFont val="맑은 고딕"/>
        <family val="3"/>
        <charset val="129"/>
      </rPr>
      <t xml:space="preserve"> - '1 : 예약', '2 : 대기', '3 : 결제'</t>
    </r>
    <phoneticPr fontId="1" type="noConversion"/>
  </si>
  <si>
    <t>■ 예약시각
 - hhmm 결제시점이 ‘2 : 예약’ 인 경우</t>
    <phoneticPr fontId="1" type="noConversion"/>
  </si>
  <si>
    <t>■ 예약번호
 - 결제상태가 ‘1 : 예약’인   경우</t>
    <phoneticPr fontId="1" type="noConversion"/>
  </si>
  <si>
    <t>■ 대기번호
 - 결제상태가 ‘2 : 대기’인   경우</t>
    <phoneticPr fontId="1" type="noConversion"/>
  </si>
  <si>
    <t>■ 복합대기순서
 - 결제상태가 ‘2 : 대기’인   경우</t>
    <phoneticPr fontId="1" type="noConversion"/>
  </si>
  <si>
    <t>■ 회계번호
 - 결제상태가 ‘3 : 결제’인   경우</t>
    <phoneticPr fontId="1" type="noConversion"/>
  </si>
  <si>
    <t xml:space="preserve">■ 신청시간
 - hhmmss  </t>
    <phoneticPr fontId="1" type="noConversion"/>
  </si>
  <si>
    <t xml:space="preserve">■ 결제시간
 - hhmmss  </t>
    <phoneticPr fontId="1" type="noConversion"/>
  </si>
  <si>
    <t>■ 결제시점
 - 1 : 즉시, 2 : 예약</t>
    <phoneticPr fontId="1" type="noConversion"/>
  </si>
  <si>
    <t>① 수취인지정 자금이체 신청 수취기관앞 통보</t>
    <phoneticPr fontId="1" type="noConversion"/>
  </si>
  <si>
    <t>② 수취인지정자금 이체 대기해소 이체기관앞 통보</t>
    <phoneticPr fontId="1" type="noConversion"/>
  </si>
  <si>
    <t>■ 의뢰인계좌번호</t>
  </si>
  <si>
    <t>③ 수취인지정자금 이체 대기해소 수취기관앞 통보</t>
    <phoneticPr fontId="1" type="noConversion"/>
  </si>
  <si>
    <t>④ 수취인지정자금이체 예약자금이체 실행결과 이체기관앞 통보</t>
    <phoneticPr fontId="1" type="noConversion"/>
  </si>
  <si>
    <t>⑤ 수취인지정자금이체 예약자금이체 실행결과 수취기관앞 통보</t>
    <phoneticPr fontId="1" type="noConversion"/>
  </si>
  <si>
    <t>① 수취인지정자금 반환 신청 수취기관(원이체기관)앞 통보</t>
    <phoneticPr fontId="1" type="noConversion"/>
  </si>
  <si>
    <t>BKS10B081</t>
    <phoneticPr fontId="1" type="noConversion"/>
  </si>
  <si>
    <t>5) 수취인지정자금 반환 신청 요구</t>
    <phoneticPr fontId="1" type="noConversion"/>
  </si>
  <si>
    <t>O</t>
  </si>
  <si>
    <t>■ 신청시각 
 - 한은망서버의 현재시각으로 셋팅</t>
    <phoneticPr fontId="1" type="noConversion"/>
  </si>
  <si>
    <t>■ 적요
    송금사유를 한글로 기재</t>
  </si>
  <si>
    <t>■ 이체기관점포코드</t>
  </si>
  <si>
    <t>■ 이체기관점포명</t>
  </si>
  <si>
    <t>■ 수취기관점포코드</t>
  </si>
  <si>
    <t>■ 수취기관점포명</t>
  </si>
  <si>
    <t>■ 결제실패원인</t>
  </si>
  <si>
    <t>■ 자금이체금액</t>
    <phoneticPr fontId="1" type="noConversion"/>
  </si>
  <si>
    <t>■ 의뢰인CMS번호내용
 - CMS코드 사용하는 경우 CMS코드가 있어야 함
   각 CMS코드는 20Byte로 표시(최대 3개까지 가능)</t>
    <phoneticPr fontId="1" type="noConversion"/>
  </si>
  <si>
    <t>■ 의뢰인이름</t>
  </si>
  <si>
    <r>
      <t xml:space="preserve">■ 결제상태
</t>
    </r>
    <r>
      <rPr>
        <sz val="10"/>
        <color theme="1"/>
        <rFont val="맑은 고딕"/>
        <family val="3"/>
        <charset val="129"/>
      </rPr>
      <t xml:space="preserve"> - '3 : 결제'</t>
    </r>
    <phoneticPr fontId="1" type="noConversion"/>
  </si>
  <si>
    <r>
      <t xml:space="preserve">■ 결제상태
</t>
    </r>
    <r>
      <rPr>
        <sz val="10"/>
        <color theme="1"/>
        <rFont val="맑은 고딕"/>
        <family val="3"/>
        <charset val="129"/>
      </rPr>
      <t xml:space="preserve"> - '2 : 대기', '3 : 결제'</t>
    </r>
    <phoneticPr fontId="1" type="noConversion"/>
  </si>
  <si>
    <t>■ 대기번호
 - 결제상태가 ‘2 : 대기’인   경우</t>
    <phoneticPr fontId="1" type="noConversion"/>
  </si>
  <si>
    <t>■ 복합대기순서
 - 결제상태가 ‘2 : 대기’인   경우</t>
    <phoneticPr fontId="1" type="noConversion"/>
  </si>
  <si>
    <t>■ 회계번호
 - 결제상태가 ‘3 : 결제’인   경우</t>
    <phoneticPr fontId="1" type="noConversion"/>
  </si>
  <si>
    <t xml:space="preserve">■ 신청시간
 - hhmmss  </t>
    <phoneticPr fontId="1" type="noConversion"/>
  </si>
  <si>
    <t xml:space="preserve">■ 결제시간
 - hhmmss  </t>
    <phoneticPr fontId="1" type="noConversion"/>
  </si>
  <si>
    <r>
      <t xml:space="preserve">■ 결제방법
</t>
    </r>
    <r>
      <rPr>
        <sz val="10"/>
        <color theme="1"/>
        <rFont val="맑은 고딕"/>
        <family val="3"/>
        <charset val="129"/>
      </rPr>
      <t xml:space="preserve"> - '1 : 총액결제'</t>
    </r>
    <phoneticPr fontId="1" type="noConversion"/>
  </si>
  <si>
    <t>■ 당좌예금(일반)잔액
 - 금융결제국 또는 지역본부 당좌예금잔액</t>
    <phoneticPr fontId="1" type="noConversion"/>
  </si>
  <si>
    <t>■ 당좌예금(결제전용)잔액
 - 결제운영팀 당좌예금잔액</t>
    <phoneticPr fontId="1" type="noConversion"/>
  </si>
  <si>
    <t>■ 당좌대출가능금액
 - 계정개설처 당좌대출가능금액</t>
    <phoneticPr fontId="1" type="noConversion"/>
  </si>
  <si>
    <t>■ 수취인계좌번호
 - 원거래기준 의뢰인계좌번호</t>
    <phoneticPr fontId="1" type="noConversion"/>
  </si>
  <si>
    <t>■ 수취인이름
 - 원거래기준 의뢰인 이름</t>
    <phoneticPr fontId="1" type="noConversion"/>
  </si>
  <si>
    <t>■ 지급지시유형
 - 1 : 신속</t>
    <phoneticPr fontId="1" type="noConversion"/>
  </si>
  <si>
    <t>■ 수취기관
 - 원거래기준 이체기관</t>
    <phoneticPr fontId="1" type="noConversion"/>
  </si>
  <si>
    <t>■  (원거래) 자금이체 일련번호
 - 반환대상 원거래의 자금이체일련번호</t>
    <phoneticPr fontId="1" type="noConversion"/>
  </si>
  <si>
    <t>■ 이체기관
 - 원거래기준 수취기관</t>
    <phoneticPr fontId="1" type="noConversion"/>
  </si>
  <si>
    <r>
      <t xml:space="preserve">■ 결제방법
</t>
    </r>
    <r>
      <rPr>
        <sz val="10"/>
        <color theme="1"/>
        <rFont val="맑은 고딕"/>
        <family val="3"/>
        <charset val="129"/>
      </rPr>
      <t xml:space="preserve"> - '1 : 총액결제'</t>
    </r>
    <r>
      <rPr>
        <sz val="10"/>
        <rFont val="맑은 고딕"/>
        <family val="3"/>
        <charset val="129"/>
      </rPr>
      <t>, '3 : 다자간동시처리'</t>
    </r>
    <phoneticPr fontId="1" type="noConversion"/>
  </si>
  <si>
    <t>② 수취인지정자금 반환 대기해소 이체기관(원수취기관)앞 통보</t>
    <phoneticPr fontId="1" type="noConversion"/>
  </si>
  <si>
    <t>③ 수취인지정자금 반환 대기해소 수취기관(원이체기관)앞 통보</t>
    <phoneticPr fontId="1" type="noConversion"/>
  </si>
  <si>
    <t>■ 입금처리시간
   - 수취기관이 수취계좌에 입금을 완료한 시간(hhmmss)</t>
    <phoneticPr fontId="1" type="noConversion"/>
  </si>
  <si>
    <t>BKS10E300</t>
    <phoneticPr fontId="1" type="noConversion"/>
  </si>
  <si>
    <t>① 수취인지정자금 이체(반환) 입금결과 이체기관앞 통보</t>
    <phoneticPr fontId="1" type="noConversion"/>
  </si>
  <si>
    <t>■ 적요
 - 송금사유를 한글로 기재</t>
    <phoneticPr fontId="1" type="noConversion"/>
  </si>
  <si>
    <t>■ 자금이체시 등록순번의 일련번호
 - 기본값 : '00000' 으로 입력</t>
    <phoneticPr fontId="1" type="noConversion"/>
  </si>
  <si>
    <t>관련통보전문</t>
  </si>
  <si>
    <t>■ 의뢰인지역코드</t>
    <phoneticPr fontId="1" type="noConversion"/>
  </si>
  <si>
    <t>■ 수취인지역코드</t>
    <phoneticPr fontId="1" type="noConversion"/>
  </si>
  <si>
    <t>■ 예약번호
 - 결제상태가 ‘1 : 예약’ 인 경우</t>
    <phoneticPr fontId="1" type="noConversion"/>
  </si>
  <si>
    <t>■ 회계번호
 - 결제상태가 ‘3 : 결제’ 인 경우</t>
    <phoneticPr fontId="1" type="noConversion"/>
  </si>
  <si>
    <t>■ 복합대기순서
 - 결제상태가 ‘2 : 대기’ 인 경우</t>
    <phoneticPr fontId="1" type="noConversion"/>
  </si>
  <si>
    <t>■ 대기번호
 - 결제상태가 ‘2 : 대기’ 인 경우</t>
    <phoneticPr fontId="1" type="noConversion"/>
  </si>
  <si>
    <t>■ 의뢰인CMS번호내용
 - CMS계좌사용상태코드 값이 '1 : 사용' 일 경우 필수입력 항목으로 검증</t>
    <phoneticPr fontId="1" type="noConversion"/>
  </si>
  <si>
    <t>■ 의뢰인CMS번호내용
 - CMS계좌사용상태코드 값이 '1 : 사용' 일경우 필수입력 항목으로 검증</t>
    <phoneticPr fontId="1" type="noConversion"/>
  </si>
  <si>
    <t>■ 결제방법 
 - 1 : 총액결제</t>
    <phoneticPr fontId="1" type="noConversion"/>
  </si>
  <si>
    <t>■ 결제실패원인
 - 00 : 정상</t>
    <phoneticPr fontId="1" type="noConversion"/>
  </si>
  <si>
    <t>■ 지금지시유형
 - '1 : 신속'</t>
    <phoneticPr fontId="1" type="noConversion"/>
  </si>
  <si>
    <t>■ 계정개설처
 - 항시 결제운영팀(1062)</t>
    <phoneticPr fontId="1" type="noConversion"/>
  </si>
  <si>
    <t xml:space="preserve">* 업무구분                 / 거래구분(대사자료 수신) / 거래구분(대사결과 송신) 
. 01: 일반자금이체         / DSS001                  / DSR001 
. 02: 수취인지정자금이체   / DSS002                  / DSR002 
. 03: 콜 자기거래          / DSS003                  / DSR003 
. 04: 콜 대행거래          / DSS004                  / DSR004 
. 05: 증권대금이체         / DSS005                  / DSR005 
. 07: 콜상환 및 콜반환     / DSS007                  / DSR007 
. 08: 연계결제             / DSS008                  / DSR008 
</t>
    <phoneticPr fontId="1" type="noConversion"/>
  </si>
  <si>
    <t>■ 자금이체 예약 시 거래종류
 - 21 : 일반자금이체
 - 22 : 수취인지정자금이체</t>
    <phoneticPr fontId="1" type="noConversion"/>
  </si>
  <si>
    <t>SLP810401PW</t>
    <phoneticPr fontId="1" type="noConversion"/>
  </si>
  <si>
    <t>한은금융망거래마감등록</t>
    <phoneticPr fontId="1" type="noConversion"/>
  </si>
  <si>
    <t>대기번호</t>
    <phoneticPr fontId="1" type="noConversion"/>
  </si>
  <si>
    <t>결제상태(CLS)</t>
    <phoneticPr fontId="1" type="noConversion"/>
  </si>
  <si>
    <t>대기거래종류(대기취소)</t>
    <phoneticPr fontId="1" type="noConversion"/>
  </si>
  <si>
    <t>이체종류(CLS)</t>
    <phoneticPr fontId="1" type="noConversion"/>
  </si>
  <si>
    <t>대기거래종류(대기취소)</t>
    <phoneticPr fontId="1" type="noConversion"/>
  </si>
  <si>
    <t>이체종류(CLS)</t>
    <phoneticPr fontId="1" type="noConversion"/>
  </si>
  <si>
    <t>■ 지급지시 유형을 구분하는 코드
■ 지급지시 유형별 결제방식
 - '1 : 신속' 은 총액결제 방식
   단, 당좌예금(결제전용) 잔액 부족시 다자간 동시처리 대기로 전환
 - '2 : 보통' 은 다자간 동시처리 대기 방식</t>
    <phoneticPr fontId="1" type="noConversion"/>
  </si>
  <si>
    <t>■ 자금이체 결제시점을 구분하는 코드</t>
    <phoneticPr fontId="1" type="noConversion"/>
  </si>
  <si>
    <t>결제상태</t>
    <phoneticPr fontId="1" type="noConversion"/>
  </si>
  <si>
    <t>■ 자금이체 결제처리 상태를 구분하는 코드
■ 결제시점별 결재상태
1) 결제시점 '1 : 즉시' 인 경우에 당좌잔액 충족하여, 즉시결제 처리된 경우
 - '3 : 결제'
2) 결제시점 '1 : 즉시' 인 경우에 당좌잔액 부족하여, 결제대기 처리된 경우
 - '2 : 대기'
3) 결제시점 '2 : 예약' 인 경우
 - '1 : 예약'</t>
    <phoneticPr fontId="1" type="noConversion"/>
  </si>
  <si>
    <t>■ 자금이체 결제처리시 결제유형을 구분하는 코드
■ 결제상태별 결제방법
1) 결제상태가 ‘3 : 결제’ 인 경우
 - '1 : 총액결제'
2) 결제상태가 ‘1 : 예약’ 또는 ‘2 : 대기’ 인 경우 해당 없으므로 빈값
 - 0</t>
    <phoneticPr fontId="1" type="noConversion"/>
  </si>
  <si>
    <t>■ 자금이체 결제처리 상태를 구분하는 코드
■ 결제시점별 결재상태(기관 요구전문)
1) 결제시점 '1 : 즉시' 인 경우에 당좌잔액 충족하여, 즉시결제 처리된 경우
 - '3 : 결제'
2) 결제시점 '1 : 즉시' 인 경우에 당좌잔액 부족하여, 결제대기 처리된 경우
 - '2 : 대기'
3) 결제시점 '2 : 예약' 인 경우
 - '1 : 예약'</t>
    <phoneticPr fontId="1" type="noConversion"/>
  </si>
  <si>
    <t>■ 지급지시 유형을 구분하는 코드
■ 한국은행 대행 자금이체 지급지시 유형 결제방식
 - '1 : 신속'  총액결제 방식만 가능
   단, 당좌예금(결제전용) 잔액 부족시 다자간 동시처리 대기로 전환</t>
    <phoneticPr fontId="1" type="noConversion"/>
  </si>
  <si>
    <t>■ 자금이체 결제시점을 구분하는 코드
■ 한국은행 대행 자금이체 결제시점
 - '1 : 즉시'  방식만 가능</t>
    <phoneticPr fontId="1" type="noConversion"/>
  </si>
  <si>
    <t>■ 자금이체 결제실패시 원인에 대한 유형을 구분하는 코드</t>
    <phoneticPr fontId="1" type="noConversion"/>
  </si>
  <si>
    <t>■ 지급지시 유형을 구분하는 코드
■ 마감후 자금이체 지급지시 유형 결제방식
 - '1 : 신속'  총액결제 방식만 가능</t>
    <phoneticPr fontId="1" type="noConversion"/>
  </si>
  <si>
    <t>■ 자금이체 결제시점을 구분하는 코드
■ 마감후 자금이체 결제시점
 - '1 : 즉시'  방식만 가능</t>
    <phoneticPr fontId="1" type="noConversion"/>
  </si>
  <si>
    <t>신청사유코드(마감후 자금이체)</t>
  </si>
  <si>
    <t>신청사유코드(마감후 자금이체)</t>
    <phoneticPr fontId="1" type="noConversion"/>
  </si>
  <si>
    <t>■ 마감후 자금이체 신청사유코드</t>
    <phoneticPr fontId="1" type="noConversion"/>
  </si>
  <si>
    <t>거래구분(마감후 자금이체)</t>
    <phoneticPr fontId="1" type="noConversion"/>
  </si>
  <si>
    <t>없음</t>
    <phoneticPr fontId="1" type="noConversion"/>
  </si>
  <si>
    <t>1</t>
    <phoneticPr fontId="1" type="noConversion"/>
  </si>
  <si>
    <t>타행(사)의 당좌예금(결제전용) 앞 이체</t>
    <phoneticPr fontId="1" type="noConversion"/>
  </si>
  <si>
    <t>■ 마감후 자금이체시 거래종류를 구분하는 코드
■ 마감후 자금이체시 거래구분
 - '1 : 타행(사)의 당좌예금(결제전용) 앞 이체' 만 가능</t>
    <phoneticPr fontId="1" type="noConversion"/>
  </si>
  <si>
    <t>처리상태(마감후 자금이체)</t>
  </si>
  <si>
    <t>처리상태(마감후 자금이체)</t>
    <phoneticPr fontId="1" type="noConversion"/>
  </si>
  <si>
    <t>■ 마감후 자금이체 처리상태 코드</t>
    <phoneticPr fontId="1" type="noConversion"/>
  </si>
  <si>
    <t>반려사유코드(마감후 자금이체)</t>
  </si>
  <si>
    <t>반려사유코드(마감후 자금이체)</t>
    <phoneticPr fontId="1" type="noConversion"/>
  </si>
  <si>
    <t>■ 마감후 자동이체 반려시 사유코드</t>
    <phoneticPr fontId="1" type="noConversion"/>
  </si>
  <si>
    <t>■ 한은금융망 이용 수수료 부과 구분</t>
    <phoneticPr fontId="1" type="noConversion"/>
  </si>
  <si>
    <t>■ 마감후 자금이체 처리상태코드</t>
    <phoneticPr fontId="1" type="noConversion"/>
  </si>
  <si>
    <t>CMS코드 사용여부</t>
    <phoneticPr fontId="1" type="noConversion"/>
  </si>
  <si>
    <t>CMS_ACCT_USE_STT_CD</t>
    <phoneticPr fontId="1" type="noConversion"/>
  </si>
  <si>
    <t>CMS코드 사용여부</t>
    <phoneticPr fontId="1" type="noConversion"/>
  </si>
  <si>
    <t>2</t>
    <phoneticPr fontId="1" type="noConversion"/>
  </si>
  <si>
    <t>CMS계좌 또는 CMS코드 사용</t>
    <phoneticPr fontId="1" type="noConversion"/>
  </si>
  <si>
    <t>기타계좌 또는 CMS코드 미사용</t>
    <phoneticPr fontId="1" type="noConversion"/>
  </si>
  <si>
    <t>■ CMS계좌사용상태코드</t>
    <phoneticPr fontId="1" type="noConversion"/>
  </si>
  <si>
    <t>■ 이체의뢰인구분코드</t>
    <phoneticPr fontId="1" type="noConversion"/>
  </si>
  <si>
    <t>의뢰인 구분</t>
    <phoneticPr fontId="1" type="noConversion"/>
  </si>
  <si>
    <t>■ 수취의뢰인구분코드</t>
    <phoneticPr fontId="1" type="noConversion"/>
  </si>
  <si>
    <t>■ 결제시첨코드</t>
    <phoneticPr fontId="1" type="noConversion"/>
  </si>
  <si>
    <t>의뢰인 CMS코드</t>
    <phoneticPr fontId="1" type="noConversion"/>
  </si>
  <si>
    <t>■ CMS계좌사용상태코드</t>
    <phoneticPr fontId="1" type="noConversion"/>
  </si>
  <si>
    <t>■ 이체의뢰인구분코드</t>
    <phoneticPr fontId="1" type="noConversion"/>
  </si>
  <si>
    <t>■ 결제시점</t>
    <phoneticPr fontId="1" type="noConversion"/>
  </si>
  <si>
    <t>■ 수취의뢰인구분코드</t>
    <phoneticPr fontId="1" type="noConversion"/>
  </si>
  <si>
    <t xml:space="preserve">■ 수취의뢰인구분코드 </t>
    <phoneticPr fontId="1" type="noConversion"/>
  </si>
  <si>
    <t>■ 의뢰인구분코드</t>
    <phoneticPr fontId="1" type="noConversion"/>
  </si>
  <si>
    <t>결과통보 거래구분</t>
    <phoneticPr fontId="1" type="noConversion"/>
  </si>
  <si>
    <t>수취인지정자금 이체 입금결과 통보</t>
    <phoneticPr fontId="1" type="noConversion"/>
  </si>
  <si>
    <t>수취인지정자금 이체 반환 입금결과 통보</t>
    <phoneticPr fontId="1" type="noConversion"/>
  </si>
  <si>
    <t>0</t>
    <phoneticPr fontId="1" type="noConversion"/>
  </si>
  <si>
    <t>수취계좌 입금결과정보 없음</t>
    <phoneticPr fontId="1" type="noConversion"/>
  </si>
  <si>
    <t>수취계좌 입금완료</t>
    <phoneticPr fontId="1" type="noConversion"/>
  </si>
  <si>
    <t>수취계좌 입금실패</t>
    <phoneticPr fontId="1" type="noConversion"/>
  </si>
  <si>
    <t>■ 결과통보거래구분</t>
    <phoneticPr fontId="1" type="noConversion"/>
  </si>
  <si>
    <t>수취인지정자금 이체 입금결과 조회</t>
    <phoneticPr fontId="1" type="noConversion"/>
  </si>
  <si>
    <t>수취인지정자금 이체 반환 입금결과 조회</t>
    <phoneticPr fontId="1" type="noConversion"/>
  </si>
  <si>
    <t>■ 조회대상거래구분</t>
    <phoneticPr fontId="1" type="noConversion"/>
  </si>
  <si>
    <t>조회대상 거래구분</t>
  </si>
  <si>
    <t>■ 변경전지급지시유형
 - 2 : 보통</t>
    <phoneticPr fontId="1" type="noConversion"/>
  </si>
  <si>
    <t>변경후지급지시유형</t>
    <phoneticPr fontId="1" type="noConversion"/>
  </si>
  <si>
    <t>■ 변경후지급지시유형
 - 1 : 신속</t>
    <phoneticPr fontId="1" type="noConversion"/>
  </si>
  <si>
    <t>61</t>
    <phoneticPr fontId="1" type="noConversion"/>
  </si>
  <si>
    <t>대기거래종류(일괄변경)</t>
    <phoneticPr fontId="1" type="noConversion"/>
  </si>
  <si>
    <t>계좌유무</t>
    <phoneticPr fontId="1" type="noConversion"/>
  </si>
  <si>
    <t>있음</t>
    <phoneticPr fontId="1" type="noConversion"/>
  </si>
  <si>
    <t>■ 계좌유무</t>
    <phoneticPr fontId="1" type="noConversion"/>
  </si>
  <si>
    <t>② 한국은행 대행 자금이체 결제취소 실행결과 수취기관앞 통보</t>
    <phoneticPr fontId="1" type="noConversion"/>
  </si>
  <si>
    <t>■ 자금이체 결제처리시 결제유형을 구분하는 코드
 - '1 : 총액결제', '3 : 다자간 차액결제'</t>
    <phoneticPr fontId="1" type="noConversion"/>
  </si>
  <si>
    <t>■ 자금이체 결제처리시 결제유형을 구분하는 코드
■ 결제상태별 결제방법
1) 결제상태가 ‘3 : 결제’ 인 경우
 - '1 : 총액결제', '3 : 다자간 차액결제'
2) 결제상태가 ‘1 : 예약’ 또는 ‘2 : 대기’ 인 경우 해당 없으므로 빈값
 - 0</t>
    <phoneticPr fontId="1" type="noConversion"/>
  </si>
  <si>
    <t>■ 자금이체 결제처리시 결제유형을 구분하는 코드
■ 결제상태별 결제방법
1) 결제상태가 ‘3 : 결제’ 인 경우
 - '1 : 총액결제', '3 : 다자간 동시처리'
2) 결제상태가 ‘1 : 예약’ 또는 ‘2 : 대기’ 인 경우 해당 없으므로 빈값
 - 0</t>
    <phoneticPr fontId="1" type="noConversion"/>
  </si>
  <si>
    <t>신청사유코드(마감후 자금이체)</t>
    <phoneticPr fontId="1" type="noConversion"/>
  </si>
  <si>
    <t>속성, SET, 필수</t>
    <phoneticPr fontId="1" type="noConversion"/>
  </si>
  <si>
    <r>
      <t>1) 속성</t>
    </r>
    <r>
      <rPr>
        <b/>
        <sz val="13"/>
        <rFont val="맑은 고딕"/>
        <family val="3"/>
        <charset val="129"/>
      </rPr>
      <t>,</t>
    </r>
    <r>
      <rPr>
        <b/>
        <sz val="13"/>
        <rFont val="휴먼명조"/>
        <charset val="129"/>
      </rPr>
      <t xml:space="preserve"> SET</t>
    </r>
    <r>
      <rPr>
        <b/>
        <sz val="13"/>
        <rFont val="맑은 고딕"/>
        <family val="3"/>
        <charset val="129"/>
      </rPr>
      <t>, 필수</t>
    </r>
    <phoneticPr fontId="1" type="noConversion"/>
  </si>
  <si>
    <t>필수</t>
    <phoneticPr fontId="1" type="noConversion"/>
  </si>
  <si>
    <t>O</t>
    <phoneticPr fontId="1" type="noConversion"/>
  </si>
  <si>
    <t>D</t>
    <phoneticPr fontId="1" type="noConversion"/>
  </si>
  <si>
    <t>Y</t>
    <phoneticPr fontId="1" type="noConversion"/>
  </si>
  <si>
    <t>②</t>
    <phoneticPr fontId="1" type="noConversion"/>
  </si>
  <si>
    <t>①</t>
    <phoneticPr fontId="1" type="noConversion"/>
  </si>
  <si>
    <t>SET 주체가 업무적으로 유효한 값을 필수로 세팅</t>
    <phoneticPr fontId="1" type="noConversion"/>
  </si>
  <si>
    <t>SET 주체가 업무적으로 유효한 값을 필요한 경우에 따라 선택적으로 세팅(필요하지 않은 경우 속성별 빈 값을 세팅)</t>
    <phoneticPr fontId="1" type="noConversion"/>
  </si>
  <si>
    <t>SET 주체가 업무적으로 유효한 값을 세팅할 필요가 없거나, 전문 흐름상 해당항목의 SET 주체가 아닌 경우(속성별 빈 값을 세팅)</t>
    <phoneticPr fontId="1" type="noConversion"/>
  </si>
  <si>
    <t>별첨10</t>
    <phoneticPr fontId="1" type="noConversion"/>
  </si>
  <si>
    <t>ISO20022 전체코드</t>
    <phoneticPr fontId="28" type="noConversion"/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</si>
  <si>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</si>
  <si>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</si>
  <si>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</si>
  <si>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</si>
  <si>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</si>
  <si>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</si>
  <si>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</si>
  <si>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</si>
  <si>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</si>
  <si>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</si>
  <si>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</si>
  <si>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</si>
  <si>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</si>
  <si>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</si>
  <si>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</si>
  <si>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</si>
  <si>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</si>
  <si>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</si>
  <si>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</si>
  <si>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</si>
  <si>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</si>
  <si>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</si>
  <si>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</si>
  <si>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</si>
  <si>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</si>
  <si>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</si>
  <si>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</si>
  <si>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</si>
  <si>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</si>
  <si>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</si>
  <si>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</si>
  <si>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</si>
  <si>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</si>
  <si>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</si>
  <si>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</si>
  <si>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</si>
  <si>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</si>
  <si>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</si>
  <si>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</si>
  <si>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</si>
  <si>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</si>
  <si>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</si>
  <si>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</si>
  <si>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</si>
  <si>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</si>
  <si>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</si>
  <si>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</si>
  <si>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</si>
  <si>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</si>
  <si>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</si>
  <si>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</si>
  <si>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</si>
  <si>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</si>
  <si>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</si>
  <si>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</si>
  <si>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</si>
  <si>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</si>
  <si>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</si>
  <si>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</si>
  <si>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</si>
  <si>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</si>
  <si>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</si>
  <si>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</si>
  <si>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</si>
  <si>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</si>
  <si>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</si>
  <si>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</si>
  <si>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</si>
  <si>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</si>
  <si>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</si>
  <si>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</si>
  <si>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</si>
  <si>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</si>
  <si>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</si>
  <si>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</si>
  <si>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</si>
  <si>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</si>
  <si>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</si>
  <si>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</si>
  <si>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</si>
  <si>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</si>
  <si>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</si>
  <si>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</si>
  <si>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</si>
  <si>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</si>
  <si>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</si>
  <si>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</si>
  <si>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</si>
  <si>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</si>
  <si>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</si>
  <si>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</si>
  <si>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</si>
  <si>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</si>
  <si>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</si>
  <si>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</si>
  <si>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</si>
  <si>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</si>
  <si>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</si>
  <si>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</si>
  <si>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</si>
  <si>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</si>
  <si>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</si>
  <si>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</si>
  <si>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</si>
  <si>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</si>
  <si>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</si>
  <si>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</si>
  <si>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</si>
  <si>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</si>
  <si>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</si>
  <si>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</si>
  <si>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</si>
  <si>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</si>
  <si>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</si>
  <si>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</si>
  <si>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</si>
  <si>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</si>
  <si>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</si>
  <si>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</si>
  <si>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</si>
  <si>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</si>
  <si>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</si>
  <si>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</si>
  <si>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</si>
  <si>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</si>
  <si>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</si>
  <si>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</si>
  <si>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</si>
  <si>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</si>
  <si>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</si>
  <si>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</si>
  <si>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</si>
  <si>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</si>
  <si>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</si>
  <si>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</si>
  <si>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</si>
  <si>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</si>
  <si>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</si>
  <si>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</si>
  <si>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</si>
  <si>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</si>
  <si>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</si>
  <si>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</si>
  <si>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</si>
  <si>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</si>
  <si>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</si>
  <si>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</si>
  <si>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</si>
  <si>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</si>
  <si>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</si>
  <si>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</si>
  <si>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</si>
  <si>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</si>
  <si>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</si>
  <si>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</si>
  <si>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</si>
  <si>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</si>
  <si>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</si>
  <si>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</si>
  <si>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</si>
  <si>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</si>
  <si>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</si>
  <si>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</si>
  <si>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</si>
  <si>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</si>
  <si>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</si>
  <si>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</si>
  <si>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</si>
  <si>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</si>
  <si>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</si>
  <si>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</si>
  <si>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</si>
  <si>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</si>
  <si>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</si>
  <si>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</si>
  <si>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</si>
  <si>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</si>
  <si>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</si>
  <si>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</si>
  <si>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</si>
  <si>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</si>
  <si>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</si>
  <si>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</si>
  <si>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</si>
  <si>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</si>
  <si>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</si>
  <si>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</si>
  <si>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</si>
  <si>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</si>
  <si>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</si>
  <si>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</si>
  <si>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</si>
  <si>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</si>
  <si>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</si>
  <si>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</si>
  <si>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</si>
  <si>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</si>
  <si>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</si>
  <si>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</si>
  <si>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</si>
  <si>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</si>
  <si>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</si>
  <si>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</si>
  <si>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</si>
  <si>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</si>
  <si>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</si>
  <si>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</si>
  <si>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</si>
  <si>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</si>
  <si>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</si>
  <si>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</si>
  <si>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</si>
  <si>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</si>
  <si>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</si>
  <si>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</si>
  <si>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</si>
  <si>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</si>
  <si>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</si>
  <si>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</si>
  <si>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</si>
  <si>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</si>
  <si>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</si>
  <si>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</si>
  <si>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</si>
  <si>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</si>
  <si>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</si>
  <si>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</si>
  <si>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</si>
  <si>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</si>
  <si>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</si>
  <si>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</si>
  <si>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</si>
  <si>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</si>
  <si>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</si>
  <si>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</si>
  <si>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</si>
  <si>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</si>
  <si>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</si>
  <si>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</si>
  <si>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</si>
  <si>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0275</t>
  </si>
  <si>
    <t>0276</t>
  </si>
  <si>
    <t>0277</t>
  </si>
  <si>
    <t>0352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</si>
  <si>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</si>
  <si>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</si>
  <si>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</si>
  <si>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</si>
  <si>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</si>
  <si>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</si>
  <si>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</si>
  <si>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</si>
  <si>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</si>
  <si>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</si>
  <si>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</si>
  <si>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</si>
  <si>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</si>
  <si>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</si>
  <si>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</si>
  <si>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</si>
  <si>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</si>
  <si>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</si>
  <si>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</si>
  <si>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</si>
  <si>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</si>
  <si>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</si>
  <si>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</si>
  <si>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</si>
  <si>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</si>
  <si>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</si>
  <si>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</si>
  <si>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</si>
  <si>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</si>
  <si>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</si>
  <si>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</si>
  <si>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</si>
  <si>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</si>
  <si>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</si>
  <si>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</si>
  <si>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</si>
  <si>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</si>
  <si>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</si>
  <si>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</si>
  <si>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</si>
  <si>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</si>
  <si>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</si>
  <si>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</si>
  <si>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</si>
  <si>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</si>
  <si>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</si>
  <si>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</si>
  <si>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</si>
  <si>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</si>
  <si>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</si>
  <si>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</si>
  <si>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</si>
  <si>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</si>
  <si>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</si>
  <si>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</si>
  <si>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</si>
  <si>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</si>
  <si>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</si>
  <si>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</si>
  <si>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</si>
  <si>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</si>
  <si>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</si>
  <si>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</si>
  <si>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</si>
  <si>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</si>
  <si>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</si>
  <si>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</si>
  <si>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</si>
  <si>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</si>
  <si>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</si>
  <si>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</si>
  <si>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</si>
  <si>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</si>
  <si>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</si>
  <si>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</si>
  <si>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</si>
  <si>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</si>
  <si>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</si>
  <si>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</si>
  <si>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</si>
  <si>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</si>
  <si>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</si>
  <si>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</si>
  <si>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</si>
  <si>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</si>
  <si>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</si>
  <si>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</si>
  <si>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</si>
  <si>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</si>
  <si>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</si>
  <si>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</si>
  <si>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</si>
  <si>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</si>
  <si>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</si>
  <si>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</si>
  <si>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</si>
  <si>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</si>
  <si>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</si>
  <si>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</si>
  <si>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</si>
  <si>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</si>
  <si>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</si>
  <si>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</si>
  <si>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</si>
  <si>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</si>
  <si>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</si>
  <si>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</si>
  <si>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</si>
  <si>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</si>
  <si>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</si>
  <si>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</si>
  <si>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</si>
  <si>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</si>
  <si>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</si>
  <si>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</si>
  <si>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</si>
  <si>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</si>
  <si>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</si>
  <si>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</si>
  <si>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</si>
  <si>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</si>
  <si>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</si>
  <si>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</si>
  <si>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</si>
  <si>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</si>
  <si>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</si>
  <si>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</si>
  <si>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</si>
  <si>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</si>
  <si>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</si>
  <si>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</si>
  <si>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</si>
  <si>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</si>
  <si>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</si>
  <si>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</si>
  <si>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</si>
  <si>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</si>
  <si>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</si>
  <si>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</si>
  <si>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</si>
  <si>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</si>
  <si>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</si>
  <si>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</si>
  <si>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</si>
  <si>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</si>
  <si>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</si>
  <si>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</si>
  <si>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</si>
  <si>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</si>
  <si>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</si>
  <si>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</si>
  <si>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</si>
  <si>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</si>
  <si>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</si>
  <si>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</si>
  <si>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</si>
  <si>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</si>
  <si>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</si>
  <si>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</si>
  <si>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</si>
  <si>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</si>
  <si>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</si>
  <si>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</si>
  <si>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</si>
  <si>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</si>
  <si>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</si>
  <si>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</si>
  <si>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</si>
  <si>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</si>
  <si>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</si>
  <si>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</si>
  <si>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</si>
  <si>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</si>
  <si>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</si>
  <si>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</si>
  <si>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</si>
  <si>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</si>
  <si>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</si>
  <si>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</si>
  <si>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</si>
  <si>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</si>
  <si>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</si>
  <si>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</si>
  <si>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</si>
  <si>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</si>
  <si>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</si>
  <si>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</si>
  <si>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</si>
  <si>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</si>
  <si>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</si>
  <si>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</si>
  <si>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</si>
  <si>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</si>
  <si>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</si>
  <si>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</si>
  <si>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</si>
  <si>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</si>
  <si>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</si>
  <si>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</si>
  <si>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</si>
  <si>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</si>
  <si>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</si>
  <si>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</si>
  <si>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</si>
  <si>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</si>
  <si>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</si>
  <si>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</si>
  <si>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</si>
  <si>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</si>
  <si>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</si>
  <si>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</si>
  <si>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</si>
  <si>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</si>
  <si>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</si>
  <si>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</si>
  <si>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</si>
  <si>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</si>
  <si>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</si>
  <si>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</si>
  <si>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</si>
  <si>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</si>
  <si>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</si>
  <si>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</si>
  <si>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</si>
  <si>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</si>
  <si>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</si>
  <si>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</si>
  <si>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</si>
  <si>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</si>
  <si>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</si>
  <si>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</si>
  <si>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</si>
  <si>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</si>
  <si>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</si>
  <si>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</si>
  <si>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</si>
  <si>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</si>
  <si>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</si>
  <si>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</si>
  <si>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</si>
  <si>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</si>
  <si>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</si>
  <si>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</si>
  <si>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</si>
  <si>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</si>
  <si>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</si>
  <si>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</si>
  <si>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</si>
  <si>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</si>
  <si>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</si>
  <si>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</si>
  <si>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</si>
  <si>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</si>
  <si>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</si>
  <si>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</si>
  <si>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</si>
  <si>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</si>
  <si>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</si>
  <si>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</si>
  <si>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</si>
  <si>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</si>
  <si>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</si>
  <si>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</si>
  <si>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</si>
  <si>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</si>
  <si>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</si>
  <si>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</si>
  <si>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</si>
  <si>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</si>
  <si>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</si>
  <si>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</si>
  <si>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</si>
  <si>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</si>
  <si>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</si>
  <si>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</si>
  <si>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</si>
  <si>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</si>
  <si>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</si>
  <si>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</si>
  <si>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</si>
  <si>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</si>
  <si>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</si>
  <si>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</si>
  <si>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</si>
  <si>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</si>
  <si>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</si>
  <si>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</si>
  <si>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</si>
  <si>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</si>
  <si>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</si>
  <si>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</si>
  <si>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</si>
  <si>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</si>
  <si>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</si>
  <si>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</si>
  <si>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</si>
  <si>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</si>
  <si>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</si>
  <si>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</si>
  <si>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</si>
  <si>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</si>
  <si>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</si>
  <si>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</si>
  <si>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</si>
  <si>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</si>
  <si>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</si>
  <si>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</si>
  <si>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</si>
  <si>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</si>
  <si>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</si>
  <si>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</si>
  <si>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</si>
  <si>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</si>
  <si>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</si>
  <si>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</si>
  <si>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</si>
  <si>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</si>
  <si>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</si>
  <si>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</si>
  <si>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</si>
  <si>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</si>
  <si>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</si>
  <si>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</si>
  <si>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</si>
  <si>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</si>
  <si>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</si>
  <si>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</si>
  <si>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</si>
  <si>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</si>
  <si>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</si>
  <si>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</si>
  <si>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</si>
  <si>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</si>
  <si>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</si>
  <si>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</si>
  <si>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</si>
  <si>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</si>
  <si>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</si>
  <si>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</si>
  <si>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</si>
  <si>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</si>
  <si>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</si>
  <si>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</si>
  <si>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</si>
  <si>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</si>
  <si>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</si>
  <si>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</si>
  <si>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</si>
  <si>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</si>
  <si>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</si>
  <si>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</si>
  <si>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</si>
  <si>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</si>
  <si>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</si>
  <si>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</si>
  <si>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</si>
  <si>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</si>
  <si>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</si>
  <si>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</si>
  <si>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</si>
  <si>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</si>
  <si>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</si>
  <si>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0847</t>
  </si>
  <si>
    <t>0849</t>
  </si>
  <si>
    <t>0850</t>
  </si>
  <si>
    <t>0851</t>
  </si>
  <si>
    <t>0852</t>
  </si>
  <si>
    <t>0853</t>
  </si>
  <si>
    <t>0854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</si>
  <si>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</si>
  <si>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</si>
  <si>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</si>
  <si>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</si>
  <si>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</si>
  <si>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</si>
  <si>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</si>
  <si>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</si>
  <si>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</si>
  <si>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</si>
  <si>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</si>
  <si>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</si>
  <si>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</si>
  <si>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</si>
  <si>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</si>
  <si>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</si>
  <si>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</si>
  <si>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0875</t>
  </si>
  <si>
    <t>0876</t>
  </si>
  <si>
    <t>0877</t>
  </si>
  <si>
    <t>0878</t>
  </si>
  <si>
    <t>0879</t>
  </si>
  <si>
    <t>0880</t>
  </si>
  <si>
    <t>0881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</si>
  <si>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</si>
  <si>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</si>
  <si>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</si>
  <si>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</si>
  <si>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</si>
  <si>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</si>
  <si>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</si>
  <si>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</si>
  <si>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</si>
  <si>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</si>
  <si>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</si>
  <si>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</si>
  <si>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1009</t>
  </si>
  <si>
    <t>1011</t>
  </si>
  <si>
    <t>1012</t>
  </si>
  <si>
    <t>1013</t>
  </si>
  <si>
    <t>1014</t>
  </si>
  <si>
    <t>1021</t>
  </si>
  <si>
    <t>1022</t>
  </si>
  <si>
    <t>1023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</si>
  <si>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</si>
  <si>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</si>
  <si>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</si>
  <si>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</si>
  <si>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</si>
  <si>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</si>
  <si>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</si>
  <si>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</si>
  <si>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</si>
  <si>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</si>
  <si>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</si>
  <si>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</si>
  <si>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</si>
  <si>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</si>
  <si>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</si>
  <si>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</si>
  <si>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</si>
  <si>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</si>
  <si>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</si>
  <si>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</si>
  <si>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</si>
  <si>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</si>
  <si>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</si>
  <si>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</si>
  <si>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</si>
  <si>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</si>
  <si>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</si>
  <si>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</si>
  <si>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</si>
  <si>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</si>
  <si>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</si>
  <si>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</si>
  <si>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</si>
  <si>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</si>
  <si>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</si>
  <si>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</si>
  <si>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</si>
  <si>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</si>
  <si>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</si>
  <si>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</si>
  <si>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</si>
  <si>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</si>
  <si>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</si>
  <si>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</si>
  <si>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</si>
  <si>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</si>
  <si>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</si>
  <si>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</si>
  <si>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</si>
  <si>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</si>
  <si>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</si>
  <si>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</si>
  <si>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</si>
  <si>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</si>
  <si>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</si>
  <si>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</si>
  <si>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</si>
  <si>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</si>
  <si>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</si>
  <si>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</si>
  <si>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</si>
  <si>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</si>
  <si>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</si>
  <si>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</si>
  <si>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</si>
  <si>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</si>
  <si>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</si>
  <si>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</si>
  <si>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</si>
  <si>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</si>
  <si>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</si>
  <si>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</si>
  <si>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</si>
  <si>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</si>
  <si>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</si>
  <si>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</si>
  <si>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</si>
  <si>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</si>
  <si>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</si>
  <si>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</si>
  <si>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</si>
  <si>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</si>
  <si>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</si>
  <si>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</si>
  <si>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</si>
  <si>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</si>
  <si>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</si>
  <si>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</si>
  <si>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</si>
  <si>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</si>
  <si>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</si>
  <si>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</si>
  <si>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</si>
  <si>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</si>
  <si>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</si>
  <si>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</si>
  <si>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</si>
  <si>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</si>
  <si>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</si>
  <si>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</si>
  <si>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</si>
  <si>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</si>
  <si>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</si>
  <si>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</si>
  <si>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</si>
  <si>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</si>
  <si>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</si>
  <si>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</si>
  <si>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</si>
  <si>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</si>
  <si>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</si>
  <si>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</si>
  <si>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</si>
  <si>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</si>
  <si>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</si>
  <si>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</si>
  <si>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</si>
  <si>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</si>
  <si>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</si>
  <si>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</si>
  <si>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</si>
  <si>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</si>
  <si>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</si>
  <si>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</si>
  <si>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</si>
  <si>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</si>
  <si>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</si>
  <si>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</si>
  <si>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</si>
  <si>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</si>
  <si>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</si>
  <si>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</si>
  <si>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</si>
  <si>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</si>
  <si>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</si>
  <si>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</si>
  <si>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</si>
  <si>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</si>
  <si>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</si>
  <si>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</si>
  <si>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</si>
  <si>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</si>
  <si>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</si>
  <si>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</si>
  <si>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</si>
  <si>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</si>
  <si>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</si>
  <si>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</si>
  <si>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</si>
  <si>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</si>
  <si>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</si>
  <si>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</si>
  <si>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</si>
  <si>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</si>
  <si>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</si>
  <si>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</si>
  <si>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</si>
  <si>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</si>
  <si>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</si>
  <si>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</si>
  <si>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</si>
  <si>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</si>
  <si>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</si>
  <si>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</si>
  <si>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</si>
  <si>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</si>
  <si>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</si>
  <si>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</si>
  <si>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</si>
  <si>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</si>
  <si>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</si>
  <si>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</si>
  <si>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</si>
  <si>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</si>
  <si>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</si>
  <si>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</si>
  <si>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</si>
  <si>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</si>
  <si>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</si>
  <si>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</si>
  <si>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</si>
  <si>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</si>
  <si>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</si>
  <si>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</si>
  <si>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</si>
  <si>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</si>
  <si>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</si>
  <si>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</si>
  <si>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</si>
  <si>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</si>
  <si>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</si>
  <si>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</si>
  <si>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</si>
  <si>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</si>
  <si>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</si>
  <si>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</si>
  <si>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</si>
  <si>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</si>
  <si>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</si>
  <si>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</si>
  <si>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</si>
  <si>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</si>
  <si>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</si>
  <si>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</si>
  <si>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2021</t>
  </si>
  <si>
    <t>2022</t>
  </si>
  <si>
    <t>2023</t>
  </si>
  <si>
    <t>2031</t>
  </si>
  <si>
    <t>2032</t>
  </si>
  <si>
    <t>2041</t>
  </si>
  <si>
    <t>2042</t>
  </si>
  <si>
    <t>2043</t>
  </si>
  <si>
    <t>2044</t>
  </si>
  <si>
    <t>2061</t>
  </si>
  <si>
    <t>2062</t>
  </si>
  <si>
    <t>2063</t>
  </si>
  <si>
    <t>2064</t>
  </si>
  <si>
    <t>2065</t>
  </si>
  <si>
    <t>2066</t>
  </si>
  <si>
    <t>2067</t>
  </si>
  <si>
    <t>2081</t>
  </si>
  <si>
    <t>2082</t>
  </si>
  <si>
    <t>2083</t>
  </si>
  <si>
    <t>2084</t>
  </si>
  <si>
    <t>2086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</si>
  <si>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</si>
  <si>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</si>
  <si>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</si>
  <si>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</si>
  <si>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</si>
  <si>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</si>
  <si>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</si>
  <si>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</si>
  <si>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</si>
  <si>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</si>
  <si>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</si>
  <si>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</si>
  <si>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</si>
  <si>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</si>
  <si>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</si>
  <si>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</si>
  <si>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</si>
  <si>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</si>
  <si>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</si>
  <si>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</si>
  <si>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</si>
  <si>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</si>
  <si>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</si>
  <si>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</si>
  <si>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</si>
  <si>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</si>
  <si>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</si>
  <si>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</si>
  <si>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</si>
  <si>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</si>
  <si>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</si>
  <si>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</si>
  <si>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</si>
  <si>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</si>
  <si>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</si>
  <si>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</si>
  <si>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</si>
  <si>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</si>
  <si>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</si>
  <si>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</si>
  <si>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</si>
  <si>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</si>
  <si>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</si>
  <si>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</si>
  <si>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</si>
  <si>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</si>
  <si>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</si>
  <si>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</si>
  <si>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</si>
  <si>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</si>
  <si>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</si>
  <si>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</si>
  <si>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</si>
  <si>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</si>
  <si>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</si>
  <si>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</si>
  <si>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</si>
  <si>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</si>
  <si>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</si>
  <si>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</si>
  <si>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</si>
  <si>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</si>
  <si>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</si>
  <si>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</si>
  <si>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</si>
  <si>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</si>
  <si>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</si>
  <si>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</si>
  <si>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</si>
  <si>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</si>
  <si>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</si>
  <si>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</si>
  <si>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</si>
  <si>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</si>
  <si>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</si>
  <si>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</si>
  <si>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</si>
  <si>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</si>
  <si>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</si>
  <si>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</si>
  <si>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</si>
  <si>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</si>
  <si>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</si>
  <si>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</si>
  <si>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</si>
  <si>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</si>
  <si>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</si>
  <si>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</si>
  <si>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</si>
  <si>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</si>
  <si>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</si>
  <si>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</si>
  <si>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</si>
  <si>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</si>
  <si>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</si>
  <si>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</si>
  <si>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</si>
  <si>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</si>
  <si>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</si>
  <si>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</si>
  <si>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</si>
  <si>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</si>
  <si>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</si>
  <si>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</si>
  <si>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</si>
  <si>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</si>
  <si>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</si>
  <si>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</si>
  <si>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</si>
  <si>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</si>
  <si>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</si>
  <si>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</si>
  <si>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</si>
  <si>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</si>
  <si>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</si>
  <si>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</si>
  <si>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</si>
  <si>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</si>
  <si>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</si>
  <si>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</si>
  <si>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</si>
  <si>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</si>
  <si>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</si>
  <si>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</si>
  <si>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</si>
  <si>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</si>
  <si>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</si>
  <si>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</si>
  <si>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</si>
  <si>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</si>
  <si>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</si>
  <si>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</si>
  <si>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</si>
  <si>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</si>
  <si>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</si>
  <si>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</si>
  <si>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</si>
  <si>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</si>
  <si>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</si>
  <si>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</si>
  <si>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</si>
  <si>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</si>
  <si>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</si>
  <si>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</si>
  <si>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</si>
  <si>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</si>
  <si>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</si>
  <si>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</si>
  <si>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</si>
  <si>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</si>
  <si>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</si>
  <si>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</si>
  <si>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</si>
  <si>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</si>
  <si>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</si>
  <si>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</si>
  <si>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</si>
  <si>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</si>
  <si>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</si>
  <si>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</si>
  <si>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</si>
  <si>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</si>
  <si>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</si>
  <si>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</si>
  <si>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</si>
  <si>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</si>
  <si>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</si>
  <si>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</si>
  <si>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</si>
  <si>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</si>
  <si>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</si>
  <si>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</si>
  <si>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</si>
  <si>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</si>
  <si>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</si>
  <si>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</si>
  <si>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</si>
  <si>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</si>
  <si>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</si>
  <si>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</si>
  <si>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</si>
  <si>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</si>
  <si>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</si>
  <si>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</si>
  <si>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</si>
  <si>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</si>
  <si>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</si>
  <si>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</si>
  <si>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</si>
  <si>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</si>
  <si>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</si>
  <si>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</si>
  <si>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</si>
  <si>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</si>
  <si>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</si>
  <si>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</si>
  <si>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</si>
  <si>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</si>
  <si>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</si>
  <si>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</si>
  <si>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</si>
  <si>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</si>
  <si>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</si>
  <si>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</si>
  <si>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</si>
  <si>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</si>
  <si>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</si>
  <si>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</si>
  <si>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</si>
  <si>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</si>
  <si>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</si>
  <si>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</si>
  <si>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</si>
  <si>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</si>
  <si>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</si>
  <si>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</si>
  <si>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</si>
  <si>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</si>
  <si>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</si>
  <si>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</si>
  <si>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</si>
  <si>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</si>
  <si>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</si>
  <si>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</si>
  <si>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</si>
  <si>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</si>
  <si>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</si>
  <si>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</si>
  <si>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</si>
  <si>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</si>
  <si>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</si>
  <si>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</si>
  <si>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</si>
  <si>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</si>
  <si>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</si>
  <si>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</si>
  <si>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</si>
  <si>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</si>
  <si>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</si>
  <si>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</si>
  <si>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</si>
  <si>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</si>
  <si>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</si>
  <si>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</si>
  <si>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</si>
  <si>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</si>
  <si>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</si>
  <si>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</si>
  <si>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</si>
  <si>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</si>
  <si>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</si>
  <si>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</si>
  <si>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</si>
  <si>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</si>
  <si>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</si>
  <si>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</si>
  <si>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</si>
  <si>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</si>
  <si>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</si>
  <si>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</si>
  <si>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</si>
  <si>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</si>
  <si>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</si>
  <si>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3000</t>
  </si>
  <si>
    <t>3001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</si>
  <si>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</si>
  <si>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</si>
  <si>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</si>
  <si>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</si>
  <si>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</si>
  <si>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</si>
  <si>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</si>
  <si>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</si>
  <si>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</si>
  <si>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</si>
  <si>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</si>
  <si>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</si>
  <si>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</si>
  <si>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</si>
  <si>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</si>
  <si>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</si>
  <si>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</si>
  <si>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</si>
  <si>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</si>
  <si>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</si>
  <si>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</si>
  <si>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</si>
  <si>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</si>
  <si>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</si>
  <si>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</si>
  <si>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</si>
  <si>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</si>
  <si>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</si>
  <si>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</si>
  <si>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</si>
  <si>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</si>
  <si>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</si>
  <si>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</si>
  <si>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</si>
  <si>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</si>
  <si>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</si>
  <si>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</si>
  <si>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</si>
  <si>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</si>
  <si>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</si>
  <si>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</si>
  <si>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</si>
  <si>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</si>
  <si>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</si>
  <si>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</si>
  <si>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</si>
  <si>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</si>
  <si>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</si>
  <si>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</si>
  <si>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</si>
  <si>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</si>
  <si>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</si>
  <si>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</si>
  <si>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</si>
  <si>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</si>
  <si>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</si>
  <si>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</si>
  <si>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</si>
  <si>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</si>
  <si>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</si>
  <si>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</si>
  <si>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</si>
  <si>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</si>
  <si>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</si>
  <si>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</si>
  <si>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</si>
  <si>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</si>
  <si>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</si>
  <si>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</si>
  <si>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</si>
  <si>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</si>
  <si>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</si>
  <si>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</si>
  <si>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</si>
  <si>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</si>
  <si>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</si>
  <si>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</si>
  <si>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</si>
  <si>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</si>
  <si>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</si>
  <si>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</si>
  <si>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</si>
  <si>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</si>
  <si>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</si>
  <si>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</si>
  <si>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</si>
  <si>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</si>
  <si>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</si>
  <si>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</si>
  <si>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</si>
  <si>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</si>
  <si>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</si>
  <si>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</si>
  <si>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</si>
  <si>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</si>
  <si>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</si>
  <si>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</si>
  <si>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</si>
  <si>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</si>
  <si>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</si>
  <si>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</si>
  <si>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</si>
  <si>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</si>
  <si>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</si>
  <si>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</si>
  <si>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</si>
  <si>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</si>
  <si>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</si>
  <si>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</si>
  <si>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</si>
  <si>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</si>
  <si>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</si>
  <si>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</si>
  <si>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</si>
  <si>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</si>
  <si>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</si>
  <si>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</si>
  <si>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</si>
  <si>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</si>
  <si>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</si>
  <si>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</si>
  <si>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</si>
  <si>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</si>
  <si>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</si>
  <si>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</si>
  <si>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</si>
  <si>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</si>
  <si>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</si>
  <si>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</si>
  <si>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</si>
  <si>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</si>
  <si>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</si>
  <si>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</si>
  <si>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</si>
  <si>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</si>
  <si>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</si>
  <si>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</si>
  <si>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</si>
  <si>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</si>
  <si>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</si>
  <si>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</si>
  <si>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</si>
  <si>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</si>
  <si>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</si>
  <si>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</si>
  <si>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</si>
  <si>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</si>
  <si>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</si>
  <si>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</si>
  <si>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</si>
  <si>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</si>
  <si>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</si>
  <si>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</si>
  <si>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</si>
  <si>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</si>
  <si>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</si>
  <si>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</si>
  <si>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</si>
  <si>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</si>
  <si>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</si>
  <si>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</si>
  <si>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</si>
  <si>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</si>
  <si>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</si>
  <si>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</si>
  <si>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</si>
  <si>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</si>
  <si>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</si>
  <si>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</si>
  <si>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</si>
  <si>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</si>
  <si>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</si>
  <si>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</si>
  <si>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</si>
  <si>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</si>
  <si>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</si>
  <si>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</si>
  <si>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</si>
  <si>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</si>
  <si>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</si>
  <si>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</si>
  <si>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</si>
  <si>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</si>
  <si>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</si>
  <si>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</si>
  <si>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</si>
  <si>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</si>
  <si>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</si>
  <si>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</si>
  <si>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</si>
  <si>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</si>
  <si>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</si>
  <si>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</si>
  <si>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</si>
  <si>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</si>
  <si>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</si>
  <si>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</si>
  <si>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</si>
  <si>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</si>
  <si>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</si>
  <si>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</si>
  <si>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</si>
  <si>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</si>
  <si>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</si>
  <si>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</si>
  <si>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</si>
  <si>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</si>
  <si>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</si>
  <si>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</si>
  <si>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</si>
  <si>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</si>
  <si>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</si>
  <si>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</si>
  <si>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</si>
  <si>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</si>
  <si>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</si>
  <si>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</si>
  <si>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</si>
  <si>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</si>
  <si>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</si>
  <si>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</si>
  <si>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</si>
  <si>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</si>
  <si>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</si>
  <si>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</si>
  <si>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</si>
  <si>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</si>
  <si>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</si>
  <si>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</si>
  <si>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</si>
  <si>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</si>
  <si>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</si>
  <si>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</si>
  <si>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</si>
  <si>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</si>
  <si>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</si>
  <si>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</si>
  <si>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</si>
  <si>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</si>
  <si>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</si>
  <si>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</si>
  <si>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</si>
  <si>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</si>
  <si>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</si>
  <si>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</si>
  <si>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</si>
  <si>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</si>
  <si>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</si>
  <si>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</si>
  <si>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</si>
  <si>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</si>
  <si>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</si>
  <si>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</si>
  <si>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</si>
  <si>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</si>
  <si>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</si>
  <si>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</si>
  <si>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</si>
  <si>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</si>
  <si>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</si>
  <si>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</si>
  <si>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</si>
  <si>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</si>
  <si>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</si>
  <si>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</si>
  <si>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</si>
  <si>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</si>
  <si>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</si>
  <si>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</si>
  <si>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</si>
  <si>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</si>
  <si>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</si>
  <si>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</si>
  <si>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</si>
  <si>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</si>
  <si>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</si>
  <si>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</si>
  <si>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</si>
  <si>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</si>
  <si>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</si>
  <si>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</si>
  <si>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</si>
  <si>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</si>
  <si>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</si>
  <si>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</si>
  <si>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</si>
  <si>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</si>
  <si>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</si>
  <si>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</si>
  <si>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</si>
  <si>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</si>
  <si>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</si>
  <si>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</si>
  <si>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</si>
  <si>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</si>
  <si>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</si>
  <si>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</si>
  <si>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</si>
  <si>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</si>
  <si>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</si>
  <si>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</si>
  <si>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</si>
  <si>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</si>
  <si>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</si>
  <si>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</si>
  <si>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</si>
  <si>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</si>
  <si>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</si>
  <si>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</si>
  <si>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</si>
  <si>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</si>
  <si>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</si>
  <si>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</si>
  <si>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</si>
  <si>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</si>
  <si>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</si>
  <si>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</si>
  <si>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</si>
  <si>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</si>
  <si>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</si>
  <si>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</si>
  <si>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</si>
  <si>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</si>
  <si>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</si>
  <si>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</si>
  <si>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</si>
  <si>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</si>
  <si>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</si>
  <si>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</si>
  <si>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</si>
  <si>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</si>
  <si>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</si>
  <si>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</si>
  <si>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</si>
  <si>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</si>
  <si>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</si>
  <si>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</si>
  <si>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</si>
  <si>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</si>
  <si>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</si>
  <si>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</si>
  <si>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</si>
  <si>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</si>
  <si>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4000</t>
  </si>
  <si>
    <t>4015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</si>
  <si>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</si>
  <si>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</si>
  <si>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</si>
  <si>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</si>
  <si>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</si>
  <si>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</si>
  <si>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</si>
  <si>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</si>
  <si>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</si>
  <si>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</si>
  <si>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</si>
  <si>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</si>
  <si>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</si>
  <si>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</si>
  <si>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</si>
  <si>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</si>
  <si>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</si>
  <si>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</si>
  <si>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</si>
  <si>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</si>
  <si>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</si>
  <si>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</si>
  <si>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</si>
  <si>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</si>
  <si>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</si>
  <si>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</si>
  <si>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</si>
  <si>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</si>
  <si>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</si>
  <si>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</si>
  <si>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</si>
  <si>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</si>
  <si>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</si>
  <si>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</si>
  <si>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</si>
  <si>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</si>
  <si>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</si>
  <si>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</si>
  <si>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</si>
  <si>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</si>
  <si>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</si>
  <si>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</si>
  <si>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</si>
  <si>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</si>
  <si>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</si>
  <si>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</si>
  <si>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</si>
  <si>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</si>
  <si>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</si>
  <si>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</si>
  <si>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</si>
  <si>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</si>
  <si>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</si>
  <si>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</si>
  <si>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</si>
  <si>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</si>
  <si>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</si>
  <si>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</si>
  <si>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</si>
  <si>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</si>
  <si>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</si>
  <si>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</si>
  <si>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</si>
  <si>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</si>
  <si>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</si>
  <si>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</si>
  <si>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</si>
  <si>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</si>
  <si>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</si>
  <si>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</si>
  <si>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</si>
  <si>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</si>
  <si>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</si>
  <si>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</si>
  <si>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</si>
  <si>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</si>
  <si>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</si>
  <si>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</si>
  <si>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</si>
  <si>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</si>
  <si>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</si>
  <si>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</si>
  <si>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</si>
  <si>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</si>
  <si>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</si>
  <si>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</si>
  <si>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</si>
  <si>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</si>
  <si>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</si>
  <si>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</si>
  <si>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</si>
  <si>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</si>
  <si>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</si>
  <si>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</si>
  <si>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</si>
  <si>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</si>
  <si>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</si>
  <si>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</si>
  <si>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</si>
  <si>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</si>
  <si>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</si>
  <si>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</si>
  <si>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</si>
  <si>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</si>
  <si>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</si>
  <si>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</si>
  <si>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</si>
  <si>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</si>
  <si>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</si>
  <si>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</si>
  <si>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</si>
  <si>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</si>
  <si>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</si>
  <si>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</si>
  <si>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</si>
  <si>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</si>
  <si>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</si>
  <si>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</si>
  <si>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</si>
  <si>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</si>
  <si>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</si>
  <si>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</si>
  <si>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</si>
  <si>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</si>
  <si>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</si>
  <si>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</si>
  <si>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</si>
  <si>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</si>
  <si>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</si>
  <si>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</si>
  <si>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</si>
  <si>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</si>
  <si>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</si>
  <si>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</si>
  <si>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</si>
  <si>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</si>
  <si>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</si>
  <si>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</si>
  <si>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</si>
  <si>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</si>
  <si>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</si>
  <si>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</si>
  <si>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</si>
  <si>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</si>
  <si>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</si>
  <si>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</si>
  <si>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</si>
  <si>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</si>
  <si>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</si>
  <si>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</si>
  <si>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</si>
  <si>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</si>
  <si>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</si>
  <si>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</si>
  <si>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</si>
  <si>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</si>
  <si>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</si>
  <si>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</si>
  <si>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</si>
  <si>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</si>
  <si>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</si>
  <si>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</si>
  <si>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</si>
  <si>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</si>
  <si>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</si>
  <si>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</si>
  <si>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</si>
  <si>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</si>
  <si>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</si>
  <si>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</si>
  <si>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</si>
  <si>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</si>
  <si>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</si>
  <si>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</si>
  <si>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</si>
  <si>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</si>
  <si>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</si>
  <si>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</si>
  <si>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</si>
  <si>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</si>
  <si>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</si>
  <si>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</si>
  <si>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</si>
  <si>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</si>
  <si>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</si>
  <si>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</si>
  <si>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</si>
  <si>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</si>
  <si>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</si>
  <si>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</si>
  <si>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</si>
  <si>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</si>
  <si>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</si>
  <si>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</si>
  <si>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</si>
  <si>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</si>
  <si>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</si>
  <si>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</si>
  <si>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</si>
  <si>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</si>
  <si>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</si>
  <si>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</si>
  <si>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</si>
  <si>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</si>
  <si>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</si>
  <si>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</si>
  <si>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</si>
  <si>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</si>
  <si>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</si>
  <si>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</si>
  <si>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</si>
  <si>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</si>
  <si>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</si>
  <si>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</si>
  <si>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</si>
  <si>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</si>
  <si>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</si>
  <si>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</si>
  <si>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</si>
  <si>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</si>
  <si>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</si>
  <si>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</si>
  <si>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</si>
  <si>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4746</t>
  </si>
  <si>
    <t>4748</t>
  </si>
  <si>
    <t>4749</t>
  </si>
  <si>
    <t>4750</t>
  </si>
  <si>
    <t>4751</t>
  </si>
  <si>
    <t>4752</t>
  </si>
  <si>
    <t>4753</t>
  </si>
  <si>
    <t>4754</t>
  </si>
  <si>
    <t>4755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</si>
  <si>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</si>
  <si>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</si>
  <si>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</si>
  <si>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</si>
  <si>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</si>
  <si>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</si>
  <si>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</si>
  <si>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</si>
  <si>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</si>
  <si>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</si>
  <si>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</si>
  <si>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</si>
  <si>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</si>
  <si>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</si>
  <si>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</si>
  <si>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</si>
  <si>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</si>
  <si>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</si>
  <si>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</si>
  <si>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</si>
  <si>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</si>
  <si>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</si>
  <si>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</si>
  <si>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</si>
  <si>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</si>
  <si>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</si>
  <si>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</si>
  <si>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</si>
  <si>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</si>
  <si>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</si>
  <si>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</si>
  <si>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</si>
  <si>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</si>
  <si>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</si>
  <si>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</si>
  <si>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</si>
  <si>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</si>
  <si>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</si>
  <si>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4800</t>
  </si>
  <si>
    <t>4801</t>
  </si>
  <si>
    <t>4802</t>
  </si>
  <si>
    <t>4803</t>
  </si>
  <si>
    <t>4804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</si>
  <si>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</si>
  <si>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</si>
  <si>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</si>
  <si>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</si>
  <si>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</si>
  <si>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</si>
  <si>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</si>
  <si>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</si>
  <si>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</si>
  <si>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</si>
  <si>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</si>
  <si>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</si>
  <si>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</si>
  <si>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</si>
  <si>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</si>
  <si>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</si>
  <si>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</si>
  <si>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</si>
  <si>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</si>
  <si>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</si>
  <si>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</si>
  <si>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</si>
  <si>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</si>
  <si>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</si>
  <si>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</si>
  <si>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</si>
  <si>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</si>
  <si>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</si>
  <si>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</si>
  <si>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</si>
  <si>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</si>
  <si>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</si>
  <si>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</si>
  <si>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</si>
  <si>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</si>
  <si>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</si>
  <si>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</si>
  <si>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</si>
  <si>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</si>
  <si>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</si>
  <si>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</si>
  <si>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</si>
  <si>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</si>
  <si>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</si>
  <si>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</si>
  <si>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</si>
  <si>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</si>
  <si>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</si>
  <si>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</si>
  <si>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</si>
  <si>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</si>
  <si>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</si>
  <si>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</si>
  <si>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</si>
  <si>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</si>
  <si>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</si>
  <si>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</si>
  <si>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</si>
  <si>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</si>
  <si>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</si>
  <si>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</si>
  <si>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</si>
  <si>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</si>
  <si>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</si>
  <si>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</si>
  <si>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</si>
  <si>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</si>
  <si>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</si>
  <si>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</si>
  <si>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</si>
  <si>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</si>
  <si>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</si>
  <si>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</si>
  <si>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</si>
  <si>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</si>
  <si>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</si>
  <si>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</si>
  <si>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</si>
  <si>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</si>
  <si>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</si>
  <si>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</si>
  <si>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</si>
  <si>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</si>
  <si>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</si>
  <si>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</si>
  <si>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</si>
  <si>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</si>
  <si>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</si>
  <si>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</si>
  <si>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</si>
  <si>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</si>
  <si>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</si>
  <si>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</si>
  <si>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</si>
  <si>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</si>
  <si>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</si>
  <si>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</si>
  <si>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</si>
  <si>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</si>
  <si>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</si>
  <si>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</si>
  <si>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</si>
  <si>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</si>
  <si>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</si>
  <si>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</si>
  <si>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</si>
  <si>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</si>
  <si>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</si>
  <si>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</si>
  <si>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</si>
  <si>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</si>
  <si>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</si>
  <si>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</si>
  <si>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</si>
  <si>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</si>
  <si>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</si>
  <si>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</si>
  <si>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</si>
  <si>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</si>
  <si>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</si>
  <si>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5200</t>
  </si>
  <si>
    <t>5201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</si>
  <si>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</si>
  <si>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</si>
  <si>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</si>
  <si>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</si>
  <si>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</si>
  <si>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</si>
  <si>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</si>
  <si>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</si>
  <si>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</si>
  <si>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</si>
  <si>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</si>
  <si>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</si>
  <si>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</si>
  <si>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</si>
  <si>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</si>
  <si>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</si>
  <si>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</si>
  <si>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</si>
  <si>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</si>
  <si>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</si>
  <si>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</si>
  <si>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</si>
  <si>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</si>
  <si>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</si>
  <si>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</si>
  <si>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</si>
  <si>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</si>
  <si>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</si>
  <si>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</si>
  <si>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</si>
  <si>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</si>
  <si>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</si>
  <si>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</si>
  <si>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</si>
  <si>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</si>
  <si>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</si>
  <si>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</si>
  <si>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</si>
  <si>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</si>
  <si>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</si>
  <si>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</si>
  <si>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</si>
  <si>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</si>
  <si>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</si>
  <si>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</si>
  <si>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</si>
  <si>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</si>
  <si>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</si>
  <si>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</si>
  <si>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</si>
  <si>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</si>
  <si>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</si>
  <si>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</si>
  <si>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</si>
  <si>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</si>
  <si>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</si>
  <si>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</si>
  <si>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</si>
  <si>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</si>
  <si>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</si>
  <si>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</si>
  <si>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</si>
  <si>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</si>
  <si>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</si>
  <si>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</si>
  <si>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</si>
  <si>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</si>
  <si>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</si>
  <si>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</si>
  <si>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</si>
  <si>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</si>
  <si>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</si>
  <si>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</si>
  <si>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</si>
  <si>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</si>
  <si>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</si>
  <si>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</si>
  <si>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</si>
  <si>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</si>
  <si>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</si>
  <si>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</si>
  <si>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</si>
  <si>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</si>
  <si>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</si>
  <si>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</si>
  <si>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</si>
  <si>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</si>
  <si>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</si>
  <si>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</si>
  <si>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</si>
  <si>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</si>
  <si>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</si>
  <si>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</si>
  <si>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</si>
  <si>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</si>
  <si>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</si>
  <si>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</si>
  <si>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</si>
  <si>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</si>
  <si>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</si>
  <si>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</si>
  <si>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</si>
  <si>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</si>
  <si>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</si>
  <si>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</si>
  <si>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</si>
  <si>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</si>
  <si>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</si>
  <si>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</si>
  <si>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</si>
  <si>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</si>
  <si>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</si>
  <si>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</si>
  <si>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</si>
  <si>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</si>
  <si>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</si>
  <si>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</si>
  <si>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</si>
  <si>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</si>
  <si>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</si>
  <si>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</si>
  <si>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</si>
  <si>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</si>
  <si>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</si>
  <si>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</si>
  <si>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</si>
  <si>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7101</t>
  </si>
  <si>
    <t>7102</t>
  </si>
  <si>
    <t>7103</t>
  </si>
  <si>
    <t>7104</t>
  </si>
  <si>
    <t>7105</t>
  </si>
  <si>
    <t>7106</t>
  </si>
  <si>
    <t>7107</t>
  </si>
  <si>
    <t>7499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</si>
  <si>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</si>
  <si>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</si>
  <si>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</si>
  <si>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</si>
  <si>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</si>
  <si>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</si>
  <si>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</si>
  <si>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</si>
  <si>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</si>
  <si>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</si>
  <si>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</si>
  <si>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</si>
  <si>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</si>
  <si>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</si>
  <si>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</si>
  <si>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</si>
  <si>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</si>
  <si>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</si>
  <si>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</si>
  <si>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</si>
  <si>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</si>
  <si>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</si>
  <si>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</si>
  <si>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</si>
  <si>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</si>
  <si>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</si>
  <si>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</si>
  <si>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</si>
  <si>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</si>
  <si>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</si>
  <si>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</si>
  <si>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</si>
  <si>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</si>
  <si>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</si>
  <si>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</si>
  <si>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</si>
  <si>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</si>
  <si>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</si>
  <si>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</si>
  <si>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</si>
  <si>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</si>
  <si>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</si>
  <si>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</si>
  <si>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</si>
  <si>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</si>
  <si>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</si>
  <si>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</si>
  <si>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</si>
  <si>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</si>
  <si>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</si>
  <si>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</si>
  <si>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</si>
  <si>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</si>
  <si>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</si>
  <si>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</si>
  <si>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</si>
  <si>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</si>
  <si>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</si>
  <si>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</si>
  <si>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</si>
  <si>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</si>
  <si>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</si>
  <si>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</si>
  <si>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</si>
  <si>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</si>
  <si>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</si>
  <si>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</si>
  <si>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</si>
  <si>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</si>
  <si>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</si>
  <si>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</si>
  <si>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</si>
  <si>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</si>
  <si>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</si>
  <si>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</si>
  <si>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</si>
  <si>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</si>
  <si>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</si>
  <si>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</si>
  <si>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</si>
  <si>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</si>
  <si>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</si>
  <si>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</si>
  <si>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</si>
  <si>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</si>
  <si>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</si>
  <si>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</si>
  <si>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</si>
  <si>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</si>
  <si>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</si>
  <si>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</si>
  <si>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</si>
  <si>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</si>
  <si>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</si>
  <si>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</si>
  <si>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</si>
  <si>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</si>
  <si>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</si>
  <si>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</si>
  <si>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8000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</si>
  <si>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</si>
  <si>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</si>
  <si>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</si>
  <si>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</si>
  <si>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</si>
  <si>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</si>
  <si>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</si>
  <si>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</si>
  <si>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</si>
  <si>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</si>
  <si>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</si>
  <si>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</si>
  <si>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</si>
  <si>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</si>
  <si>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</si>
  <si>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</si>
  <si>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</si>
  <si>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</si>
  <si>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</si>
  <si>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</si>
  <si>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</si>
  <si>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</si>
  <si>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</si>
  <si>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</si>
  <si>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</si>
  <si>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</si>
  <si>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</si>
  <si>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</si>
  <si>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</si>
  <si>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</si>
  <si>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</si>
  <si>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</si>
  <si>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</si>
  <si>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</si>
  <si>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</si>
  <si>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</si>
  <si>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</si>
  <si>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</si>
  <si>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</si>
  <si>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</si>
  <si>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</si>
  <si>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</si>
  <si>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</si>
  <si>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</si>
  <si>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</si>
  <si>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</si>
  <si>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</si>
  <si>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</si>
  <si>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</si>
  <si>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</si>
  <si>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</si>
  <si>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</si>
  <si>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</si>
  <si>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</si>
  <si>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</si>
  <si>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</si>
  <si>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</si>
  <si>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</si>
  <si>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</si>
  <si>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</si>
  <si>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</si>
  <si>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</si>
  <si>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</si>
  <si>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</si>
  <si>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</si>
  <si>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</si>
  <si>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</si>
  <si>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</si>
  <si>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</si>
  <si>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</si>
  <si>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8888</t>
  </si>
  <si>
    <t>8900</t>
  </si>
  <si>
    <t>9000</t>
  </si>
  <si>
    <t>9001</t>
  </si>
  <si>
    <t>9002</t>
  </si>
  <si>
    <t>9003</t>
  </si>
  <si>
    <t>9004</t>
  </si>
  <si>
    <t>9005</t>
  </si>
  <si>
    <t>9007</t>
  </si>
  <si>
    <t>9008</t>
  </si>
  <si>
    <t>9009</t>
  </si>
  <si>
    <t>9100</t>
  </si>
  <si>
    <t>9999</t>
  </si>
  <si>
    <t>Y001</t>
  </si>
  <si>
    <t>Y002</t>
  </si>
  <si>
    <t>Y003</t>
  </si>
  <si>
    <t>Y004</t>
  </si>
  <si>
    <t>Y005</t>
  </si>
  <si>
    <t>Y006</t>
  </si>
  <si>
    <t>Y007</t>
  </si>
  <si>
    <t>Y008</t>
  </si>
  <si>
    <t>Y009</t>
  </si>
  <si>
    <t>Y010</t>
  </si>
  <si>
    <t>Y011</t>
  </si>
  <si>
    <t>Y012</t>
  </si>
  <si>
    <t>Y013</t>
  </si>
  <si>
    <t>Y014</t>
  </si>
  <si>
    <t>Y015</t>
  </si>
  <si>
    <t>Y016</t>
  </si>
  <si>
    <t>Y017</t>
  </si>
  <si>
    <t>Y018</t>
  </si>
  <si>
    <t>Y019</t>
  </si>
  <si>
    <t>Y020</t>
  </si>
  <si>
    <t>Y021</t>
  </si>
  <si>
    <t>Y022</t>
  </si>
  <si>
    <t>Y023</t>
  </si>
  <si>
    <t>Y024</t>
  </si>
  <si>
    <t>Y025</t>
  </si>
  <si>
    <t>Y026</t>
  </si>
  <si>
    <t>Y027</t>
  </si>
  <si>
    <t>Y028</t>
  </si>
  <si>
    <t>Y029</t>
  </si>
  <si>
    <t>Y030</t>
  </si>
  <si>
    <t>Y031</t>
  </si>
  <si>
    <t>Y032</t>
  </si>
  <si>
    <t>Y098</t>
  </si>
  <si>
    <t>Y099</t>
  </si>
  <si>
    <t>ANSW_CD</t>
    <phoneticPr fontId="1" type="noConversion"/>
  </si>
  <si>
    <t>거래기관코드</t>
    <phoneticPr fontId="1" type="noConversion"/>
  </si>
  <si>
    <t>■ 거래일자(영업일자)
 - 포맷 : YYYYMMDD</t>
  </si>
  <si>
    <t>■ 자금이체 예약시각
 - 포맷 : HHMM
■ 결제시점별 예약시각
1) 결제시점 '2 : 예약' 인 경우 예약결제될 유효시각
  - 1500
2) 결제시점 '1 : 즉시' 인 경우 0(Zero)
  - 0000</t>
  </si>
  <si>
    <t>■ 자금이체 요구전문 접수시각
 - 포맷 : HHMMSS</t>
  </si>
  <si>
    <t>■ 자금이체 결제시각
 - 포맷 : HHMMSS
■ 결제상태별 결제시간
1) 결제상태가 ‘3 : 결제’ 인 경우
 - 결제된 시각
2) 결제상태가 ‘1 : 예약’ 또는 ‘2 : 대기’ 인 경우 해당 없으므로 빈값
 - 0</t>
  </si>
  <si>
    <t>■ 자금이체 결제시각
 - 포맷 : HHMMSS</t>
  </si>
  <si>
    <t>■ 거래일자(영업일자)
 - 포맷 : YYYYMMDD
 - 한은망서버의 영업일자와 불일치하면 오류 처리</t>
  </si>
  <si>
    <t>■ 거래일자(영업일자)
 - 포맷 : YYYYMMDD
 - 한은망 서버의 영업일자와 일치하지 않으면 오류 처리</t>
  </si>
  <si>
    <t>■ 자금이체 예약시각
 - 포맷 : HHMM
■ 결제시점별 예약시각
1) 결제시점 '2 : 예약' 인 경우 예약결제될 유효시각
  - 1500
2) 결제시점 '1 : 즉시' 인 경우 0(Zero)
  - 0000</t>
    <phoneticPr fontId="1" type="noConversion"/>
  </si>
  <si>
    <t>집계 및 집계취소(거액결제) 통보/통보응답</t>
    <phoneticPr fontId="1" type="noConversion"/>
  </si>
  <si>
    <t>대사결과(거액결제) 송신 통보/통보응답</t>
    <phoneticPr fontId="1" type="noConversion"/>
  </si>
  <si>
    <t>통보필수</t>
    <phoneticPr fontId="1" type="noConversion"/>
  </si>
  <si>
    <t>응답필수</t>
    <phoneticPr fontId="1" type="noConversion"/>
  </si>
  <si>
    <t>요구필수</t>
    <phoneticPr fontId="1" type="noConversion"/>
  </si>
  <si>
    <t>건별 대사자료(거액결제) 신청 요구/요구응답</t>
    <phoneticPr fontId="1" type="noConversion"/>
  </si>
  <si>
    <t>한국은행 대행 대기취소 처리결과 이체기관앞 통보/통보응답</t>
    <phoneticPr fontId="1" type="noConversion"/>
  </si>
  <si>
    <t>미결제 대기일괄취소 처리결과 이체기관앞 통보/통보응답</t>
    <phoneticPr fontId="1" type="noConversion"/>
  </si>
  <si>
    <t>0200/0210</t>
    <phoneticPr fontId="1" type="noConversion"/>
  </si>
  <si>
    <t>0800/0810</t>
    <phoneticPr fontId="1" type="noConversion"/>
  </si>
  <si>
    <t>대기거래 취소 신청 요구/요구응답</t>
    <phoneticPr fontId="1" type="noConversion"/>
  </si>
  <si>
    <t>예약거래 취소 신청 요구/요구응답</t>
    <phoneticPr fontId="1" type="noConversion"/>
  </si>
  <si>
    <t>■ 참가기관에서 예약거래 취소 요청건에 대해 처리완료 시간
  - 참가기관 요구시 '0' 고정
  - 한국은행 응답시 한국은행에서 처리한 시간 응답</t>
    <phoneticPr fontId="1" type="noConversion"/>
  </si>
  <si>
    <t>한국은행 대행 예약취소 처리결과 이체기관앞 통보/통보응답</t>
    <phoneticPr fontId="1" type="noConversion"/>
  </si>
  <si>
    <t>PAY-IN 신청 요구/요구응답</t>
    <phoneticPr fontId="1" type="noConversion"/>
  </si>
  <si>
    <t>■ 참가기관에서 대기거래 취소 요청건에 대해 처리완료 시간</t>
    <phoneticPr fontId="1" type="noConversion"/>
  </si>
  <si>
    <t>PAY-IN 대기거래 대기해소 통보/통보응답</t>
    <phoneticPr fontId="1" type="noConversion"/>
  </si>
  <si>
    <t>PAY-OUT 신청 결과 통보/통보응답</t>
    <phoneticPr fontId="1" type="noConversion"/>
  </si>
  <si>
    <t>일반자금이체 신청 요구/요구응답</t>
    <phoneticPr fontId="1" type="noConversion"/>
  </si>
  <si>
    <t>일반자금이체 신청 수취기관앞 통보/통보응답</t>
    <phoneticPr fontId="1" type="noConversion"/>
  </si>
  <si>
    <t>일반자금이체 대기해소 이체기관앞 통보/통보응답</t>
    <phoneticPr fontId="1" type="noConversion"/>
  </si>
  <si>
    <t>일반자금이체 대기해소 수취기관앞 통보/통보응답</t>
    <phoneticPr fontId="1" type="noConversion"/>
  </si>
  <si>
    <t>일반자금이체 예약자금이체 실행결과 이체기관앞 통보/통보응답</t>
    <phoneticPr fontId="1" type="noConversion"/>
  </si>
  <si>
    <t>일반자금이체 예약자금이체 실행결과 수취기관앞 통보/통보응답</t>
    <phoneticPr fontId="1" type="noConversion"/>
  </si>
  <si>
    <t>관련요구전문</t>
    <phoneticPr fontId="1" type="noConversion"/>
  </si>
  <si>
    <t>한국은행 대행 일반자금이체 실행결과 이체기관앞 통보/통보응답</t>
    <phoneticPr fontId="1" type="noConversion"/>
  </si>
  <si>
    <t>한국은행 대행 일반자금이체 실행결과 수취기관앞 통보/통보응답</t>
    <phoneticPr fontId="1" type="noConversion"/>
  </si>
  <si>
    <t>일반자금이체 대행거래 신청 요구/요구응답</t>
    <phoneticPr fontId="1" type="noConversion"/>
  </si>
  <si>
    <t>마감후 자금이체 신청 요구/요구응답</t>
    <phoneticPr fontId="1" type="noConversion"/>
  </si>
  <si>
    <t>마감후 자금이체 처리결과 이체기관앞 통보/통보응답</t>
    <phoneticPr fontId="1" type="noConversion"/>
  </si>
  <si>
    <t>마감후 자금이체 처리결과 수취기관앞 통보/통보응답</t>
    <phoneticPr fontId="1" type="noConversion"/>
  </si>
  <si>
    <t>수취인지정 자금이체 신청 요구/요구응답</t>
    <phoneticPr fontId="1" type="noConversion"/>
  </si>
  <si>
    <t>수취인지정 자금이체 신청 수취기관앞 통보/통보응답</t>
    <phoneticPr fontId="1" type="noConversion"/>
  </si>
  <si>
    <t>수취인지정자금 이체 대기해소 이체기관앞 통보/통보응답</t>
    <phoneticPr fontId="1" type="noConversion"/>
  </si>
  <si>
    <t>수취인지정자금 이체 대기해소 수취기관앞 통보/통보응답</t>
    <phoneticPr fontId="1" type="noConversion"/>
  </si>
  <si>
    <t>수취인지정자금이체 예약자금이체 실행결과 이체기관앞 통보/통보응답</t>
    <phoneticPr fontId="1" type="noConversion"/>
  </si>
  <si>
    <t>수취인지정자금이체 예약자금이체 실행결과 수취기관앞 통보/통보응답</t>
    <phoneticPr fontId="1" type="noConversion"/>
  </si>
  <si>
    <t>수취인지정자금 반환 신청 요구/요구응답</t>
    <phoneticPr fontId="1" type="noConversion"/>
  </si>
  <si>
    <t>■ 결제시각 
 - 결제상태코드가 '3 : 결제' 일 경우 한은망 서버의 자금이체결제시각 셋팅</t>
    <phoneticPr fontId="1" type="noConversion"/>
  </si>
  <si>
    <t>■ 회계번호 
 - 결제상태코드가 '3 : 결제' 일 경우 회계번호 셋팅</t>
    <phoneticPr fontId="1" type="noConversion"/>
  </si>
  <si>
    <t>■ 복합대기번호 
 - 결제상태코드가 '2 : 대기' 일 경우 복합대기순서번호 셋팅</t>
    <phoneticPr fontId="1" type="noConversion"/>
  </si>
  <si>
    <t>■ 대기번호 
 - 결제상태코드가 '2 : 대기' 일 경우 결제대기번호 셋팅</t>
    <phoneticPr fontId="1" type="noConversion"/>
  </si>
  <si>
    <t>수취인지정자금 반환 신청 수취기관(원이체기관)앞 통보/통보응답</t>
    <phoneticPr fontId="1" type="noConversion"/>
  </si>
  <si>
    <t>수취인지정자금 반환 대기해소 이체기관(원수취기관)앞 통보/통보응답</t>
    <phoneticPr fontId="1" type="noConversion"/>
  </si>
  <si>
    <t>수취인지정자금 반환 대기해소 수취기관(원이체기관)앞 통보/통보응답</t>
    <phoneticPr fontId="1" type="noConversion"/>
  </si>
  <si>
    <t>수취인지정자금 이체(반환) 입금결과 통보 신청 요구/요구응답</t>
    <phoneticPr fontId="1" type="noConversion"/>
  </si>
  <si>
    <t>수취인지정자금 이체(반환) 입금결과 이체기관앞 통보/통보응답</t>
    <phoneticPr fontId="1" type="noConversion"/>
  </si>
  <si>
    <t>■ 입금처리시간
 - 포맷 : HHMMSS
 - 수취기관이 수취계좌에 입금을 완료한 시간</t>
    <phoneticPr fontId="1" type="noConversion"/>
  </si>
  <si>
    <t>수취인지정자금 이체(반환) 입금결과 조회 신청 요구/요구응답</t>
    <phoneticPr fontId="1" type="noConversion"/>
  </si>
  <si>
    <t>지급지시유형 변경 및 대기거래순위 조정 신청 요구/요구응답</t>
    <phoneticPr fontId="1" type="noConversion"/>
  </si>
  <si>
    <t>대기중인 지급지시유형 일괄변경 처리결과 이체기관앞 통보/통보응답</t>
    <phoneticPr fontId="1" type="noConversion"/>
  </si>
  <si>
    <t>수취인지정자금 이체 신청 계좌조회 요구/요구응답</t>
    <phoneticPr fontId="1" type="noConversion"/>
  </si>
  <si>
    <t>수취인지정자금 이체 신청 계좌조회 통보/통보응답</t>
    <phoneticPr fontId="1" type="noConversion"/>
  </si>
  <si>
    <t>예약거래(거액결제) 일괄취소 신청 이체기관앞 통보/통보응답</t>
    <phoneticPr fontId="1" type="noConversion"/>
  </si>
  <si>
    <t>계좌잔액 및 한도조회(거액결제) 신청 요구/요구응답</t>
    <phoneticPr fontId="1" type="noConversion"/>
  </si>
  <si>
    <t>연계결제 신청 요구/요구응답(금융결제원)</t>
    <phoneticPr fontId="1" type="noConversion"/>
  </si>
  <si>
    <t>연계결제 신청 이체기관앞 통보/통보응답</t>
    <phoneticPr fontId="1" type="noConversion"/>
  </si>
  <si>
    <t>연계결제 신청 수취기관앞 통보/통보응답</t>
    <phoneticPr fontId="1" type="noConversion"/>
  </si>
  <si>
    <t>연계결제 반환 신청 요구/요구응답(금융결제원)</t>
    <phoneticPr fontId="1" type="noConversion"/>
  </si>
  <si>
    <t>연계결제 반환 신청 이체기관앞 통보/통보응답</t>
    <phoneticPr fontId="1" type="noConversion"/>
  </si>
  <si>
    <t>연계결제 반환 신청 수취기관앞 통보/통보응답</t>
    <phoneticPr fontId="1" type="noConversion"/>
  </si>
  <si>
    <t>■ 집계작성구분
 - 한국은행 통보시 '1' (한국은행)
 - 참가기관 통보응답시 '2' (참가기관)</t>
    <phoneticPr fontId="1" type="noConversion"/>
  </si>
  <si>
    <t>BKS10E070</t>
  </si>
  <si>
    <t>폐지</t>
    <phoneticPr fontId="1" type="noConversion"/>
  </si>
  <si>
    <t>한은금융망 ISO 20022 도입 1단계 매핑 현황 (2023.6월, ver.1.1)</t>
    <phoneticPr fontId="1" type="noConversion"/>
  </si>
  <si>
    <t>한국은행 지급결제개선반</t>
    <phoneticPr fontId="1" type="noConversion"/>
  </si>
  <si>
    <t>요구/통보</t>
    <phoneticPr fontId="1" type="noConversion"/>
  </si>
  <si>
    <t>요구/통보 응답</t>
    <phoneticPr fontId="1" type="noConversion"/>
  </si>
  <si>
    <t>분류</t>
    <phoneticPr fontId="1" type="noConversion"/>
  </si>
  <si>
    <t>코드</t>
    <phoneticPr fontId="1" type="noConversion"/>
  </si>
  <si>
    <t>이름</t>
    <phoneticPr fontId="1" type="noConversion"/>
  </si>
  <si>
    <t>패턴</t>
    <phoneticPr fontId="1" type="noConversion"/>
  </si>
  <si>
    <t>Sender</t>
    <phoneticPr fontId="1" type="noConversion"/>
  </si>
  <si>
    <t>Receiver</t>
    <phoneticPr fontId="1" type="noConversion"/>
  </si>
  <si>
    <t>1_공통</t>
    <phoneticPr fontId="1" type="noConversion"/>
  </si>
  <si>
    <t>camt.007</t>
  </si>
  <si>
    <t>Modify Transaction</t>
  </si>
  <si>
    <t>Pattern 1</t>
  </si>
  <si>
    <t>Payer</t>
    <phoneticPr fontId="1" type="noConversion"/>
  </si>
  <si>
    <t>BOK</t>
  </si>
  <si>
    <t>camt.025</t>
  </si>
  <si>
    <t>Receipt</t>
  </si>
  <si>
    <t>pattern 1</t>
  </si>
  <si>
    <t>대기거래(거액결제) 취소 신청 요구/요구 응답</t>
    <phoneticPr fontId="1" type="noConversion"/>
  </si>
  <si>
    <t>camt.008</t>
  </si>
  <si>
    <t>CancelTransaction</t>
  </si>
  <si>
    <t>Payer</t>
  </si>
  <si>
    <t>예약거래(거액결제) 취소 신청 요구/요구 응답</t>
  </si>
  <si>
    <t>BKS10E210</t>
  </si>
  <si>
    <t>예약거래(거액결제) 취소동의 요구/요구응답</t>
  </si>
  <si>
    <t>BKS10E410</t>
    <phoneticPr fontId="1" type="noConversion"/>
  </si>
  <si>
    <t>대기거래(거액결제) 취소동의 요구/요구 응답</t>
  </si>
  <si>
    <t>BKS20E080</t>
  </si>
  <si>
    <t>대기취소(거액결제) 처리결과 수취기관앞 통보/통보응답</t>
    <phoneticPr fontId="1" type="noConversion"/>
  </si>
  <si>
    <t>한국은행 대행 대기취소(거액결제) 처리결과 이체기관앞 통보/통보응답</t>
  </si>
  <si>
    <t>BKS20E100</t>
  </si>
  <si>
    <t>한국은행 대행 대기취소(거액결제) 처리결과 수취기관앞 통보/통보응답</t>
  </si>
  <si>
    <t>BKS20E110</t>
  </si>
  <si>
    <t>미결제 대기거래(거액결제) 대기일괄취소 처리결과 이체기관앞 통보/통보응답</t>
  </si>
  <si>
    <t>pacs.002</t>
  </si>
  <si>
    <t>FIToFIPaymentStatusReport</t>
  </si>
  <si>
    <t>BKS20E120</t>
  </si>
  <si>
    <t>미결제 대기거래(거액결제) 대기일괄취소 처리결과 수취기관앞 통보/통보응답</t>
    <phoneticPr fontId="1" type="noConversion"/>
  </si>
  <si>
    <t>BKS20E130</t>
  </si>
  <si>
    <t>대기중인 지급지시유형 일괄변경 처리결과 이체기관앞 통보/통보응답</t>
  </si>
  <si>
    <t>admi.004</t>
  </si>
  <si>
    <t>SystemEventNotification</t>
  </si>
  <si>
    <t>BKS20E160</t>
  </si>
  <si>
    <t>예약취소(거액결제) 처리결과 수취기관앞 통보/통보응답</t>
    <phoneticPr fontId="1" type="noConversion"/>
  </si>
  <si>
    <t>BKS20E190</t>
  </si>
  <si>
    <t xml:space="preserve">한국은행 대행 예약취소(거액결제) 처리결과 이체기관앞 통보/통보응답    </t>
  </si>
  <si>
    <t>BKS20E200</t>
  </si>
  <si>
    <t>한국은행 대행 예약취소(거액결제) 처리결과 수취기관앞 통보/통보응답</t>
  </si>
  <si>
    <t>BKS20E210</t>
  </si>
  <si>
    <t>예약거래(거액결제) 취소동의 이체기관앞 통보/통보 응답</t>
    <phoneticPr fontId="1" type="noConversion"/>
  </si>
  <si>
    <t>BKS20E220</t>
  </si>
  <si>
    <t>예약거래(거액결제) 일괄취소 신청 이체기관앞 통보/통보응답</t>
  </si>
  <si>
    <t>BKS20E230</t>
  </si>
  <si>
    <t xml:space="preserve">예약거래(거액결제) 일괄취소 신청 수취기관앞 통보/통보응답 </t>
    <phoneticPr fontId="1" type="noConversion"/>
  </si>
  <si>
    <t>BKS20E410</t>
  </si>
  <si>
    <t>대기거래(거액결제) 취소동의 이체기관앞 통보/통보응답</t>
  </si>
  <si>
    <t>신규</t>
    <phoneticPr fontId="1" type="noConversion"/>
  </si>
  <si>
    <t>자금이체 취소 요구</t>
  </si>
  <si>
    <t>camt.056</t>
  </si>
  <si>
    <t>FI To FI Payment Cancellation Request</t>
  </si>
  <si>
    <t>Participant</t>
  </si>
  <si>
    <t>자금이체 취소 요구에 대한 응답 (부정적)</t>
  </si>
  <si>
    <t>camt.029</t>
  </si>
  <si>
    <t>ResolutionOfInvestigation</t>
  </si>
  <si>
    <t>예약상태 지급지시 및 대기상태 지급지시 조회 요청</t>
  </si>
  <si>
    <t>camt.005</t>
  </si>
  <si>
    <t>GetTransaction</t>
  </si>
  <si>
    <t>예약상태 지급지시 및 대기상태 지급지시 조회 회신</t>
  </si>
  <si>
    <t>camt.006</t>
  </si>
  <si>
    <t>ReturnTransaction</t>
  </si>
  <si>
    <t>응답 전문</t>
  </si>
  <si>
    <t>admi.007</t>
  </si>
  <si>
    <t>ReceiptAcknowledgement</t>
  </si>
  <si>
    <t>2_일반자금이체</t>
    <phoneticPr fontId="1" type="noConversion"/>
  </si>
  <si>
    <t>BKS10B011</t>
  </si>
  <si>
    <t>일반자금이체 신청 요구/요구응답</t>
  </si>
  <si>
    <t>pacs.009</t>
  </si>
  <si>
    <t>FinancialInstitutionCreditTransfer</t>
  </si>
  <si>
    <t>pacs.002</t>
    <phoneticPr fontId="1" type="noConversion"/>
  </si>
  <si>
    <t>일반자금이체 대행거래 신청 요구/요구응답</t>
  </si>
  <si>
    <t>마감후 자금이체 신청 요구/요구응답</t>
  </si>
  <si>
    <t>pacs.009_outbound</t>
  </si>
  <si>
    <t>Payee</t>
  </si>
  <si>
    <t>BKS20B030</t>
  </si>
  <si>
    <t>일반자금이체 대기해소 이체기관앞 통보/통보응답</t>
  </si>
  <si>
    <t>pacs.002 with ACSC status</t>
    <phoneticPr fontId="1" type="noConversion"/>
  </si>
  <si>
    <t>BKS20B040</t>
  </si>
  <si>
    <t>일반자금이체 예약실행결과 이체기관앞 통보/통보응답</t>
    <phoneticPr fontId="1" type="noConversion"/>
  </si>
  <si>
    <t>BKS20B060</t>
  </si>
  <si>
    <t>일반자금이체 예약실행결과 수취기관앞 통보/통보응답</t>
    <phoneticPr fontId="1" type="noConversion"/>
  </si>
  <si>
    <t>BKS20B070</t>
  </si>
  <si>
    <t>BKS20B080</t>
  </si>
  <si>
    <t>camt.054</t>
  </si>
  <si>
    <t>BankToCustomerDebitCreditNotification</t>
    <phoneticPr fontId="1" type="noConversion"/>
  </si>
  <si>
    <t>BKS20B190</t>
  </si>
  <si>
    <t>한국은행 대행 일반자금이체 결제취소 실행결과 이체기관앞 통보/통보응답</t>
  </si>
  <si>
    <t>BankToCustomerDebitCreditNotification</t>
  </si>
  <si>
    <t>BKS20B200</t>
  </si>
  <si>
    <t>한국은행 대행 일반자금이체 결제취소 실행결과 수취기관앞 통보/통보응답</t>
  </si>
  <si>
    <t>BKS20B360</t>
  </si>
  <si>
    <t>마감후 자금이체 결과 이체기관앞 통보/통보응답</t>
  </si>
  <si>
    <t>payer</t>
  </si>
  <si>
    <t>BKS20B370</t>
  </si>
  <si>
    <t>마감후 자금이체 결과 수취기관앞 통보/통보응답</t>
  </si>
  <si>
    <t>일반자금이체 반환 신청 요구</t>
    <phoneticPr fontId="29" type="noConversion"/>
  </si>
  <si>
    <t>pacs.004</t>
  </si>
  <si>
    <t>PaymentReturn</t>
  </si>
  <si>
    <t>일반자금이체 대행거래 반환 신청 요구</t>
    <phoneticPr fontId="1" type="noConversion"/>
  </si>
  <si>
    <t>일반자금이체 반환 신청 요구응답</t>
  </si>
  <si>
    <t>일반자금이체 대행거래 반환 신청 요구응답</t>
  </si>
  <si>
    <t>3_수취인지정자금이체</t>
    <phoneticPr fontId="1" type="noConversion"/>
  </si>
  <si>
    <t>BKS10B081</t>
  </si>
  <si>
    <t>수취인지정자금 반환 신청 요구/요구응답</t>
  </si>
  <si>
    <t>pattern 1</t>
    <phoneticPr fontId="1" type="noConversion"/>
  </si>
  <si>
    <t>Payer (original payee)</t>
  </si>
  <si>
    <t>BKS10B091</t>
  </si>
  <si>
    <t>수취인지정자금 이체 신청 요구/요구응답</t>
  </si>
  <si>
    <t>pacs.008</t>
  </si>
  <si>
    <t>FIToFICustomerCreditTransfer</t>
  </si>
  <si>
    <t>BKS10B170</t>
  </si>
  <si>
    <t>수취인지정자금 이체 신청 계좌조회 요구/요구응답</t>
  </si>
  <si>
    <t>acmt.023</t>
  </si>
  <si>
    <t>IdentnficationVerificationRequest</t>
  </si>
  <si>
    <t>acmt.024</t>
    <phoneticPr fontId="1" type="noConversion"/>
  </si>
  <si>
    <t>IdentificationVerificationReport</t>
    <phoneticPr fontId="1" type="noConversion"/>
  </si>
  <si>
    <t>BOK</t>
    <phoneticPr fontId="1" type="noConversion"/>
  </si>
  <si>
    <t>BKS10E300</t>
  </si>
  <si>
    <t>수취인지정자금 이체(반환) 입금결과 통보 신청 요구/요구응답</t>
  </si>
  <si>
    <t>Payee (original payer)</t>
  </si>
  <si>
    <t>BKS10E310</t>
  </si>
  <si>
    <t>수취인지정자금 이체(반환) 입금결과 조회 신청 요구/요구응답</t>
  </si>
  <si>
    <t>Payer (original payee)</t>
    <phoneticPr fontId="1" type="noConversion"/>
  </si>
  <si>
    <t>BKS20B100</t>
  </si>
  <si>
    <t>수취인지정자금 이체 신청 수취기관앞 통보/통보응답</t>
  </si>
  <si>
    <t>pacs.008_outbound</t>
  </si>
  <si>
    <t>BKS20B110</t>
  </si>
  <si>
    <t>수취인지정자금 이체 대기해소 이체기관앞 통보/통보응답</t>
  </si>
  <si>
    <t>BKS20B120</t>
  </si>
  <si>
    <t>수취인지정자금 이체 대기해소 수취기관앞 통보/통보응답</t>
  </si>
  <si>
    <t>BKS20B130</t>
  </si>
  <si>
    <t>수취인지정자금 이체 예약 실행결과 이체기관앞 통보/통보응답</t>
  </si>
  <si>
    <t>BKS20B140</t>
  </si>
  <si>
    <t>수취인지정자금 이체 예약 실행결과 수취기관앞 통보/통보응답</t>
  </si>
  <si>
    <t>BKS20B150</t>
  </si>
  <si>
    <t>수취인지정자금 반환 신청 수취기관(원이체기관)앞 통보/통보응답</t>
  </si>
  <si>
    <t>pacs.004_outbound</t>
  </si>
  <si>
    <t>BKS20B160</t>
  </si>
  <si>
    <t>수취인지정자금 반환 대기해소 이체기관(원수취기관)앞 통보/통보응답</t>
  </si>
  <si>
    <t>BKS20B170</t>
  </si>
  <si>
    <t>수취인지정자금 반환 대기해소 수취기관(원이체기관)앞 통보/통보응답</t>
  </si>
  <si>
    <t>BKS20B180</t>
  </si>
  <si>
    <t>수취인지정자금 이체 신청 계좌조회 통보/통보응답</t>
  </si>
  <si>
    <t>acmt.023</t>
    <phoneticPr fontId="1" type="noConversion"/>
  </si>
  <si>
    <t>Payee</t>
    <phoneticPr fontId="1" type="noConversion"/>
  </si>
  <si>
    <t>acmt.024</t>
  </si>
  <si>
    <t>IdentnficationVerificationReport</t>
  </si>
  <si>
    <t>BKS20E300</t>
  </si>
  <si>
    <t>수취인지정자금 이체(반환) 입금결과 이체기관앞 통보/통보응답</t>
  </si>
  <si>
    <t>4_CLS결제</t>
    <phoneticPr fontId="1" type="noConversion"/>
  </si>
  <si>
    <t>PAY-IN 신청 요구/요구응답</t>
  </si>
  <si>
    <t>pattern 2</t>
  </si>
  <si>
    <t>BKS20A020</t>
  </si>
  <si>
    <t>PAY-IN 대기거래 대기해소 통보/통보응답</t>
  </si>
  <si>
    <t>BKS20A030</t>
  </si>
  <si>
    <t>PAY-OUT 신청 결과 통보/통보응답</t>
  </si>
  <si>
    <t>BKS20A040</t>
  </si>
  <si>
    <t>PAY-IN 신청 한국은행 대행처리 결과 통보</t>
  </si>
  <si>
    <t>5_연계결제</t>
    <phoneticPr fontId="1" type="noConversion"/>
  </si>
  <si>
    <t>BKF101011</t>
  </si>
  <si>
    <t>연계결제 신청 요구(금융결제원)</t>
  </si>
  <si>
    <t>KFTC</t>
  </si>
  <si>
    <t>BKF101021</t>
  </si>
  <si>
    <t>연계결제 반환 신청 요구(금융결제원)</t>
  </si>
  <si>
    <t>pattern 2</t>
    <phoneticPr fontId="1" type="noConversion"/>
  </si>
  <si>
    <t>BKS20G010</t>
  </si>
  <si>
    <t>BKS20G020</t>
  </si>
  <si>
    <t xml:space="preserve">연계결제 신청 수취기관앞 통보 </t>
  </si>
  <si>
    <t>BKS20G210</t>
  </si>
  <si>
    <t>BKS20G220</t>
  </si>
  <si>
    <t>6_일중운영업무</t>
    <phoneticPr fontId="1" type="noConversion"/>
  </si>
  <si>
    <t>camt.060</t>
  </si>
  <si>
    <t>AccountReportingRequest</t>
  </si>
  <si>
    <t>camt.052</t>
  </si>
  <si>
    <t xml:space="preserve">BankToCustomerAccountReport </t>
  </si>
  <si>
    <t>BKS10F060</t>
  </si>
  <si>
    <t xml:space="preserve">건별 대사자료(거액결제) 신청 요구 </t>
  </si>
  <si>
    <t>집계 및 집계취소(거액결제) 통보/통보응답</t>
  </si>
  <si>
    <t>대사결과(거액결제) 송신 통보/통보응답</t>
  </si>
  <si>
    <t>집계대사자료 통보</t>
    <phoneticPr fontId="1" type="noConversion"/>
  </si>
  <si>
    <t>camt.053</t>
  </si>
  <si>
    <t>BankToCustomerStatement</t>
  </si>
  <si>
    <t>집계자료(대사결과) 통보</t>
    <phoneticPr fontId="1" type="noConversion"/>
  </si>
  <si>
    <t>BankToCustomerAccountReport_EOD</t>
    <phoneticPr fontId="1" type="noConversion"/>
  </si>
  <si>
    <t>DSR</t>
  </si>
  <si>
    <t>참가기관대사파일내역 (참가기관수신)</t>
  </si>
  <si>
    <t>DSS</t>
  </si>
  <si>
    <t>참가기관대사파일내역 (참가기관송신)</t>
  </si>
  <si>
    <t>요청전문</t>
    <phoneticPr fontId="1" type="noConversion"/>
  </si>
  <si>
    <t>응답전문</t>
    <phoneticPr fontId="1" type="noConversion"/>
  </si>
  <si>
    <t>파일명</t>
    <phoneticPr fontId="1" type="noConversion"/>
  </si>
  <si>
    <t>BOK_Phase1_CorePayment_BOK_admi_007_001_01_ReceiptAcknowledgement_20230526_0443</t>
  </si>
  <si>
    <t>BOK_Phase1_CorePayment_BOK_admi_007_001_01_ReceiptAcknowledgement_20230526_0443</t>
    <phoneticPr fontId="1" type="noConversion"/>
  </si>
  <si>
    <t>BOK_Phase1_CorePayment_BOK_camt_008_001_08_CancelTransaction_20230526_0443</t>
    <phoneticPr fontId="1" type="noConversion"/>
  </si>
  <si>
    <t>BOK_Phase1_CorePayment_BOK_camt_025_001_05_Receipt_20230526_0443</t>
    <phoneticPr fontId="1" type="noConversion"/>
  </si>
  <si>
    <t>BOK_Phase1_CorePayment_BOK_pacs_002_001_10_FIToFIPaymentStatusReport_Core_20230526_0443</t>
  </si>
  <si>
    <t>BOK_Phase1_CorePayment_BOK_pacs_002_001_10_FIToFIPaymentStatusReport_Core_20230526_0443</t>
    <phoneticPr fontId="1" type="noConversion"/>
  </si>
  <si>
    <t>BOK_Phase1_CorePayment_BOK_admi_004_001_02_SystemEventNotification_INPC_20230526_0443</t>
    <phoneticPr fontId="1" type="noConversion"/>
  </si>
  <si>
    <t>BOK_Phase1_CorePayment_BOK_camt_056_001_08__FIToFIPaymentCancellationRequest_20230526_0443</t>
    <phoneticPr fontId="1" type="noConversion"/>
  </si>
  <si>
    <t>BOK_Phase1_CorePayment_BOK_camt_029_001_09_ResolutionOfInvestigation_20230526_0443</t>
  </si>
  <si>
    <t>BOK_Phase1_CorePayment_BOK_camt_005_001_08_GetTransaction_20230526_0443</t>
  </si>
  <si>
    <t>BOK_Phase1_CorePayment_BOK_camt_006_001_08_ReturnTransaction_20230526_0443</t>
  </si>
  <si>
    <t>BOK_Phase1_CorePayment_BOK_pacs_009_001_08_FIToFIFinancialInstitutionCreditTransfer_CORE_20230526_0443</t>
  </si>
  <si>
    <t>BOK_Phase1_CorePayment_BOK_camt_054_001_08_BankToCustomerDebitCreditNotification_Core_20230526_0443</t>
  </si>
  <si>
    <t>BOK_Phase1_CorePayment_BOK_pacs_004_001_09_PaymentReturn_Core_20230526_0443</t>
  </si>
  <si>
    <t>BOK_Phase1_CorePayment_BOK_acmt_023_001_03_IdentificationVerificationRequest_20230526_0443</t>
  </si>
  <si>
    <t>BOK_Phase1_CorePayment_BOK_pacs_008_001_08_FIToFICustomerCreditTransfer_Core_20230526_0443</t>
  </si>
  <si>
    <t>BOK_Phase1_CorePayment_BOK_camt_005_001_08_GetTransaction_20230526_0443</t>
    <phoneticPr fontId="1" type="noConversion"/>
  </si>
  <si>
    <t>BOK_Phase1_CorePayment_BOK_pacs_009_001_08_FIToFIFinancialInstitutionCreditTransfer_CLS_20230526_0443</t>
  </si>
  <si>
    <t>BOK_Phase1_CorePayment_BOK_pacs_002_001_10_FIToFIPaymentStatusReport_CLS_20230526_0443</t>
  </si>
  <si>
    <t>BOK_Phase1_CorePayment_BOK_camt_054_001_08_BankToCustomerDebitCreditNotification_CLS_20230526_0443</t>
  </si>
  <si>
    <t>BOK_Phase1_CorePayment_BOK_pacs_008_001_08_FIToFICustomerCreditTransfer_LINKED_20230526_0443</t>
  </si>
  <si>
    <t>BOK_Phase1_CorePayment_BOK_pacs_004_001_09_PaymentReturn_LINKED_20230526_0443</t>
  </si>
  <si>
    <t>BOK_Phase1_CorePayment_BOK_camt_060_001_05_AccountReportingRequest_20230526_0443</t>
    <phoneticPr fontId="1" type="noConversion"/>
  </si>
  <si>
    <t>BOK_Phase1_CorePayment_BOK_camt_053_001_08_BankToCustomerStatement_20230526_0443</t>
  </si>
  <si>
    <t>BOK_Phase1_CorePayment_BOK_camt_052_001_08_BankToCustomerAccountReport_EOD_20230526_0443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</si>
</sst>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7"/>
      <color theme="1"/>
      <name val="맑은 고딕"/>
      <family val="3"/>
      <charset val="129"/>
      <scheme val="minor"/>
    </font>
    <font>
      <b/>
      <sz val="15"/>
      <color rgb="FF0070C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D2Coding"/>
      <family val="2"/>
      <charset val="129"/>
    </font>
    <font>
      <u/>
      <sz val="10"/>
      <color theme="10"/>
      <name val="D2Coding"/>
      <family val="2"/>
      <charset val="129"/>
    </font>
    <font>
      <b/>
      <sz val="10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3"/>
      <name val="휴먼명조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3"/>
      <name val="휴먼명조"/>
      <family val="3"/>
      <charset val="129"/>
    </font>
    <font>
      <b/>
      <u/>
      <sz val="10"/>
      <color rgb="FF000000"/>
      <name val="맑은 고딕"/>
      <family val="3"/>
      <charset val="129"/>
      <scheme val="minor"/>
    </font>
    <font>
      <sz val="10"/>
      <color theme="1"/>
      <name val="D2Coding"/>
      <family val="2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4"/>
      <name val="휴먼명조"/>
      <charset val="129"/>
    </font>
    <font>
      <b/>
      <sz val="14"/>
      <name val="휴먼명조"/>
      <family val="3"/>
      <charset val="129"/>
    </font>
    <font>
      <b/>
      <sz val="14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name val="D2Coding"/>
      <family val="3"/>
      <charset val="129"/>
    </font>
    <font>
      <b/>
      <sz val="13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u val="double"/>
      <sz val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0.59999389629810485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569">
    <xf numFmtId="0" fontId="0" fillId="0" borderId="0" xfId="0">
      <alignment vertical="center"/>
    </xf>
    <xf numFmtId="0" fontId="3" fillId="0" borderId="0" xfId="1" applyFont="1" applyFill="1">
      <alignment vertical="center"/>
    </xf>
    <xf numFmtId="0" fontId="3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2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1">
      <alignment vertical="center"/>
    </xf>
    <xf numFmtId="0" fontId="0" fillId="0" borderId="0" xfId="0">
      <alignment vertical="center"/>
    </xf>
    <xf numFmtId="0" fontId="8" fillId="0" borderId="0" xfId="2">
      <alignment vertical="center"/>
    </xf>
    <xf numFmtId="0" fontId="7" fillId="0" borderId="1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3" xfId="1" applyFont="1" applyFill="1" applyBorder="1" applyAlignment="1">
      <alignment vertical="center" wrapText="1"/>
    </xf>
    <xf numFmtId="0" fontId="4" fillId="2" borderId="1" xfId="1" applyFill="1" applyBorder="1">
      <alignment vertical="center"/>
    </xf>
    <xf numFmtId="0" fontId="0" fillId="0" borderId="1" xfId="1" applyFont="1" applyBorder="1">
      <alignment vertical="center"/>
    </xf>
    <xf numFmtId="0" fontId="0" fillId="2" borderId="1" xfId="1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6" fillId="0" borderId="1" xfId="1" applyFont="1" applyBorder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Font="1" applyFill="1" applyAlignment="1">
      <alignment vertical="center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vertical="center"/>
    </xf>
    <xf numFmtId="0" fontId="8" fillId="0" borderId="0" xfId="2" applyFill="1" applyAlignment="1">
      <alignment horizontal="left" vertical="top"/>
    </xf>
    <xf numFmtId="0" fontId="20" fillId="0" borderId="0" xfId="0" applyFont="1" applyFill="1">
      <alignment vertical="center"/>
    </xf>
    <xf numFmtId="0" fontId="19" fillId="2" borderId="9" xfId="0" applyFont="1" applyFill="1" applyBorder="1" applyAlignment="1">
      <alignment horizontal="justify" vertical="center" wrapText="1"/>
    </xf>
    <xf numFmtId="0" fontId="22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vertical="center" wrapText="1"/>
    </xf>
    <xf numFmtId="0" fontId="10" fillId="0" borderId="21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right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7" xfId="1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right" vertical="center" wrapText="1"/>
    </xf>
    <xf numFmtId="0" fontId="19" fillId="0" borderId="28" xfId="0" applyFont="1" applyFill="1" applyBorder="1">
      <alignment vertical="center"/>
    </xf>
    <xf numFmtId="0" fontId="10" fillId="0" borderId="3" xfId="1" quotePrefix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right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9" fillId="0" borderId="0" xfId="5" applyFont="1">
      <alignment vertical="center"/>
    </xf>
    <xf numFmtId="0" fontId="9" fillId="0" borderId="0" xfId="5" applyFont="1" applyAlignment="1">
      <alignment vertical="center"/>
    </xf>
    <xf numFmtId="0" fontId="8" fillId="0" borderId="0" xfId="2" applyBorder="1">
      <alignment vertical="center"/>
    </xf>
    <xf numFmtId="49" fontId="9" fillId="0" borderId="1" xfId="5" applyNumberFormat="1" applyFont="1" applyFill="1" applyBorder="1" applyAlignment="1">
      <alignment horizontal="left" vertical="center"/>
    </xf>
    <xf numFmtId="0" fontId="9" fillId="0" borderId="0" xfId="5" applyFont="1" applyFill="1">
      <alignment vertical="center"/>
    </xf>
    <xf numFmtId="49" fontId="9" fillId="0" borderId="52" xfId="5" applyNumberFormat="1" applyFont="1" applyBorder="1" applyAlignment="1">
      <alignment horizontal="center" vertical="center"/>
    </xf>
    <xf numFmtId="49" fontId="9" fillId="0" borderId="48" xfId="5" applyNumberFormat="1" applyFont="1" applyBorder="1" applyAlignment="1">
      <alignment horizontal="left" vertical="center"/>
    </xf>
    <xf numFmtId="49" fontId="9" fillId="0" borderId="49" xfId="5" applyNumberFormat="1" applyFont="1" applyBorder="1" applyAlignment="1">
      <alignment horizontal="center" vertical="center"/>
    </xf>
    <xf numFmtId="49" fontId="9" fillId="0" borderId="50" xfId="5" applyNumberFormat="1" applyFont="1" applyBorder="1" applyAlignment="1">
      <alignment horizontal="left" vertical="center"/>
    </xf>
    <xf numFmtId="49" fontId="9" fillId="0" borderId="16" xfId="5" applyNumberFormat="1" applyFont="1" applyBorder="1" applyAlignment="1">
      <alignment horizontal="center" vertical="center"/>
    </xf>
    <xf numFmtId="49" fontId="9" fillId="0" borderId="43" xfId="5" applyNumberFormat="1" applyFont="1" applyBorder="1" applyAlignment="1">
      <alignment horizontal="left" vertical="center"/>
    </xf>
    <xf numFmtId="49" fontId="9" fillId="0" borderId="47" xfId="5" applyNumberFormat="1" applyFont="1" applyFill="1" applyBorder="1" applyAlignment="1">
      <alignment horizontal="center" vertical="center"/>
    </xf>
    <xf numFmtId="0" fontId="16" fillId="2" borderId="1" xfId="1" applyFont="1" applyFill="1" applyBorder="1">
      <alignment vertical="center"/>
    </xf>
    <xf numFmtId="0" fontId="16" fillId="0" borderId="1" xfId="0" applyFont="1" applyBorder="1">
      <alignment vertical="center"/>
    </xf>
    <xf numFmtId="0" fontId="0" fillId="0" borderId="1" xfId="1" applyFont="1" applyBorder="1" applyAlignment="1">
      <alignment horizontal="left" vertical="top"/>
    </xf>
    <xf numFmtId="0" fontId="0" fillId="0" borderId="0" xfId="1" applyFont="1" applyBorder="1" applyAlignment="1">
      <alignment horizontal="left" vertical="top"/>
    </xf>
    <xf numFmtId="0" fontId="0" fillId="0" borderId="0" xfId="1" applyFont="1" applyBorder="1">
      <alignment vertical="center"/>
    </xf>
    <xf numFmtId="0" fontId="9" fillId="0" borderId="0" xfId="5" applyFont="1" applyFill="1" applyAlignment="1">
      <alignment vertical="center"/>
    </xf>
    <xf numFmtId="49" fontId="9" fillId="0" borderId="0" xfId="0" applyNumberFormat="1" applyFont="1" applyAlignment="1">
      <alignment horizontal="left" vertical="center"/>
    </xf>
    <xf numFmtId="0" fontId="6" fillId="4" borderId="54" xfId="0" applyFont="1" applyFill="1" applyBorder="1" applyAlignment="1">
      <alignment horizontal="center" vertical="center" wrapText="1"/>
    </xf>
    <xf numFmtId="0" fontId="6" fillId="4" borderId="55" xfId="0" applyFont="1" applyFill="1" applyBorder="1" applyAlignment="1">
      <alignment horizontal="center" vertical="center" wrapText="1"/>
    </xf>
    <xf numFmtId="0" fontId="6" fillId="4" borderId="56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justify" vertical="center" wrapText="1"/>
    </xf>
    <xf numFmtId="0" fontId="4" fillId="0" borderId="1" xfId="1" applyFill="1" applyBorder="1">
      <alignment vertical="center"/>
    </xf>
    <xf numFmtId="0" fontId="30" fillId="6" borderId="46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right" vertical="center" wrapText="1"/>
    </xf>
    <xf numFmtId="0" fontId="15" fillId="0" borderId="46" xfId="0" applyFont="1" applyBorder="1" applyAlignment="1">
      <alignment horizontal="left" vertical="center" wrapText="1"/>
    </xf>
    <xf numFmtId="49" fontId="19" fillId="0" borderId="19" xfId="0" applyNumberFormat="1" applyFont="1" applyFill="1" applyBorder="1" applyAlignment="1">
      <alignment horizontal="justify" vertical="center" wrapText="1"/>
    </xf>
    <xf numFmtId="0" fontId="10" fillId="0" borderId="3" xfId="1" applyFont="1" applyFill="1" applyBorder="1" applyAlignment="1">
      <alignment vertical="center" wrapText="1"/>
    </xf>
    <xf numFmtId="0" fontId="10" fillId="0" borderId="7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22" fillId="0" borderId="49" xfId="1" applyFont="1" applyFill="1" applyBorder="1" applyAlignment="1">
      <alignment horizontal="center" vertical="center" wrapText="1"/>
    </xf>
    <xf numFmtId="0" fontId="22" fillId="0" borderId="66" xfId="1" applyFont="1" applyFill="1" applyBorder="1" applyAlignment="1">
      <alignment horizontal="right" vertical="center" wrapText="1"/>
    </xf>
    <xf numFmtId="0" fontId="22" fillId="0" borderId="57" xfId="1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10" fillId="0" borderId="7" xfId="1" applyFont="1" applyFill="1" applyBorder="1" applyAlignment="1">
      <alignment horizontal="center" vertical="center" wrapText="1"/>
    </xf>
    <xf numFmtId="0" fontId="10" fillId="0" borderId="49" xfId="1" applyFont="1" applyFill="1" applyBorder="1" applyAlignment="1">
      <alignment horizontal="center" vertical="center" wrapText="1"/>
    </xf>
    <xf numFmtId="0" fontId="10" fillId="0" borderId="66" xfId="1" applyFont="1" applyFill="1" applyBorder="1" applyAlignment="1">
      <alignment horizontal="right" vertical="center" wrapText="1"/>
    </xf>
    <xf numFmtId="0" fontId="10" fillId="0" borderId="57" xfId="1" applyFont="1" applyFill="1" applyBorder="1" applyAlignment="1">
      <alignment horizontal="center" vertical="center" wrapText="1"/>
    </xf>
    <xf numFmtId="0" fontId="10" fillId="0" borderId="66" xfId="1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49" fontId="9" fillId="0" borderId="70" xfId="5" applyNumberFormat="1" applyFont="1" applyBorder="1" applyAlignment="1">
      <alignment horizontal="left" vertical="center"/>
    </xf>
    <xf numFmtId="49" fontId="9" fillId="0" borderId="52" xfId="5" applyNumberFormat="1" applyFont="1" applyBorder="1" applyAlignment="1">
      <alignment horizontal="left" vertical="center"/>
    </xf>
    <xf numFmtId="0" fontId="9" fillId="0" borderId="0" xfId="5" applyNumberFormat="1" applyFont="1">
      <alignment vertical="center"/>
    </xf>
    <xf numFmtId="0" fontId="9" fillId="2" borderId="44" xfId="5" applyNumberFormat="1" applyFont="1" applyFill="1" applyBorder="1" applyAlignment="1">
      <alignment horizontal="center" vertical="center"/>
    </xf>
    <xf numFmtId="0" fontId="19" fillId="0" borderId="64" xfId="0" quotePrefix="1" applyNumberFormat="1" applyFont="1" applyFill="1" applyBorder="1" applyAlignment="1">
      <alignment horizontal="justify" vertical="center" wrapText="1"/>
    </xf>
    <xf numFmtId="0" fontId="19" fillId="2" borderId="70" xfId="0" applyFont="1" applyFill="1" applyBorder="1" applyAlignment="1">
      <alignment horizontal="justify" vertical="center" wrapText="1"/>
    </xf>
    <xf numFmtId="0" fontId="19" fillId="0" borderId="64" xfId="0" quotePrefix="1" applyFont="1" applyFill="1" applyBorder="1" applyAlignment="1">
      <alignment horizontal="justify" vertical="center" wrapText="1"/>
    </xf>
    <xf numFmtId="0" fontId="19" fillId="0" borderId="66" xfId="0" applyFont="1" applyFill="1" applyBorder="1" applyAlignment="1">
      <alignment horizontal="justify" vertical="center" wrapText="1"/>
    </xf>
    <xf numFmtId="0" fontId="19" fillId="2" borderId="57" xfId="0" applyFont="1" applyFill="1" applyBorder="1" applyAlignment="1">
      <alignment horizontal="justify" vertical="center" wrapText="1"/>
    </xf>
    <xf numFmtId="0" fontId="19" fillId="0" borderId="71" xfId="0" quotePrefix="1" applyFont="1" applyFill="1" applyBorder="1" applyAlignment="1">
      <alignment horizontal="justify" vertical="center" wrapText="1"/>
    </xf>
    <xf numFmtId="0" fontId="19" fillId="0" borderId="72" xfId="0" applyFont="1" applyFill="1" applyBorder="1" applyAlignment="1">
      <alignment horizontal="justify" vertical="center" wrapText="1"/>
    </xf>
    <xf numFmtId="49" fontId="9" fillId="0" borderId="64" xfId="5" applyNumberFormat="1" applyFont="1" applyBorder="1" applyAlignment="1">
      <alignment horizontal="left" vertical="center"/>
    </xf>
    <xf numFmtId="0" fontId="9" fillId="0" borderId="48" xfId="5" applyNumberFormat="1" applyFont="1" applyBorder="1" applyAlignment="1">
      <alignment horizontal="left" vertical="center"/>
    </xf>
    <xf numFmtId="49" fontId="9" fillId="0" borderId="70" xfId="0" applyNumberFormat="1" applyFont="1" applyBorder="1" applyAlignment="1">
      <alignment horizontal="left" vertical="center"/>
    </xf>
    <xf numFmtId="0" fontId="9" fillId="0" borderId="0" xfId="0" applyNumberFormat="1" applyFont="1">
      <alignment vertical="center"/>
    </xf>
    <xf numFmtId="49" fontId="8" fillId="0" borderId="0" xfId="2" applyNumberFormat="1" applyFill="1">
      <alignment vertical="center"/>
    </xf>
    <xf numFmtId="49" fontId="22" fillId="2" borderId="28" xfId="5" applyNumberFormat="1" applyFont="1" applyFill="1" applyBorder="1" applyAlignment="1">
      <alignment horizontal="center" vertical="center"/>
    </xf>
    <xf numFmtId="49" fontId="9" fillId="0" borderId="51" xfId="5" applyNumberFormat="1" applyFont="1" applyFill="1" applyBorder="1" applyAlignment="1">
      <alignment horizontal="center" vertical="center"/>
    </xf>
    <xf numFmtId="49" fontId="22" fillId="0" borderId="49" xfId="5" applyNumberFormat="1" applyFont="1" applyBorder="1" applyAlignment="1">
      <alignment horizontal="center" vertical="center"/>
    </xf>
    <xf numFmtId="49" fontId="9" fillId="0" borderId="0" xfId="5" applyNumberFormat="1" applyFont="1">
      <alignment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15" xfId="5" applyNumberFormat="1" applyFont="1" applyFill="1" applyBorder="1" applyAlignment="1">
      <alignment horizontal="center" vertical="center"/>
    </xf>
    <xf numFmtId="49" fontId="9" fillId="0" borderId="27" xfId="5" applyNumberFormat="1" applyFont="1" applyBorder="1" applyAlignment="1">
      <alignment horizontal="left" vertical="center"/>
    </xf>
    <xf numFmtId="49" fontId="9" fillId="0" borderId="7" xfId="5" applyNumberFormat="1" applyFont="1" applyBorder="1" applyAlignment="1">
      <alignment horizontal="center" vertical="center"/>
    </xf>
    <xf numFmtId="49" fontId="9" fillId="0" borderId="17" xfId="5" applyNumberFormat="1" applyFont="1" applyBorder="1" applyAlignment="1">
      <alignment horizontal="left" vertical="center"/>
    </xf>
    <xf numFmtId="49" fontId="9" fillId="0" borderId="8" xfId="5" applyNumberFormat="1" applyFont="1" applyBorder="1" applyAlignment="1">
      <alignment horizontal="center" vertical="center"/>
    </xf>
    <xf numFmtId="49" fontId="9" fillId="0" borderId="25" xfId="5" applyNumberFormat="1" applyFont="1" applyBorder="1" applyAlignment="1">
      <alignment horizontal="left" vertical="center"/>
    </xf>
    <xf numFmtId="49" fontId="9" fillId="0" borderId="0" xfId="5" applyNumberFormat="1" applyFont="1" applyAlignment="1">
      <alignment horizontal="center" vertical="center"/>
    </xf>
    <xf numFmtId="49" fontId="9" fillId="0" borderId="0" xfId="5" applyNumberFormat="1" applyFont="1" applyAlignment="1">
      <alignment horizontal="left" vertical="center"/>
    </xf>
    <xf numFmtId="49" fontId="9" fillId="2" borderId="44" xfId="5" applyNumberFormat="1" applyFont="1" applyFill="1" applyBorder="1" applyAlignment="1">
      <alignment horizontal="center" vertical="center"/>
    </xf>
    <xf numFmtId="49" fontId="7" fillId="0" borderId="16" xfId="5" quotePrefix="1" applyNumberFormat="1" applyFont="1" applyBorder="1" applyAlignment="1">
      <alignment horizontal="center" vertical="center" wrapText="1"/>
    </xf>
    <xf numFmtId="49" fontId="7" fillId="0" borderId="43" xfId="5" applyNumberFormat="1" applyFont="1" applyBorder="1" applyAlignment="1">
      <alignment vertical="center" wrapText="1"/>
    </xf>
    <xf numFmtId="49" fontId="7" fillId="0" borderId="7" xfId="5" quotePrefix="1" applyNumberFormat="1" applyFont="1" applyBorder="1" applyAlignment="1">
      <alignment horizontal="center" vertical="center" wrapText="1"/>
    </xf>
    <xf numFmtId="49" fontId="7" fillId="0" borderId="13" xfId="5" applyNumberFormat="1" applyFont="1" applyBorder="1" applyAlignment="1">
      <alignment vertical="center" wrapText="1"/>
    </xf>
    <xf numFmtId="49" fontId="7" fillId="0" borderId="8" xfId="5" quotePrefix="1" applyNumberFormat="1" applyFont="1" applyBorder="1" applyAlignment="1">
      <alignment horizontal="center" vertical="center" wrapText="1"/>
    </xf>
    <xf numFmtId="49" fontId="7" fillId="0" borderId="10" xfId="5" applyNumberFormat="1" applyFont="1" applyBorder="1" applyAlignment="1">
      <alignment vertical="center" wrapText="1"/>
    </xf>
    <xf numFmtId="49" fontId="9" fillId="0" borderId="0" xfId="5" applyNumberFormat="1" applyFont="1" applyFill="1">
      <alignment vertical="center"/>
    </xf>
    <xf numFmtId="49" fontId="9" fillId="2" borderId="31" xfId="5" applyNumberFormat="1" applyFont="1" applyFill="1" applyBorder="1" applyAlignment="1">
      <alignment horizontal="center" vertical="center"/>
    </xf>
    <xf numFmtId="49" fontId="22" fillId="0" borderId="16" xfId="5" applyNumberFormat="1" applyFont="1" applyFill="1" applyBorder="1" applyAlignment="1">
      <alignment horizontal="center" vertical="center"/>
    </xf>
    <xf numFmtId="49" fontId="22" fillId="0" borderId="4" xfId="5" applyNumberFormat="1" applyFont="1" applyFill="1" applyBorder="1">
      <alignment vertical="center"/>
    </xf>
    <xf numFmtId="49" fontId="22" fillId="0" borderId="4" xfId="5" applyNumberFormat="1" applyFont="1" applyFill="1" applyBorder="1" applyAlignment="1">
      <alignment horizontal="center" vertical="center"/>
    </xf>
    <xf numFmtId="49" fontId="22" fillId="0" borderId="43" xfId="5" applyNumberFormat="1" applyFont="1" applyFill="1" applyBorder="1" applyAlignment="1">
      <alignment horizontal="center" vertical="center"/>
    </xf>
    <xf numFmtId="49" fontId="22" fillId="0" borderId="7" xfId="5" applyNumberFormat="1" applyFont="1" applyFill="1" applyBorder="1" applyAlignment="1">
      <alignment horizontal="center" vertical="center"/>
    </xf>
    <xf numFmtId="49" fontId="22" fillId="0" borderId="1" xfId="5" applyNumberFormat="1" applyFont="1" applyFill="1" applyBorder="1">
      <alignment vertical="center"/>
    </xf>
    <xf numFmtId="49" fontId="22" fillId="0" borderId="1" xfId="5" applyNumberFormat="1" applyFont="1" applyFill="1" applyBorder="1" applyAlignment="1">
      <alignment horizontal="center" vertical="center"/>
    </xf>
    <xf numFmtId="49" fontId="22" fillId="0" borderId="13" xfId="5" applyNumberFormat="1" applyFont="1" applyFill="1" applyBorder="1" applyAlignment="1">
      <alignment horizontal="center" vertical="center"/>
    </xf>
    <xf numFmtId="49" fontId="9" fillId="0" borderId="7" xfId="5" quotePrefix="1" applyNumberFormat="1" applyFont="1" applyFill="1" applyBorder="1" applyAlignment="1">
      <alignment horizontal="center" vertical="center"/>
    </xf>
    <xf numFmtId="49" fontId="22" fillId="0" borderId="8" xfId="5" applyNumberFormat="1" applyFont="1" applyFill="1" applyBorder="1" applyAlignment="1">
      <alignment horizontal="center" vertical="center"/>
    </xf>
    <xf numFmtId="49" fontId="22" fillId="0" borderId="9" xfId="5" applyNumberFormat="1" applyFont="1" applyFill="1" applyBorder="1">
      <alignment vertical="center"/>
    </xf>
    <xf numFmtId="49" fontId="22" fillId="0" borderId="9" xfId="5" applyNumberFormat="1" applyFont="1" applyFill="1" applyBorder="1" applyAlignment="1">
      <alignment horizontal="center" vertical="center"/>
    </xf>
    <xf numFmtId="49" fontId="22" fillId="0" borderId="10" xfId="5" applyNumberFormat="1" applyFont="1" applyFill="1" applyBorder="1" applyAlignment="1">
      <alignment horizontal="center" vertical="center"/>
    </xf>
    <xf numFmtId="49" fontId="22" fillId="5" borderId="28" xfId="5" applyNumberFormat="1" applyFont="1" applyFill="1" applyBorder="1" applyAlignment="1">
      <alignment horizontal="center" vertical="center"/>
    </xf>
    <xf numFmtId="49" fontId="22" fillId="5" borderId="44" xfId="5" applyNumberFormat="1" applyFont="1" applyFill="1" applyBorder="1" applyAlignment="1">
      <alignment horizontal="center" vertical="center"/>
    </xf>
    <xf numFmtId="49" fontId="9" fillId="0" borderId="23" xfId="5" applyNumberFormat="1" applyFont="1" applyFill="1" applyBorder="1" applyAlignment="1">
      <alignment horizontal="center" vertical="center"/>
    </xf>
    <xf numFmtId="49" fontId="9" fillId="0" borderId="41" xfId="5" applyNumberFormat="1" applyFont="1" applyFill="1" applyBorder="1">
      <alignment vertical="center"/>
    </xf>
    <xf numFmtId="49" fontId="9" fillId="0" borderId="7" xfId="5" applyNumberFormat="1" applyFont="1" applyFill="1" applyBorder="1" applyAlignment="1">
      <alignment horizontal="center" vertical="center"/>
    </xf>
    <xf numFmtId="49" fontId="9" fillId="0" borderId="13" xfId="5" applyNumberFormat="1" applyFont="1" applyFill="1" applyBorder="1">
      <alignment vertical="center"/>
    </xf>
    <xf numFmtId="49" fontId="9" fillId="0" borderId="8" xfId="5" applyNumberFormat="1" applyFont="1" applyFill="1" applyBorder="1" applyAlignment="1">
      <alignment horizontal="center" vertical="center"/>
    </xf>
    <xf numFmtId="49" fontId="9" fillId="0" borderId="10" xfId="5" applyNumberFormat="1" applyFont="1" applyFill="1" applyBorder="1">
      <alignment vertical="center"/>
    </xf>
    <xf numFmtId="49" fontId="22" fillId="2" borderId="44" xfId="5" applyNumberFormat="1" applyFont="1" applyFill="1" applyBorder="1" applyAlignment="1">
      <alignment horizontal="center" vertical="center"/>
    </xf>
    <xf numFmtId="49" fontId="22" fillId="0" borderId="16" xfId="5" applyNumberFormat="1" applyFont="1" applyBorder="1" applyAlignment="1">
      <alignment horizontal="center" vertical="center"/>
    </xf>
    <xf numFmtId="49" fontId="22" fillId="0" borderId="43" xfId="5" applyNumberFormat="1" applyFont="1" applyBorder="1">
      <alignment vertical="center"/>
    </xf>
    <xf numFmtId="49" fontId="22" fillId="0" borderId="7" xfId="5" applyNumberFormat="1" applyFont="1" applyBorder="1" applyAlignment="1">
      <alignment horizontal="center" vertical="center"/>
    </xf>
    <xf numFmtId="49" fontId="22" fillId="0" borderId="13" xfId="5" applyNumberFormat="1" applyFont="1" applyBorder="1">
      <alignment vertical="center"/>
    </xf>
    <xf numFmtId="49" fontId="22" fillId="0" borderId="8" xfId="5" applyNumberFormat="1" applyFont="1" applyBorder="1" applyAlignment="1">
      <alignment horizontal="center" vertical="center"/>
    </xf>
    <xf numFmtId="49" fontId="22" fillId="0" borderId="10" xfId="5" applyNumberFormat="1" applyFont="1" applyBorder="1">
      <alignment vertical="center"/>
    </xf>
    <xf numFmtId="49" fontId="22" fillId="0" borderId="48" xfId="5" applyNumberFormat="1" applyFont="1" applyBorder="1">
      <alignment vertical="center"/>
    </xf>
    <xf numFmtId="49" fontId="22" fillId="0" borderId="50" xfId="5" applyNumberFormat="1" applyFont="1" applyFill="1" applyBorder="1">
      <alignment vertical="center"/>
    </xf>
    <xf numFmtId="49" fontId="8" fillId="0" borderId="0" xfId="2" applyNumberFormat="1">
      <alignment vertical="center"/>
    </xf>
    <xf numFmtId="49" fontId="9" fillId="3" borderId="16" xfId="5" quotePrefix="1" applyNumberFormat="1" applyFont="1" applyFill="1" applyBorder="1" applyAlignment="1">
      <alignment horizontal="center" vertical="center"/>
    </xf>
    <xf numFmtId="49" fontId="9" fillId="3" borderId="43" xfId="5" applyNumberFormat="1" applyFont="1" applyFill="1" applyBorder="1" applyAlignment="1">
      <alignment horizontal="left" vertical="center"/>
    </xf>
    <xf numFmtId="49" fontId="9" fillId="3" borderId="52" xfId="5" quotePrefix="1" applyNumberFormat="1" applyFont="1" applyFill="1" applyBorder="1" applyAlignment="1">
      <alignment horizontal="center" vertical="center"/>
    </xf>
    <xf numFmtId="49" fontId="9" fillId="3" borderId="48" xfId="5" applyNumberFormat="1" applyFont="1" applyFill="1" applyBorder="1" applyAlignment="1">
      <alignment horizontal="left" vertical="center"/>
    </xf>
    <xf numFmtId="49" fontId="22" fillId="3" borderId="52" xfId="5" applyNumberFormat="1" applyFont="1" applyFill="1" applyBorder="1" applyAlignment="1">
      <alignment horizontal="center" vertical="center"/>
    </xf>
    <xf numFmtId="49" fontId="22" fillId="3" borderId="48" xfId="5" applyNumberFormat="1" applyFont="1" applyFill="1" applyBorder="1" applyAlignment="1">
      <alignment horizontal="left" vertical="center"/>
    </xf>
    <xf numFmtId="49" fontId="9" fillId="0" borderId="48" xfId="5" applyNumberFormat="1" applyFont="1" applyBorder="1">
      <alignment vertical="center"/>
    </xf>
    <xf numFmtId="49" fontId="9" fillId="3" borderId="52" xfId="5" applyNumberFormat="1" applyFont="1" applyFill="1" applyBorder="1" applyAlignment="1">
      <alignment horizontal="center" vertical="center"/>
    </xf>
    <xf numFmtId="49" fontId="22" fillId="3" borderId="53" xfId="5" applyNumberFormat="1" applyFont="1" applyFill="1" applyBorder="1" applyAlignment="1">
      <alignment horizontal="left" vertical="center"/>
    </xf>
    <xf numFmtId="49" fontId="9" fillId="3" borderId="49" xfId="5" applyNumberFormat="1" applyFont="1" applyFill="1" applyBorder="1" applyAlignment="1">
      <alignment horizontal="center" vertical="center"/>
    </xf>
    <xf numFmtId="49" fontId="9" fillId="3" borderId="50" xfId="5" applyNumberFormat="1" applyFont="1" applyFill="1" applyBorder="1" applyAlignment="1">
      <alignment horizontal="left" vertical="center"/>
    </xf>
    <xf numFmtId="49" fontId="9" fillId="0" borderId="1" xfId="1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49" fontId="9" fillId="0" borderId="70" xfId="1" applyNumberFormat="1" applyFont="1" applyBorder="1">
      <alignment vertical="center"/>
    </xf>
    <xf numFmtId="49" fontId="9" fillId="0" borderId="70" xfId="0" applyNumberFormat="1" applyFont="1" applyBorder="1">
      <alignment vertical="center"/>
    </xf>
    <xf numFmtId="49" fontId="9" fillId="0" borderId="0" xfId="0" applyNumberFormat="1" applyFont="1">
      <alignment vertical="center"/>
    </xf>
    <xf numFmtId="49" fontId="9" fillId="2" borderId="29" xfId="5" applyNumberFormat="1" applyFont="1" applyFill="1" applyBorder="1" applyAlignment="1">
      <alignment horizontal="center" vertical="center"/>
    </xf>
    <xf numFmtId="0" fontId="10" fillId="0" borderId="48" xfId="1" applyFont="1" applyFill="1" applyBorder="1" applyAlignment="1">
      <alignment horizontal="left" vertical="center" wrapText="1"/>
    </xf>
    <xf numFmtId="0" fontId="10" fillId="0" borderId="43" xfId="1" applyFont="1" applyFill="1" applyBorder="1" applyAlignment="1">
      <alignment horizontal="left" vertical="center" wrapText="1"/>
    </xf>
    <xf numFmtId="0" fontId="10" fillId="0" borderId="50" xfId="1" applyFont="1" applyFill="1" applyBorder="1" applyAlignment="1">
      <alignment horizontal="left" vertical="center" wrapText="1"/>
    </xf>
    <xf numFmtId="0" fontId="10" fillId="0" borderId="41" xfId="1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31" xfId="0" applyFon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vertical="center" wrapText="1"/>
    </xf>
    <xf numFmtId="0" fontId="22" fillId="0" borderId="6" xfId="0" applyFont="1" applyFill="1" applyBorder="1" applyAlignment="1">
      <alignment horizontal="center" vertical="center" wrapText="1"/>
    </xf>
    <xf numFmtId="49" fontId="19" fillId="0" borderId="66" xfId="0" applyNumberFormat="1" applyFont="1" applyFill="1" applyBorder="1" applyAlignment="1">
      <alignment horizontal="justify" vertical="center" wrapText="1"/>
    </xf>
    <xf numFmtId="0" fontId="5" fillId="0" borderId="70" xfId="0" applyFont="1" applyBorder="1" applyAlignment="1">
      <alignment vertical="center" wrapText="1"/>
    </xf>
    <xf numFmtId="0" fontId="10" fillId="0" borderId="52" xfId="1" applyFont="1" applyFill="1" applyBorder="1" applyAlignment="1">
      <alignment horizontal="center" vertical="center" wrapText="1"/>
    </xf>
    <xf numFmtId="0" fontId="10" fillId="0" borderId="70" xfId="1" applyFon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vertical="center" wrapText="1"/>
    </xf>
    <xf numFmtId="0" fontId="5" fillId="0" borderId="64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vertical="center" wrapText="1"/>
    </xf>
    <xf numFmtId="49" fontId="9" fillId="0" borderId="68" xfId="1" applyNumberFormat="1" applyFont="1" applyBorder="1">
      <alignment vertical="center"/>
    </xf>
    <xf numFmtId="49" fontId="9" fillId="0" borderId="52" xfId="1" applyNumberFormat="1" applyFont="1" applyBorder="1">
      <alignment vertical="center"/>
    </xf>
    <xf numFmtId="49" fontId="9" fillId="0" borderId="73" xfId="5" applyNumberFormat="1" applyFont="1" applyBorder="1" applyAlignment="1">
      <alignment horizontal="left" vertical="center"/>
    </xf>
    <xf numFmtId="49" fontId="9" fillId="0" borderId="35" xfId="1" applyNumberFormat="1" applyFont="1" applyBorder="1">
      <alignment vertical="center"/>
    </xf>
    <xf numFmtId="0" fontId="9" fillId="0" borderId="70" xfId="0" applyFont="1" applyFill="1" applyBorder="1">
      <alignment vertical="center"/>
    </xf>
    <xf numFmtId="49" fontId="9" fillId="0" borderId="64" xfId="0" applyNumberFormat="1" applyFont="1" applyBorder="1">
      <alignment vertical="center"/>
    </xf>
    <xf numFmtId="0" fontId="9" fillId="0" borderId="0" xfId="5" applyFont="1" applyBorder="1">
      <alignment vertical="center"/>
    </xf>
    <xf numFmtId="0" fontId="9" fillId="0" borderId="48" xfId="5" applyNumberFormat="1" applyFont="1" applyFill="1" applyBorder="1" applyAlignment="1">
      <alignment horizontal="left" vertical="center"/>
    </xf>
    <xf numFmtId="0" fontId="5" fillId="0" borderId="57" xfId="0" applyFont="1" applyBorder="1" applyAlignment="1">
      <alignment vertical="center" wrapText="1"/>
    </xf>
    <xf numFmtId="0" fontId="5" fillId="0" borderId="70" xfId="0" applyFont="1" applyFill="1" applyBorder="1" applyAlignment="1">
      <alignment horizontal="center" vertical="center" wrapText="1"/>
    </xf>
    <xf numFmtId="0" fontId="5" fillId="0" borderId="74" xfId="0" applyFont="1" applyFill="1" applyBorder="1" applyAlignment="1">
      <alignment horizontal="center" vertical="center" wrapText="1"/>
    </xf>
    <xf numFmtId="0" fontId="10" fillId="0" borderId="64" xfId="1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64" xfId="0" applyFont="1" applyBorder="1" applyAlignment="1">
      <alignment vertical="center" wrapText="1"/>
    </xf>
    <xf numFmtId="0" fontId="5" fillId="0" borderId="70" xfId="0" applyFont="1" applyBorder="1" applyAlignment="1">
      <alignment horizontal="right" vertical="center" wrapText="1"/>
    </xf>
    <xf numFmtId="0" fontId="5" fillId="0" borderId="57" xfId="0" applyFont="1" applyBorder="1" applyAlignment="1">
      <alignment horizontal="right" vertical="center" wrapText="1"/>
    </xf>
    <xf numFmtId="0" fontId="5" fillId="0" borderId="64" xfId="1" applyFont="1" applyBorder="1" applyAlignment="1">
      <alignment vertical="center" wrapText="1"/>
    </xf>
    <xf numFmtId="0" fontId="5" fillId="0" borderId="70" xfId="1" applyFont="1" applyBorder="1" applyAlignment="1">
      <alignment horizontal="center" vertical="center" wrapText="1"/>
    </xf>
    <xf numFmtId="0" fontId="5" fillId="0" borderId="64" xfId="1" applyFont="1" applyBorder="1" applyAlignment="1">
      <alignment horizontal="center" vertical="center" wrapText="1"/>
    </xf>
    <xf numFmtId="0" fontId="5" fillId="0" borderId="64" xfId="1" applyFont="1" applyFill="1" applyBorder="1" applyAlignment="1">
      <alignment vertical="center" wrapText="1"/>
    </xf>
    <xf numFmtId="0" fontId="5" fillId="0" borderId="70" xfId="1" applyFont="1" applyFill="1" applyBorder="1" applyAlignment="1">
      <alignment horizontal="center" vertical="center" wrapText="1"/>
    </xf>
    <xf numFmtId="0" fontId="5" fillId="0" borderId="66" xfId="1" applyFont="1" applyBorder="1" applyAlignment="1">
      <alignment vertical="center" wrapText="1"/>
    </xf>
    <xf numFmtId="0" fontId="5" fillId="0" borderId="57" xfId="1" applyFont="1" applyBorder="1" applyAlignment="1">
      <alignment horizontal="center" vertical="center" wrapText="1"/>
    </xf>
    <xf numFmtId="0" fontId="5" fillId="0" borderId="66" xfId="1" applyFont="1" applyBorder="1" applyAlignment="1">
      <alignment horizontal="center" vertical="center" wrapText="1"/>
    </xf>
    <xf numFmtId="0" fontId="5" fillId="0" borderId="70" xfId="1" applyFont="1" applyBorder="1" applyAlignment="1">
      <alignment vertical="center" wrapText="1"/>
    </xf>
    <xf numFmtId="0" fontId="19" fillId="0" borderId="62" xfId="0" quotePrefix="1" applyFont="1" applyFill="1" applyBorder="1" applyAlignment="1">
      <alignment horizontal="justify" vertical="center" wrapText="1"/>
    </xf>
    <xf numFmtId="0" fontId="19" fillId="0" borderId="63" xfId="0" applyFont="1" applyFill="1" applyBorder="1" applyAlignment="1">
      <alignment horizontal="justify" vertical="center" wrapText="1"/>
    </xf>
    <xf numFmtId="49" fontId="8" fillId="0" borderId="0" xfId="2" applyNumberFormat="1" applyAlignment="1">
      <alignment horizontal="left" vertical="center"/>
    </xf>
    <xf numFmtId="49" fontId="9" fillId="0" borderId="36" xfId="1" applyNumberFormat="1" applyFont="1" applyBorder="1">
      <alignment vertical="center"/>
    </xf>
    <xf numFmtId="49" fontId="9" fillId="0" borderId="36" xfId="0" applyNumberFormat="1" applyFont="1" applyBorder="1">
      <alignment vertical="center"/>
    </xf>
    <xf numFmtId="0" fontId="9" fillId="0" borderId="36" xfId="0" applyFont="1" applyFill="1" applyBorder="1">
      <alignment vertical="center"/>
    </xf>
    <xf numFmtId="0" fontId="9" fillId="0" borderId="76" xfId="5" applyNumberFormat="1" applyFont="1" applyFill="1" applyBorder="1" applyAlignment="1">
      <alignment horizontal="left" vertical="center"/>
    </xf>
    <xf numFmtId="49" fontId="9" fillId="0" borderId="77" xfId="1" applyNumberFormat="1" applyFont="1" applyBorder="1">
      <alignment vertical="center"/>
    </xf>
    <xf numFmtId="49" fontId="9" fillId="0" borderId="77" xfId="0" applyNumberFormat="1" applyFont="1" applyBorder="1">
      <alignment vertical="center"/>
    </xf>
    <xf numFmtId="0" fontId="9" fillId="0" borderId="77" xfId="0" applyFont="1" applyFill="1" applyBorder="1">
      <alignment vertical="center"/>
    </xf>
    <xf numFmtId="0" fontId="9" fillId="0" borderId="75" xfId="5" applyNumberFormat="1" applyFont="1" applyFill="1" applyBorder="1" applyAlignment="1">
      <alignment horizontal="left" vertical="center"/>
    </xf>
    <xf numFmtId="49" fontId="35" fillId="0" borderId="70" xfId="0" applyNumberFormat="1" applyFont="1" applyBorder="1" applyAlignment="1">
      <alignment horizontal="left" vertical="center"/>
    </xf>
    <xf numFmtId="49" fontId="9" fillId="0" borderId="0" xfId="5" applyNumberFormat="1" applyFont="1" applyAlignment="1">
      <alignment vertical="center"/>
    </xf>
    <xf numFmtId="49" fontId="9" fillId="2" borderId="31" xfId="5" applyNumberFormat="1" applyFont="1" applyFill="1" applyBorder="1" applyAlignment="1">
      <alignment vertical="center"/>
    </xf>
    <xf numFmtId="49" fontId="9" fillId="0" borderId="70" xfId="5" applyNumberFormat="1" applyFont="1" applyBorder="1" applyAlignment="1">
      <alignment vertical="center"/>
    </xf>
    <xf numFmtId="49" fontId="9" fillId="0" borderId="70" xfId="0" applyNumberFormat="1" applyFont="1" applyFill="1" applyBorder="1" applyAlignment="1">
      <alignment vertical="center"/>
    </xf>
    <xf numFmtId="49" fontId="9" fillId="0" borderId="36" xfId="0" applyNumberFormat="1" applyFont="1" applyFill="1" applyBorder="1" applyAlignment="1">
      <alignment vertical="center"/>
    </xf>
    <xf numFmtId="49" fontId="9" fillId="0" borderId="70" xfId="0" quotePrefix="1" applyNumberFormat="1" applyFont="1" applyBorder="1" applyAlignment="1">
      <alignment vertical="center"/>
    </xf>
    <xf numFmtId="49" fontId="9" fillId="0" borderId="77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9" fillId="0" borderId="0" xfId="0" applyFont="1" applyFill="1" applyBorder="1" applyAlignment="1">
      <alignment horizontal="right" vertical="center" wrapText="1"/>
    </xf>
    <xf numFmtId="0" fontId="19" fillId="0" borderId="29" xfId="0" applyFont="1" applyFill="1" applyBorder="1" applyAlignment="1">
      <alignment horizontal="right" vertical="center" wrapText="1"/>
    </xf>
    <xf numFmtId="0" fontId="5" fillId="0" borderId="6" xfId="1" applyFont="1" applyFill="1" applyBorder="1" applyAlignment="1">
      <alignment horizontal="right" vertical="center" wrapText="1"/>
    </xf>
    <xf numFmtId="0" fontId="5" fillId="0" borderId="70" xfId="1" applyFont="1" applyFill="1" applyBorder="1" applyAlignment="1">
      <alignment horizontal="right" vertical="center" wrapText="1"/>
    </xf>
    <xf numFmtId="0" fontId="5" fillId="0" borderId="57" xfId="1" applyFont="1" applyFill="1" applyBorder="1" applyAlignment="1">
      <alignment horizontal="right" vertical="center" wrapText="1"/>
    </xf>
    <xf numFmtId="0" fontId="5" fillId="0" borderId="57" xfId="1" applyFont="1" applyFill="1" applyBorder="1" applyAlignment="1">
      <alignment horizontal="center" vertical="center" wrapText="1"/>
    </xf>
    <xf numFmtId="0" fontId="10" fillId="0" borderId="66" xfId="1" applyFont="1" applyFill="1" applyBorder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4" fillId="0" borderId="49" xfId="1" applyFont="1" applyFill="1" applyBorder="1" applyAlignment="1">
      <alignment horizontal="center" vertical="center" wrapText="1"/>
    </xf>
    <xf numFmtId="0" fontId="5" fillId="0" borderId="64" xfId="1" applyFont="1" applyFill="1" applyBorder="1" applyAlignment="1">
      <alignment horizontal="center" vertical="center" wrapText="1"/>
    </xf>
    <xf numFmtId="0" fontId="5" fillId="0" borderId="66" xfId="1" applyFont="1" applyFill="1" applyBorder="1" applyAlignment="1">
      <alignment vertical="center" wrapText="1"/>
    </xf>
    <xf numFmtId="0" fontId="5" fillId="0" borderId="66" xfId="1" applyFont="1" applyFill="1" applyBorder="1" applyAlignment="1">
      <alignment horizontal="center" vertical="center" wrapText="1"/>
    </xf>
    <xf numFmtId="0" fontId="5" fillId="0" borderId="64" xfId="1" quotePrefix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center" wrapText="1"/>
    </xf>
    <xf numFmtId="0" fontId="10" fillId="0" borderId="13" xfId="1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center" vertical="center"/>
    </xf>
    <xf numFmtId="0" fontId="5" fillId="0" borderId="74" xfId="0" applyFont="1" applyBorder="1" applyAlignment="1">
      <alignment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73" xfId="1" applyFont="1" applyBorder="1" applyAlignment="1">
      <alignment horizontal="center" vertical="center" wrapText="1"/>
    </xf>
    <xf numFmtId="0" fontId="10" fillId="0" borderId="73" xfId="1" applyFont="1" applyFill="1" applyBorder="1" applyAlignment="1">
      <alignment horizontal="center" vertical="center" wrapText="1"/>
    </xf>
    <xf numFmtId="0" fontId="10" fillId="0" borderId="76" xfId="1" applyFont="1" applyFill="1" applyBorder="1" applyAlignment="1">
      <alignment horizontal="left" vertical="center" wrapText="1"/>
    </xf>
    <xf numFmtId="49" fontId="9" fillId="0" borderId="70" xfId="1" applyNumberFormat="1" applyFont="1" applyBorder="1" applyAlignment="1">
      <alignment vertical="center" wrapText="1"/>
    </xf>
    <xf numFmtId="49" fontId="9" fillId="0" borderId="68" xfId="1" applyNumberFormat="1" applyFont="1" applyBorder="1" applyAlignment="1">
      <alignment vertical="center" wrapText="1"/>
    </xf>
    <xf numFmtId="0" fontId="9" fillId="0" borderId="80" xfId="5" applyFont="1" applyBorder="1">
      <alignment vertical="center"/>
    </xf>
    <xf numFmtId="0" fontId="8" fillId="0" borderId="1" xfId="2" applyFill="1" applyBorder="1">
      <alignment vertical="center"/>
    </xf>
    <xf numFmtId="0" fontId="19" fillId="0" borderId="29" xfId="0" applyFont="1" applyFill="1" applyBorder="1" applyAlignment="1">
      <alignment horizontal="center" vertical="center" wrapText="1"/>
    </xf>
    <xf numFmtId="49" fontId="0" fillId="0" borderId="1" xfId="0" applyNumberFormat="1" applyFill="1" applyBorder="1">
      <alignment vertical="center"/>
    </xf>
    <xf numFmtId="0" fontId="0" fillId="0" borderId="1" xfId="1" applyFont="1" applyFill="1" applyBorder="1" applyAlignment="1">
      <alignment vertical="center" wrapText="1"/>
    </xf>
    <xf numFmtId="0" fontId="14" fillId="0" borderId="0" xfId="0" applyFont="1" applyFill="1">
      <alignment vertical="center"/>
    </xf>
    <xf numFmtId="0" fontId="0" fillId="0" borderId="1" xfId="1" applyFont="1" applyFill="1" applyBorder="1">
      <alignment vertical="center"/>
    </xf>
    <xf numFmtId="0" fontId="0" fillId="0" borderId="70" xfId="1" applyFont="1" applyFill="1" applyBorder="1">
      <alignment vertical="center"/>
    </xf>
    <xf numFmtId="49" fontId="0" fillId="0" borderId="70" xfId="0" applyNumberFormat="1" applyFill="1" applyBorder="1">
      <alignment vertical="center"/>
    </xf>
    <xf numFmtId="0" fontId="4" fillId="0" borderId="1" xfId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6" fillId="0" borderId="1" xfId="1" applyFont="1" applyFill="1" applyBorder="1" applyAlignment="1">
      <alignment vertical="center" wrapText="1"/>
    </xf>
    <xf numFmtId="0" fontId="16" fillId="0" borderId="1" xfId="1" applyFont="1" applyFill="1" applyBorder="1">
      <alignment vertical="center"/>
    </xf>
    <xf numFmtId="0" fontId="14" fillId="0" borderId="70" xfId="0" applyFont="1" applyBorder="1">
      <alignment vertical="center"/>
    </xf>
    <xf numFmtId="0" fontId="4" fillId="0" borderId="70" xfId="1" applyBorder="1">
      <alignment vertical="center"/>
    </xf>
    <xf numFmtId="49" fontId="0" fillId="0" borderId="70" xfId="0" applyNumberFormat="1" applyBorder="1">
      <alignment vertical="center"/>
    </xf>
    <xf numFmtId="0" fontId="0" fillId="0" borderId="70" xfId="0" applyBorder="1">
      <alignment vertical="center"/>
    </xf>
    <xf numFmtId="0" fontId="7" fillId="0" borderId="74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justify" vertical="center" wrapText="1"/>
    </xf>
    <xf numFmtId="0" fontId="9" fillId="0" borderId="70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9" fillId="0" borderId="57" xfId="0" applyFont="1" applyBorder="1" applyAlignment="1">
      <alignment horizontal="center" vertical="center"/>
    </xf>
    <xf numFmtId="0" fontId="9" fillId="0" borderId="50" xfId="0" applyFont="1" applyBorder="1">
      <alignment vertical="center"/>
    </xf>
    <xf numFmtId="0" fontId="40" fillId="0" borderId="1" xfId="0" applyFont="1" applyFill="1" applyBorder="1">
      <alignment vertical="center"/>
    </xf>
    <xf numFmtId="49" fontId="7" fillId="0" borderId="70" xfId="5" applyNumberFormat="1" applyFont="1" applyBorder="1" applyAlignment="1">
      <alignment vertical="center" wrapText="1"/>
    </xf>
    <xf numFmtId="49" fontId="9" fillId="2" borderId="31" xfId="5" applyNumberFormat="1" applyFont="1" applyFill="1" applyBorder="1" applyAlignment="1">
      <alignment horizontal="left" vertical="center"/>
    </xf>
    <xf numFmtId="0" fontId="9" fillId="0" borderId="70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28" xfId="5" applyNumberFormat="1" applyFont="1" applyFill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/>
    </xf>
    <xf numFmtId="49" fontId="9" fillId="0" borderId="70" xfId="1" applyNumberFormat="1" applyFont="1" applyBorder="1" applyAlignment="1">
      <alignment horizontal="left" vertical="center"/>
    </xf>
    <xf numFmtId="49" fontId="22" fillId="0" borderId="16" xfId="5" applyNumberFormat="1" applyFont="1" applyFill="1" applyBorder="1" applyAlignment="1">
      <alignment horizontal="left" vertical="center"/>
    </xf>
    <xf numFmtId="49" fontId="9" fillId="0" borderId="68" xfId="1" applyNumberFormat="1" applyFont="1" applyBorder="1" applyAlignment="1">
      <alignment horizontal="left" vertical="center"/>
    </xf>
    <xf numFmtId="49" fontId="9" fillId="0" borderId="35" xfId="1" applyNumberFormat="1" applyFont="1" applyBorder="1" applyAlignment="1">
      <alignment horizontal="left" vertical="center"/>
    </xf>
    <xf numFmtId="49" fontId="9" fillId="0" borderId="64" xfId="0" applyNumberFormat="1" applyFont="1" applyBorder="1" applyAlignment="1">
      <alignment horizontal="left" vertical="center"/>
    </xf>
    <xf numFmtId="49" fontId="9" fillId="0" borderId="68" xfId="1" applyNumberFormat="1" applyFont="1" applyBorder="1" applyAlignment="1">
      <alignment horizontal="left" vertical="center" wrapText="1"/>
    </xf>
    <xf numFmtId="49" fontId="9" fillId="0" borderId="70" xfId="1" applyNumberFormat="1" applyFont="1" applyBorder="1" applyAlignment="1">
      <alignment horizontal="left" vertical="center" wrapText="1"/>
    </xf>
    <xf numFmtId="49" fontId="9" fillId="0" borderId="36" xfId="1" applyNumberFormat="1" applyFont="1" applyBorder="1" applyAlignment="1">
      <alignment horizontal="left" vertical="center"/>
    </xf>
    <xf numFmtId="49" fontId="9" fillId="0" borderId="36" xfId="0" applyNumberFormat="1" applyFont="1" applyBorder="1" applyAlignment="1">
      <alignment horizontal="left" vertical="center"/>
    </xf>
    <xf numFmtId="49" fontId="9" fillId="0" borderId="77" xfId="1" applyNumberFormat="1" applyFont="1" applyBorder="1" applyAlignment="1">
      <alignment horizontal="left" vertical="center"/>
    </xf>
    <xf numFmtId="49" fontId="9" fillId="0" borderId="77" xfId="0" applyNumberFormat="1" applyFont="1" applyBorder="1" applyAlignment="1">
      <alignment horizontal="left" vertical="center"/>
    </xf>
    <xf numFmtId="49" fontId="9" fillId="2" borderId="29" xfId="5" applyNumberFormat="1" applyFont="1" applyFill="1" applyBorder="1" applyAlignment="1">
      <alignment vertical="center"/>
    </xf>
    <xf numFmtId="49" fontId="9" fillId="0" borderId="70" xfId="0" applyNumberFormat="1" applyFont="1" applyBorder="1" applyAlignment="1">
      <alignment vertical="center"/>
    </xf>
    <xf numFmtId="49" fontId="22" fillId="0" borderId="70" xfId="5" applyNumberFormat="1" applyFont="1" applyFill="1" applyBorder="1" applyAlignment="1">
      <alignment vertical="center"/>
    </xf>
    <xf numFmtId="49" fontId="9" fillId="0" borderId="70" xfId="5" applyNumberFormat="1" applyFont="1" applyFill="1" applyBorder="1" applyAlignment="1">
      <alignment vertical="center"/>
    </xf>
    <xf numFmtId="49" fontId="9" fillId="0" borderId="70" xfId="5" quotePrefix="1" applyNumberFormat="1" applyFont="1" applyFill="1" applyBorder="1" applyAlignment="1">
      <alignment vertical="center"/>
    </xf>
    <xf numFmtId="49" fontId="9" fillId="0" borderId="64" xfId="5" applyNumberFormat="1" applyFont="1" applyBorder="1" applyAlignment="1">
      <alignment vertical="center"/>
    </xf>
    <xf numFmtId="0" fontId="9" fillId="0" borderId="70" xfId="0" applyFont="1" applyFill="1" applyBorder="1" applyAlignment="1">
      <alignment vertical="center"/>
    </xf>
    <xf numFmtId="49" fontId="9" fillId="0" borderId="73" xfId="5" applyNumberFormat="1" applyFont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49" fontId="35" fillId="0" borderId="70" xfId="0" applyNumberFormat="1" applyFont="1" applyBorder="1" applyAlignment="1">
      <alignment vertical="center"/>
    </xf>
    <xf numFmtId="0" fontId="9" fillId="0" borderId="77" xfId="0" applyFont="1" applyFill="1" applyBorder="1" applyAlignment="1">
      <alignment vertical="center"/>
    </xf>
    <xf numFmtId="49" fontId="7" fillId="0" borderId="70" xfId="5" quotePrefix="1" applyNumberFormat="1" applyFont="1" applyBorder="1" applyAlignment="1">
      <alignment vertical="center"/>
    </xf>
    <xf numFmtId="0" fontId="9" fillId="0" borderId="65" xfId="5" applyNumberFormat="1" applyFont="1" applyBorder="1" applyAlignment="1">
      <alignment horizontal="left" vertical="center"/>
    </xf>
    <xf numFmtId="49" fontId="22" fillId="0" borderId="74" xfId="5" applyNumberFormat="1" applyFont="1" applyFill="1" applyBorder="1" applyAlignment="1">
      <alignment vertical="center"/>
    </xf>
    <xf numFmtId="49" fontId="22" fillId="0" borderId="70" xfId="5" applyNumberFormat="1" applyFont="1" applyBorder="1" applyAlignment="1">
      <alignment vertical="center"/>
    </xf>
    <xf numFmtId="49" fontId="9" fillId="3" borderId="70" xfId="5" quotePrefix="1" applyNumberFormat="1" applyFont="1" applyFill="1" applyBorder="1" applyAlignment="1">
      <alignment vertical="center"/>
    </xf>
    <xf numFmtId="49" fontId="9" fillId="3" borderId="70" xfId="5" applyNumberFormat="1" applyFont="1" applyFill="1" applyBorder="1" applyAlignment="1">
      <alignment vertical="center"/>
    </xf>
    <xf numFmtId="49" fontId="22" fillId="3" borderId="70" xfId="5" applyNumberFormat="1" applyFont="1" applyFill="1" applyBorder="1" applyAlignment="1">
      <alignment vertical="center"/>
    </xf>
    <xf numFmtId="0" fontId="19" fillId="0" borderId="29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5" fillId="0" borderId="64" xfId="0" applyFont="1" applyFill="1" applyBorder="1" applyAlignment="1">
      <alignment horizontal="center" vertical="center" wrapText="1"/>
    </xf>
    <xf numFmtId="0" fontId="8" fillId="0" borderId="1" xfId="2" applyBorder="1" applyAlignment="1">
      <alignment horizontal="left" vertical="center"/>
    </xf>
    <xf numFmtId="0" fontId="16" fillId="2" borderId="1" xfId="1" applyFont="1" applyFill="1" applyBorder="1" applyAlignment="1">
      <alignment horizontal="left" vertical="center"/>
    </xf>
    <xf numFmtId="0" fontId="8" fillId="0" borderId="1" xfId="2" applyFill="1" applyBorder="1">
      <alignment vertical="center"/>
    </xf>
    <xf numFmtId="0" fontId="9" fillId="2" borderId="1" xfId="1" applyFont="1" applyFill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left" vertical="center"/>
    </xf>
    <xf numFmtId="0" fontId="39" fillId="0" borderId="70" xfId="0" applyFont="1" applyBorder="1" applyAlignment="1">
      <alignment horizontal="center" vertical="center"/>
    </xf>
    <xf numFmtId="0" fontId="39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30" fillId="6" borderId="60" xfId="0" applyFont="1" applyFill="1" applyBorder="1" applyAlignment="1">
      <alignment horizontal="center" vertical="center" wrapText="1"/>
    </xf>
    <xf numFmtId="0" fontId="30" fillId="6" borderId="61" xfId="0" applyFont="1" applyFill="1" applyBorder="1" applyAlignment="1">
      <alignment horizontal="center" vertical="center" wrapText="1"/>
    </xf>
    <xf numFmtId="0" fontId="5" fillId="0" borderId="64" xfId="0" applyFont="1" applyFill="1" applyBorder="1" applyAlignment="1">
      <alignment horizontal="justify" vertical="center" wrapText="1"/>
    </xf>
    <xf numFmtId="0" fontId="5" fillId="0" borderId="68" xfId="0" applyFont="1" applyFill="1" applyBorder="1" applyAlignment="1">
      <alignment horizontal="justify" vertical="center" wrapText="1"/>
    </xf>
    <xf numFmtId="0" fontId="10" fillId="0" borderId="64" xfId="1" applyFont="1" applyFill="1" applyBorder="1" applyAlignment="1">
      <alignment horizontal="left" vertical="center" wrapText="1"/>
    </xf>
    <xf numFmtId="0" fontId="10" fillId="0" borderId="62" xfId="1" applyFont="1" applyFill="1" applyBorder="1" applyAlignment="1">
      <alignment horizontal="left" vertical="center" wrapText="1"/>
    </xf>
    <xf numFmtId="0" fontId="5" fillId="0" borderId="74" xfId="0" applyFont="1" applyBorder="1" applyAlignment="1">
      <alignment horizontal="justify" vertical="center" wrapText="1"/>
    </xf>
    <xf numFmtId="0" fontId="10" fillId="0" borderId="73" xfId="1" applyFont="1" applyFill="1" applyBorder="1" applyAlignment="1">
      <alignment horizontal="justify" vertical="center" wrapText="1"/>
    </xf>
    <xf numFmtId="0" fontId="10" fillId="0" borderId="37" xfId="1" applyFont="1" applyFill="1" applyBorder="1" applyAlignment="1">
      <alignment horizontal="justify" vertical="center" wrapText="1"/>
    </xf>
    <xf numFmtId="0" fontId="10" fillId="0" borderId="45" xfId="1" applyFont="1" applyFill="1" applyBorder="1" applyAlignment="1">
      <alignment horizontal="justify" vertical="center" wrapText="1"/>
    </xf>
    <xf numFmtId="0" fontId="5" fillId="0" borderId="70" xfId="0" applyFont="1" applyFill="1" applyBorder="1" applyAlignment="1">
      <alignment horizontal="justify" vertical="center" wrapText="1"/>
    </xf>
    <xf numFmtId="0" fontId="5" fillId="0" borderId="70" xfId="0" applyFont="1" applyBorder="1" applyAlignment="1">
      <alignment horizontal="justify" vertical="center" wrapText="1"/>
    </xf>
    <xf numFmtId="0" fontId="10" fillId="0" borderId="64" xfId="1" applyFont="1" applyFill="1" applyBorder="1" applyAlignment="1">
      <alignment horizontal="justify" vertical="center" wrapText="1"/>
    </xf>
    <xf numFmtId="0" fontId="10" fillId="0" borderId="62" xfId="1" applyFont="1" applyFill="1" applyBorder="1" applyAlignment="1">
      <alignment horizontal="justify" vertical="center" wrapText="1"/>
    </xf>
    <xf numFmtId="0" fontId="10" fillId="0" borderId="68" xfId="1" applyFont="1" applyFill="1" applyBorder="1" applyAlignment="1">
      <alignment horizontal="justify" vertical="center" wrapText="1"/>
    </xf>
    <xf numFmtId="0" fontId="10" fillId="0" borderId="6" xfId="1" applyFont="1" applyFill="1" applyBorder="1" applyAlignment="1">
      <alignment horizontal="justify" vertical="center" wrapText="1"/>
    </xf>
    <xf numFmtId="0" fontId="10" fillId="0" borderId="22" xfId="1" applyFont="1" applyFill="1" applyBorder="1" applyAlignment="1">
      <alignment horizontal="justify" vertical="center" wrapText="1"/>
    </xf>
    <xf numFmtId="0" fontId="10" fillId="0" borderId="6" xfId="1" quotePrefix="1" applyFont="1" applyFill="1" applyBorder="1" applyAlignment="1">
      <alignment horizontal="left" vertical="center" wrapText="1"/>
    </xf>
    <xf numFmtId="0" fontId="10" fillId="0" borderId="11" xfId="1" quotePrefix="1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left" vertical="center"/>
    </xf>
    <xf numFmtId="0" fontId="10" fillId="0" borderId="52" xfId="1" applyFont="1" applyFill="1" applyBorder="1" applyAlignment="1">
      <alignment horizontal="center" vertical="center" wrapText="1"/>
    </xf>
    <xf numFmtId="0" fontId="10" fillId="0" borderId="49" xfId="1" applyFont="1" applyFill="1" applyBorder="1" applyAlignment="1">
      <alignment horizontal="center" vertical="center" wrapText="1"/>
    </xf>
    <xf numFmtId="0" fontId="37" fillId="0" borderId="73" xfId="0" applyFont="1" applyFill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37" fillId="0" borderId="39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center" wrapText="1"/>
    </xf>
    <xf numFmtId="0" fontId="37" fillId="0" borderId="78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79" xfId="0" applyFont="1" applyFill="1" applyBorder="1" applyAlignment="1">
      <alignment horizontal="left" vertical="center" wrapText="1"/>
    </xf>
    <xf numFmtId="0" fontId="19" fillId="2" borderId="72" xfId="1" applyFont="1" applyFill="1" applyBorder="1" applyAlignment="1">
      <alignment horizontal="justify" vertical="center" wrapText="1"/>
    </xf>
    <xf numFmtId="0" fontId="19" fillId="2" borderId="63" xfId="1" applyFont="1" applyFill="1" applyBorder="1" applyAlignment="1">
      <alignment horizontal="justify" vertical="center" wrapText="1"/>
    </xf>
    <xf numFmtId="0" fontId="19" fillId="2" borderId="66" xfId="0" applyFont="1" applyFill="1" applyBorder="1" applyAlignment="1">
      <alignment horizontal="justify" vertical="center" wrapText="1"/>
    </xf>
    <xf numFmtId="0" fontId="19" fillId="2" borderId="63" xfId="0" applyFont="1" applyFill="1" applyBorder="1" applyAlignment="1">
      <alignment horizontal="justify" vertical="center" wrapText="1"/>
    </xf>
    <xf numFmtId="0" fontId="19" fillId="2" borderId="69" xfId="0" applyFont="1" applyFill="1" applyBorder="1" applyAlignment="1">
      <alignment horizontal="justify" vertical="center" wrapText="1"/>
    </xf>
    <xf numFmtId="0" fontId="19" fillId="2" borderId="32" xfId="1" applyFont="1" applyFill="1" applyBorder="1" applyAlignment="1">
      <alignment horizontal="justify" vertical="center" wrapText="1"/>
    </xf>
    <xf numFmtId="0" fontId="19" fillId="2" borderId="11" xfId="1" applyFont="1" applyFill="1" applyBorder="1" applyAlignment="1">
      <alignment horizontal="justify" vertical="center" wrapText="1"/>
    </xf>
    <xf numFmtId="0" fontId="19" fillId="2" borderId="71" xfId="1" applyFont="1" applyFill="1" applyBorder="1" applyAlignment="1">
      <alignment horizontal="justify" vertical="center" wrapText="1"/>
    </xf>
    <xf numFmtId="0" fontId="19" fillId="2" borderId="62" xfId="1" applyFont="1" applyFill="1" applyBorder="1" applyAlignment="1">
      <alignment horizontal="justify" vertical="center" wrapText="1"/>
    </xf>
    <xf numFmtId="0" fontId="19" fillId="2" borderId="64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68" xfId="0" applyFont="1" applyFill="1" applyBorder="1" applyAlignment="1">
      <alignment horizontal="justify" vertical="center" wrapText="1"/>
    </xf>
    <xf numFmtId="0" fontId="19" fillId="0" borderId="32" xfId="1" applyFont="1" applyFill="1" applyBorder="1" applyAlignment="1">
      <alignment horizontal="left" vertical="center" wrapText="1"/>
    </xf>
    <xf numFmtId="0" fontId="19" fillId="0" borderId="11" xfId="1" applyFont="1" applyFill="1" applyBorder="1" applyAlignment="1">
      <alignment horizontal="left" vertical="center" wrapText="1"/>
    </xf>
    <xf numFmtId="0" fontId="19" fillId="0" borderId="12" xfId="1" applyFont="1" applyFill="1" applyBorder="1" applyAlignment="1">
      <alignment horizontal="left" vertical="center" wrapText="1"/>
    </xf>
    <xf numFmtId="0" fontId="19" fillId="0" borderId="64" xfId="0" applyFont="1" applyFill="1" applyBorder="1" applyAlignment="1">
      <alignment horizontal="left" vertical="center" wrapText="1"/>
    </xf>
    <xf numFmtId="0" fontId="19" fillId="0" borderId="62" xfId="0" applyFont="1" applyFill="1" applyBorder="1" applyAlignment="1">
      <alignment horizontal="left" vertical="center" wrapText="1"/>
    </xf>
    <xf numFmtId="0" fontId="19" fillId="0" borderId="68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20" fontId="34" fillId="0" borderId="66" xfId="0" applyNumberFormat="1" applyFont="1" applyBorder="1" applyAlignment="1">
      <alignment horizontal="justify" vertical="center" wrapText="1"/>
    </xf>
    <xf numFmtId="20" fontId="34" fillId="0" borderId="63" xfId="0" applyNumberFormat="1" applyFont="1" applyBorder="1" applyAlignment="1">
      <alignment horizontal="justify" vertical="center" wrapText="1"/>
    </xf>
    <xf numFmtId="20" fontId="34" fillId="0" borderId="69" xfId="0" applyNumberFormat="1" applyFont="1" applyBorder="1" applyAlignment="1">
      <alignment horizontal="justify" vertical="center" wrapText="1"/>
    </xf>
    <xf numFmtId="0" fontId="19" fillId="0" borderId="66" xfId="0" applyFont="1" applyFill="1" applyBorder="1" applyAlignment="1">
      <alignment horizontal="left" vertical="center" wrapText="1"/>
    </xf>
    <xf numFmtId="0" fontId="19" fillId="0" borderId="67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justify" vertical="center" wrapText="1"/>
    </xf>
    <xf numFmtId="0" fontId="5" fillId="0" borderId="70" xfId="1" applyFont="1" applyBorder="1" applyAlignment="1">
      <alignment horizontal="justify" vertical="center" wrapText="1"/>
    </xf>
    <xf numFmtId="0" fontId="10" fillId="0" borderId="66" xfId="1" applyFont="1" applyFill="1" applyBorder="1" applyAlignment="1">
      <alignment horizontal="justify" vertical="center" wrapText="1"/>
    </xf>
    <xf numFmtId="0" fontId="10" fillId="0" borderId="63" xfId="1" applyFont="1" applyFill="1" applyBorder="1" applyAlignment="1">
      <alignment horizontal="justify" vertical="center" wrapText="1"/>
    </xf>
    <xf numFmtId="0" fontId="10" fillId="0" borderId="69" xfId="1" applyFont="1" applyFill="1" applyBorder="1" applyAlignment="1">
      <alignment horizontal="justify" vertical="center" wrapText="1"/>
    </xf>
    <xf numFmtId="0" fontId="5" fillId="0" borderId="66" xfId="1" applyFont="1" applyBorder="1" applyAlignment="1">
      <alignment horizontal="justify" vertical="center" wrapText="1"/>
    </xf>
    <xf numFmtId="0" fontId="5" fillId="0" borderId="69" xfId="1" applyFont="1" applyBorder="1" applyAlignment="1">
      <alignment horizontal="justify" vertical="center" wrapText="1"/>
    </xf>
    <xf numFmtId="0" fontId="5" fillId="0" borderId="64" xfId="1" applyFont="1" applyBorder="1" applyAlignment="1">
      <alignment horizontal="justify" vertical="center" wrapText="1"/>
    </xf>
    <xf numFmtId="0" fontId="5" fillId="0" borderId="68" xfId="1" applyFont="1" applyBorder="1" applyAlignment="1">
      <alignment horizontal="justify" vertical="center" wrapText="1"/>
    </xf>
    <xf numFmtId="0" fontId="10" fillId="0" borderId="68" xfId="1" applyFont="1" applyFill="1" applyBorder="1" applyAlignment="1">
      <alignment horizontal="left" vertical="center" wrapText="1"/>
    </xf>
    <xf numFmtId="0" fontId="5" fillId="0" borderId="64" xfId="0" applyFont="1" applyBorder="1" applyAlignment="1">
      <alignment horizontal="justify" vertical="center" wrapText="1"/>
    </xf>
    <xf numFmtId="0" fontId="5" fillId="0" borderId="68" xfId="0" applyFont="1" applyBorder="1" applyAlignment="1">
      <alignment horizontal="justify" vertical="center" wrapText="1"/>
    </xf>
    <xf numFmtId="0" fontId="5" fillId="0" borderId="66" xfId="0" applyFont="1" applyFill="1" applyBorder="1" applyAlignment="1">
      <alignment horizontal="justify" vertical="center" wrapText="1"/>
    </xf>
    <xf numFmtId="0" fontId="5" fillId="0" borderId="69" xfId="0" applyFont="1" applyFill="1" applyBorder="1" applyAlignment="1">
      <alignment horizontal="justify" vertical="center" wrapText="1"/>
    </xf>
    <xf numFmtId="0" fontId="19" fillId="0" borderId="6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justify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69" xfId="0" applyFont="1" applyFill="1" applyBorder="1" applyAlignment="1">
      <alignment horizontal="left" vertical="center" wrapText="1"/>
    </xf>
    <xf numFmtId="0" fontId="19" fillId="2" borderId="68" xfId="1" applyFont="1" applyFill="1" applyBorder="1" applyAlignment="1">
      <alignment horizontal="justify" vertical="center" wrapText="1"/>
    </xf>
    <xf numFmtId="0" fontId="19" fillId="2" borderId="69" xfId="1" applyFont="1" applyFill="1" applyBorder="1" applyAlignment="1">
      <alignment horizontal="justify" vertical="center" wrapText="1"/>
    </xf>
    <xf numFmtId="0" fontId="5" fillId="0" borderId="57" xfId="0" applyFont="1" applyFill="1" applyBorder="1" applyAlignment="1">
      <alignment horizontal="justify" vertical="center" wrapText="1"/>
    </xf>
    <xf numFmtId="20" fontId="34" fillId="0" borderId="64" xfId="0" applyNumberFormat="1" applyFont="1" applyBorder="1" applyAlignment="1">
      <alignment horizontal="justify" vertical="center" wrapText="1"/>
    </xf>
    <xf numFmtId="20" fontId="34" fillId="0" borderId="62" xfId="0" applyNumberFormat="1" applyFont="1" applyBorder="1" applyAlignment="1">
      <alignment horizontal="justify" vertical="center" wrapText="1"/>
    </xf>
    <xf numFmtId="20" fontId="34" fillId="0" borderId="68" xfId="0" applyNumberFormat="1" applyFont="1" applyBorder="1" applyAlignment="1">
      <alignment horizontal="justify" vertical="center" wrapText="1"/>
    </xf>
    <xf numFmtId="0" fontId="5" fillId="0" borderId="64" xfId="0" applyFont="1" applyFill="1" applyBorder="1" applyAlignment="1">
      <alignment horizontal="left" vertical="center" wrapText="1"/>
    </xf>
    <xf numFmtId="0" fontId="5" fillId="0" borderId="68" xfId="0" applyFont="1" applyFill="1" applyBorder="1" applyAlignment="1">
      <alignment horizontal="left" vertical="center" wrapText="1"/>
    </xf>
    <xf numFmtId="0" fontId="19" fillId="0" borderId="32" xfId="1" applyFont="1" applyFill="1" applyBorder="1" applyAlignment="1">
      <alignment vertical="center" wrapText="1"/>
    </xf>
    <xf numFmtId="0" fontId="19" fillId="0" borderId="11" xfId="1" applyFont="1" applyFill="1" applyBorder="1" applyAlignment="1">
      <alignment vertical="center" wrapText="1"/>
    </xf>
    <xf numFmtId="0" fontId="19" fillId="0" borderId="12" xfId="1" applyFont="1" applyFill="1" applyBorder="1" applyAlignment="1">
      <alignment vertical="center" wrapText="1"/>
    </xf>
    <xf numFmtId="0" fontId="5" fillId="0" borderId="64" xfId="0" applyFont="1" applyBorder="1" applyAlignment="1">
      <alignment horizontal="left" vertical="center" wrapText="1"/>
    </xf>
    <xf numFmtId="0" fontId="5" fillId="0" borderId="68" xfId="0" applyFont="1" applyBorder="1" applyAlignment="1">
      <alignment horizontal="left" vertical="center" wrapText="1"/>
    </xf>
    <xf numFmtId="0" fontId="5" fillId="0" borderId="66" xfId="0" applyFont="1" applyBorder="1" applyAlignment="1">
      <alignment horizontal="justify" vertical="center" wrapText="1"/>
    </xf>
    <xf numFmtId="0" fontId="5" fillId="0" borderId="69" xfId="0" applyFont="1" applyBorder="1" applyAlignment="1">
      <alignment horizontal="justify" vertical="center" wrapText="1"/>
    </xf>
    <xf numFmtId="0" fontId="10" fillId="0" borderId="3" xfId="1" applyFont="1" applyFill="1" applyBorder="1" applyAlignment="1">
      <alignment horizontal="justify" vertical="center" wrapText="1"/>
    </xf>
    <xf numFmtId="0" fontId="10" fillId="0" borderId="2" xfId="1" applyFont="1" applyFill="1" applyBorder="1" applyAlignment="1">
      <alignment horizontal="justify" vertical="center" wrapText="1"/>
    </xf>
    <xf numFmtId="0" fontId="19" fillId="2" borderId="33" xfId="1" applyFont="1" applyFill="1" applyBorder="1" applyAlignment="1">
      <alignment horizontal="justify" vertical="center" wrapText="1"/>
    </xf>
    <xf numFmtId="0" fontId="19" fillId="2" borderId="2" xfId="1" applyFont="1" applyFill="1" applyBorder="1" applyAlignment="1">
      <alignment horizontal="justify" vertical="center" wrapText="1"/>
    </xf>
    <xf numFmtId="49" fontId="19" fillId="0" borderId="6" xfId="1" applyNumberFormat="1" applyFont="1" applyFill="1" applyBorder="1" applyAlignment="1">
      <alignment horizontal="left" vertical="center" wrapText="1"/>
    </xf>
    <xf numFmtId="49" fontId="19" fillId="0" borderId="11" xfId="1" applyNumberFormat="1" applyFont="1" applyFill="1" applyBorder="1" applyAlignment="1">
      <alignment horizontal="left" vertical="center" wrapText="1"/>
    </xf>
    <xf numFmtId="49" fontId="19" fillId="0" borderId="12" xfId="1" applyNumberFormat="1" applyFont="1" applyFill="1" applyBorder="1" applyAlignment="1">
      <alignment horizontal="left" vertical="center" wrapText="1"/>
    </xf>
    <xf numFmtId="49" fontId="19" fillId="0" borderId="64" xfId="0" applyNumberFormat="1" applyFont="1" applyFill="1" applyBorder="1" applyAlignment="1">
      <alignment horizontal="left" vertical="center" wrapText="1"/>
    </xf>
    <xf numFmtId="49" fontId="19" fillId="0" borderId="65" xfId="0" applyNumberFormat="1" applyFont="1" applyFill="1" applyBorder="1" applyAlignment="1">
      <alignment horizontal="left" vertical="center" wrapText="1"/>
    </xf>
    <xf numFmtId="0" fontId="19" fillId="0" borderId="66" xfId="0" applyNumberFormat="1" applyFont="1" applyFill="1" applyBorder="1" applyAlignment="1">
      <alignment horizontal="left" vertical="center" wrapText="1"/>
    </xf>
    <xf numFmtId="0" fontId="19" fillId="0" borderId="67" xfId="0" applyNumberFormat="1" applyFont="1" applyFill="1" applyBorder="1" applyAlignment="1">
      <alignment horizontal="left" vertical="center" wrapText="1"/>
    </xf>
    <xf numFmtId="0" fontId="10" fillId="0" borderId="6" xfId="1" quotePrefix="1" applyFont="1" applyFill="1" applyBorder="1" applyAlignment="1">
      <alignment horizontal="justify" vertical="center" wrapText="1"/>
    </xf>
    <xf numFmtId="0" fontId="10" fillId="0" borderId="11" xfId="1" applyFont="1" applyFill="1" applyBorder="1" applyAlignment="1">
      <alignment horizontal="justify" vertical="center" wrapText="1"/>
    </xf>
    <xf numFmtId="0" fontId="19" fillId="2" borderId="34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4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0" borderId="64" xfId="0" applyFont="1" applyFill="1" applyBorder="1" applyAlignment="1">
      <alignment vertical="center" wrapText="1"/>
    </xf>
    <xf numFmtId="0" fontId="19" fillId="0" borderId="62" xfId="0" applyFont="1" applyFill="1" applyBorder="1" applyAlignment="1">
      <alignment vertical="center" wrapText="1"/>
    </xf>
    <xf numFmtId="0" fontId="19" fillId="0" borderId="68" xfId="0" applyFont="1" applyFill="1" applyBorder="1" applyAlignment="1">
      <alignment vertical="center" wrapText="1"/>
    </xf>
    <xf numFmtId="0" fontId="19" fillId="0" borderId="66" xfId="0" applyFont="1" applyFill="1" applyBorder="1" applyAlignment="1">
      <alignment vertical="center" wrapText="1"/>
    </xf>
    <xf numFmtId="0" fontId="19" fillId="0" borderId="63" xfId="0" applyFont="1" applyFill="1" applyBorder="1" applyAlignment="1">
      <alignment vertical="center" wrapText="1"/>
    </xf>
    <xf numFmtId="0" fontId="19" fillId="0" borderId="69" xfId="0" applyFont="1" applyFill="1" applyBorder="1" applyAlignment="1">
      <alignment vertical="center" wrapText="1"/>
    </xf>
    <xf numFmtId="0" fontId="10" fillId="0" borderId="19" xfId="1" applyFont="1" applyFill="1" applyBorder="1" applyAlignment="1">
      <alignment horizontal="justify" vertical="center" wrapText="1"/>
    </xf>
    <xf numFmtId="0" fontId="10" fillId="0" borderId="20" xfId="1" applyFont="1" applyFill="1" applyBorder="1" applyAlignment="1">
      <alignment horizontal="justify" vertical="center" wrapText="1"/>
    </xf>
    <xf numFmtId="0" fontId="10" fillId="0" borderId="66" xfId="1" applyFont="1" applyFill="1" applyBorder="1" applyAlignment="1">
      <alignment horizontal="left" vertical="center" wrapText="1"/>
    </xf>
    <xf numFmtId="0" fontId="10" fillId="0" borderId="63" xfId="1" applyFont="1" applyFill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/>
    </xf>
    <xf numFmtId="0" fontId="10" fillId="0" borderId="5" xfId="1" applyFont="1" applyFill="1" applyBorder="1" applyAlignment="1">
      <alignment horizontal="justify" vertical="center" wrapText="1"/>
    </xf>
    <xf numFmtId="0" fontId="10" fillId="0" borderId="3" xfId="1" applyFont="1" applyFill="1" applyBorder="1" applyAlignment="1">
      <alignment horizontal="justify" vertical="center"/>
    </xf>
    <xf numFmtId="0" fontId="10" fillId="0" borderId="2" xfId="1" applyFont="1" applyFill="1" applyBorder="1" applyAlignment="1">
      <alignment horizontal="justify" vertical="center"/>
    </xf>
    <xf numFmtId="0" fontId="22" fillId="0" borderId="3" xfId="1" applyFont="1" applyFill="1" applyBorder="1" applyAlignment="1">
      <alignment horizontal="justify" vertical="center" wrapText="1"/>
    </xf>
    <xf numFmtId="0" fontId="22" fillId="0" borderId="2" xfId="1" applyFont="1" applyFill="1" applyBorder="1" applyAlignment="1">
      <alignment horizontal="justify"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justify" vertical="center" wrapText="1"/>
    </xf>
    <xf numFmtId="0" fontId="22" fillId="0" borderId="62" xfId="1" applyFont="1" applyFill="1" applyBorder="1" applyAlignment="1">
      <alignment horizontal="justify" vertical="center" wrapText="1"/>
    </xf>
    <xf numFmtId="0" fontId="22" fillId="0" borderId="66" xfId="1" applyFont="1" applyFill="1" applyBorder="1" applyAlignment="1">
      <alignment horizontal="justify" vertical="center" wrapText="1"/>
    </xf>
    <xf numFmtId="0" fontId="22" fillId="0" borderId="69" xfId="1" applyFont="1" applyFill="1" applyBorder="1" applyAlignment="1">
      <alignment horizontal="justify" vertical="center" wrapText="1"/>
    </xf>
    <xf numFmtId="0" fontId="22" fillId="0" borderId="64" xfId="1" applyFont="1" applyFill="1" applyBorder="1" applyAlignment="1">
      <alignment horizontal="left" vertical="center" wrapText="1"/>
    </xf>
    <xf numFmtId="0" fontId="22" fillId="0" borderId="68" xfId="1" applyFont="1" applyFill="1" applyBorder="1" applyAlignment="1">
      <alignment horizontal="left" vertical="center" wrapText="1"/>
    </xf>
    <xf numFmtId="0" fontId="22" fillId="0" borderId="64" xfId="1" applyFont="1" applyFill="1" applyBorder="1" applyAlignment="1">
      <alignment vertical="center" wrapText="1"/>
    </xf>
    <xf numFmtId="0" fontId="22" fillId="0" borderId="62" xfId="1" applyFont="1" applyFill="1" applyBorder="1" applyAlignment="1">
      <alignment vertical="center" wrapText="1"/>
    </xf>
    <xf numFmtId="0" fontId="22" fillId="0" borderId="68" xfId="1" applyFont="1" applyFill="1" applyBorder="1" applyAlignment="1">
      <alignment vertical="center" wrapText="1"/>
    </xf>
    <xf numFmtId="0" fontId="22" fillId="0" borderId="62" xfId="1" applyFont="1" applyFill="1" applyBorder="1" applyAlignment="1">
      <alignment horizontal="left" vertical="center" wrapText="1"/>
    </xf>
    <xf numFmtId="0" fontId="10" fillId="0" borderId="64" xfId="1" applyFont="1" applyFill="1" applyBorder="1" applyAlignment="1">
      <alignment vertical="center" wrapText="1"/>
    </xf>
    <xf numFmtId="0" fontId="10" fillId="0" borderId="62" xfId="1" applyFont="1" applyFill="1" applyBorder="1" applyAlignment="1">
      <alignment vertical="center" wrapText="1"/>
    </xf>
    <xf numFmtId="0" fontId="10" fillId="0" borderId="70" xfId="1" applyFont="1" applyFill="1" applyBorder="1" applyAlignment="1">
      <alignment horizontal="justify" vertical="center" wrapText="1"/>
    </xf>
    <xf numFmtId="0" fontId="19" fillId="2" borderId="66" xfId="0" applyFont="1" applyFill="1" applyBorder="1" applyAlignment="1">
      <alignment horizontal="center" vertical="center" wrapText="1"/>
    </xf>
    <xf numFmtId="0" fontId="19" fillId="2" borderId="63" xfId="0" applyFont="1" applyFill="1" applyBorder="1" applyAlignment="1">
      <alignment horizontal="center" vertical="center" wrapText="1"/>
    </xf>
    <xf numFmtId="0" fontId="19" fillId="2" borderId="69" xfId="0" applyFont="1" applyFill="1" applyBorder="1" applyAlignment="1">
      <alignment horizontal="center" vertical="center" wrapText="1"/>
    </xf>
    <xf numFmtId="0" fontId="10" fillId="0" borderId="70" xfId="0" applyFont="1" applyFill="1" applyBorder="1" applyAlignment="1">
      <alignment horizontal="justify" vertical="center" wrapText="1"/>
    </xf>
    <xf numFmtId="0" fontId="19" fillId="2" borderId="64" xfId="0" applyFont="1" applyFill="1" applyBorder="1" applyAlignment="1">
      <alignment horizontal="center" vertical="center" wrapText="1"/>
    </xf>
    <xf numFmtId="0" fontId="19" fillId="2" borderId="62" xfId="0" applyFont="1" applyFill="1" applyBorder="1" applyAlignment="1">
      <alignment horizontal="center" vertical="center" wrapText="1"/>
    </xf>
    <xf numFmtId="0" fontId="19" fillId="2" borderId="68" xfId="0" applyFont="1" applyFill="1" applyBorder="1" applyAlignment="1">
      <alignment horizontal="center" vertical="center" wrapText="1"/>
    </xf>
    <xf numFmtId="0" fontId="10" fillId="0" borderId="70" xfId="1" applyFont="1" applyFill="1" applyBorder="1" applyAlignment="1">
      <alignment horizontal="left" vertical="center" wrapText="1"/>
    </xf>
    <xf numFmtId="0" fontId="10" fillId="0" borderId="57" xfId="1" applyFont="1" applyFill="1" applyBorder="1" applyAlignment="1">
      <alignment horizontal="justify" vertical="center" wrapText="1"/>
    </xf>
    <xf numFmtId="0" fontId="10" fillId="0" borderId="57" xfId="1" applyFont="1" applyFill="1" applyBorder="1" applyAlignment="1">
      <alignment horizontal="left" vertical="center" wrapText="1"/>
    </xf>
    <xf numFmtId="0" fontId="36" fillId="0" borderId="64" xfId="1" applyFont="1" applyFill="1" applyBorder="1" applyAlignment="1">
      <alignment horizontal="left" vertical="center" wrapText="1"/>
    </xf>
    <xf numFmtId="0" fontId="36" fillId="0" borderId="62" xfId="1" applyFont="1" applyFill="1" applyBorder="1" applyAlignment="1">
      <alignment horizontal="left" vertical="center" wrapText="1"/>
    </xf>
    <xf numFmtId="0" fontId="36" fillId="0" borderId="68" xfId="1" applyFont="1" applyFill="1" applyBorder="1" applyAlignment="1">
      <alignment horizontal="left" vertical="center" wrapText="1"/>
    </xf>
    <xf numFmtId="0" fontId="10" fillId="0" borderId="69" xfId="1" applyFont="1" applyFill="1" applyBorder="1" applyAlignment="1">
      <alignment horizontal="left" vertical="center" wrapText="1"/>
    </xf>
    <xf numFmtId="0" fontId="10" fillId="0" borderId="67" xfId="1" applyFont="1" applyFill="1" applyBorder="1" applyAlignment="1">
      <alignment horizontal="left" vertical="center" wrapText="1"/>
    </xf>
    <xf numFmtId="0" fontId="5" fillId="3" borderId="64" xfId="1" applyFont="1" applyFill="1" applyBorder="1" applyAlignment="1">
      <alignment horizontal="left" vertical="center" wrapText="1"/>
    </xf>
    <xf numFmtId="0" fontId="5" fillId="3" borderId="68" xfId="1" applyFont="1" applyFill="1" applyBorder="1" applyAlignment="1">
      <alignment horizontal="left" vertical="center" wrapText="1"/>
    </xf>
    <xf numFmtId="0" fontId="5" fillId="3" borderId="64" xfId="1" applyFont="1" applyFill="1" applyBorder="1" applyAlignment="1">
      <alignment horizontal="justify" vertical="center" wrapText="1"/>
    </xf>
    <xf numFmtId="0" fontId="5" fillId="3" borderId="68" xfId="1" applyFont="1" applyFill="1" applyBorder="1" applyAlignment="1">
      <alignment horizontal="justify" vertical="center" wrapText="1"/>
    </xf>
    <xf numFmtId="0" fontId="24" fillId="0" borderId="64" xfId="1" applyFont="1" applyFill="1" applyBorder="1" applyAlignment="1">
      <alignment horizontal="justify" vertical="center" wrapText="1"/>
    </xf>
    <xf numFmtId="0" fontId="24" fillId="0" borderId="68" xfId="1" applyFont="1" applyFill="1" applyBorder="1" applyAlignment="1">
      <alignment horizontal="justify" vertical="center" wrapText="1"/>
    </xf>
    <xf numFmtId="0" fontId="24" fillId="0" borderId="64" xfId="1" applyFont="1" applyFill="1" applyBorder="1" applyAlignment="1">
      <alignment horizontal="left" vertical="center" wrapText="1"/>
    </xf>
    <xf numFmtId="0" fontId="24" fillId="0" borderId="68" xfId="1" applyFont="1" applyFill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5" fillId="0" borderId="64" xfId="1" applyFont="1" applyFill="1" applyBorder="1" applyAlignment="1">
      <alignment horizontal="justify" vertical="center" wrapText="1"/>
    </xf>
    <xf numFmtId="0" fontId="5" fillId="0" borderId="68" xfId="1" applyFont="1" applyFill="1" applyBorder="1" applyAlignment="1">
      <alignment horizontal="justify" vertical="center" wrapText="1"/>
    </xf>
    <xf numFmtId="0" fontId="5" fillId="0" borderId="62" xfId="1" applyFont="1" applyBorder="1" applyAlignment="1">
      <alignment horizontal="justify" vertical="center" wrapText="1"/>
    </xf>
    <xf numFmtId="0" fontId="5" fillId="0" borderId="66" xfId="1" applyFont="1" applyFill="1" applyBorder="1" applyAlignment="1">
      <alignment horizontal="justify" vertical="center" wrapText="1"/>
    </xf>
    <xf numFmtId="0" fontId="5" fillId="0" borderId="69" xfId="1" applyFont="1" applyFill="1" applyBorder="1" applyAlignment="1">
      <alignment horizontal="justify" vertical="center" wrapText="1"/>
    </xf>
    <xf numFmtId="0" fontId="41" fillId="0" borderId="0" xfId="0" applyFont="1">
      <alignment vertical="center"/>
    </xf>
    <xf numFmtId="0" fontId="43" fillId="0" borderId="38" xfId="0" applyFont="1" applyBorder="1">
      <alignment vertical="center"/>
    </xf>
    <xf numFmtId="0" fontId="43" fillId="0" borderId="81" xfId="0" applyFont="1" applyBorder="1">
      <alignment vertical="center"/>
    </xf>
    <xf numFmtId="0" fontId="43" fillId="0" borderId="0" xfId="0" applyFont="1" applyFill="1" applyBorder="1">
      <alignment vertical="center"/>
    </xf>
    <xf numFmtId="0" fontId="43" fillId="0" borderId="82" xfId="0" applyFont="1" applyFill="1" applyBorder="1">
      <alignment vertical="center"/>
    </xf>
    <xf numFmtId="0" fontId="43" fillId="0" borderId="0" xfId="0" applyFont="1">
      <alignment vertical="center"/>
    </xf>
    <xf numFmtId="0" fontId="42" fillId="7" borderId="70" xfId="0" applyFont="1" applyFill="1" applyBorder="1">
      <alignment vertical="center"/>
    </xf>
    <xf numFmtId="0" fontId="42" fillId="7" borderId="70" xfId="0" applyFont="1" applyFill="1" applyBorder="1" applyAlignment="1">
      <alignment horizontal="center" vertical="center"/>
    </xf>
    <xf numFmtId="0" fontId="42" fillId="7" borderId="64" xfId="0" applyFont="1" applyFill="1" applyBorder="1">
      <alignment vertical="center"/>
    </xf>
    <xf numFmtId="0" fontId="42" fillId="7" borderId="68" xfId="0" applyFont="1" applyFill="1" applyBorder="1">
      <alignment vertical="center"/>
    </xf>
    <xf numFmtId="0" fontId="44" fillId="0" borderId="0" xfId="0" applyFont="1" applyFill="1">
      <alignment vertical="center"/>
    </xf>
    <xf numFmtId="0" fontId="44" fillId="0" borderId="38" xfId="0" applyFont="1" applyFill="1" applyBorder="1">
      <alignment vertical="center"/>
    </xf>
    <xf numFmtId="0" fontId="44" fillId="0" borderId="81" xfId="0" applyFont="1" applyFill="1" applyBorder="1">
      <alignment vertical="center"/>
    </xf>
    <xf numFmtId="0" fontId="44" fillId="0" borderId="0" xfId="0" applyFont="1" applyFill="1" applyBorder="1" applyAlignment="1">
      <alignment horizontal="left"/>
    </xf>
    <xf numFmtId="0" fontId="44" fillId="0" borderId="0" xfId="0" applyFont="1" applyFill="1" applyBorder="1" applyAlignment="1"/>
    <xf numFmtId="0" fontId="44" fillId="0" borderId="82" xfId="0" applyFont="1" applyFill="1" applyBorder="1" applyAlignment="1"/>
    <xf numFmtId="0" fontId="45" fillId="0" borderId="38" xfId="0" applyFont="1" applyFill="1" applyBorder="1">
      <alignment vertical="center"/>
    </xf>
    <xf numFmtId="0" fontId="45" fillId="0" borderId="81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0" fontId="44" fillId="0" borderId="82" xfId="0" applyFont="1" applyFill="1" applyBorder="1">
      <alignment vertical="center"/>
    </xf>
    <xf numFmtId="0" fontId="45" fillId="0" borderId="81" xfId="0" applyFont="1" applyFill="1" applyBorder="1" applyAlignment="1"/>
    <xf numFmtId="0" fontId="46" fillId="0" borderId="38" xfId="0" applyFont="1" applyFill="1" applyBorder="1">
      <alignment vertical="center"/>
    </xf>
    <xf numFmtId="0" fontId="44" fillId="0" borderId="81" xfId="0" applyFont="1" applyFill="1" applyBorder="1" applyAlignment="1">
      <alignment vertical="center"/>
    </xf>
    <xf numFmtId="0" fontId="44" fillId="0" borderId="0" xfId="0" applyFont="1" applyFill="1" applyBorder="1" applyAlignment="1">
      <alignment horizontal="left" vertical="center"/>
    </xf>
    <xf numFmtId="0" fontId="44" fillId="0" borderId="81" xfId="0" applyFont="1" applyFill="1" applyBorder="1" applyAlignment="1">
      <alignment horizontal="left"/>
    </xf>
    <xf numFmtId="0" fontId="44" fillId="0" borderId="82" xfId="0" applyFont="1" applyFill="1" applyBorder="1" applyAlignment="1">
      <alignment horizontal="left"/>
    </xf>
    <xf numFmtId="0" fontId="44" fillId="0" borderId="81" xfId="0" applyFont="1" applyFill="1" applyBorder="1" applyAlignment="1"/>
    <xf numFmtId="0" fontId="44" fillId="0" borderId="83" xfId="0" applyFont="1" applyFill="1" applyBorder="1" applyAlignment="1">
      <alignment horizontal="left"/>
    </xf>
    <xf numFmtId="0" fontId="44" fillId="0" borderId="84" xfId="0" applyFont="1" applyFill="1" applyBorder="1" applyAlignment="1">
      <alignment horizontal="left"/>
    </xf>
    <xf numFmtId="0" fontId="47" fillId="0" borderId="0" xfId="0" applyFont="1" applyFill="1" applyBorder="1">
      <alignment vertical="center"/>
    </xf>
    <xf numFmtId="0" fontId="47" fillId="0" borderId="0" xfId="0" applyFont="1" applyFill="1" applyBorder="1" applyAlignment="1"/>
    <xf numFmtId="0" fontId="47" fillId="0" borderId="82" xfId="0" applyFont="1" applyFill="1" applyBorder="1" applyAlignment="1"/>
    <xf numFmtId="0" fontId="4" fillId="2" borderId="81" xfId="1" applyFill="1" applyBorder="1">
      <alignment vertical="center"/>
    </xf>
    <xf numFmtId="0" fontId="42" fillId="7" borderId="70" xfId="0" applyFont="1" applyFill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0" xfId="0" applyFont="1" applyFill="1" applyBorder="1">
      <alignment vertical="center"/>
    </xf>
  </cellXfs>
  <cellStyles count="6">
    <cellStyle name="쉼표 [0] 2" xfId="4" xr:uid="{00000000-0005-0000-0000-000032000000}"/>
    <cellStyle name="표준" xfId="0" builtinId="0"/>
    <cellStyle name="표준 2" xfId="5" xr:uid="{7380D057-A4A9-4D97-BF34-8A4490C241EF}"/>
    <cellStyle name="표준 2 2" xfId="1" xr:uid="{DBF2F783-E680-4ED6-9044-2B395154A612}"/>
    <cellStyle name="하이퍼링크" xfId="2" builtinId="8"/>
    <cellStyle name="하이퍼링크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0D97-E8D8-482E-93C7-29396D707C51}">
  <sheetPr codeName="Sheet2"/>
  <dimension ref="B1:L100"/>
  <sheetViews>
    <sheetView tabSelected="1" topLeftCell="F1" zoomScale="85" zoomScaleNormal="85" workbookViewId="0">
      <selection activeCell="K36" sqref="K36"/>
    </sheetView>
  </sheetViews>
  <sheetFormatPr defaultRowHeight="16.5"/>
  <cols>
    <col min="1" max="1" width="2.5" customWidth="1"/>
    <col min="2" max="2" width="2.625" customWidth="1"/>
    <col min="3" max="3" width="3.75" customWidth="1"/>
    <col min="4" max="4" width="6.75" customWidth="1"/>
    <col min="5" max="5" width="22.75" customWidth="1"/>
    <col min="6" max="6" width="66.625" customWidth="1"/>
    <col min="7" max="7" width="15.25" style="9" customWidth="1"/>
    <col min="8" max="8" width="47.875" style="10" customWidth="1"/>
    <col min="9" max="9" width="13.125" customWidth="1"/>
    <col min="10" max="10" width="61.25" style="9" bestFit="1" customWidth="1"/>
    <col min="11" max="11" width="106.5" bestFit="1" customWidth="1"/>
  </cols>
  <sheetData>
    <row r="1" spans="2:12">
      <c r="D1" s="9"/>
      <c r="E1" s="9"/>
      <c r="F1" s="9"/>
      <c r="H1" s="9"/>
      <c r="I1" s="9"/>
    </row>
    <row r="2" spans="2:12" s="10" customFormat="1">
      <c r="D2" s="9"/>
      <c r="E2" s="9"/>
      <c r="F2" s="9"/>
      <c r="G2" s="9"/>
      <c r="H2" s="9"/>
      <c r="I2" s="9"/>
      <c r="J2" s="9"/>
    </row>
    <row r="3" spans="2:12" s="10" customFormat="1" ht="26.25">
      <c r="B3" s="3" t="s">
        <v>4618</v>
      </c>
      <c r="G3" s="9"/>
      <c r="J3" s="9"/>
    </row>
    <row r="4" spans="2:12" s="10" customFormat="1">
      <c r="G4" s="9"/>
      <c r="J4" s="9"/>
    </row>
    <row r="5" spans="2:12" s="10" customFormat="1">
      <c r="D5" s="76" t="s">
        <v>4610</v>
      </c>
      <c r="E5" s="76" t="s">
        <v>4620</v>
      </c>
      <c r="F5" s="349" t="s">
        <v>4605</v>
      </c>
      <c r="G5" s="349"/>
      <c r="H5" s="349"/>
      <c r="I5" s="349"/>
      <c r="J5" s="349"/>
    </row>
    <row r="6" spans="2:12" s="10" customFormat="1">
      <c r="D6" s="78" t="s">
        <v>122</v>
      </c>
      <c r="E6" s="17" t="s">
        <v>5356</v>
      </c>
      <c r="F6" s="350" t="s">
        <v>4611</v>
      </c>
      <c r="G6" s="350"/>
      <c r="H6" s="350"/>
      <c r="I6" s="350"/>
      <c r="J6" s="350"/>
    </row>
    <row r="7" spans="2:12" s="10" customFormat="1">
      <c r="D7" s="78" t="s">
        <v>123</v>
      </c>
      <c r="E7" s="17" t="s">
        <v>4625</v>
      </c>
      <c r="F7" s="350" t="s">
        <v>4611</v>
      </c>
      <c r="G7" s="350"/>
      <c r="H7" s="350"/>
      <c r="I7" s="350"/>
      <c r="J7" s="350"/>
    </row>
    <row r="8" spans="2:12" s="10" customFormat="1">
      <c r="D8" s="79"/>
      <c r="E8" s="80"/>
      <c r="F8" s="66"/>
      <c r="G8" s="9"/>
      <c r="H8" s="9"/>
      <c r="I8" s="9"/>
      <c r="J8" s="9"/>
    </row>
    <row r="10" spans="2:12" ht="26.25">
      <c r="B10" s="3" t="s">
        <v>4621</v>
      </c>
    </row>
    <row r="12" spans="2:12" ht="24">
      <c r="C12" s="4" t="s">
        <v>121</v>
      </c>
    </row>
    <row r="13" spans="2:12" s="10" customFormat="1" ht="24">
      <c r="C13" s="4"/>
      <c r="D13" s="16" t="s">
        <v>366</v>
      </c>
      <c r="E13" s="16" t="s">
        <v>367</v>
      </c>
      <c r="F13" s="16" t="s">
        <v>368</v>
      </c>
      <c r="G13" s="16" t="s">
        <v>371</v>
      </c>
      <c r="H13" s="16" t="s">
        <v>370</v>
      </c>
      <c r="I13" s="18" t="s">
        <v>416</v>
      </c>
      <c r="J13" s="16" t="s">
        <v>369</v>
      </c>
      <c r="K13" s="565" t="s">
        <v>7881</v>
      </c>
      <c r="L13" s="565" t="s">
        <v>7882</v>
      </c>
    </row>
    <row r="14" spans="2:12" s="7" customFormat="1" ht="33" customHeight="1">
      <c r="D14" s="20" t="s">
        <v>122</v>
      </c>
      <c r="E14" s="20" t="s">
        <v>127</v>
      </c>
      <c r="F14" s="20" t="s">
        <v>128</v>
      </c>
      <c r="G14" s="291" t="s">
        <v>129</v>
      </c>
      <c r="H14" s="288" t="s">
        <v>373</v>
      </c>
      <c r="I14" s="286" t="str">
        <f t="shared" ref="I14:I16" si="0">HYPERLINK("#"&amp; E14 &amp; "!A1","바로가기")</f>
        <v>바로가기</v>
      </c>
      <c r="J14" s="289" t="s">
        <v>401</v>
      </c>
      <c r="K14" s="7">
        <f>VLOOKUP($E14,mapping!$B$5:$P$78,8,FALSE)</f>
        <v>0</v>
      </c>
      <c r="L14" s="7">
        <f>VLOOKUP($E14,mapping!$B$5:$P$78,14,FALSE)</f>
        <v>0</v>
      </c>
    </row>
    <row r="15" spans="2:12" s="7" customFormat="1">
      <c r="D15" s="20" t="s">
        <v>123</v>
      </c>
      <c r="E15" s="20" t="s">
        <v>131</v>
      </c>
      <c r="F15" s="20" t="s">
        <v>132</v>
      </c>
      <c r="G15" s="89" t="s">
        <v>133</v>
      </c>
      <c r="H15" s="288" t="s">
        <v>374</v>
      </c>
      <c r="I15" s="286" t="str">
        <f t="shared" si="0"/>
        <v>바로가기</v>
      </c>
      <c r="J15" s="89" t="s">
        <v>372</v>
      </c>
      <c r="K15" s="7">
        <f>VLOOKUP($E15,mapping!$B$5:$P$78,8,FALSE)</f>
        <v>0</v>
      </c>
      <c r="L15" s="7">
        <f>VLOOKUP($E15,mapping!$B$5:$P$78,14,FALSE)</f>
        <v>0</v>
      </c>
    </row>
    <row r="16" spans="2:12" s="7" customFormat="1" ht="33">
      <c r="D16" s="20" t="s">
        <v>124</v>
      </c>
      <c r="E16" s="20" t="s">
        <v>183</v>
      </c>
      <c r="F16" s="20" t="s">
        <v>286</v>
      </c>
      <c r="G16" s="89" t="s">
        <v>357</v>
      </c>
      <c r="H16" s="288" t="s">
        <v>375</v>
      </c>
      <c r="I16" s="286" t="str">
        <f t="shared" si="0"/>
        <v>바로가기</v>
      </c>
      <c r="J16" s="289" t="s">
        <v>403</v>
      </c>
      <c r="K16" s="7" t="str">
        <f>VLOOKUP($E16,mapping!$B$5:$P$78,8,FALSE)</f>
        <v>BOK_Phase1_CorePayment_BOK_camt_005_001_08_GetTransaction_20230526_0443</v>
      </c>
      <c r="L16" s="7">
        <f>VLOOKUP($E16,mapping!$B$5:$P$78,14,FALSE)</f>
        <v>0</v>
      </c>
    </row>
    <row r="17" spans="3:12">
      <c r="H17" s="13"/>
      <c r="I17" s="11"/>
      <c r="K17" s="7" t="e">
        <f>VLOOKUP($E17,mapping!$B$5:$P$78,8,FALSE)</f>
        <v>#N/A</v>
      </c>
      <c r="L17" s="7" t="e">
        <f>VLOOKUP($E17,mapping!$B$5:$P$78,14,FALSE)</f>
        <v>#N/A</v>
      </c>
    </row>
    <row r="18" spans="3:12">
      <c r="H18" s="13"/>
      <c r="I18" s="11"/>
      <c r="K18" s="7" t="e">
        <f>VLOOKUP($E18,mapping!$B$5:$P$78,8,FALSE)</f>
        <v>#N/A</v>
      </c>
      <c r="L18" s="7" t="e">
        <f>VLOOKUP($E18,mapping!$B$5:$P$78,14,FALSE)</f>
        <v>#N/A</v>
      </c>
    </row>
    <row r="19" spans="3:12" ht="24">
      <c r="C19" s="4" t="s">
        <v>134</v>
      </c>
      <c r="H19" s="13"/>
      <c r="I19" s="11"/>
      <c r="K19" s="7" t="e">
        <f>VLOOKUP($E19,mapping!$B$5:$P$78,8,FALSE)</f>
        <v>#N/A</v>
      </c>
      <c r="L19" s="7" t="e">
        <f>VLOOKUP($E19,mapping!$B$5:$P$78,14,FALSE)</f>
        <v>#N/A</v>
      </c>
    </row>
    <row r="20" spans="3:12" s="10" customFormat="1" ht="19.5">
      <c r="C20" s="5" t="s">
        <v>142</v>
      </c>
      <c r="G20" s="9"/>
      <c r="H20" s="13"/>
      <c r="I20" s="11"/>
      <c r="J20" s="9"/>
      <c r="K20" s="7" t="e">
        <f>VLOOKUP($E20,mapping!$B$5:$P$78,8,FALSE)</f>
        <v>#N/A</v>
      </c>
      <c r="L20" s="7" t="e">
        <f>VLOOKUP($E20,mapping!$B$5:$P$78,14,FALSE)</f>
        <v>#N/A</v>
      </c>
    </row>
    <row r="21" spans="3:12">
      <c r="E21" s="9"/>
      <c r="F21" s="9"/>
      <c r="H21" s="13"/>
      <c r="K21" s="7" t="e">
        <f>VLOOKUP($E21,mapping!$B$5:$P$78,8,FALSE)</f>
        <v>#N/A</v>
      </c>
      <c r="L21" s="7" t="e">
        <f>VLOOKUP($E21,mapping!$B$5:$P$78,14,FALSE)</f>
        <v>#N/A</v>
      </c>
    </row>
    <row r="22" spans="3:12" s="290" customFormat="1" ht="66">
      <c r="D22" s="19" t="s">
        <v>122</v>
      </c>
      <c r="E22" s="291" t="s">
        <v>89</v>
      </c>
      <c r="F22" s="291" t="s">
        <v>145</v>
      </c>
      <c r="G22" s="89" t="s">
        <v>353</v>
      </c>
      <c r="H22" s="288" t="s">
        <v>377</v>
      </c>
      <c r="I22" s="286" t="str">
        <f t="shared" ref="I22:I24" si="1">HYPERLINK("#"&amp; E22 &amp; "!A1","바로가기")</f>
        <v>바로가기</v>
      </c>
      <c r="J22" s="289" t="s">
        <v>404</v>
      </c>
      <c r="K22" s="7" t="str">
        <f>VLOOKUP($E22,mapping!$B$5:$P$78,8,FALSE)</f>
        <v>BOK_Phase1_CorePayment_BOK_camt_008_001_08_CancelTransaction_20230526_0443</v>
      </c>
      <c r="L22" s="7">
        <f>VLOOKUP($E22,mapping!$B$5:$P$78,14,FALSE)</f>
        <v>0</v>
      </c>
    </row>
    <row r="23" spans="3:12" s="7" customFormat="1" ht="66">
      <c r="D23" s="309" t="s">
        <v>5363</v>
      </c>
      <c r="E23" s="89" t="s">
        <v>86</v>
      </c>
      <c r="F23" s="291" t="s">
        <v>5025</v>
      </c>
      <c r="G23" s="292" t="s">
        <v>4921</v>
      </c>
      <c r="H23" s="293" t="s">
        <v>4922</v>
      </c>
      <c r="I23" s="286" t="str">
        <f t="shared" si="1"/>
        <v>바로가기</v>
      </c>
      <c r="J23" s="294" t="s">
        <v>409</v>
      </c>
      <c r="K23" s="7" t="str">
        <f>VLOOKUP($E23,mapping!$B$5:$P$78,8,FALSE)</f>
        <v>BOK_Phase1_CorePayment_BOK_camt_025_001_05_Receipt_20230526_0443</v>
      </c>
      <c r="L23" s="7">
        <f>VLOOKUP($E23,mapping!$B$5:$P$78,14,FALSE)</f>
        <v>0</v>
      </c>
    </row>
    <row r="24" spans="3:12" s="7" customFormat="1" ht="33">
      <c r="D24" s="20" t="s">
        <v>5362</v>
      </c>
      <c r="E24" s="291" t="s">
        <v>87</v>
      </c>
      <c r="F24" s="291" t="s">
        <v>5023</v>
      </c>
      <c r="G24" s="292" t="s">
        <v>5278</v>
      </c>
      <c r="H24" s="293" t="s">
        <v>5279</v>
      </c>
      <c r="I24" s="286" t="str">
        <f t="shared" si="1"/>
        <v>바로가기</v>
      </c>
      <c r="J24" s="294" t="s">
        <v>410</v>
      </c>
      <c r="K24" s="7" t="str">
        <f>VLOOKUP($E24,mapping!$B$5:$P$78,8,FALSE)</f>
        <v>BOK_Phase1_CorePayment_BOK_pacs_002_001_10_FIToFIPaymentStatusReport_Core_20230526_0443</v>
      </c>
      <c r="L24" s="7">
        <f>VLOOKUP($E24,mapping!$B$5:$P$78,14,FALSE)</f>
        <v>0</v>
      </c>
    </row>
    <row r="25" spans="3:12" s="7" customFormat="1">
      <c r="D25" s="19" t="s">
        <v>123</v>
      </c>
      <c r="E25" s="291" t="s">
        <v>108</v>
      </c>
      <c r="F25" s="291" t="s">
        <v>146</v>
      </c>
      <c r="G25" s="89" t="s">
        <v>351</v>
      </c>
      <c r="H25" s="288" t="s">
        <v>378</v>
      </c>
      <c r="I25" s="286" t="str">
        <f t="shared" ref="I25:I26" si="2">HYPERLINK("#"&amp; E25 &amp; "!A1","바로가기")</f>
        <v>바로가기</v>
      </c>
      <c r="J25" s="89"/>
      <c r="K25" s="7" t="str">
        <f>VLOOKUP($E25,mapping!$B$5:$P$78,8,FALSE)</f>
        <v>BOK_Phase1_CorePayment_BOK_camt_008_001_08_CancelTransaction_20230526_0443</v>
      </c>
      <c r="L25" s="7">
        <f>VLOOKUP($E25,mapping!$B$5:$P$78,14,FALSE)</f>
        <v>0</v>
      </c>
    </row>
    <row r="26" spans="3:12" s="7" customFormat="1" ht="66">
      <c r="D26" s="309" t="s">
        <v>69</v>
      </c>
      <c r="E26" s="89" t="s">
        <v>104</v>
      </c>
      <c r="F26" s="291" t="s">
        <v>5024</v>
      </c>
      <c r="G26" s="292" t="s">
        <v>4938</v>
      </c>
      <c r="H26" s="293" t="s">
        <v>4939</v>
      </c>
      <c r="I26" s="286" t="str">
        <f t="shared" si="2"/>
        <v>바로가기</v>
      </c>
      <c r="J26" s="289" t="s">
        <v>406</v>
      </c>
      <c r="K26" s="7" t="str">
        <f>VLOOKUP($E26,mapping!$B$5:$P$78,8,FALSE)</f>
        <v>BOK_Phase1_CorePayment_BOK_camt_025_001_05_Receipt_20230526_0443</v>
      </c>
      <c r="L26" s="7">
        <f>VLOOKUP($E26,mapping!$B$5:$P$78,14,FALSE)</f>
        <v>0</v>
      </c>
    </row>
    <row r="27" spans="3:12">
      <c r="E27" s="9"/>
      <c r="F27" s="9"/>
      <c r="H27" s="13"/>
      <c r="I27" s="6"/>
      <c r="K27" s="7" t="e">
        <f>VLOOKUP($E27,mapping!$B$5:$P$78,8,FALSE)</f>
        <v>#N/A</v>
      </c>
      <c r="L27" s="7" t="e">
        <f>VLOOKUP($E27,mapping!$B$5:$P$78,14,FALSE)</f>
        <v>#N/A</v>
      </c>
    </row>
    <row r="28" spans="3:12">
      <c r="E28" s="9"/>
      <c r="F28" s="9"/>
      <c r="H28" s="13"/>
      <c r="I28" s="6"/>
      <c r="K28" s="7" t="e">
        <f>VLOOKUP($E28,mapping!$B$5:$P$78,8,FALSE)</f>
        <v>#N/A</v>
      </c>
      <c r="L28" s="7" t="e">
        <f>VLOOKUP($E28,mapping!$B$5:$P$78,14,FALSE)</f>
        <v>#N/A</v>
      </c>
    </row>
    <row r="29" spans="3:12" ht="19.5">
      <c r="C29" s="5" t="s">
        <v>148</v>
      </c>
      <c r="E29" s="9"/>
      <c r="F29" s="9"/>
      <c r="H29" s="13"/>
      <c r="K29" s="7" t="e">
        <f>VLOOKUP($E29,mapping!$B$5:$P$78,8,FALSE)</f>
        <v>#N/A</v>
      </c>
      <c r="L29" s="7" t="e">
        <f>VLOOKUP($E29,mapping!$B$5:$P$78,14,FALSE)</f>
        <v>#N/A</v>
      </c>
    </row>
    <row r="30" spans="3:12" ht="16.5" customHeight="1">
      <c r="E30" s="9"/>
      <c r="F30" s="9"/>
      <c r="H30" s="13"/>
      <c r="K30" s="7" t="e">
        <f>VLOOKUP($E30,mapping!$B$5:$P$78,8,FALSE)</f>
        <v>#N/A</v>
      </c>
      <c r="L30" s="7" t="e">
        <f>VLOOKUP($E30,mapping!$B$5:$P$78,14,FALSE)</f>
        <v>#N/A</v>
      </c>
    </row>
    <row r="31" spans="3:12" s="290" customFormat="1">
      <c r="D31" s="19" t="s">
        <v>122</v>
      </c>
      <c r="E31" s="291" t="s">
        <v>150</v>
      </c>
      <c r="F31" s="89" t="s">
        <v>149</v>
      </c>
      <c r="G31" s="89" t="s">
        <v>354</v>
      </c>
      <c r="H31" s="288" t="s">
        <v>379</v>
      </c>
      <c r="I31" s="286" t="str">
        <f>HYPERLINK("#"&amp; E31 &amp; "!A1","바로가기")</f>
        <v>바로가기</v>
      </c>
      <c r="J31" s="89"/>
      <c r="K31" s="7" t="str">
        <f>VLOOKUP($E31,mapping!$B$5:$P$78,8,FALSE)</f>
        <v>BOK_Phase1_CorePayment_BOK_pacs_009_001_08_FIToFIFinancialInstitutionCreditTransfer_CLS_20230526_0443</v>
      </c>
      <c r="L31" s="7">
        <f>VLOOKUP($E31,mapping!$B$5:$P$78,14,FALSE)</f>
        <v>0</v>
      </c>
    </row>
    <row r="32" spans="3:12" s="7" customFormat="1">
      <c r="D32" s="20" t="s">
        <v>69</v>
      </c>
      <c r="E32" s="291" t="s">
        <v>105</v>
      </c>
      <c r="F32" s="291" t="s">
        <v>4957</v>
      </c>
      <c r="G32" s="89" t="s">
        <v>350</v>
      </c>
      <c r="H32" s="288" t="s">
        <v>380</v>
      </c>
      <c r="I32" s="286" t="str">
        <f>HYPERLINK("#"&amp; E32 &amp; "!A1","바로가기")</f>
        <v>바로가기</v>
      </c>
      <c r="J32" s="89"/>
      <c r="K32" s="7" t="str">
        <f>VLOOKUP($E32,mapping!$B$5:$P$78,8,FALSE)</f>
        <v>BOK_Phase1_CorePayment_BOK_pacs_002_001_10_FIToFIPaymentStatusReport_CLS_20230526_0443</v>
      </c>
      <c r="L32" s="7">
        <f>VLOOKUP($E32,mapping!$B$5:$P$78,14,FALSE)</f>
        <v>0</v>
      </c>
    </row>
    <row r="33" spans="3:12" s="7" customFormat="1" ht="49.5">
      <c r="D33" s="20" t="s">
        <v>70</v>
      </c>
      <c r="E33" s="89" t="s">
        <v>359</v>
      </c>
      <c r="F33" s="89" t="s">
        <v>151</v>
      </c>
      <c r="G33" s="289" t="s">
        <v>360</v>
      </c>
      <c r="H33" s="295" t="s">
        <v>400</v>
      </c>
      <c r="I33" s="286" t="str">
        <f t="shared" ref="I33:I34" si="3">HYPERLINK("#"&amp; E33 &amp; "!A1","바로가기")</f>
        <v>바로가기</v>
      </c>
      <c r="J33" s="289" t="s">
        <v>407</v>
      </c>
      <c r="K33" s="7" t="str">
        <f>VLOOKUP($E33,mapping!$B$5:$P$78,8,FALSE)</f>
        <v>BOK_Phase1_CorePayment_BOK_camt_054_001_08_BankToCustomerDebitCreditNotification_CLS_20230526_0443</v>
      </c>
      <c r="L33" s="7">
        <f>VLOOKUP($E33,mapping!$B$5:$P$78,14,FALSE)</f>
        <v>0</v>
      </c>
    </row>
    <row r="34" spans="3:12" s="7" customFormat="1" ht="33">
      <c r="D34" s="20" t="s">
        <v>71</v>
      </c>
      <c r="E34" s="291" t="s">
        <v>5022</v>
      </c>
      <c r="F34" s="89" t="s">
        <v>152</v>
      </c>
      <c r="G34" s="289" t="s">
        <v>361</v>
      </c>
      <c r="H34" s="296" t="s">
        <v>399</v>
      </c>
      <c r="I34" s="286" t="str">
        <f t="shared" si="3"/>
        <v>바로가기</v>
      </c>
      <c r="J34" s="89"/>
      <c r="K34" s="7" t="str">
        <f>VLOOKUP($E34,mapping!$B$5:$P$78,8,FALSE)</f>
        <v>BOK_Phase1_CorePayment_BOK_pacs_002_001_10_FIToFIPaymentStatusReport_CLS_20230526_0443</v>
      </c>
      <c r="L34" s="7">
        <f>VLOOKUP($E34,mapping!$B$5:$P$78,14,FALSE)</f>
        <v>0</v>
      </c>
    </row>
    <row r="35" spans="3:12">
      <c r="E35" s="9"/>
      <c r="F35" s="9"/>
      <c r="H35" s="13"/>
      <c r="I35" s="6"/>
      <c r="K35" s="7" t="e">
        <f>VLOOKUP($E35,mapping!$B$5:$P$78,8,FALSE)</f>
        <v>#N/A</v>
      </c>
      <c r="L35" s="7" t="e">
        <f>VLOOKUP($E35,mapping!$B$5:$P$78,14,FALSE)</f>
        <v>#N/A</v>
      </c>
    </row>
    <row r="36" spans="3:12" ht="19.5">
      <c r="C36" s="5" t="s">
        <v>141</v>
      </c>
      <c r="E36" s="9"/>
      <c r="F36" s="9"/>
      <c r="H36" s="13"/>
      <c r="K36" s="7" t="e">
        <f>VLOOKUP($E36,mapping!$B$5:$P$78,8,FALSE)</f>
        <v>#N/A</v>
      </c>
      <c r="L36" s="7" t="e">
        <f>VLOOKUP($E36,mapping!$B$5:$P$78,14,FALSE)</f>
        <v>#N/A</v>
      </c>
    </row>
    <row r="37" spans="3:12" ht="16.5" customHeight="1">
      <c r="E37" s="9"/>
      <c r="F37" s="9"/>
      <c r="H37" s="13"/>
      <c r="K37" s="7" t="e">
        <f>VLOOKUP($E37,mapping!$B$5:$P$78,8,FALSE)</f>
        <v>#N/A</v>
      </c>
      <c r="L37" s="7" t="e">
        <f>VLOOKUP($E37,mapping!$B$5:$P$78,14,FALSE)</f>
        <v>#N/A</v>
      </c>
    </row>
    <row r="38" spans="3:12" s="290" customFormat="1">
      <c r="D38" s="19" t="s">
        <v>122</v>
      </c>
      <c r="E38" s="89" t="s">
        <v>50</v>
      </c>
      <c r="F38" s="89" t="s">
        <v>147</v>
      </c>
      <c r="G38" s="291" t="s">
        <v>135</v>
      </c>
      <c r="H38" s="288" t="s">
        <v>381</v>
      </c>
      <c r="I38" s="286" t="str">
        <f>HYPERLINK("#"&amp; E38 &amp; "!A1","바로가기")</f>
        <v>바로가기</v>
      </c>
      <c r="J38" s="89"/>
      <c r="K38" s="7" t="str">
        <f>VLOOKUP($E38,mapping!$B$5:$P$78,8,FALSE)</f>
        <v>BOK_Phase1_CorePayment_BOK_pacs_009_001_08_FIToFIFinancialInstitutionCreditTransfer_CORE_20230526_0443</v>
      </c>
      <c r="L38" s="7">
        <f>VLOOKUP($E38,mapping!$B$5:$P$78,14,FALSE)</f>
        <v>0</v>
      </c>
    </row>
    <row r="39" spans="3:12" s="7" customFormat="1">
      <c r="D39" s="20" t="s">
        <v>69</v>
      </c>
      <c r="E39" s="291" t="s">
        <v>47</v>
      </c>
      <c r="F39" s="291" t="s">
        <v>4702</v>
      </c>
      <c r="G39" s="291" t="s">
        <v>135</v>
      </c>
      <c r="H39" s="288" t="s">
        <v>381</v>
      </c>
      <c r="I39" s="286" t="str">
        <f>HYPERLINK("#"&amp; E39 &amp; "!A1","바로가기")</f>
        <v>바로가기</v>
      </c>
      <c r="J39" s="297" t="s">
        <v>415</v>
      </c>
      <c r="K39" s="7" t="str">
        <f>VLOOKUP($E39,mapping!$B$5:$P$78,8,FALSE)</f>
        <v>BOK_Phase1_CorePayment_BOK_pacs_009_001_08_FIToFIFinancialInstitutionCreditTransfer_CORE_20230526_0443</v>
      </c>
      <c r="L39" s="7">
        <f>VLOOKUP($E39,mapping!$B$5:$P$78,14,FALSE)</f>
        <v>0</v>
      </c>
    </row>
    <row r="40" spans="3:12" s="7" customFormat="1">
      <c r="D40" s="20" t="s">
        <v>70</v>
      </c>
      <c r="E40" s="89" t="s">
        <v>48</v>
      </c>
      <c r="F40" s="89" t="s">
        <v>287</v>
      </c>
      <c r="G40" s="89" t="s">
        <v>136</v>
      </c>
      <c r="H40" s="288" t="s">
        <v>382</v>
      </c>
      <c r="I40" s="286" t="str">
        <f t="shared" ref="I40:I45" si="4">HYPERLINK("#"&amp; E40 &amp; "!A1","바로가기")</f>
        <v>바로가기</v>
      </c>
      <c r="J40" s="291" t="s">
        <v>405</v>
      </c>
      <c r="K40" s="7" t="str">
        <f>VLOOKUP($E40,mapping!$B$5:$P$78,8,FALSE)</f>
        <v>BOK_Phase1_CorePayment_BOK_pacs_002_001_10_FIToFIPaymentStatusReport_Core_20230526_0443</v>
      </c>
      <c r="L40" s="7">
        <f>VLOOKUP($E40,mapping!$B$5:$P$78,14,FALSE)</f>
        <v>0</v>
      </c>
    </row>
    <row r="41" spans="3:12" s="7" customFormat="1">
      <c r="D41" s="20" t="s">
        <v>71</v>
      </c>
      <c r="E41" s="89" t="s">
        <v>49</v>
      </c>
      <c r="F41" s="89" t="s">
        <v>288</v>
      </c>
      <c r="G41" s="89" t="s">
        <v>136</v>
      </c>
      <c r="H41" s="288" t="s">
        <v>382</v>
      </c>
      <c r="I41" s="286" t="str">
        <f t="shared" si="4"/>
        <v>바로가기</v>
      </c>
      <c r="J41" s="291" t="s">
        <v>405</v>
      </c>
      <c r="K41" s="7" t="str">
        <f>VLOOKUP($E41,mapping!$B$5:$P$78,8,FALSE)</f>
        <v>BOK_Phase1_CorePayment_BOK_pacs_009_001_08_FIToFIFinancialInstitutionCreditTransfer_CORE_20230526_0443</v>
      </c>
      <c r="L41" s="7">
        <f>VLOOKUP($E41,mapping!$B$5:$P$78,14,FALSE)</f>
        <v>0</v>
      </c>
    </row>
    <row r="42" spans="3:12" s="7" customFormat="1">
      <c r="D42" s="20" t="s">
        <v>72</v>
      </c>
      <c r="E42" s="89" t="s">
        <v>63</v>
      </c>
      <c r="F42" s="89" t="s">
        <v>289</v>
      </c>
      <c r="G42" s="89" t="s">
        <v>137</v>
      </c>
      <c r="H42" s="288" t="s">
        <v>383</v>
      </c>
      <c r="I42" s="286" t="str">
        <f t="shared" si="4"/>
        <v>바로가기</v>
      </c>
      <c r="J42" s="89"/>
      <c r="K42" s="7" t="str">
        <f>VLOOKUP($E42,mapping!$B$5:$P$78,8,FALSE)</f>
        <v>BOK_Phase1_CorePayment_BOK_pacs_002_001_10_FIToFIPaymentStatusReport_Core_20230526_0443</v>
      </c>
      <c r="L42" s="7">
        <f>VLOOKUP($E42,mapping!$B$5:$P$78,14,FALSE)</f>
        <v>0</v>
      </c>
    </row>
    <row r="43" spans="3:12" s="7" customFormat="1">
      <c r="D43" s="20" t="s">
        <v>73</v>
      </c>
      <c r="E43" s="89" t="s">
        <v>64</v>
      </c>
      <c r="F43" s="89" t="s">
        <v>290</v>
      </c>
      <c r="G43" s="89" t="s">
        <v>137</v>
      </c>
      <c r="H43" s="288" t="s">
        <v>383</v>
      </c>
      <c r="I43" s="286" t="str">
        <f t="shared" si="4"/>
        <v>바로가기</v>
      </c>
      <c r="J43" s="89"/>
      <c r="K43" s="7" t="str">
        <f>VLOOKUP($E43,mapping!$B$5:$P$78,8,FALSE)</f>
        <v>BOK_Phase1_CorePayment_BOK_pacs_009_001_08_FIToFIFinancialInstitutionCreditTransfer_CORE_20230526_0443</v>
      </c>
      <c r="L43" s="7">
        <f>VLOOKUP($E43,mapping!$B$5:$P$78,14,FALSE)</f>
        <v>0</v>
      </c>
    </row>
    <row r="44" spans="3:12" s="7" customFormat="1">
      <c r="D44" s="20" t="s">
        <v>74</v>
      </c>
      <c r="E44" s="89" t="s">
        <v>65</v>
      </c>
      <c r="F44" s="89" t="s">
        <v>291</v>
      </c>
      <c r="G44" s="89" t="s">
        <v>138</v>
      </c>
      <c r="H44" s="288" t="s">
        <v>381</v>
      </c>
      <c r="I44" s="286" t="str">
        <f t="shared" si="4"/>
        <v>바로가기</v>
      </c>
      <c r="J44" s="89"/>
      <c r="K44" s="7" t="str">
        <f>VLOOKUP($E44,mapping!$B$5:$P$78,8,FALSE)</f>
        <v>BOK_Phase1_CorePayment_BOK_pacs_002_001_10_FIToFIPaymentStatusReport_Core_20230526_0443</v>
      </c>
      <c r="L44" s="7">
        <f>VLOOKUP($E44,mapping!$B$5:$P$78,14,FALSE)</f>
        <v>0</v>
      </c>
    </row>
    <row r="45" spans="3:12" s="7" customFormat="1">
      <c r="D45" s="20" t="s">
        <v>75</v>
      </c>
      <c r="E45" s="291" t="s">
        <v>66</v>
      </c>
      <c r="F45" s="89" t="s">
        <v>292</v>
      </c>
      <c r="G45" s="89" t="s">
        <v>138</v>
      </c>
      <c r="H45" s="288" t="s">
        <v>381</v>
      </c>
      <c r="I45" s="286" t="str">
        <f t="shared" si="4"/>
        <v>바로가기</v>
      </c>
      <c r="J45" s="89"/>
      <c r="K45" s="7" t="str">
        <f>VLOOKUP($E45,mapping!$B$5:$P$78,8,FALSE)</f>
        <v>BOK_Phase1_CorePayment_BOK_camt_054_001_08_BankToCustomerDebitCreditNotification_Core_20230526_0443</v>
      </c>
      <c r="L45" s="7">
        <f>VLOOKUP($E45,mapping!$B$5:$P$78,14,FALSE)</f>
        <v>0</v>
      </c>
    </row>
    <row r="46" spans="3:12" s="290" customFormat="1">
      <c r="D46" s="19" t="s">
        <v>123</v>
      </c>
      <c r="E46" s="89" t="s">
        <v>139</v>
      </c>
      <c r="F46" s="291" t="s">
        <v>4700</v>
      </c>
      <c r="G46" s="89" t="s">
        <v>140</v>
      </c>
      <c r="H46" s="288" t="s">
        <v>384</v>
      </c>
      <c r="I46" s="286" t="str">
        <f t="shared" ref="I46:I49" si="5">HYPERLINK("#"&amp; E46 &amp; "!A1","바로가기")</f>
        <v>바로가기</v>
      </c>
      <c r="J46" s="89"/>
      <c r="K46" s="7" t="str">
        <f>VLOOKUP($E46,mapping!$B$5:$P$78,8,FALSE)</f>
        <v>BOK_Phase1_CorePayment_BOK_pacs_009_001_08_FIToFIFinancialInstitutionCreditTransfer_CORE_20230526_0443</v>
      </c>
      <c r="L46" s="7">
        <f>VLOOKUP($E46,mapping!$B$5:$P$78,14,FALSE)</f>
        <v>0</v>
      </c>
    </row>
    <row r="47" spans="3:12" s="7" customFormat="1">
      <c r="D47" s="19" t="s">
        <v>124</v>
      </c>
      <c r="E47" s="89" t="s">
        <v>316</v>
      </c>
      <c r="F47" s="89" t="s">
        <v>341</v>
      </c>
      <c r="G47" s="89" t="s">
        <v>352</v>
      </c>
      <c r="H47" s="288" t="s">
        <v>385</v>
      </c>
      <c r="I47" s="286" t="str">
        <f t="shared" si="5"/>
        <v>바로가기</v>
      </c>
      <c r="J47" s="89"/>
      <c r="K47" s="7" t="str">
        <f>VLOOKUP($E47,mapping!$B$5:$P$78,8,FALSE)</f>
        <v>BOK_Phase1_CorePayment_BOK_pacs_009_001_08_FIToFIFinancialInstitutionCreditTransfer_CORE_20230526_0443</v>
      </c>
      <c r="L47" s="7">
        <f>VLOOKUP($E47,mapping!$B$5:$P$78,14,FALSE)</f>
        <v>0</v>
      </c>
    </row>
    <row r="48" spans="3:12" s="7" customFormat="1">
      <c r="D48" s="20" t="s">
        <v>69</v>
      </c>
      <c r="E48" s="89" t="s">
        <v>317</v>
      </c>
      <c r="F48" s="89" t="s">
        <v>342</v>
      </c>
      <c r="G48" s="89" t="s">
        <v>358</v>
      </c>
      <c r="H48" s="288" t="s">
        <v>386</v>
      </c>
      <c r="I48" s="286" t="str">
        <f t="shared" si="5"/>
        <v>바로가기</v>
      </c>
      <c r="J48" s="291"/>
      <c r="K48" s="7" t="str">
        <f>VLOOKUP($E48,mapping!$B$5:$P$78,8,FALSE)</f>
        <v>BOK_Phase1_CorePayment_BOK_pacs_002_001_10_FIToFIPaymentStatusReport_Core_20230526_0443</v>
      </c>
      <c r="L48" s="7">
        <f>VLOOKUP($E48,mapping!$B$5:$P$78,14,FALSE)</f>
        <v>0</v>
      </c>
    </row>
    <row r="49" spans="4:12" s="7" customFormat="1">
      <c r="D49" s="20" t="s">
        <v>70</v>
      </c>
      <c r="E49" s="89" t="s">
        <v>318</v>
      </c>
      <c r="F49" s="89" t="s">
        <v>343</v>
      </c>
      <c r="G49" s="89" t="s">
        <v>349</v>
      </c>
      <c r="H49" s="288" t="s">
        <v>386</v>
      </c>
      <c r="I49" s="286" t="str">
        <f t="shared" si="5"/>
        <v>바로가기</v>
      </c>
      <c r="J49" s="89"/>
      <c r="K49" s="7" t="str">
        <f>VLOOKUP($E49,mapping!$B$5:$P$78,8,FALSE)</f>
        <v>BOK_Phase1_CorePayment_BOK_pacs_009_001_08_FIToFIFinancialInstitutionCreditTransfer_CORE_20230526_0443</v>
      </c>
      <c r="L49" s="7">
        <f>VLOOKUP($E49,mapping!$B$5:$P$78,14,FALSE)</f>
        <v>0</v>
      </c>
    </row>
    <row r="50" spans="4:12" s="7" customFormat="1">
      <c r="D50" s="19" t="s">
        <v>125</v>
      </c>
      <c r="E50" s="291" t="s">
        <v>153</v>
      </c>
      <c r="F50" s="291" t="s">
        <v>293</v>
      </c>
      <c r="G50" s="89" t="s">
        <v>205</v>
      </c>
      <c r="H50" s="288" t="s">
        <v>387</v>
      </c>
      <c r="I50" s="286" t="str">
        <f t="shared" ref="I50:I55" si="6">HYPERLINK("#"&amp; E50 &amp; "!A1","바로가기")</f>
        <v>바로가기</v>
      </c>
      <c r="J50" s="89"/>
      <c r="K50" s="7" t="str">
        <f>VLOOKUP($E50,mapping!$B$5:$P$78,8,FALSE)</f>
        <v>BOK_Phase1_CorePayment_BOK_pacs_008_001_08_FIToFICustomerCreditTransfer_Core_20230526_0443</v>
      </c>
      <c r="L50" s="7">
        <f>VLOOKUP($E50,mapping!$B$5:$P$78,14,FALSE)</f>
        <v>0</v>
      </c>
    </row>
    <row r="51" spans="4:12" s="7" customFormat="1">
      <c r="D51" s="20" t="s">
        <v>69</v>
      </c>
      <c r="E51" s="89" t="s">
        <v>154</v>
      </c>
      <c r="F51" s="89" t="s">
        <v>294</v>
      </c>
      <c r="G51" s="89" t="s">
        <v>205</v>
      </c>
      <c r="H51" s="288" t="s">
        <v>387</v>
      </c>
      <c r="I51" s="286" t="str">
        <f t="shared" si="6"/>
        <v>바로가기</v>
      </c>
      <c r="J51" s="297"/>
      <c r="K51" s="7" t="str">
        <f>VLOOKUP($E51,mapping!$B$5:$P$78,8,FALSE)</f>
        <v>BOK_Phase1_CorePayment_BOK_pacs_008_001_08_FIToFICustomerCreditTransfer_Core_20230526_0443</v>
      </c>
      <c r="L51" s="7">
        <f>VLOOKUP($E51,mapping!$B$5:$P$78,14,FALSE)</f>
        <v>0</v>
      </c>
    </row>
    <row r="52" spans="4:12" s="7" customFormat="1">
      <c r="D52" s="20" t="s">
        <v>70</v>
      </c>
      <c r="E52" s="89" t="s">
        <v>155</v>
      </c>
      <c r="F52" s="89" t="s">
        <v>295</v>
      </c>
      <c r="G52" s="89" t="s">
        <v>207</v>
      </c>
      <c r="H52" s="288" t="s">
        <v>388</v>
      </c>
      <c r="I52" s="286" t="str">
        <f t="shared" si="6"/>
        <v>바로가기</v>
      </c>
      <c r="J52" s="89"/>
      <c r="K52" s="7" t="str">
        <f>VLOOKUP($E52,mapping!$B$5:$P$78,8,FALSE)</f>
        <v>BOK_Phase1_CorePayment_BOK_pacs_002_001_10_FIToFIPaymentStatusReport_Core_20230526_0443</v>
      </c>
      <c r="L52" s="7">
        <f>VLOOKUP($E52,mapping!$B$5:$P$78,14,FALSE)</f>
        <v>0</v>
      </c>
    </row>
    <row r="53" spans="4:12" s="7" customFormat="1">
      <c r="D53" s="20" t="s">
        <v>71</v>
      </c>
      <c r="E53" s="89" t="s">
        <v>156</v>
      </c>
      <c r="F53" s="89" t="s">
        <v>296</v>
      </c>
      <c r="G53" s="89" t="s">
        <v>206</v>
      </c>
      <c r="H53" s="288" t="s">
        <v>388</v>
      </c>
      <c r="I53" s="286" t="str">
        <f t="shared" si="6"/>
        <v>바로가기</v>
      </c>
      <c r="J53" s="291"/>
      <c r="K53" s="7" t="str">
        <f>VLOOKUP($E53,mapping!$B$5:$P$78,8,FALSE)</f>
        <v>BOK_Phase1_CorePayment_BOK_pacs_008_001_08_FIToFICustomerCreditTransfer_Core_20230526_0443</v>
      </c>
      <c r="L53" s="7">
        <f>VLOOKUP($E53,mapping!$B$5:$P$78,14,FALSE)</f>
        <v>0</v>
      </c>
    </row>
    <row r="54" spans="4:12" s="7" customFormat="1">
      <c r="D54" s="20" t="s">
        <v>72</v>
      </c>
      <c r="E54" s="89" t="s">
        <v>157</v>
      </c>
      <c r="F54" s="89" t="s">
        <v>297</v>
      </c>
      <c r="G54" s="89" t="s">
        <v>208</v>
      </c>
      <c r="H54" s="288" t="s">
        <v>389</v>
      </c>
      <c r="I54" s="286" t="str">
        <f t="shared" si="6"/>
        <v>바로가기</v>
      </c>
      <c r="J54" s="89"/>
      <c r="K54" s="7" t="str">
        <f>VLOOKUP($E54,mapping!$B$5:$P$78,8,FALSE)</f>
        <v>BOK_Phase1_CorePayment_BOK_pacs_002_001_10_FIToFIPaymentStatusReport_Core_20230526_0443</v>
      </c>
      <c r="L54" s="7">
        <f>VLOOKUP($E54,mapping!$B$5:$P$78,14,FALSE)</f>
        <v>0</v>
      </c>
    </row>
    <row r="55" spans="4:12" s="7" customFormat="1">
      <c r="D55" s="20" t="s">
        <v>73</v>
      </c>
      <c r="E55" s="89" t="s">
        <v>158</v>
      </c>
      <c r="F55" s="89" t="s">
        <v>298</v>
      </c>
      <c r="G55" s="89" t="s">
        <v>208</v>
      </c>
      <c r="H55" s="288" t="s">
        <v>389</v>
      </c>
      <c r="I55" s="286" t="str">
        <f t="shared" si="6"/>
        <v>바로가기</v>
      </c>
      <c r="J55" s="89"/>
      <c r="K55" s="7" t="str">
        <f>VLOOKUP($E55,mapping!$B$5:$P$78,8,FALSE)</f>
        <v>BOK_Phase1_CorePayment_BOK_pacs_008_001_08_FIToFICustomerCreditTransfer_Core_20230526_0443</v>
      </c>
      <c r="L55" s="7">
        <f>VLOOKUP($E55,mapping!$B$5:$P$78,14,FALSE)</f>
        <v>0</v>
      </c>
    </row>
    <row r="56" spans="4:12" s="7" customFormat="1">
      <c r="D56" s="19" t="s">
        <v>126</v>
      </c>
      <c r="E56" s="291" t="s">
        <v>159</v>
      </c>
      <c r="F56" s="89" t="s">
        <v>299</v>
      </c>
      <c r="G56" s="89" t="s">
        <v>209</v>
      </c>
      <c r="H56" s="288" t="s">
        <v>390</v>
      </c>
      <c r="I56" s="286" t="str">
        <f>HYPERLINK("#"&amp; E56 &amp; "!A1","바로가기")</f>
        <v>바로가기</v>
      </c>
      <c r="J56" s="89"/>
      <c r="K56" s="7" t="str">
        <f>VLOOKUP($E56,mapping!$B$5:$P$78,8,FALSE)</f>
        <v>BOK_Phase1_CorePayment_BOK_pacs_004_001_09_PaymentReturn_Core_20230526_0443</v>
      </c>
      <c r="L56" s="7">
        <f>VLOOKUP($E56,mapping!$B$5:$P$78,14,FALSE)</f>
        <v>0</v>
      </c>
    </row>
    <row r="57" spans="4:12" s="7" customFormat="1">
      <c r="D57" s="20" t="s">
        <v>69</v>
      </c>
      <c r="E57" s="89" t="s">
        <v>160</v>
      </c>
      <c r="F57" s="89" t="s">
        <v>163</v>
      </c>
      <c r="G57" s="89" t="s">
        <v>210</v>
      </c>
      <c r="H57" s="288" t="s">
        <v>390</v>
      </c>
      <c r="I57" s="286" t="str">
        <f>HYPERLINK("#"&amp; E57 &amp; "!A1","바로가기")</f>
        <v>바로가기</v>
      </c>
      <c r="J57" s="89"/>
      <c r="K57" s="7" t="str">
        <f>VLOOKUP($E57,mapping!$B$5:$P$78,8,FALSE)</f>
        <v>BOK_Phase1_CorePayment_BOK_pacs_004_001_09_PaymentReturn_Core_20230526_0443</v>
      </c>
      <c r="L57" s="7">
        <f>VLOOKUP($E57,mapping!$B$5:$P$78,14,FALSE)</f>
        <v>0</v>
      </c>
    </row>
    <row r="58" spans="4:12" s="7" customFormat="1">
      <c r="D58" s="20" t="s">
        <v>70</v>
      </c>
      <c r="E58" s="89" t="s">
        <v>161</v>
      </c>
      <c r="F58" s="291" t="s">
        <v>164</v>
      </c>
      <c r="G58" s="89" t="s">
        <v>211</v>
      </c>
      <c r="H58" s="288" t="s">
        <v>391</v>
      </c>
      <c r="I58" s="286" t="str">
        <f t="shared" ref="I58:I59" si="7">HYPERLINK("#"&amp; E58 &amp; "!A1","바로가기")</f>
        <v>바로가기</v>
      </c>
      <c r="J58" s="89"/>
      <c r="K58" s="7" t="str">
        <f>VLOOKUP($E58,mapping!$B$5:$P$78,8,FALSE)</f>
        <v>BOK_Phase1_CorePayment_BOK_pacs_002_001_10_FIToFIPaymentStatusReport_Core_20230526_0443</v>
      </c>
      <c r="L58" s="7">
        <f>VLOOKUP($E58,mapping!$B$5:$P$78,14,FALSE)</f>
        <v>0</v>
      </c>
    </row>
    <row r="59" spans="4:12" s="7" customFormat="1">
      <c r="D59" s="20" t="s">
        <v>71</v>
      </c>
      <c r="E59" s="89" t="s">
        <v>162</v>
      </c>
      <c r="F59" s="89" t="s">
        <v>165</v>
      </c>
      <c r="G59" s="89" t="s">
        <v>211</v>
      </c>
      <c r="H59" s="288" t="s">
        <v>391</v>
      </c>
      <c r="I59" s="286" t="str">
        <f t="shared" si="7"/>
        <v>바로가기</v>
      </c>
      <c r="J59" s="89"/>
      <c r="K59" s="7" t="str">
        <f>VLOOKUP($E59,mapping!$B$5:$P$78,8,FALSE)</f>
        <v>BOK_Phase1_CorePayment_BOK_pacs_004_001_09_PaymentReturn_Core_20230526_0443</v>
      </c>
      <c r="L59" s="7">
        <f>VLOOKUP($E59,mapping!$B$5:$P$78,14,FALSE)</f>
        <v>0</v>
      </c>
    </row>
    <row r="60" spans="4:12" s="7" customFormat="1">
      <c r="D60" s="19" t="s">
        <v>130</v>
      </c>
      <c r="E60" s="89" t="s">
        <v>166</v>
      </c>
      <c r="F60" s="89" t="s">
        <v>300</v>
      </c>
      <c r="G60" s="89" t="s">
        <v>212</v>
      </c>
      <c r="H60" s="288" t="s">
        <v>392</v>
      </c>
      <c r="I60" s="286" t="str">
        <f t="shared" ref="I60:I62" si="8">HYPERLINK("#"&amp; E60 &amp; "!A1","바로가기")</f>
        <v>바로가기</v>
      </c>
      <c r="J60" s="89"/>
      <c r="K60" s="7" t="str">
        <f>VLOOKUP($E60,mapping!$B$5:$P$78,8,FALSE)</f>
        <v>BOK_Phase1_CorePayment_BOK_pacs_002_001_10_FIToFIPaymentStatusReport_Core_20230526_0443</v>
      </c>
      <c r="L60" s="7">
        <f>VLOOKUP($E60,mapping!$B$5:$P$78,14,FALSE)</f>
        <v>0</v>
      </c>
    </row>
    <row r="61" spans="4:12" s="7" customFormat="1">
      <c r="D61" s="20" t="s">
        <v>69</v>
      </c>
      <c r="E61" s="89" t="s">
        <v>168</v>
      </c>
      <c r="F61" s="89" t="s">
        <v>167</v>
      </c>
      <c r="G61" s="89" t="s">
        <v>213</v>
      </c>
      <c r="H61" s="288" t="s">
        <v>392</v>
      </c>
      <c r="I61" s="286" t="str">
        <f t="shared" si="8"/>
        <v>바로가기</v>
      </c>
      <c r="J61" s="89"/>
      <c r="K61" s="7" t="str">
        <f>VLOOKUP($E61,mapping!$B$5:$P$78,8,FALSE)</f>
        <v>BOK_Phase1_CorePayment_BOK_pacs_002_001_10_FIToFIPaymentStatusReport_Core_20230526_0443</v>
      </c>
      <c r="L61" s="7">
        <f>VLOOKUP($E61,mapping!$B$5:$P$78,14,FALSE)</f>
        <v>0</v>
      </c>
    </row>
    <row r="62" spans="4:12" s="7" customFormat="1">
      <c r="D62" s="19" t="s">
        <v>170</v>
      </c>
      <c r="E62" s="89" t="s">
        <v>169</v>
      </c>
      <c r="F62" s="89" t="s">
        <v>301</v>
      </c>
      <c r="G62" s="89" t="s">
        <v>355</v>
      </c>
      <c r="H62" s="288" t="s">
        <v>393</v>
      </c>
      <c r="I62" s="286" t="str">
        <f t="shared" si="8"/>
        <v>바로가기</v>
      </c>
      <c r="J62" s="89"/>
      <c r="K62" s="7" t="str">
        <f>VLOOKUP($E62,mapping!$B$5:$P$78,8,FALSE)</f>
        <v>BOK_Phase1_CorePayment_BOK_camt_005_001_08_GetTransaction_20230526_0443</v>
      </c>
      <c r="L62" s="7">
        <f>VLOOKUP($E62,mapping!$B$5:$P$78,14,FALSE)</f>
        <v>0</v>
      </c>
    </row>
    <row r="63" spans="4:12" s="7" customFormat="1">
      <c r="D63" s="19" t="s">
        <v>171</v>
      </c>
      <c r="E63" s="291" t="s">
        <v>175</v>
      </c>
      <c r="F63" s="291" t="s">
        <v>315</v>
      </c>
      <c r="G63" s="89" t="s">
        <v>346</v>
      </c>
      <c r="H63" s="288" t="s">
        <v>394</v>
      </c>
      <c r="I63" s="286" t="str">
        <f t="shared" ref="I63:I64" si="9">HYPERLINK("#"&amp; E63 &amp; "!A1","바로가기")</f>
        <v>바로가기</v>
      </c>
      <c r="J63" s="89"/>
      <c r="K63" s="7" t="str">
        <f>VLOOKUP($E63,mapping!$B$5:$P$78,8,FALSE)</f>
        <v>BOK_Phase1_CorePayment_BOK_admi_007_001_01_ReceiptAcknowledgement_20230526_0443</v>
      </c>
      <c r="L63" s="7">
        <f>VLOOKUP($E63,mapping!$B$5:$P$78,14,FALSE)</f>
        <v>0</v>
      </c>
    </row>
    <row r="64" spans="4:12" s="7" customFormat="1">
      <c r="D64" s="20" t="s">
        <v>69</v>
      </c>
      <c r="E64" s="89" t="s">
        <v>176</v>
      </c>
      <c r="F64" s="89" t="s">
        <v>314</v>
      </c>
      <c r="G64" s="89" t="s">
        <v>214</v>
      </c>
      <c r="H64" s="288" t="s">
        <v>395</v>
      </c>
      <c r="I64" s="286" t="str">
        <f t="shared" si="9"/>
        <v>바로가기</v>
      </c>
      <c r="J64" s="89"/>
      <c r="K64" s="7" t="str">
        <f>VLOOKUP($E64,mapping!$B$5:$P$78,8,FALSE)</f>
        <v>BOK_Phase1_CorePayment_BOK_admi_004_001_02_SystemEventNotification_INPC_20230526_0443</v>
      </c>
      <c r="L64" s="7">
        <f>VLOOKUP($E64,mapping!$B$5:$P$78,14,FALSE)</f>
        <v>0</v>
      </c>
    </row>
    <row r="65" spans="3:12" s="7" customFormat="1">
      <c r="D65" s="19" t="s">
        <v>173</v>
      </c>
      <c r="E65" s="291" t="s">
        <v>181</v>
      </c>
      <c r="F65" s="89" t="s">
        <v>302</v>
      </c>
      <c r="G65" s="291" t="s">
        <v>414</v>
      </c>
      <c r="H65" s="288" t="s">
        <v>413</v>
      </c>
      <c r="I65" s="286" t="str">
        <f t="shared" ref="I65:I66" si="10">HYPERLINK("#"&amp; E65 &amp; "!A1","바로가기")</f>
        <v>바로가기</v>
      </c>
      <c r="J65" s="89"/>
      <c r="K65" s="7" t="str">
        <f>VLOOKUP($E65,mapping!$B$5:$P$78,8,FALSE)</f>
        <v>BOK_Phase1_CorePayment_BOK_acmt_023_001_03_IdentificationVerificationRequest_20230526_0443</v>
      </c>
      <c r="L65" s="7">
        <f>VLOOKUP($E65,mapping!$B$5:$P$78,14,FALSE)</f>
        <v>0</v>
      </c>
    </row>
    <row r="66" spans="3:12" s="7" customFormat="1">
      <c r="D66" s="20" t="s">
        <v>69</v>
      </c>
      <c r="E66" s="291" t="s">
        <v>177</v>
      </c>
      <c r="F66" s="89" t="s">
        <v>178</v>
      </c>
      <c r="G66" s="291" t="s">
        <v>412</v>
      </c>
      <c r="H66" s="288" t="s">
        <v>411</v>
      </c>
      <c r="I66" s="286" t="str">
        <f t="shared" si="10"/>
        <v>바로가기</v>
      </c>
      <c r="J66" s="89"/>
      <c r="K66" s="7" t="str">
        <f>VLOOKUP($E66,mapping!$B$5:$P$78,8,FALSE)</f>
        <v>BOK_Phase1_CorePayment_BOK_acmt_023_001_03_IdentificationVerificationRequest_20230526_0443</v>
      </c>
      <c r="L66" s="7">
        <f>VLOOKUP($E66,mapping!$B$5:$P$78,14,FALSE)</f>
        <v>0</v>
      </c>
    </row>
    <row r="67" spans="3:12" s="10" customFormat="1">
      <c r="D67" s="299" t="s">
        <v>182</v>
      </c>
      <c r="E67" s="300"/>
      <c r="F67" s="300" t="s">
        <v>174</v>
      </c>
      <c r="G67" s="300"/>
      <c r="H67" s="301"/>
      <c r="I67" s="302"/>
      <c r="J67" s="300"/>
      <c r="K67" s="7" t="e">
        <f>VLOOKUP($E67,mapping!$B$5:$P$78,8,FALSE)</f>
        <v>#N/A</v>
      </c>
      <c r="L67" s="7" t="e">
        <f>VLOOKUP($E67,mapping!$B$5:$P$78,14,FALSE)</f>
        <v>#N/A</v>
      </c>
    </row>
    <row r="68" spans="3:12" s="7" customFormat="1">
      <c r="D68" s="20" t="s">
        <v>69</v>
      </c>
      <c r="E68" s="89" t="s">
        <v>180</v>
      </c>
      <c r="F68" s="89" t="s">
        <v>143</v>
      </c>
      <c r="G68" s="89" t="s">
        <v>215</v>
      </c>
      <c r="H68" s="288" t="s">
        <v>376</v>
      </c>
      <c r="I68" s="286" t="str">
        <f t="shared" ref="I68:I69" si="11">HYPERLINK("#"&amp; E68 &amp; "!A1","바로가기")</f>
        <v>바로가기</v>
      </c>
      <c r="J68" s="298" t="s">
        <v>408</v>
      </c>
      <c r="K68" s="7" t="str">
        <f>VLOOKUP($E68,mapping!$B$5:$P$78,8,FALSE)</f>
        <v>BOK_Phase1_CorePayment_BOK_camt_054_001_08_BankToCustomerDebitCreditNotification_Core_20230526_0443</v>
      </c>
      <c r="L68" s="7">
        <f>VLOOKUP($E68,mapping!$B$5:$P$78,14,FALSE)</f>
        <v>0</v>
      </c>
    </row>
    <row r="69" spans="3:12" s="7" customFormat="1">
      <c r="D69" s="20" t="s">
        <v>70</v>
      </c>
      <c r="E69" s="89" t="s">
        <v>179</v>
      </c>
      <c r="F69" s="89" t="s">
        <v>144</v>
      </c>
      <c r="G69" s="89" t="s">
        <v>215</v>
      </c>
      <c r="H69" s="288" t="s">
        <v>376</v>
      </c>
      <c r="I69" s="286" t="str">
        <f t="shared" si="11"/>
        <v>바로가기</v>
      </c>
      <c r="J69" s="298" t="s">
        <v>408</v>
      </c>
      <c r="K69" s="7" t="str">
        <f>VLOOKUP($E69,mapping!$B$5:$P$78,8,FALSE)</f>
        <v>BOK_Phase1_CorePayment_BOK_camt_054_001_08_BankToCustomerDebitCreditNotification_Core_20230526_0443</v>
      </c>
      <c r="L69" s="7">
        <f>VLOOKUP($E69,mapping!$B$5:$P$78,14,FALSE)</f>
        <v>0</v>
      </c>
    </row>
    <row r="70" spans="3:12" s="7" customFormat="1" ht="33">
      <c r="D70" s="20" t="s">
        <v>71</v>
      </c>
      <c r="E70" s="291" t="s">
        <v>172</v>
      </c>
      <c r="F70" s="89" t="s">
        <v>313</v>
      </c>
      <c r="G70" s="292" t="s">
        <v>4938</v>
      </c>
      <c r="H70" s="293" t="s">
        <v>4939</v>
      </c>
      <c r="I70" s="286" t="str">
        <f t="shared" ref="I70" si="12">HYPERLINK("#"&amp; E70 &amp; "!A1","바로가기")</f>
        <v>바로가기</v>
      </c>
      <c r="J70" s="289" t="s">
        <v>402</v>
      </c>
      <c r="K70" s="7" t="str">
        <f>VLOOKUP($E70,mapping!$B$5:$P$78,8,FALSE)</f>
        <v>BOK_Phase1_CorePayment_BOK_pacs_002_001_10_FIToFIPaymentStatusReport_Core_20230526_0443</v>
      </c>
      <c r="L70" s="7">
        <f>VLOOKUP($E70,mapping!$B$5:$P$78,14,FALSE)</f>
        <v>0</v>
      </c>
    </row>
    <row r="71" spans="3:12">
      <c r="E71" s="9"/>
      <c r="F71" s="9"/>
      <c r="H71" s="13"/>
      <c r="I71" s="6"/>
      <c r="K71" s="7" t="e">
        <f>VLOOKUP($E71,mapping!$B$5:$P$78,8,FALSE)</f>
        <v>#N/A</v>
      </c>
      <c r="L71" s="7" t="e">
        <f>VLOOKUP($E71,mapping!$B$5:$P$78,14,FALSE)</f>
        <v>#N/A</v>
      </c>
    </row>
    <row r="72" spans="3:12" s="10" customFormat="1" ht="19.5">
      <c r="C72" s="5" t="s">
        <v>239</v>
      </c>
      <c r="E72" s="9"/>
      <c r="F72" s="9"/>
      <c r="G72" s="9"/>
      <c r="H72" s="13"/>
      <c r="I72" s="11"/>
      <c r="J72" s="9"/>
      <c r="K72" s="7" t="e">
        <f>VLOOKUP($E72,mapping!$B$5:$P$78,8,FALSE)</f>
        <v>#N/A</v>
      </c>
      <c r="L72" s="7" t="e">
        <f>VLOOKUP($E72,mapping!$B$5:$P$78,14,FALSE)</f>
        <v>#N/A</v>
      </c>
    </row>
    <row r="73" spans="3:12" s="10" customFormat="1">
      <c r="E73" s="9"/>
      <c r="F73" s="9"/>
      <c r="G73" s="9"/>
      <c r="H73" s="13"/>
      <c r="I73" s="11"/>
      <c r="J73" s="9"/>
      <c r="K73" s="7" t="e">
        <f>VLOOKUP($E73,mapping!$B$5:$P$78,8,FALSE)</f>
        <v>#N/A</v>
      </c>
      <c r="L73" s="7" t="e">
        <f>VLOOKUP($E73,mapping!$B$5:$P$78,14,FALSE)</f>
        <v>#N/A</v>
      </c>
    </row>
    <row r="74" spans="3:12" s="290" customFormat="1">
      <c r="D74" s="19" t="s">
        <v>122</v>
      </c>
      <c r="E74" s="89" t="s">
        <v>240</v>
      </c>
      <c r="F74" s="89" t="s">
        <v>303</v>
      </c>
      <c r="G74" s="89" t="s">
        <v>356</v>
      </c>
      <c r="H74" s="288" t="s">
        <v>396</v>
      </c>
      <c r="I74" s="286" t="str">
        <f t="shared" ref="I74" si="13">HYPERLINK("#"&amp; E74 &amp; "!A1","바로가기")</f>
        <v>바로가기</v>
      </c>
      <c r="J74" s="89"/>
      <c r="K74" s="7" t="str">
        <f>VLOOKUP($E74,mapping!$B$5:$P$78,8,FALSE)</f>
        <v>BOK_Phase1_CorePayment_BOK_camt_060_001_05_AccountReportingRequest_20230526_0443</v>
      </c>
      <c r="L74" s="7">
        <f>VLOOKUP($E74,mapping!$B$5:$P$78,14,FALSE)</f>
        <v>0</v>
      </c>
    </row>
    <row r="75" spans="3:12" s="10" customFormat="1" ht="16.5" customHeight="1">
      <c r="E75" s="9"/>
      <c r="F75" s="9"/>
      <c r="G75" s="9"/>
      <c r="H75" s="13"/>
      <c r="I75" s="11"/>
      <c r="J75" s="9"/>
      <c r="K75" s="7" t="e">
        <f>VLOOKUP($E75,mapping!$B$5:$P$78,8,FALSE)</f>
        <v>#N/A</v>
      </c>
      <c r="L75" s="7" t="e">
        <f>VLOOKUP($E75,mapping!$B$5:$P$78,14,FALSE)</f>
        <v>#N/A</v>
      </c>
    </row>
    <row r="76" spans="3:12" s="10" customFormat="1" ht="16.5" customHeight="1">
      <c r="C76" s="5" t="s">
        <v>241</v>
      </c>
      <c r="E76" s="9"/>
      <c r="F76" s="9"/>
      <c r="G76" s="9"/>
      <c r="H76" s="13"/>
      <c r="I76" s="11"/>
      <c r="J76" s="9"/>
      <c r="K76" s="7" t="e">
        <f>VLOOKUP($E76,mapping!$B$5:$P$78,8,FALSE)</f>
        <v>#N/A</v>
      </c>
      <c r="L76" s="7" t="e">
        <f>VLOOKUP($E76,mapping!$B$5:$P$78,14,FALSE)</f>
        <v>#N/A</v>
      </c>
    </row>
    <row r="77" spans="3:12" s="10" customFormat="1" ht="16.5" customHeight="1">
      <c r="C77" s="5"/>
      <c r="E77" s="9"/>
      <c r="F77" s="9"/>
      <c r="G77" s="9"/>
      <c r="H77" s="13"/>
      <c r="I77" s="11"/>
      <c r="J77" s="9"/>
      <c r="K77" s="7" t="e">
        <f>VLOOKUP($E77,mapping!$B$5:$P$78,8,FALSE)</f>
        <v>#N/A</v>
      </c>
      <c r="L77" s="7" t="e">
        <f>VLOOKUP($E77,mapping!$B$5:$P$78,14,FALSE)</f>
        <v>#N/A</v>
      </c>
    </row>
    <row r="78" spans="3:12" s="290" customFormat="1">
      <c r="D78" s="19" t="s">
        <v>122</v>
      </c>
      <c r="E78" s="291" t="s">
        <v>242</v>
      </c>
      <c r="F78" s="89" t="s">
        <v>255</v>
      </c>
      <c r="G78" s="89" t="s">
        <v>347</v>
      </c>
      <c r="H78" s="288" t="s">
        <v>397</v>
      </c>
      <c r="I78" s="286" t="str">
        <f t="shared" ref="I78:I80" si="14">HYPERLINK("#"&amp; E78 &amp; "!A1","바로가기")</f>
        <v>바로가기</v>
      </c>
      <c r="J78" s="89"/>
      <c r="K78" s="7" t="str">
        <f>VLOOKUP($E78,mapping!$B$5:$P$78,8,FALSE)</f>
        <v>BOK_Phase1_CorePayment_BOK_pacs_008_001_08_FIToFICustomerCreditTransfer_LINKED_20230526_0443</v>
      </c>
      <c r="L78" s="7">
        <f>VLOOKUP($E78,mapping!$B$5:$P$78,14,FALSE)</f>
        <v>0</v>
      </c>
    </row>
    <row r="79" spans="3:12" s="7" customFormat="1">
      <c r="D79" s="20" t="s">
        <v>69</v>
      </c>
      <c r="E79" s="291" t="s">
        <v>243</v>
      </c>
      <c r="F79" s="89" t="s">
        <v>304</v>
      </c>
      <c r="G79" s="89" t="s">
        <v>347</v>
      </c>
      <c r="H79" s="288" t="s">
        <v>397</v>
      </c>
      <c r="I79" s="286" t="str">
        <f t="shared" si="14"/>
        <v>바로가기</v>
      </c>
      <c r="J79" s="89"/>
      <c r="K79" s="7" t="str">
        <f>VLOOKUP($E79,mapping!$B$5:$P$78,8,FALSE)</f>
        <v>BOK_Phase1_CorePayment_BOK_camt_054_001_08_BankToCustomerDebitCreditNotification_Core_20230526_0443</v>
      </c>
      <c r="L79" s="7">
        <f>VLOOKUP($E79,mapping!$B$5:$P$78,14,FALSE)</f>
        <v>0</v>
      </c>
    </row>
    <row r="80" spans="3:12" s="7" customFormat="1">
      <c r="D80" s="20" t="s">
        <v>70</v>
      </c>
      <c r="E80" s="89" t="s">
        <v>244</v>
      </c>
      <c r="F80" s="89" t="s">
        <v>305</v>
      </c>
      <c r="G80" s="89" t="s">
        <v>347</v>
      </c>
      <c r="H80" s="288" t="s">
        <v>397</v>
      </c>
      <c r="I80" s="286" t="str">
        <f t="shared" si="14"/>
        <v>바로가기</v>
      </c>
      <c r="J80" s="89"/>
      <c r="K80" s="7" t="str">
        <f>VLOOKUP($E80,mapping!$B$5:$P$78,8,FALSE)</f>
        <v>BOK_Phase1_CorePayment_BOK_camt_054_001_08_BankToCustomerDebitCreditNotification_Core_20230526_0443</v>
      </c>
      <c r="L80" s="7">
        <f>VLOOKUP($E80,mapping!$B$5:$P$78,14,FALSE)</f>
        <v>0</v>
      </c>
    </row>
    <row r="81" spans="2:12" s="290" customFormat="1">
      <c r="D81" s="19" t="s">
        <v>123</v>
      </c>
      <c r="E81" s="89" t="s">
        <v>247</v>
      </c>
      <c r="F81" s="89" t="s">
        <v>265</v>
      </c>
      <c r="G81" s="89" t="s">
        <v>348</v>
      </c>
      <c r="H81" s="288" t="s">
        <v>398</v>
      </c>
      <c r="I81" s="286" t="str">
        <f t="shared" ref="I81:I83" si="15">HYPERLINK("#"&amp; E81 &amp; "!A1","바로가기")</f>
        <v>바로가기</v>
      </c>
      <c r="J81" s="89"/>
      <c r="K81" s="7" t="str">
        <f>VLOOKUP($E81,mapping!$B$5:$P$78,8,FALSE)</f>
        <v>BOK_Phase1_CorePayment_BOK_pacs_004_001_09_PaymentReturn_LINKED_20230526_0443</v>
      </c>
      <c r="L81" s="7">
        <f>VLOOKUP($E81,mapping!$B$5:$P$78,14,FALSE)</f>
        <v>0</v>
      </c>
    </row>
    <row r="82" spans="2:12" s="7" customFormat="1">
      <c r="D82" s="20" t="s">
        <v>69</v>
      </c>
      <c r="E82" s="291" t="s">
        <v>245</v>
      </c>
      <c r="F82" s="89" t="s">
        <v>306</v>
      </c>
      <c r="G82" s="89" t="s">
        <v>348</v>
      </c>
      <c r="H82" s="288" t="s">
        <v>398</v>
      </c>
      <c r="I82" s="286" t="str">
        <f t="shared" si="15"/>
        <v>바로가기</v>
      </c>
      <c r="J82" s="89"/>
      <c r="K82" s="7" t="str">
        <f>VLOOKUP($E82,mapping!$B$5:$P$78,8,FALSE)</f>
        <v>BOK_Phase1_CorePayment_BOK_camt_054_001_08_BankToCustomerDebitCreditNotification_Core_20230526_0443</v>
      </c>
      <c r="L82" s="7">
        <f>VLOOKUP($E82,mapping!$B$5:$P$78,14,FALSE)</f>
        <v>0</v>
      </c>
    </row>
    <row r="83" spans="2:12" s="7" customFormat="1">
      <c r="D83" s="20" t="s">
        <v>70</v>
      </c>
      <c r="E83" s="89" t="s">
        <v>246</v>
      </c>
      <c r="F83" s="89" t="s">
        <v>307</v>
      </c>
      <c r="G83" s="89" t="s">
        <v>348</v>
      </c>
      <c r="H83" s="288" t="s">
        <v>398</v>
      </c>
      <c r="I83" s="286" t="str">
        <f t="shared" si="15"/>
        <v>바로가기</v>
      </c>
      <c r="J83" s="89"/>
      <c r="K83" s="7" t="str">
        <f>VLOOKUP($E83,mapping!$B$5:$P$78,8,FALSE)</f>
        <v>BOK_Phase1_CorePayment_BOK_camt_054_001_08_BankToCustomerDebitCreditNotification_Core_20230526_0443</v>
      </c>
      <c r="L83" s="7">
        <f>VLOOKUP($E83,mapping!$B$5:$P$78,14,FALSE)</f>
        <v>0</v>
      </c>
    </row>
    <row r="84" spans="2:12" s="10" customFormat="1">
      <c r="G84" s="9"/>
      <c r="H84" s="13"/>
      <c r="I84" s="11"/>
      <c r="J84" s="9"/>
      <c r="K84" s="7"/>
      <c r="L84" s="7"/>
    </row>
    <row r="85" spans="2:12" s="10" customFormat="1" hidden="1">
      <c r="G85" s="9"/>
      <c r="H85" s="13"/>
      <c r="I85" s="11"/>
      <c r="J85" s="9"/>
      <c r="K85" s="7"/>
      <c r="L85" s="7"/>
    </row>
    <row r="86" spans="2:12" s="10" customFormat="1" hidden="1">
      <c r="G86" s="9"/>
      <c r="H86" s="13"/>
      <c r="I86" s="11"/>
      <c r="J86" s="9"/>
      <c r="K86" s="7"/>
      <c r="L86" s="7"/>
    </row>
    <row r="87" spans="2:12" s="10" customFormat="1">
      <c r="G87" s="9"/>
      <c r="H87" s="13"/>
      <c r="I87" s="11"/>
      <c r="J87" s="9"/>
      <c r="K87" s="7"/>
      <c r="L87" s="7"/>
    </row>
    <row r="88" spans="2:12" s="10" customFormat="1" ht="26.25">
      <c r="B88" s="3" t="s">
        <v>4619</v>
      </c>
      <c r="G88" s="9"/>
      <c r="J88" s="9"/>
      <c r="K88" s="7"/>
      <c r="L88" s="7"/>
    </row>
    <row r="89" spans="2:12" s="10" customFormat="1">
      <c r="G89" s="9"/>
      <c r="J89" s="9"/>
    </row>
    <row r="90" spans="2:12">
      <c r="D90" s="76" t="s">
        <v>4610</v>
      </c>
      <c r="E90" s="76" t="s">
        <v>4613</v>
      </c>
      <c r="F90" s="351" t="s">
        <v>4605</v>
      </c>
      <c r="G90" s="351"/>
      <c r="H90" s="351"/>
      <c r="I90" s="351"/>
      <c r="J90" s="351"/>
    </row>
    <row r="91" spans="2:12">
      <c r="D91" s="77" t="s">
        <v>451</v>
      </c>
      <c r="E91" s="21" t="s">
        <v>450</v>
      </c>
      <c r="F91" s="348" t="s">
        <v>4607</v>
      </c>
      <c r="G91" s="348"/>
      <c r="H91" s="348"/>
      <c r="I91" s="348"/>
      <c r="J91" s="348"/>
    </row>
    <row r="92" spans="2:12">
      <c r="D92" s="77" t="s">
        <v>449</v>
      </c>
      <c r="E92" s="21" t="s">
        <v>448</v>
      </c>
      <c r="F92" s="348" t="s">
        <v>4611</v>
      </c>
      <c r="G92" s="348"/>
      <c r="H92" s="348"/>
      <c r="I92" s="348"/>
      <c r="J92" s="348"/>
    </row>
    <row r="93" spans="2:12">
      <c r="D93" s="77" t="s">
        <v>445</v>
      </c>
      <c r="E93" s="21" t="s">
        <v>444</v>
      </c>
      <c r="F93" s="348" t="s">
        <v>4611</v>
      </c>
      <c r="G93" s="348"/>
      <c r="H93" s="348"/>
      <c r="I93" s="348"/>
      <c r="J93" s="348"/>
    </row>
    <row r="94" spans="2:12">
      <c r="D94" s="77" t="s">
        <v>443</v>
      </c>
      <c r="E94" s="21" t="s">
        <v>4615</v>
      </c>
      <c r="F94" s="348" t="s">
        <v>4611</v>
      </c>
      <c r="G94" s="348"/>
      <c r="H94" s="348"/>
      <c r="I94" s="348"/>
      <c r="J94" s="348"/>
    </row>
    <row r="95" spans="2:12">
      <c r="D95" s="77" t="s">
        <v>4608</v>
      </c>
      <c r="E95" s="21" t="s">
        <v>4614</v>
      </c>
      <c r="F95" s="348" t="s">
        <v>4611</v>
      </c>
      <c r="G95" s="348"/>
      <c r="H95" s="348"/>
      <c r="I95" s="348"/>
      <c r="J95" s="348"/>
    </row>
    <row r="96" spans="2:12">
      <c r="D96" s="77" t="s">
        <v>4609</v>
      </c>
      <c r="E96" s="21" t="s">
        <v>4616</v>
      </c>
      <c r="F96" s="348" t="s">
        <v>4611</v>
      </c>
      <c r="G96" s="348"/>
      <c r="H96" s="348"/>
      <c r="I96" s="348"/>
      <c r="J96" s="348"/>
    </row>
    <row r="97" spans="4:10">
      <c r="D97" s="77" t="s">
        <v>442</v>
      </c>
      <c r="E97" s="21" t="s">
        <v>441</v>
      </c>
      <c r="F97" s="348" t="s">
        <v>4611</v>
      </c>
      <c r="G97" s="348"/>
      <c r="H97" s="348"/>
      <c r="I97" s="348"/>
      <c r="J97" s="348"/>
    </row>
    <row r="98" spans="4:10">
      <c r="D98" s="77" t="s">
        <v>440</v>
      </c>
      <c r="E98" s="21" t="s">
        <v>439</v>
      </c>
      <c r="F98" s="348" t="s">
        <v>4611</v>
      </c>
      <c r="G98" s="348"/>
      <c r="H98" s="348"/>
      <c r="I98" s="348"/>
      <c r="J98" s="348"/>
    </row>
    <row r="99" spans="4:10" s="10" customFormat="1">
      <c r="D99" s="77" t="s">
        <v>5069</v>
      </c>
      <c r="E99" s="21" t="s">
        <v>5070</v>
      </c>
      <c r="F99" s="348" t="s">
        <v>4611</v>
      </c>
      <c r="G99" s="348"/>
      <c r="H99" s="348"/>
      <c r="I99" s="348"/>
      <c r="J99" s="348"/>
    </row>
    <row r="100" spans="4:10" s="10" customFormat="1">
      <c r="D100" s="77" t="s">
        <v>5367</v>
      </c>
      <c r="E100" s="21" t="s">
        <v>5368</v>
      </c>
      <c r="F100" s="348" t="s">
        <v>4611</v>
      </c>
      <c r="G100" s="348"/>
      <c r="H100" s="348"/>
      <c r="I100" s="348"/>
      <c r="J100" s="348"/>
    </row>
  </sheetData>
  <autoFilter ref="D13:J83" xr:uid="{1E2FE8C7-B585-4B2C-8465-0C447529CE1A}"/>
  <mergeCells count="14">
    <mergeCell ref="F100:J100"/>
    <mergeCell ref="F99:J99"/>
    <mergeCell ref="F93:J93"/>
    <mergeCell ref="F5:J5"/>
    <mergeCell ref="F6:J6"/>
    <mergeCell ref="F90:J90"/>
    <mergeCell ref="F91:J91"/>
    <mergeCell ref="F92:J92"/>
    <mergeCell ref="F7:J7"/>
    <mergeCell ref="F94:J94"/>
    <mergeCell ref="F95:J95"/>
    <mergeCell ref="F96:J96"/>
    <mergeCell ref="F97:J97"/>
    <mergeCell ref="F98:J98"/>
  </mergeCells>
  <phoneticPr fontId="1" type="noConversion"/>
  <hyperlinks>
    <hyperlink ref="F92" location="'&lt;별첨2&gt;계정개설처코드'!A1" display="바로가기" xr:uid="{0286A064-CA95-4A2D-88C6-993D3035C735}"/>
    <hyperlink ref="F93" location="'&lt;별첨3&gt;거래기관코드'!A1" display="바로가기" xr:uid="{E714A728-2DE0-4792-B895-890E7B3495F4}"/>
    <hyperlink ref="F94" location="'&lt;별첨4&gt;일반자금이체 자금코드'!A1" display="바로가기" xr:uid="{DBA801AC-4E4B-4D38-AA4F-DA1531428BB6}"/>
    <hyperlink ref="F95" location="'&lt;별첨5&gt;증권대금이체 증권대금코드'!A1" display="바로가기" xr:uid="{ED8A4BCE-378D-4728-81E7-3EAC23ACEC5B}"/>
    <hyperlink ref="F96" location="'&lt;별첨6&gt; 혼합형결제 결제실패원인코드'!A1" display="바로가기" xr:uid="{E2AEAC16-8254-4936-8FC2-BA1C7686CC58}"/>
    <hyperlink ref="F97" location="'&lt;별첨7&gt; 수수료종류코드'!A1" display="바로가기" xr:uid="{ED9768BF-E345-44F7-8CFB-FF12E3A6810B}"/>
    <hyperlink ref="F98" location="'&lt;별첨8&gt;거래유형코드'!A1" display="바로가기" xr:uid="{BC0DF5FA-E9A7-4391-95DA-D15FFBB71B0B}"/>
    <hyperlink ref="F91" location="'&lt;별첨1&gt;응답코드'!A1" display="바로가기" xr:uid="{9D90D01C-779B-45A4-9FA3-4B9CEEDF0B1E}"/>
    <hyperlink ref="F6:J6" location="'속성, SET, 필수'!A1" display="바로가기" xr:uid="{44E0E923-7726-4B0F-B25E-FF8B27744FCA}"/>
    <hyperlink ref="F7:J7" location="'전문 공통부'!A1" display="바로가기" xr:uid="{B5A15FDF-60F2-4DE6-9E73-C20782D5D7F7}"/>
    <hyperlink ref="F99" location="'&lt;별첨8&gt;거래유형코드'!A1" display="바로가기" xr:uid="{467157EA-165D-46A8-B0F5-C12B2D67E8E0}"/>
    <hyperlink ref="F99:J99" location="'&lt;별첨9&gt;전체코드'!A1" display="바로가기" xr:uid="{2E7921A7-92F0-4C4E-A2B7-90A2F6B095B6}"/>
    <hyperlink ref="F100" location="'&lt;별첨8&gt;거래유형코드'!A1" display="바로가기" xr:uid="{51A21ECE-6C36-47B5-9D93-EBACD865CCFE}"/>
    <hyperlink ref="F100:J100" location="'&lt;별첨10&gt;ISO20022 전체코드'!A1" display="바로가기" xr:uid="{86C54AAB-6F3F-404F-BF78-E2C8B72DD653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FE0F-364E-4411-80C0-AB6EFE683689}">
  <sheetPr codeName="Sheet29"/>
  <dimension ref="A1:L4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310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01"/>
      <c r="C3" s="407" t="s">
        <v>7626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87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396"/>
      <c r="C5" s="120">
        <v>312</v>
      </c>
      <c r="D5" s="397" t="s">
        <v>35</v>
      </c>
      <c r="E5" s="398"/>
      <c r="F5" s="399"/>
      <c r="G5" s="441">
        <v>0.72916666666666663</v>
      </c>
      <c r="H5" s="442"/>
      <c r="I5" s="443"/>
      <c r="J5" s="118" t="s">
        <v>36</v>
      </c>
      <c r="K5" s="417" t="str">
        <f>VLOOKUP(G4,목록!E13:$G$82,3,FALSE)</f>
        <v>SLP810401PW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430" t="s">
        <v>3</v>
      </c>
      <c r="C9" s="431"/>
      <c r="D9" s="206">
        <v>8</v>
      </c>
      <c r="E9" s="22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10">
        <v>2</v>
      </c>
      <c r="B10" s="430" t="s">
        <v>102</v>
      </c>
      <c r="C10" s="431"/>
      <c r="D10" s="206">
        <v>4</v>
      </c>
      <c r="E10" s="228" t="s">
        <v>4</v>
      </c>
      <c r="F10" s="209" t="s">
        <v>5</v>
      </c>
      <c r="G10" s="209" t="s">
        <v>446</v>
      </c>
      <c r="H10" s="209" t="s">
        <v>446</v>
      </c>
      <c r="I10" s="366" t="s">
        <v>4923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430" t="s">
        <v>20</v>
      </c>
      <c r="C11" s="431"/>
      <c r="D11" s="206">
        <v>5</v>
      </c>
      <c r="E11" s="228" t="s">
        <v>4</v>
      </c>
      <c r="F11" s="209" t="s">
        <v>5</v>
      </c>
      <c r="G11" s="209" t="s">
        <v>446</v>
      </c>
      <c r="H11" s="209" t="s">
        <v>446</v>
      </c>
      <c r="I11" s="374" t="s">
        <v>4790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21.5">
      <c r="A12" s="210">
        <v>4</v>
      </c>
      <c r="B12" s="374" t="s">
        <v>5284</v>
      </c>
      <c r="C12" s="376"/>
      <c r="D12" s="203">
        <v>2</v>
      </c>
      <c r="E12" s="208" t="s">
        <v>4</v>
      </c>
      <c r="F12" s="209" t="s">
        <v>5</v>
      </c>
      <c r="G12" s="209" t="s">
        <v>446</v>
      </c>
      <c r="H12" s="209" t="s">
        <v>446</v>
      </c>
      <c r="I12" s="366" t="s">
        <v>4924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10 : 자금이체
11 : 중개거래콜체결
12 : 은행간직거래콜체결
13 : 중개거래콜상환
14 : 은행간직거래콜상환
19 : PAY-IN 입력
61 : 일반자금이체
62 : 수취인지정자금이체
65 : 증권대금이체</v>
      </c>
    </row>
    <row r="13" spans="1:12" s="1" customFormat="1" ht="30" customHeight="1">
      <c r="A13" s="210">
        <v>5</v>
      </c>
      <c r="B13" s="430" t="s">
        <v>92</v>
      </c>
      <c r="C13" s="431"/>
      <c r="D13" s="206">
        <v>4</v>
      </c>
      <c r="E13" s="208" t="s">
        <v>4</v>
      </c>
      <c r="F13" s="209" t="s">
        <v>5</v>
      </c>
      <c r="G13" s="209" t="s">
        <v>446</v>
      </c>
      <c r="H13" s="209" t="s">
        <v>446</v>
      </c>
      <c r="I13" s="366" t="s">
        <v>4925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10">
        <v>6</v>
      </c>
      <c r="B14" s="430" t="s">
        <v>93</v>
      </c>
      <c r="C14" s="431"/>
      <c r="D14" s="206">
        <v>12</v>
      </c>
      <c r="E14" s="208" t="s">
        <v>4</v>
      </c>
      <c r="F14" s="209" t="s">
        <v>5</v>
      </c>
      <c r="G14" s="209" t="s">
        <v>4661</v>
      </c>
      <c r="H14" s="209" t="s">
        <v>4661</v>
      </c>
      <c r="I14" s="366" t="s">
        <v>4926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27">
      <c r="A15" s="210">
        <v>7</v>
      </c>
      <c r="B15" s="430" t="s">
        <v>94</v>
      </c>
      <c r="C15" s="431"/>
      <c r="D15" s="206">
        <v>2</v>
      </c>
      <c r="E15" s="208" t="s">
        <v>4</v>
      </c>
      <c r="F15" s="209" t="s">
        <v>5</v>
      </c>
      <c r="G15" s="209" t="s">
        <v>4661</v>
      </c>
      <c r="H15" s="209" t="s">
        <v>4661</v>
      </c>
      <c r="I15" s="366" t="s">
        <v>4927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01 : DVP결제
02 : DVP결제제외(FOS)</v>
      </c>
    </row>
    <row r="16" spans="1:12" s="1" customFormat="1" ht="15" customHeight="1">
      <c r="A16" s="210">
        <v>8</v>
      </c>
      <c r="B16" s="374" t="s">
        <v>338</v>
      </c>
      <c r="C16" s="376"/>
      <c r="D16" s="211">
        <v>2</v>
      </c>
      <c r="E16" s="208" t="s">
        <v>4</v>
      </c>
      <c r="F16" s="209" t="s">
        <v>5</v>
      </c>
      <c r="G16" s="209" t="s">
        <v>4661</v>
      </c>
      <c r="H16" s="209" t="s">
        <v>4661</v>
      </c>
      <c r="I16" s="366" t="s">
        <v>4928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&lt;별첨5&gt; 참조</v>
      </c>
    </row>
    <row r="17" spans="1:12" s="1" customFormat="1" ht="15" customHeight="1">
      <c r="A17" s="210">
        <v>9</v>
      </c>
      <c r="B17" s="364" t="s">
        <v>95</v>
      </c>
      <c r="C17" s="365"/>
      <c r="D17" s="211">
        <v>12</v>
      </c>
      <c r="E17" s="208" t="s">
        <v>4</v>
      </c>
      <c r="F17" s="209" t="s">
        <v>5</v>
      </c>
      <c r="G17" s="209" t="s">
        <v>4661</v>
      </c>
      <c r="H17" s="209" t="s">
        <v>4661</v>
      </c>
      <c r="I17" s="366" t="s">
        <v>4929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64" t="s">
        <v>96</v>
      </c>
      <c r="C18" s="365"/>
      <c r="D18" s="211">
        <v>5</v>
      </c>
      <c r="E18" s="208" t="s">
        <v>4</v>
      </c>
      <c r="F18" s="209" t="s">
        <v>5</v>
      </c>
      <c r="G18" s="209" t="s">
        <v>4661</v>
      </c>
      <c r="H18" s="209" t="s">
        <v>4661</v>
      </c>
      <c r="I18" s="366" t="s">
        <v>4930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210">
        <v>11</v>
      </c>
      <c r="B19" s="364" t="s">
        <v>97</v>
      </c>
      <c r="C19" s="365"/>
      <c r="D19" s="211">
        <v>4</v>
      </c>
      <c r="E19" s="208" t="s">
        <v>4</v>
      </c>
      <c r="F19" s="209" t="s">
        <v>5</v>
      </c>
      <c r="G19" s="209" t="s">
        <v>4661</v>
      </c>
      <c r="H19" s="209" t="s">
        <v>4661</v>
      </c>
      <c r="I19" s="366" t="s">
        <v>4931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210">
        <v>12</v>
      </c>
      <c r="B20" s="364" t="s">
        <v>10</v>
      </c>
      <c r="C20" s="365"/>
      <c r="D20" s="211">
        <v>18</v>
      </c>
      <c r="E20" s="208" t="s">
        <v>4</v>
      </c>
      <c r="F20" s="209" t="s">
        <v>5</v>
      </c>
      <c r="G20" s="209" t="s">
        <v>446</v>
      </c>
      <c r="H20" s="209" t="s">
        <v>446</v>
      </c>
      <c r="I20" s="366" t="s">
        <v>4932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210">
        <v>13</v>
      </c>
      <c r="B21" s="364" t="s">
        <v>98</v>
      </c>
      <c r="C21" s="365"/>
      <c r="D21" s="211">
        <v>6</v>
      </c>
      <c r="E21" s="208" t="s">
        <v>4</v>
      </c>
      <c r="F21" s="209" t="s">
        <v>5</v>
      </c>
      <c r="G21" s="209" t="s">
        <v>446</v>
      </c>
      <c r="H21" s="209" t="s">
        <v>446</v>
      </c>
      <c r="I21" s="366" t="s">
        <v>4933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210">
        <v>14</v>
      </c>
      <c r="B22" s="364" t="s">
        <v>99</v>
      </c>
      <c r="C22" s="365"/>
      <c r="D22" s="212">
        <v>4</v>
      </c>
      <c r="E22" s="208" t="s">
        <v>4</v>
      </c>
      <c r="F22" s="209" t="s">
        <v>100</v>
      </c>
      <c r="G22" s="209" t="s">
        <v>4661</v>
      </c>
      <c r="H22" s="209" t="s">
        <v>4661</v>
      </c>
      <c r="I22" s="366" t="s">
        <v>4934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5" customHeight="1">
      <c r="A23" s="210">
        <v>15</v>
      </c>
      <c r="B23" s="364" t="s">
        <v>25</v>
      </c>
      <c r="C23" s="365"/>
      <c r="D23" s="211">
        <v>24</v>
      </c>
      <c r="E23" s="208" t="s">
        <v>80</v>
      </c>
      <c r="F23" s="209" t="s">
        <v>5</v>
      </c>
      <c r="G23" s="209" t="s">
        <v>4690</v>
      </c>
      <c r="H23" s="209" t="s">
        <v>4690</v>
      </c>
      <c r="I23" s="374" t="s">
        <v>254</v>
      </c>
      <c r="J23" s="375"/>
      <c r="K23" s="376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5" customHeight="1"/>
    <row r="25" spans="1:12" ht="15" customHeight="1"/>
    <row r="26" spans="1:12" ht="15" customHeight="1"/>
    <row r="27" spans="1:12" ht="15" customHeight="1"/>
    <row r="28" spans="1:12" ht="15" customHeight="1"/>
    <row r="29" spans="1:12" ht="13.5" customHeight="1"/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33.75" customHeight="1"/>
    <row r="45" ht="32.25" customHeight="1"/>
  </sheetData>
  <mergeCells count="45">
    <mergeCell ref="B23:C23"/>
    <mergeCell ref="I23:K23"/>
    <mergeCell ref="A2:L2"/>
    <mergeCell ref="I21:K21"/>
    <mergeCell ref="I22:K22"/>
    <mergeCell ref="B19:C19"/>
    <mergeCell ref="I19:K19"/>
    <mergeCell ref="I20:K20"/>
    <mergeCell ref="B17:C17"/>
    <mergeCell ref="I17:K17"/>
    <mergeCell ref="B18:C18"/>
    <mergeCell ref="I18:K18"/>
    <mergeCell ref="I14:K14"/>
    <mergeCell ref="B15:C15"/>
    <mergeCell ref="I15:K15"/>
    <mergeCell ref="B16:C16"/>
    <mergeCell ref="I16:K16"/>
    <mergeCell ref="I10:K10"/>
    <mergeCell ref="I11:K11"/>
    <mergeCell ref="B12:C12"/>
    <mergeCell ref="I12:K12"/>
    <mergeCell ref="B13:C13"/>
    <mergeCell ref="I13:K13"/>
    <mergeCell ref="I7:K7"/>
    <mergeCell ref="I9:K9"/>
    <mergeCell ref="A3:B3"/>
    <mergeCell ref="A4:B4"/>
    <mergeCell ref="D4:F4"/>
    <mergeCell ref="K4:L4"/>
    <mergeCell ref="K5:L5"/>
    <mergeCell ref="I8:K8"/>
    <mergeCell ref="A5:B5"/>
    <mergeCell ref="D5:F5"/>
    <mergeCell ref="G4:I4"/>
    <mergeCell ref="G5:I5"/>
    <mergeCell ref="C3:L3"/>
    <mergeCell ref="B21:C21"/>
    <mergeCell ref="B22:C22"/>
    <mergeCell ref="B20:C20"/>
    <mergeCell ref="B11:C11"/>
    <mergeCell ref="B7:C7"/>
    <mergeCell ref="B9:C9"/>
    <mergeCell ref="B10:C10"/>
    <mergeCell ref="B8:C8"/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E845-36DC-4674-8B8E-45E876F66730}">
  <sheetPr codeName="Sheet31"/>
  <dimension ref="A1:L1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5" width="5" style="28" bestFit="1" customWidth="1"/>
    <col min="6" max="6" width="5" style="50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21.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8"/>
      <c r="G1" s="2"/>
      <c r="H1" s="2"/>
      <c r="I1" s="2"/>
      <c r="J1" s="2"/>
      <c r="K1" s="2"/>
      <c r="L1" s="2"/>
    </row>
    <row r="2" spans="1:12" s="10" customFormat="1" ht="19.5" thickBot="1">
      <c r="A2" s="383" t="s">
        <v>311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01"/>
      <c r="C3" s="446" t="s">
        <v>7630</v>
      </c>
      <c r="D3" s="447"/>
      <c r="E3" s="447"/>
      <c r="F3" s="447"/>
      <c r="G3" s="447"/>
      <c r="H3" s="447"/>
      <c r="I3" s="447"/>
      <c r="J3" s="447"/>
      <c r="K3" s="447"/>
      <c r="L3" s="448"/>
    </row>
    <row r="4" spans="1:12" s="1" customFormat="1" ht="1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108</v>
      </c>
      <c r="H4" s="411"/>
      <c r="I4" s="412"/>
      <c r="J4" s="115" t="s">
        <v>5263</v>
      </c>
      <c r="K4" s="410" t="s">
        <v>103</v>
      </c>
      <c r="L4" s="413"/>
    </row>
    <row r="5" spans="1:12" s="1" customFormat="1" ht="15" customHeight="1" thickBot="1">
      <c r="A5" s="395" t="s">
        <v>34</v>
      </c>
      <c r="B5" s="396"/>
      <c r="C5" s="120">
        <v>392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VLOOKUP(G4,목록!E13:$G$82,3,FALSE)</f>
        <v>SLP250102SW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345" t="s">
        <v>39</v>
      </c>
      <c r="G7" s="200" t="s">
        <v>7623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3.5">
      <c r="A8" s="58">
        <v>0</v>
      </c>
      <c r="B8" s="373" t="s">
        <v>29</v>
      </c>
      <c r="C8" s="373"/>
      <c r="D8" s="206">
        <v>200</v>
      </c>
      <c r="E8" s="59" t="s">
        <v>30</v>
      </c>
      <c r="F8" s="60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10">
        <v>1</v>
      </c>
      <c r="B9" s="372" t="s">
        <v>3</v>
      </c>
      <c r="C9" s="372"/>
      <c r="D9" s="211">
        <v>8</v>
      </c>
      <c r="E9" s="224" t="s">
        <v>4</v>
      </c>
      <c r="F9" s="224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210">
        <v>2</v>
      </c>
      <c r="B10" s="372" t="s">
        <v>4805</v>
      </c>
      <c r="C10" s="372"/>
      <c r="D10" s="211">
        <v>4</v>
      </c>
      <c r="E10" s="224" t="s">
        <v>4</v>
      </c>
      <c r="F10" s="224" t="s">
        <v>196</v>
      </c>
      <c r="G10" s="209" t="s">
        <v>446</v>
      </c>
      <c r="H10" s="209" t="s">
        <v>446</v>
      </c>
      <c r="I10" s="366" t="s">
        <v>4915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s="1" customFormat="1" ht="13.5" customHeight="1">
      <c r="A11" s="210">
        <v>3</v>
      </c>
      <c r="B11" s="372" t="s">
        <v>91</v>
      </c>
      <c r="C11" s="372"/>
      <c r="D11" s="211">
        <v>4</v>
      </c>
      <c r="E11" s="224" t="s">
        <v>4</v>
      </c>
      <c r="F11" s="224" t="s">
        <v>196</v>
      </c>
      <c r="G11" s="209" t="s">
        <v>446</v>
      </c>
      <c r="H11" s="209" t="s">
        <v>446</v>
      </c>
      <c r="I11" s="366" t="s">
        <v>4916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90.75" customHeight="1">
      <c r="A12" s="210">
        <v>4</v>
      </c>
      <c r="B12" s="444" t="s">
        <v>199</v>
      </c>
      <c r="C12" s="445"/>
      <c r="D12" s="212">
        <v>2</v>
      </c>
      <c r="E12" s="225" t="s">
        <v>4</v>
      </c>
      <c r="F12" s="347" t="s">
        <v>196</v>
      </c>
      <c r="G12" s="209" t="s">
        <v>446</v>
      </c>
      <c r="H12" s="209" t="s">
        <v>446</v>
      </c>
      <c r="I12" s="366" t="s">
        <v>4917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11 : 지정시점예약자금이체
21 : 일반자금이체
22 : 수취인지정자금이체
23 : 콜공급-직거래
24 : 콜공급-중개거래
25 : 콜상환</v>
      </c>
    </row>
    <row r="13" spans="1:12" s="1" customFormat="1" ht="33" customHeight="1">
      <c r="A13" s="210">
        <v>5</v>
      </c>
      <c r="B13" s="372" t="s">
        <v>19</v>
      </c>
      <c r="C13" s="372"/>
      <c r="D13" s="211">
        <v>5</v>
      </c>
      <c r="E13" s="224" t="s">
        <v>4</v>
      </c>
      <c r="F13" s="224" t="s">
        <v>196</v>
      </c>
      <c r="G13" s="209" t="s">
        <v>446</v>
      </c>
      <c r="H13" s="209" t="s">
        <v>446</v>
      </c>
      <c r="I13" s="366" t="s">
        <v>4918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3.5">
      <c r="A14" s="210">
        <v>6</v>
      </c>
      <c r="B14" s="372" t="s">
        <v>10</v>
      </c>
      <c r="C14" s="372"/>
      <c r="D14" s="211">
        <v>18</v>
      </c>
      <c r="E14" s="224" t="s">
        <v>4</v>
      </c>
      <c r="F14" s="224" t="s">
        <v>196</v>
      </c>
      <c r="G14" s="209" t="s">
        <v>446</v>
      </c>
      <c r="H14" s="209" t="s">
        <v>446</v>
      </c>
      <c r="I14" s="366" t="s">
        <v>4919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42.75" customHeight="1">
      <c r="A15" s="210">
        <v>7</v>
      </c>
      <c r="B15" s="372" t="s">
        <v>111</v>
      </c>
      <c r="C15" s="372"/>
      <c r="D15" s="211">
        <v>6</v>
      </c>
      <c r="E15" s="224" t="s">
        <v>4</v>
      </c>
      <c r="F15" s="224" t="s">
        <v>5</v>
      </c>
      <c r="G15" s="209" t="s">
        <v>4690</v>
      </c>
      <c r="H15" s="209" t="s">
        <v>446</v>
      </c>
      <c r="I15" s="374" t="s">
        <v>7631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27" customHeight="1">
      <c r="A16" s="210">
        <v>8</v>
      </c>
      <c r="B16" s="364" t="s">
        <v>99</v>
      </c>
      <c r="C16" s="365"/>
      <c r="D16" s="212">
        <v>4</v>
      </c>
      <c r="E16" s="224" t="s">
        <v>79</v>
      </c>
      <c r="F16" s="347" t="s">
        <v>100</v>
      </c>
      <c r="G16" s="209" t="s">
        <v>446</v>
      </c>
      <c r="H16" s="209" t="s">
        <v>446</v>
      </c>
      <c r="I16" s="366" t="s">
        <v>4801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3.5" customHeight="1" thickBot="1">
      <c r="A17" s="213">
        <v>9</v>
      </c>
      <c r="B17" s="440" t="s">
        <v>25</v>
      </c>
      <c r="C17" s="440"/>
      <c r="D17" s="214">
        <v>141</v>
      </c>
      <c r="E17" s="227" t="s">
        <v>26</v>
      </c>
      <c r="F17" s="227" t="s">
        <v>196</v>
      </c>
      <c r="G17" s="108" t="s">
        <v>4690</v>
      </c>
      <c r="H17" s="108" t="s">
        <v>4690</v>
      </c>
      <c r="I17" s="422" t="s">
        <v>254</v>
      </c>
      <c r="J17" s="423"/>
      <c r="K17" s="424"/>
      <c r="L17" s="198" t="str">
        <f ca="1">IFERROR(_xlfn.TEXTJOIN(CHAR(10), TRUE, OFFSET('&lt;별첨9&gt;전체코드'!E:E, MATCH(B17,'&lt;별첨9&gt;전체코드'!A:A,0)-1, 0, COUNTIF('&lt;별첨9&gt;전체코드'!A:A,B17), 1)), "")</f>
        <v/>
      </c>
    </row>
  </sheetData>
  <mergeCells count="33">
    <mergeCell ref="I13:K13"/>
    <mergeCell ref="I15:K15"/>
    <mergeCell ref="I14:K14"/>
    <mergeCell ref="I17:K17"/>
    <mergeCell ref="I16:K16"/>
    <mergeCell ref="C3:L3"/>
    <mergeCell ref="A2:L2"/>
    <mergeCell ref="A3:B3"/>
    <mergeCell ref="G5:I5"/>
    <mergeCell ref="K5:L5"/>
    <mergeCell ref="K4:L4"/>
    <mergeCell ref="A4:B4"/>
    <mergeCell ref="D4:F4"/>
    <mergeCell ref="A5:B5"/>
    <mergeCell ref="D5:F5"/>
    <mergeCell ref="G4:I4"/>
    <mergeCell ref="B16:C16"/>
    <mergeCell ref="B17:C17"/>
    <mergeCell ref="B13:C13"/>
    <mergeCell ref="B14:C14"/>
    <mergeCell ref="B15:C15"/>
    <mergeCell ref="B10:C10"/>
    <mergeCell ref="B11:C11"/>
    <mergeCell ref="B12:C12"/>
    <mergeCell ref="I10:K10"/>
    <mergeCell ref="I12:K12"/>
    <mergeCell ref="I11:K11"/>
    <mergeCell ref="B7:C7"/>
    <mergeCell ref="B8:C8"/>
    <mergeCell ref="B9:C9"/>
    <mergeCell ref="I7:K7"/>
    <mergeCell ref="I8:K8"/>
    <mergeCell ref="I9:K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E1F5-AB02-44A7-AE2D-86F0BE1B844D}">
  <sheetPr codeName="Sheet33"/>
  <dimension ref="A1:L17"/>
  <sheetViews>
    <sheetView zoomScale="85" zoomScaleNormal="85" workbookViewId="0">
      <selection activeCell="M29" sqref="M29"/>
    </sheetView>
  </sheetViews>
  <sheetFormatPr defaultRowHeight="16.5"/>
  <cols>
    <col min="1" max="1" width="4.625" style="10" customWidth="1"/>
    <col min="2" max="2" width="7.75" style="10" customWidth="1"/>
    <col min="3" max="3" width="12.7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312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7632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104</v>
      </c>
      <c r="H4" s="411"/>
      <c r="I4" s="412"/>
      <c r="J4" s="115" t="s">
        <v>33</v>
      </c>
      <c r="K4" s="410"/>
      <c r="L4" s="413"/>
    </row>
    <row r="5" spans="1:12" ht="15" customHeight="1" thickBot="1">
      <c r="A5" s="395" t="s">
        <v>34</v>
      </c>
      <c r="B5" s="396"/>
      <c r="C5" s="120">
        <v>392</v>
      </c>
      <c r="D5" s="397" t="s">
        <v>35</v>
      </c>
      <c r="E5" s="398"/>
      <c r="F5" s="399"/>
      <c r="G5" s="441" t="s">
        <v>84</v>
      </c>
      <c r="H5" s="442"/>
      <c r="I5" s="443"/>
      <c r="J5" s="118" t="s">
        <v>36</v>
      </c>
      <c r="K5" s="417" t="str">
        <f>VLOOKUP(G4,목록!E13:$G$82,3,FALSE)</f>
        <v>SLP210404BW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109</v>
      </c>
      <c r="C10" s="373"/>
      <c r="D10" s="206">
        <v>4</v>
      </c>
      <c r="E10" s="228" t="s">
        <v>4</v>
      </c>
      <c r="F10" s="209" t="s">
        <v>5</v>
      </c>
      <c r="G10" s="209" t="s">
        <v>446</v>
      </c>
      <c r="H10" s="209" t="s">
        <v>446</v>
      </c>
      <c r="I10" s="366" t="s">
        <v>4915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373" t="s">
        <v>102</v>
      </c>
      <c r="C11" s="373"/>
      <c r="D11" s="206">
        <v>4</v>
      </c>
      <c r="E11" s="228" t="s">
        <v>4</v>
      </c>
      <c r="F11" s="209" t="s">
        <v>5</v>
      </c>
      <c r="G11" s="209" t="s">
        <v>446</v>
      </c>
      <c r="H11" s="209" t="s">
        <v>446</v>
      </c>
      <c r="I11" s="366" t="s">
        <v>4916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81">
      <c r="A12" s="210">
        <v>4</v>
      </c>
      <c r="B12" s="449" t="s">
        <v>110</v>
      </c>
      <c r="C12" s="450"/>
      <c r="D12" s="230">
        <v>2</v>
      </c>
      <c r="E12" s="208" t="s">
        <v>4</v>
      </c>
      <c r="F12" s="209" t="s">
        <v>5</v>
      </c>
      <c r="G12" s="209" t="s">
        <v>446</v>
      </c>
      <c r="H12" s="209" t="s">
        <v>446</v>
      </c>
      <c r="I12" s="366" t="s">
        <v>4917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11 : 지정시점예약자금이체
21 : 일반자금이체
22 : 수취인지정자금이체
23 : 콜공급-직거래
24 : 콜공급-중개거래
25 : 콜상환</v>
      </c>
    </row>
    <row r="13" spans="1:12" ht="15" customHeight="1">
      <c r="A13" s="210">
        <v>5</v>
      </c>
      <c r="B13" s="373" t="s">
        <v>19</v>
      </c>
      <c r="C13" s="373"/>
      <c r="D13" s="206">
        <v>5</v>
      </c>
      <c r="E13" s="208" t="s">
        <v>4</v>
      </c>
      <c r="F13" s="209" t="s">
        <v>5</v>
      </c>
      <c r="G13" s="209" t="s">
        <v>446</v>
      </c>
      <c r="H13" s="209" t="s">
        <v>446</v>
      </c>
      <c r="I13" s="366" t="s">
        <v>4918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15" customHeight="1">
      <c r="A14" s="210">
        <v>7</v>
      </c>
      <c r="B14" s="373" t="s">
        <v>10</v>
      </c>
      <c r="C14" s="373"/>
      <c r="D14" s="206">
        <v>18</v>
      </c>
      <c r="E14" s="208" t="s">
        <v>4</v>
      </c>
      <c r="F14" s="209" t="s">
        <v>5</v>
      </c>
      <c r="G14" s="209" t="s">
        <v>446</v>
      </c>
      <c r="H14" s="209" t="s">
        <v>446</v>
      </c>
      <c r="I14" s="366" t="s">
        <v>4919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13.5" customHeight="1">
      <c r="A15" s="210">
        <v>8</v>
      </c>
      <c r="B15" s="372" t="s">
        <v>111</v>
      </c>
      <c r="C15" s="372"/>
      <c r="D15" s="211">
        <v>6</v>
      </c>
      <c r="E15" s="208" t="s">
        <v>4</v>
      </c>
      <c r="F15" s="209" t="s">
        <v>5</v>
      </c>
      <c r="G15" s="209" t="s">
        <v>446</v>
      </c>
      <c r="H15" s="209" t="s">
        <v>446</v>
      </c>
      <c r="I15" s="374" t="s">
        <v>4940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3.5" customHeight="1">
      <c r="A16" s="210">
        <v>9</v>
      </c>
      <c r="B16" s="364" t="s">
        <v>99</v>
      </c>
      <c r="C16" s="365"/>
      <c r="D16" s="212">
        <v>4</v>
      </c>
      <c r="E16" s="208" t="s">
        <v>4</v>
      </c>
      <c r="F16" s="209" t="s">
        <v>5</v>
      </c>
      <c r="G16" s="209" t="s">
        <v>446</v>
      </c>
      <c r="H16" s="209" t="s">
        <v>446</v>
      </c>
      <c r="I16" s="366" t="s">
        <v>4801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3.5" customHeight="1" thickBot="1">
      <c r="A17" s="213">
        <v>10</v>
      </c>
      <c r="B17" s="420" t="s">
        <v>25</v>
      </c>
      <c r="C17" s="420"/>
      <c r="D17" s="223">
        <v>141</v>
      </c>
      <c r="E17" s="229" t="s">
        <v>80</v>
      </c>
      <c r="F17" s="108" t="s">
        <v>5</v>
      </c>
      <c r="G17" s="108" t="s">
        <v>4690</v>
      </c>
      <c r="H17" s="108" t="s">
        <v>4690</v>
      </c>
      <c r="I17" s="422" t="s">
        <v>254</v>
      </c>
      <c r="J17" s="423"/>
      <c r="K17" s="424"/>
      <c r="L17" s="198" t="str">
        <f ca="1">IFERROR(_xlfn.TEXTJOIN(CHAR(10), TRUE, OFFSET('&lt;별첨9&gt;전체코드'!E:E, MATCH(B17,'&lt;별첨9&gt;전체코드'!A:A,0)-1, 0, COUNTIF('&lt;별첨9&gt;전체코드'!A:A,B17), 1)), "")</f>
        <v/>
      </c>
    </row>
  </sheetData>
  <mergeCells count="33">
    <mergeCell ref="K5:L5"/>
    <mergeCell ref="I8:K8"/>
    <mergeCell ref="I10:K10"/>
    <mergeCell ref="A2:L2"/>
    <mergeCell ref="I16:K16"/>
    <mergeCell ref="I14:K14"/>
    <mergeCell ref="C3:L3"/>
    <mergeCell ref="A3:B3"/>
    <mergeCell ref="A4:B4"/>
    <mergeCell ref="D4:F4"/>
    <mergeCell ref="K4:L4"/>
    <mergeCell ref="A5:B5"/>
    <mergeCell ref="D5:F5"/>
    <mergeCell ref="G4:I4"/>
    <mergeCell ref="G5:I5"/>
    <mergeCell ref="B7:C7"/>
    <mergeCell ref="B9:C9"/>
    <mergeCell ref="B10:C10"/>
    <mergeCell ref="B8:C8"/>
    <mergeCell ref="I7:K7"/>
    <mergeCell ref="I9:K9"/>
    <mergeCell ref="B11:C11"/>
    <mergeCell ref="B12:C12"/>
    <mergeCell ref="B13:C13"/>
    <mergeCell ref="I11:K11"/>
    <mergeCell ref="I13:K13"/>
    <mergeCell ref="I12:K12"/>
    <mergeCell ref="B17:C17"/>
    <mergeCell ref="B14:C14"/>
    <mergeCell ref="B15:C15"/>
    <mergeCell ref="B16:C16"/>
    <mergeCell ref="I15:K15"/>
    <mergeCell ref="I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C6E5-FF3E-4470-A65E-9BC93BDF90FB}">
  <sheetPr codeName="Sheet38"/>
  <dimension ref="A1:L27"/>
  <sheetViews>
    <sheetView zoomScale="85" zoomScaleNormal="85" workbookViewId="0">
      <selection activeCell="P31" sqref="P31"/>
    </sheetView>
  </sheetViews>
  <sheetFormatPr defaultRowHeight="16.5"/>
  <cols>
    <col min="1" max="1" width="4.625" style="10" customWidth="1"/>
    <col min="2" max="2" width="7.75" style="10" customWidth="1"/>
    <col min="3" max="3" width="12.7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4954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>
      <c r="A3" s="400" t="s">
        <v>0</v>
      </c>
      <c r="B3" s="435"/>
      <c r="C3" s="408" t="s">
        <v>7633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>
      <c r="A4" s="402" t="s">
        <v>31</v>
      </c>
      <c r="B4" s="438"/>
      <c r="C4" s="242" t="s">
        <v>7627</v>
      </c>
      <c r="D4" s="404" t="s">
        <v>32</v>
      </c>
      <c r="E4" s="405"/>
      <c r="F4" s="406"/>
      <c r="G4" s="410" t="s">
        <v>150</v>
      </c>
      <c r="H4" s="411"/>
      <c r="I4" s="412"/>
      <c r="J4" s="115" t="s">
        <v>5263</v>
      </c>
      <c r="K4" s="410"/>
      <c r="L4" s="413"/>
    </row>
    <row r="5" spans="1:12" ht="17.25" thickBot="1">
      <c r="A5" s="395" t="s">
        <v>34</v>
      </c>
      <c r="B5" s="439"/>
      <c r="C5" s="243">
        <v>520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SLP530301ZW</v>
      </c>
      <c r="L5" s="418"/>
    </row>
    <row r="6" spans="1:12" ht="17.25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ht="16.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28.5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28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112</v>
      </c>
      <c r="C10" s="373"/>
      <c r="D10" s="206">
        <v>4</v>
      </c>
      <c r="E10" s="228" t="s">
        <v>4</v>
      </c>
      <c r="F10" s="228" t="s">
        <v>196</v>
      </c>
      <c r="G10" s="209" t="s">
        <v>446</v>
      </c>
      <c r="H10" s="209" t="s">
        <v>446</v>
      </c>
      <c r="I10" s="366" t="s">
        <v>4916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15" customHeight="1">
      <c r="A11" s="210">
        <v>3</v>
      </c>
      <c r="B11" s="373" t="s">
        <v>96</v>
      </c>
      <c r="C11" s="373"/>
      <c r="D11" s="206">
        <v>10</v>
      </c>
      <c r="E11" s="228" t="s">
        <v>42</v>
      </c>
      <c r="F11" s="228" t="s">
        <v>5</v>
      </c>
      <c r="G11" s="209" t="s">
        <v>4690</v>
      </c>
      <c r="H11" s="209" t="s">
        <v>446</v>
      </c>
      <c r="I11" s="366" t="s">
        <v>4943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ht="15" customHeight="1">
      <c r="A12" s="210">
        <v>4</v>
      </c>
      <c r="B12" s="373" t="s">
        <v>10</v>
      </c>
      <c r="C12" s="373"/>
      <c r="D12" s="206">
        <v>18</v>
      </c>
      <c r="E12" s="228" t="s">
        <v>4</v>
      </c>
      <c r="F12" s="228" t="s">
        <v>196</v>
      </c>
      <c r="G12" s="209" t="s">
        <v>446</v>
      </c>
      <c r="H12" s="209" t="s">
        <v>446</v>
      </c>
      <c r="I12" s="366" t="s">
        <v>4944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5" customHeight="1">
      <c r="A13" s="210">
        <v>5</v>
      </c>
      <c r="B13" s="373" t="s">
        <v>219</v>
      </c>
      <c r="C13" s="373"/>
      <c r="D13" s="206">
        <v>11</v>
      </c>
      <c r="E13" s="228" t="s">
        <v>42</v>
      </c>
      <c r="F13" s="228" t="s">
        <v>196</v>
      </c>
      <c r="G13" s="209" t="s">
        <v>446</v>
      </c>
      <c r="H13" s="209" t="s">
        <v>446</v>
      </c>
      <c r="I13" s="366" t="s">
        <v>4945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40.5">
      <c r="A14" s="210">
        <v>6</v>
      </c>
      <c r="B14" s="373" t="s">
        <v>5285</v>
      </c>
      <c r="C14" s="373"/>
      <c r="D14" s="206">
        <v>1</v>
      </c>
      <c r="E14" s="228" t="s">
        <v>4</v>
      </c>
      <c r="F14" s="228" t="s">
        <v>196</v>
      </c>
      <c r="G14" s="209" t="s">
        <v>446</v>
      </c>
      <c r="H14" s="209" t="s">
        <v>446</v>
      </c>
      <c r="I14" s="366" t="s">
        <v>4946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>1 : PAY-IN
2 : 유동성공급
3 : BULKING</v>
      </c>
    </row>
    <row r="15" spans="1:12" ht="15" customHeight="1">
      <c r="A15" s="210">
        <v>7</v>
      </c>
      <c r="B15" s="373" t="s">
        <v>220</v>
      </c>
      <c r="C15" s="373"/>
      <c r="D15" s="206">
        <v>11</v>
      </c>
      <c r="E15" s="228" t="s">
        <v>42</v>
      </c>
      <c r="F15" s="228" t="s">
        <v>196</v>
      </c>
      <c r="G15" s="209" t="s">
        <v>446</v>
      </c>
      <c r="H15" s="209" t="s">
        <v>446</v>
      </c>
      <c r="I15" s="366" t="s">
        <v>4945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5" customHeight="1">
      <c r="A16" s="210">
        <v>8</v>
      </c>
      <c r="B16" s="373" t="s">
        <v>221</v>
      </c>
      <c r="C16" s="373"/>
      <c r="D16" s="206">
        <v>11</v>
      </c>
      <c r="E16" s="228" t="s">
        <v>42</v>
      </c>
      <c r="F16" s="228" t="s">
        <v>196</v>
      </c>
      <c r="G16" s="209" t="s">
        <v>446</v>
      </c>
      <c r="H16" s="209" t="s">
        <v>446</v>
      </c>
      <c r="I16" s="366" t="s">
        <v>4945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5" customHeight="1">
      <c r="A17" s="210">
        <v>9</v>
      </c>
      <c r="B17" s="373" t="s">
        <v>222</v>
      </c>
      <c r="C17" s="373"/>
      <c r="D17" s="206">
        <v>11</v>
      </c>
      <c r="E17" s="228" t="s">
        <v>42</v>
      </c>
      <c r="F17" s="228" t="s">
        <v>196</v>
      </c>
      <c r="G17" s="209" t="s">
        <v>4661</v>
      </c>
      <c r="H17" s="209" t="s">
        <v>4661</v>
      </c>
      <c r="I17" s="366" t="s">
        <v>4945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30" customHeight="1">
      <c r="A18" s="210">
        <v>10</v>
      </c>
      <c r="B18" s="373" t="s">
        <v>22</v>
      </c>
      <c r="C18" s="373"/>
      <c r="D18" s="206">
        <v>6</v>
      </c>
      <c r="E18" s="228" t="s">
        <v>4</v>
      </c>
      <c r="F18" s="228" t="s">
        <v>5</v>
      </c>
      <c r="G18" s="209" t="s">
        <v>4690</v>
      </c>
      <c r="H18" s="209" t="s">
        <v>446</v>
      </c>
      <c r="I18" s="366" t="s">
        <v>4955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30" customHeight="1">
      <c r="A19" s="210">
        <v>11</v>
      </c>
      <c r="B19" s="373" t="s">
        <v>23</v>
      </c>
      <c r="C19" s="373"/>
      <c r="D19" s="206">
        <v>6</v>
      </c>
      <c r="E19" s="228" t="s">
        <v>4</v>
      </c>
      <c r="F19" s="228" t="s">
        <v>5</v>
      </c>
      <c r="G19" s="209" t="s">
        <v>4690</v>
      </c>
      <c r="H19" s="209" t="s">
        <v>446</v>
      </c>
      <c r="I19" s="366" t="s">
        <v>4956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373" t="s">
        <v>117</v>
      </c>
      <c r="C20" s="373"/>
      <c r="D20" s="206">
        <v>16</v>
      </c>
      <c r="E20" s="228" t="s">
        <v>42</v>
      </c>
      <c r="F20" s="228" t="s">
        <v>5</v>
      </c>
      <c r="G20" s="209" t="s">
        <v>4690</v>
      </c>
      <c r="H20" s="209" t="s">
        <v>446</v>
      </c>
      <c r="I20" s="366" t="s">
        <v>4947</v>
      </c>
      <c r="J20" s="367"/>
      <c r="K20" s="429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" customHeight="1">
      <c r="A21" s="210">
        <v>13</v>
      </c>
      <c r="B21" s="373" t="s">
        <v>5281</v>
      </c>
      <c r="C21" s="373"/>
      <c r="D21" s="206">
        <v>1</v>
      </c>
      <c r="E21" s="228" t="s">
        <v>4</v>
      </c>
      <c r="F21" s="228" t="s">
        <v>5</v>
      </c>
      <c r="G21" s="209" t="s">
        <v>4690</v>
      </c>
      <c r="H21" s="209" t="s">
        <v>446</v>
      </c>
      <c r="I21" s="366" t="s">
        <v>4948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>1 : 대기
2 : 결제</v>
      </c>
    </row>
    <row r="22" spans="1:12" ht="30" customHeight="1">
      <c r="A22" s="210">
        <v>14</v>
      </c>
      <c r="B22" s="372" t="s">
        <v>5280</v>
      </c>
      <c r="C22" s="372"/>
      <c r="D22" s="211">
        <v>5</v>
      </c>
      <c r="E22" s="228" t="s">
        <v>4</v>
      </c>
      <c r="F22" s="228" t="s">
        <v>5</v>
      </c>
      <c r="G22" s="209" t="s">
        <v>4690</v>
      </c>
      <c r="H22" s="209" t="s">
        <v>446</v>
      </c>
      <c r="I22" s="366" t="s">
        <v>4949</v>
      </c>
      <c r="J22" s="367"/>
      <c r="K22" s="429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372" t="s">
        <v>21</v>
      </c>
      <c r="C23" s="372"/>
      <c r="D23" s="211">
        <v>9</v>
      </c>
      <c r="E23" s="228" t="s">
        <v>42</v>
      </c>
      <c r="F23" s="228" t="s">
        <v>5</v>
      </c>
      <c r="G23" s="209" t="s">
        <v>4690</v>
      </c>
      <c r="H23" s="209" t="s">
        <v>446</v>
      </c>
      <c r="I23" s="366" t="s">
        <v>4950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30" customHeight="1">
      <c r="A24" s="210">
        <v>16</v>
      </c>
      <c r="B24" s="372" t="s">
        <v>27</v>
      </c>
      <c r="C24" s="372"/>
      <c r="D24" s="211">
        <v>18</v>
      </c>
      <c r="E24" s="228" t="s">
        <v>4</v>
      </c>
      <c r="F24" s="228" t="s">
        <v>5</v>
      </c>
      <c r="G24" s="209" t="s">
        <v>4690</v>
      </c>
      <c r="H24" s="209" t="s">
        <v>446</v>
      </c>
      <c r="I24" s="374" t="s">
        <v>4951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ht="30" customHeight="1">
      <c r="A25" s="210">
        <v>17</v>
      </c>
      <c r="B25" s="372" t="s">
        <v>44</v>
      </c>
      <c r="C25" s="372"/>
      <c r="D25" s="211">
        <v>18</v>
      </c>
      <c r="E25" s="228" t="s">
        <v>4</v>
      </c>
      <c r="F25" s="228" t="s">
        <v>5</v>
      </c>
      <c r="G25" s="209" t="s">
        <v>4690</v>
      </c>
      <c r="H25" s="209" t="s">
        <v>446</v>
      </c>
      <c r="I25" s="374" t="s">
        <v>4952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30" customHeight="1">
      <c r="A26" s="210">
        <v>18</v>
      </c>
      <c r="B26" s="372" t="s">
        <v>24</v>
      </c>
      <c r="C26" s="372"/>
      <c r="D26" s="211">
        <v>18</v>
      </c>
      <c r="E26" s="228" t="s">
        <v>4</v>
      </c>
      <c r="F26" s="228" t="s">
        <v>5</v>
      </c>
      <c r="G26" s="209" t="s">
        <v>4690</v>
      </c>
      <c r="H26" s="209" t="s">
        <v>446</v>
      </c>
      <c r="I26" s="374" t="s">
        <v>4953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15" customHeight="1" thickBot="1">
      <c r="A27" s="213">
        <v>19</v>
      </c>
      <c r="B27" s="420" t="s">
        <v>25</v>
      </c>
      <c r="C27" s="420"/>
      <c r="D27" s="223">
        <v>138</v>
      </c>
      <c r="E27" s="229" t="s">
        <v>26</v>
      </c>
      <c r="F27" s="229" t="s">
        <v>196</v>
      </c>
      <c r="G27" s="108" t="s">
        <v>4690</v>
      </c>
      <c r="H27" s="108" t="s">
        <v>4690</v>
      </c>
      <c r="I27" s="422" t="s">
        <v>254</v>
      </c>
      <c r="J27" s="423"/>
      <c r="K27" s="424"/>
      <c r="L27" s="198" t="str">
        <f ca="1">IFERROR(_xlfn.TEXTJOIN(CHAR(10), TRUE, OFFSET('&lt;별첨9&gt;전체코드'!E:E, MATCH(B27,'&lt;별첨9&gt;전체코드'!A:A,0)-1, 0, COUNTIF('&lt;별첨9&gt;전체코드'!A:A,B27), 1)), "")</f>
        <v/>
      </c>
    </row>
  </sheetData>
  <mergeCells count="53">
    <mergeCell ref="A2:L2"/>
    <mergeCell ref="I26:K26"/>
    <mergeCell ref="I24:K24"/>
    <mergeCell ref="I22:K22"/>
    <mergeCell ref="I20:K20"/>
    <mergeCell ref="I18:K18"/>
    <mergeCell ref="I16:K16"/>
    <mergeCell ref="I15:K15"/>
    <mergeCell ref="I14:K14"/>
    <mergeCell ref="I12:K12"/>
    <mergeCell ref="I13:K13"/>
    <mergeCell ref="I10:K10"/>
    <mergeCell ref="I7:K7"/>
    <mergeCell ref="I8:K8"/>
    <mergeCell ref="G4:I4"/>
    <mergeCell ref="K4:L4"/>
    <mergeCell ref="B25:C25"/>
    <mergeCell ref="B26:C26"/>
    <mergeCell ref="B27:C27"/>
    <mergeCell ref="I25:K25"/>
    <mergeCell ref="I27:K27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B16:C16"/>
    <mergeCell ref="B17:C17"/>
    <mergeCell ref="B18:C18"/>
    <mergeCell ref="I17:K17"/>
    <mergeCell ref="B13:C13"/>
    <mergeCell ref="B14:C14"/>
    <mergeCell ref="B15:C15"/>
    <mergeCell ref="B10:C10"/>
    <mergeCell ref="B11:C11"/>
    <mergeCell ref="B12:C12"/>
    <mergeCell ref="I11:K11"/>
    <mergeCell ref="A3:B3"/>
    <mergeCell ref="A4:B4"/>
    <mergeCell ref="D4:F4"/>
    <mergeCell ref="A5:B5"/>
    <mergeCell ref="D5:F5"/>
    <mergeCell ref="B7:C7"/>
    <mergeCell ref="B8:C8"/>
    <mergeCell ref="B9:C9"/>
    <mergeCell ref="C3:L3"/>
    <mergeCell ref="G5:I5"/>
    <mergeCell ref="K5:L5"/>
    <mergeCell ref="I9:K9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814A-A107-495A-82C6-597BF2E7BC76}">
  <sheetPr codeName="Sheet39"/>
  <dimension ref="A1:L27"/>
  <sheetViews>
    <sheetView zoomScale="85" zoomScaleNormal="85" workbookViewId="0">
      <selection activeCell="O30" sqref="O30"/>
    </sheetView>
  </sheetViews>
  <sheetFormatPr defaultRowHeight="16.5"/>
  <cols>
    <col min="1" max="1" width="4.625" style="10" customWidth="1"/>
    <col min="2" max="2" width="7.75" style="10" customWidth="1"/>
    <col min="3" max="3" width="12.7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4958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35"/>
      <c r="C3" s="408" t="s">
        <v>7635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38"/>
      <c r="C4" s="242" t="s">
        <v>7627</v>
      </c>
      <c r="D4" s="404" t="s">
        <v>32</v>
      </c>
      <c r="E4" s="405"/>
      <c r="F4" s="406"/>
      <c r="G4" s="410" t="s">
        <v>105</v>
      </c>
      <c r="H4" s="411"/>
      <c r="I4" s="412"/>
      <c r="J4" s="115" t="s">
        <v>33</v>
      </c>
      <c r="K4" s="410"/>
      <c r="L4" s="413"/>
    </row>
    <row r="5" spans="1:12" ht="28.5" customHeight="1" thickBot="1">
      <c r="A5" s="395" t="s">
        <v>34</v>
      </c>
      <c r="B5" s="439"/>
      <c r="C5" s="243">
        <v>520</v>
      </c>
      <c r="D5" s="397" t="s">
        <v>35</v>
      </c>
      <c r="E5" s="398"/>
      <c r="F5" s="399"/>
      <c r="G5" s="441" t="s">
        <v>84</v>
      </c>
      <c r="H5" s="442"/>
      <c r="I5" s="443"/>
      <c r="J5" s="118" t="s">
        <v>36</v>
      </c>
      <c r="K5" s="417" t="str">
        <f>VLOOKUP(G4,목록!E13:$G$82,3,FALSE)</f>
        <v>ZLP410102ZW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430" t="s">
        <v>3</v>
      </c>
      <c r="C9" s="431"/>
      <c r="D9" s="206">
        <v>8</v>
      </c>
      <c r="E9" s="228" t="s">
        <v>4</v>
      </c>
      <c r="F9" s="228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430" t="s">
        <v>112</v>
      </c>
      <c r="C10" s="431"/>
      <c r="D10" s="206">
        <v>4</v>
      </c>
      <c r="E10" s="228" t="s">
        <v>4</v>
      </c>
      <c r="F10" s="228" t="s">
        <v>5</v>
      </c>
      <c r="G10" s="209" t="s">
        <v>446</v>
      </c>
      <c r="H10" s="209" t="s">
        <v>446</v>
      </c>
      <c r="I10" s="366" t="s">
        <v>4916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15" customHeight="1">
      <c r="A11" s="210">
        <v>3</v>
      </c>
      <c r="B11" s="430" t="s">
        <v>96</v>
      </c>
      <c r="C11" s="431"/>
      <c r="D11" s="206">
        <v>10</v>
      </c>
      <c r="E11" s="228" t="s">
        <v>42</v>
      </c>
      <c r="F11" s="228" t="s">
        <v>5</v>
      </c>
      <c r="G11" s="209" t="s">
        <v>4690</v>
      </c>
      <c r="H11" s="209" t="s">
        <v>446</v>
      </c>
      <c r="I11" s="366" t="s">
        <v>4943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ht="13.5" customHeight="1">
      <c r="A12" s="210">
        <v>4</v>
      </c>
      <c r="B12" s="430" t="s">
        <v>10</v>
      </c>
      <c r="C12" s="431"/>
      <c r="D12" s="206">
        <v>18</v>
      </c>
      <c r="E12" s="228" t="s">
        <v>4</v>
      </c>
      <c r="F12" s="228" t="s">
        <v>5</v>
      </c>
      <c r="G12" s="209" t="s">
        <v>446</v>
      </c>
      <c r="H12" s="209" t="s">
        <v>446</v>
      </c>
      <c r="I12" s="366" t="s">
        <v>4944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50.25" customHeight="1">
      <c r="A13" s="210">
        <v>5</v>
      </c>
      <c r="B13" s="430" t="s">
        <v>219</v>
      </c>
      <c r="C13" s="431"/>
      <c r="D13" s="206">
        <v>11</v>
      </c>
      <c r="E13" s="228" t="s">
        <v>42</v>
      </c>
      <c r="F13" s="228" t="s">
        <v>5</v>
      </c>
      <c r="G13" s="209" t="s">
        <v>446</v>
      </c>
      <c r="H13" s="209" t="s">
        <v>446</v>
      </c>
      <c r="I13" s="366" t="s">
        <v>4945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40.5">
      <c r="A14" s="210">
        <v>6</v>
      </c>
      <c r="B14" s="430" t="s">
        <v>5285</v>
      </c>
      <c r="C14" s="431"/>
      <c r="D14" s="206">
        <v>1</v>
      </c>
      <c r="E14" s="228" t="s">
        <v>4</v>
      </c>
      <c r="F14" s="228" t="s">
        <v>5</v>
      </c>
      <c r="G14" s="209" t="s">
        <v>446</v>
      </c>
      <c r="H14" s="209" t="s">
        <v>446</v>
      </c>
      <c r="I14" s="366" t="s">
        <v>4946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>1 : PAY-IN
2 : 유동성공급
3 : BULKING</v>
      </c>
    </row>
    <row r="15" spans="1:12" ht="13.5" customHeight="1">
      <c r="A15" s="210">
        <v>7</v>
      </c>
      <c r="B15" s="430" t="s">
        <v>220</v>
      </c>
      <c r="C15" s="431"/>
      <c r="D15" s="206">
        <v>11</v>
      </c>
      <c r="E15" s="228" t="s">
        <v>42</v>
      </c>
      <c r="F15" s="228" t="s">
        <v>5</v>
      </c>
      <c r="G15" s="209" t="s">
        <v>446</v>
      </c>
      <c r="H15" s="209" t="s">
        <v>446</v>
      </c>
      <c r="I15" s="366" t="s">
        <v>4945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3.5" customHeight="1">
      <c r="A16" s="210">
        <v>8</v>
      </c>
      <c r="B16" s="430" t="s">
        <v>221</v>
      </c>
      <c r="C16" s="431"/>
      <c r="D16" s="206">
        <v>11</v>
      </c>
      <c r="E16" s="228" t="s">
        <v>42</v>
      </c>
      <c r="F16" s="228" t="s">
        <v>5</v>
      </c>
      <c r="G16" s="209" t="s">
        <v>446</v>
      </c>
      <c r="H16" s="209" t="s">
        <v>446</v>
      </c>
      <c r="I16" s="366" t="s">
        <v>4945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3.5" customHeight="1">
      <c r="A17" s="210">
        <v>9</v>
      </c>
      <c r="B17" s="430" t="s">
        <v>222</v>
      </c>
      <c r="C17" s="431"/>
      <c r="D17" s="206">
        <v>11</v>
      </c>
      <c r="E17" s="228" t="s">
        <v>42</v>
      </c>
      <c r="F17" s="228" t="s">
        <v>5</v>
      </c>
      <c r="G17" s="209" t="s">
        <v>4661</v>
      </c>
      <c r="H17" s="209" t="s">
        <v>4661</v>
      </c>
      <c r="I17" s="366" t="s">
        <v>4945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15" customHeight="1">
      <c r="A18" s="210">
        <v>10</v>
      </c>
      <c r="B18" s="430" t="s">
        <v>22</v>
      </c>
      <c r="C18" s="431"/>
      <c r="D18" s="206">
        <v>6</v>
      </c>
      <c r="E18" s="228" t="s">
        <v>4</v>
      </c>
      <c r="F18" s="228" t="s">
        <v>5</v>
      </c>
      <c r="G18" s="209" t="s">
        <v>4690</v>
      </c>
      <c r="H18" s="209" t="s">
        <v>446</v>
      </c>
      <c r="I18" s="366" t="s">
        <v>4955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430" t="s">
        <v>23</v>
      </c>
      <c r="C19" s="431"/>
      <c r="D19" s="206">
        <v>6</v>
      </c>
      <c r="E19" s="228" t="s">
        <v>4</v>
      </c>
      <c r="F19" s="228" t="s">
        <v>5</v>
      </c>
      <c r="G19" s="209" t="s">
        <v>4690</v>
      </c>
      <c r="H19" s="209" t="s">
        <v>446</v>
      </c>
      <c r="I19" s="366" t="s">
        <v>4956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430" t="s">
        <v>117</v>
      </c>
      <c r="C20" s="431"/>
      <c r="D20" s="206">
        <v>16</v>
      </c>
      <c r="E20" s="228" t="s">
        <v>42</v>
      </c>
      <c r="F20" s="228" t="s">
        <v>5</v>
      </c>
      <c r="G20" s="209" t="s">
        <v>4690</v>
      </c>
      <c r="H20" s="209" t="s">
        <v>446</v>
      </c>
      <c r="I20" s="366" t="s">
        <v>4947</v>
      </c>
      <c r="J20" s="367"/>
      <c r="K20" s="429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">
      <c r="A21" s="210">
        <v>13</v>
      </c>
      <c r="B21" s="430" t="s">
        <v>5281</v>
      </c>
      <c r="C21" s="431"/>
      <c r="D21" s="206">
        <v>1</v>
      </c>
      <c r="E21" s="228" t="s">
        <v>4</v>
      </c>
      <c r="F21" s="228" t="s">
        <v>5</v>
      </c>
      <c r="G21" s="209" t="s">
        <v>4690</v>
      </c>
      <c r="H21" s="209" t="s">
        <v>446</v>
      </c>
      <c r="I21" s="366" t="s">
        <v>4948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>1 : 대기
2 : 결제</v>
      </c>
    </row>
    <row r="22" spans="1:12" ht="15" customHeight="1">
      <c r="A22" s="210">
        <v>14</v>
      </c>
      <c r="B22" s="364" t="s">
        <v>20</v>
      </c>
      <c r="C22" s="365"/>
      <c r="D22" s="211">
        <v>5</v>
      </c>
      <c r="E22" s="228" t="s">
        <v>4</v>
      </c>
      <c r="F22" s="228" t="s">
        <v>5</v>
      </c>
      <c r="G22" s="209" t="s">
        <v>4690</v>
      </c>
      <c r="H22" s="209" t="s">
        <v>446</v>
      </c>
      <c r="I22" s="366" t="s">
        <v>4949</v>
      </c>
      <c r="J22" s="367"/>
      <c r="K22" s="429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364" t="s">
        <v>21</v>
      </c>
      <c r="C23" s="365"/>
      <c r="D23" s="211">
        <v>9</v>
      </c>
      <c r="E23" s="228" t="s">
        <v>42</v>
      </c>
      <c r="F23" s="228" t="s">
        <v>5</v>
      </c>
      <c r="G23" s="209" t="s">
        <v>4690</v>
      </c>
      <c r="H23" s="209" t="s">
        <v>446</v>
      </c>
      <c r="I23" s="366" t="s">
        <v>4950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30" customHeight="1">
      <c r="A24" s="210">
        <v>16</v>
      </c>
      <c r="B24" s="364" t="s">
        <v>27</v>
      </c>
      <c r="C24" s="365"/>
      <c r="D24" s="211">
        <v>18</v>
      </c>
      <c r="E24" s="228" t="s">
        <v>4</v>
      </c>
      <c r="F24" s="228" t="s">
        <v>5</v>
      </c>
      <c r="G24" s="209" t="s">
        <v>4690</v>
      </c>
      <c r="H24" s="209" t="s">
        <v>446</v>
      </c>
      <c r="I24" s="374" t="s">
        <v>4951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ht="30" customHeight="1">
      <c r="A25" s="210">
        <v>17</v>
      </c>
      <c r="B25" s="364" t="s">
        <v>44</v>
      </c>
      <c r="C25" s="365"/>
      <c r="D25" s="211">
        <v>18</v>
      </c>
      <c r="E25" s="228" t="s">
        <v>4</v>
      </c>
      <c r="F25" s="228" t="s">
        <v>5</v>
      </c>
      <c r="G25" s="209" t="s">
        <v>4690</v>
      </c>
      <c r="H25" s="209" t="s">
        <v>446</v>
      </c>
      <c r="I25" s="374" t="s">
        <v>4952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30" customHeight="1">
      <c r="A26" s="210">
        <v>18</v>
      </c>
      <c r="B26" s="364" t="s">
        <v>24</v>
      </c>
      <c r="C26" s="365"/>
      <c r="D26" s="211">
        <v>18</v>
      </c>
      <c r="E26" s="228" t="s">
        <v>4</v>
      </c>
      <c r="F26" s="228" t="s">
        <v>5</v>
      </c>
      <c r="G26" s="209" t="s">
        <v>4690</v>
      </c>
      <c r="H26" s="209" t="s">
        <v>446</v>
      </c>
      <c r="I26" s="374" t="s">
        <v>4953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15" customHeight="1" thickBot="1">
      <c r="A27" s="213">
        <v>19</v>
      </c>
      <c r="B27" s="451" t="s">
        <v>25</v>
      </c>
      <c r="C27" s="452"/>
      <c r="D27" s="223">
        <v>138</v>
      </c>
      <c r="E27" s="229" t="s">
        <v>26</v>
      </c>
      <c r="F27" s="229" t="s">
        <v>5</v>
      </c>
      <c r="G27" s="108" t="s">
        <v>4690</v>
      </c>
      <c r="H27" s="108" t="s">
        <v>4690</v>
      </c>
      <c r="I27" s="422" t="s">
        <v>254</v>
      </c>
      <c r="J27" s="423"/>
      <c r="K27" s="424"/>
      <c r="L27" s="198" t="str">
        <f ca="1">IFERROR(_xlfn.TEXTJOIN(CHAR(10), TRUE, OFFSET('&lt;별첨9&gt;전체코드'!E:E, MATCH(B27,'&lt;별첨9&gt;전체코드'!A:A,0)-1, 0, COUNTIF('&lt;별첨9&gt;전체코드'!A:A,B27), 1)), "")</f>
        <v/>
      </c>
    </row>
  </sheetData>
  <mergeCells count="53">
    <mergeCell ref="A2:L2"/>
    <mergeCell ref="I26:K26"/>
    <mergeCell ref="I24:K24"/>
    <mergeCell ref="I21:K21"/>
    <mergeCell ref="I22:K22"/>
    <mergeCell ref="I19:K19"/>
    <mergeCell ref="I20:K20"/>
    <mergeCell ref="I17:K17"/>
    <mergeCell ref="I18:K18"/>
    <mergeCell ref="I15:K15"/>
    <mergeCell ref="I16:K16"/>
    <mergeCell ref="I14:K14"/>
    <mergeCell ref="I12:K12"/>
    <mergeCell ref="I11:K11"/>
    <mergeCell ref="I13:K13"/>
    <mergeCell ref="I8:K8"/>
    <mergeCell ref="I7:K7"/>
    <mergeCell ref="I9:K9"/>
    <mergeCell ref="C3:L3"/>
    <mergeCell ref="A3:B3"/>
    <mergeCell ref="A4:B4"/>
    <mergeCell ref="D4:F4"/>
    <mergeCell ref="A5:B5"/>
    <mergeCell ref="D5:F5"/>
    <mergeCell ref="G4:I4"/>
    <mergeCell ref="G5:I5"/>
    <mergeCell ref="K5:L5"/>
    <mergeCell ref="K4:L4"/>
    <mergeCell ref="I10:K10"/>
    <mergeCell ref="B14:C14"/>
    <mergeCell ref="B15:C15"/>
    <mergeCell ref="B16:C16"/>
    <mergeCell ref="B17:C17"/>
    <mergeCell ref="B18:C18"/>
    <mergeCell ref="B19:C19"/>
    <mergeCell ref="B20:C20"/>
    <mergeCell ref="B23:C23"/>
    <mergeCell ref="B7:C7"/>
    <mergeCell ref="B9:C9"/>
    <mergeCell ref="B10:C10"/>
    <mergeCell ref="B8:C8"/>
    <mergeCell ref="B11:C11"/>
    <mergeCell ref="B12:C12"/>
    <mergeCell ref="B13:C13"/>
    <mergeCell ref="B22:C22"/>
    <mergeCell ref="B21:C21"/>
    <mergeCell ref="B24:C24"/>
    <mergeCell ref="B25:C25"/>
    <mergeCell ref="B26:C26"/>
    <mergeCell ref="B27:C27"/>
    <mergeCell ref="I23:K23"/>
    <mergeCell ref="I25:K25"/>
    <mergeCell ref="I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B8E2-AAE6-4E4F-80C9-04216B98E2EA}">
  <sheetPr codeName="Sheet40"/>
  <dimension ref="A1:K21"/>
  <sheetViews>
    <sheetView zoomScaleNormal="100" workbookViewId="0">
      <selection activeCell="L27" sqref="L27"/>
    </sheetView>
  </sheetViews>
  <sheetFormatPr defaultRowHeight="16.5"/>
  <cols>
    <col min="1" max="1" width="4.625" style="10" customWidth="1"/>
    <col min="2" max="2" width="7.75" style="10" customWidth="1"/>
    <col min="3" max="3" width="12.75" style="10" customWidth="1"/>
    <col min="4" max="7" width="4.625" style="10" customWidth="1"/>
    <col min="8" max="8" width="9" style="10"/>
    <col min="9" max="9" width="11.5" style="10" customWidth="1"/>
    <col min="10" max="10" width="32.875" style="10" customWidth="1"/>
    <col min="11" max="11" width="22.25" style="10" customWidth="1"/>
    <col min="12" max="16384" width="9" style="10"/>
  </cols>
  <sheetData>
    <row r="1" spans="1:11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9.5" thickBot="1">
      <c r="A2" s="383" t="s">
        <v>4968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</row>
    <row r="3" spans="1:11" ht="15" customHeight="1">
      <c r="A3" s="400" t="s">
        <v>0</v>
      </c>
      <c r="B3" s="435"/>
      <c r="C3" s="408" t="s">
        <v>7636</v>
      </c>
      <c r="D3" s="408"/>
      <c r="E3" s="408"/>
      <c r="F3" s="408"/>
      <c r="G3" s="408"/>
      <c r="H3" s="408"/>
      <c r="I3" s="408"/>
      <c r="J3" s="408"/>
      <c r="K3" s="409"/>
    </row>
    <row r="4" spans="1:11" ht="15" customHeight="1">
      <c r="A4" s="402" t="s">
        <v>31</v>
      </c>
      <c r="B4" s="438"/>
      <c r="C4" s="242" t="s">
        <v>7627</v>
      </c>
      <c r="D4" s="404" t="s">
        <v>32</v>
      </c>
      <c r="E4" s="405"/>
      <c r="F4" s="406"/>
      <c r="G4" s="410" t="s">
        <v>107</v>
      </c>
      <c r="H4" s="412"/>
      <c r="I4" s="115" t="s">
        <v>33</v>
      </c>
      <c r="J4" s="410"/>
      <c r="K4" s="413"/>
    </row>
    <row r="5" spans="1:11" ht="28.5" customHeight="1" thickBot="1">
      <c r="A5" s="395" t="s">
        <v>34</v>
      </c>
      <c r="B5" s="439"/>
      <c r="C5" s="243">
        <v>440</v>
      </c>
      <c r="D5" s="397" t="s">
        <v>35</v>
      </c>
      <c r="E5" s="398"/>
      <c r="F5" s="399"/>
      <c r="G5" s="414" t="s">
        <v>84</v>
      </c>
      <c r="H5" s="416"/>
      <c r="I5" s="118" t="s">
        <v>36</v>
      </c>
      <c r="J5" s="417" t="str">
        <f>VLOOKUP(G4,목록!E13:$G$82,3,FALSE)</f>
        <v>SLP540201BW
SLP540301ZW</v>
      </c>
      <c r="K5" s="418"/>
    </row>
    <row r="6" spans="1:1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1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87" t="s">
        <v>4660</v>
      </c>
      <c r="H7" s="381" t="s">
        <v>40</v>
      </c>
      <c r="I7" s="382"/>
      <c r="J7" s="382"/>
      <c r="K7" s="109" t="s">
        <v>4708</v>
      </c>
    </row>
    <row r="8" spans="1:11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379" t="s">
        <v>4665</v>
      </c>
      <c r="I8" s="380"/>
      <c r="J8" s="380"/>
      <c r="K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1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28" t="s">
        <v>5</v>
      </c>
      <c r="G9" s="209" t="s">
        <v>446</v>
      </c>
      <c r="H9" s="366" t="s">
        <v>7611</v>
      </c>
      <c r="I9" s="367"/>
      <c r="J9" s="367"/>
      <c r="K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1" ht="15" customHeight="1">
      <c r="A10" s="210">
        <v>2</v>
      </c>
      <c r="B10" s="373" t="s">
        <v>96</v>
      </c>
      <c r="C10" s="373"/>
      <c r="D10" s="206">
        <v>10</v>
      </c>
      <c r="E10" s="228" t="s">
        <v>42</v>
      </c>
      <c r="F10" s="228" t="s">
        <v>5</v>
      </c>
      <c r="G10" s="209" t="s">
        <v>446</v>
      </c>
      <c r="H10" s="366" t="s">
        <v>4943</v>
      </c>
      <c r="I10" s="367"/>
      <c r="J10" s="429"/>
      <c r="K10" s="196" t="str">
        <f ca="1">IFERROR(_xlfn.TEXTJOIN(CHAR(10), TRUE, OFFSET('&lt;별첨9&gt;전체코드'!E:E, MATCH(B10,'&lt;별첨9&gt;전체코드'!A:A,0)-1, 0, COUNTIF('&lt;별첨9&gt;전체코드'!A:A,B10), 1)), "")</f>
        <v/>
      </c>
    </row>
    <row r="11" spans="1:11" ht="15" customHeight="1">
      <c r="A11" s="210">
        <v>3</v>
      </c>
      <c r="B11" s="373" t="s">
        <v>112</v>
      </c>
      <c r="C11" s="373"/>
      <c r="D11" s="206">
        <v>4</v>
      </c>
      <c r="E11" s="228" t="s">
        <v>4</v>
      </c>
      <c r="F11" s="228" t="s">
        <v>5</v>
      </c>
      <c r="G11" s="209" t="s">
        <v>446</v>
      </c>
      <c r="H11" s="366" t="s">
        <v>4916</v>
      </c>
      <c r="I11" s="367"/>
      <c r="J11" s="429"/>
      <c r="K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1" ht="13.5" customHeight="1">
      <c r="A12" s="210">
        <v>4</v>
      </c>
      <c r="B12" s="373" t="s">
        <v>118</v>
      </c>
      <c r="C12" s="373"/>
      <c r="D12" s="206">
        <v>16</v>
      </c>
      <c r="E12" s="228" t="s">
        <v>42</v>
      </c>
      <c r="F12" s="228" t="s">
        <v>5</v>
      </c>
      <c r="G12" s="209" t="s">
        <v>446</v>
      </c>
      <c r="H12" s="366" t="s">
        <v>4959</v>
      </c>
      <c r="I12" s="367"/>
      <c r="J12" s="367"/>
      <c r="K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1" ht="15" customHeight="1">
      <c r="A13" s="210">
        <v>5</v>
      </c>
      <c r="B13" s="373" t="s">
        <v>119</v>
      </c>
      <c r="C13" s="373"/>
      <c r="D13" s="206">
        <v>16</v>
      </c>
      <c r="E13" s="228" t="s">
        <v>42</v>
      </c>
      <c r="F13" s="228" t="s">
        <v>5</v>
      </c>
      <c r="G13" s="209" t="s">
        <v>446</v>
      </c>
      <c r="H13" s="366" t="s">
        <v>4960</v>
      </c>
      <c r="I13" s="367"/>
      <c r="J13" s="367"/>
      <c r="K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1" ht="15" customHeight="1">
      <c r="A14" s="210">
        <v>6</v>
      </c>
      <c r="B14" s="373" t="s">
        <v>10</v>
      </c>
      <c r="C14" s="373"/>
      <c r="D14" s="206">
        <v>18</v>
      </c>
      <c r="E14" s="228" t="s">
        <v>4</v>
      </c>
      <c r="F14" s="228" t="s">
        <v>5</v>
      </c>
      <c r="G14" s="209" t="s">
        <v>446</v>
      </c>
      <c r="H14" s="366" t="s">
        <v>4961</v>
      </c>
      <c r="I14" s="367"/>
      <c r="J14" s="367"/>
      <c r="K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1" ht="13.5" customHeight="1">
      <c r="A15" s="210">
        <v>7</v>
      </c>
      <c r="B15" s="373" t="s">
        <v>114</v>
      </c>
      <c r="C15" s="373"/>
      <c r="D15" s="206">
        <v>11</v>
      </c>
      <c r="E15" s="228" t="s">
        <v>42</v>
      </c>
      <c r="F15" s="228" t="s">
        <v>5</v>
      </c>
      <c r="G15" s="209" t="s">
        <v>446</v>
      </c>
      <c r="H15" s="366" t="s">
        <v>4962</v>
      </c>
      <c r="I15" s="367"/>
      <c r="J15" s="367"/>
      <c r="K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1" ht="13.5" customHeight="1">
      <c r="A16" s="210">
        <v>8</v>
      </c>
      <c r="B16" s="373" t="s">
        <v>4963</v>
      </c>
      <c r="C16" s="373"/>
      <c r="D16" s="206">
        <v>11</v>
      </c>
      <c r="E16" s="228" t="s">
        <v>42</v>
      </c>
      <c r="F16" s="228" t="s">
        <v>5</v>
      </c>
      <c r="G16" s="209" t="s">
        <v>446</v>
      </c>
      <c r="H16" s="366" t="s">
        <v>4964</v>
      </c>
      <c r="I16" s="367"/>
      <c r="J16" s="367"/>
      <c r="K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1" ht="13.5" customHeight="1">
      <c r="A17" s="210">
        <v>9</v>
      </c>
      <c r="B17" s="373" t="s">
        <v>115</v>
      </c>
      <c r="C17" s="373"/>
      <c r="D17" s="206">
        <v>11</v>
      </c>
      <c r="E17" s="228" t="s">
        <v>42</v>
      </c>
      <c r="F17" s="228" t="s">
        <v>5</v>
      </c>
      <c r="G17" s="209" t="s">
        <v>446</v>
      </c>
      <c r="H17" s="366" t="s">
        <v>4965</v>
      </c>
      <c r="I17" s="367"/>
      <c r="J17" s="367"/>
      <c r="K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1" ht="13.5" customHeight="1">
      <c r="A18" s="210">
        <v>10</v>
      </c>
      <c r="B18" s="373" t="s">
        <v>120</v>
      </c>
      <c r="C18" s="373"/>
      <c r="D18" s="206">
        <v>11</v>
      </c>
      <c r="E18" s="228" t="s">
        <v>42</v>
      </c>
      <c r="F18" s="228" t="s">
        <v>5</v>
      </c>
      <c r="G18" s="209" t="s">
        <v>446</v>
      </c>
      <c r="H18" s="366" t="s">
        <v>4966</v>
      </c>
      <c r="I18" s="367"/>
      <c r="J18" s="367"/>
      <c r="K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1" ht="15" customHeight="1">
      <c r="A19" s="210">
        <v>11</v>
      </c>
      <c r="B19" s="373" t="s">
        <v>22</v>
      </c>
      <c r="C19" s="373"/>
      <c r="D19" s="206">
        <v>6</v>
      </c>
      <c r="E19" s="228" t="s">
        <v>4</v>
      </c>
      <c r="F19" s="228" t="s">
        <v>5</v>
      </c>
      <c r="G19" s="209" t="s">
        <v>446</v>
      </c>
      <c r="H19" s="366" t="s">
        <v>4967</v>
      </c>
      <c r="I19" s="367"/>
      <c r="J19" s="367"/>
      <c r="K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1" ht="15" customHeight="1">
      <c r="A20" s="210">
        <v>12</v>
      </c>
      <c r="B20" s="373" t="s">
        <v>23</v>
      </c>
      <c r="C20" s="373"/>
      <c r="D20" s="206">
        <v>6</v>
      </c>
      <c r="E20" s="228" t="s">
        <v>4</v>
      </c>
      <c r="F20" s="228" t="s">
        <v>5</v>
      </c>
      <c r="G20" s="209" t="s">
        <v>446</v>
      </c>
      <c r="H20" s="366" t="s">
        <v>4967</v>
      </c>
      <c r="I20" s="367"/>
      <c r="J20" s="367"/>
      <c r="K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1" ht="15" customHeight="1" thickBot="1">
      <c r="A21" s="213">
        <v>13</v>
      </c>
      <c r="B21" s="451" t="s">
        <v>25</v>
      </c>
      <c r="C21" s="452"/>
      <c r="D21" s="223">
        <v>112</v>
      </c>
      <c r="E21" s="229" t="s">
        <v>26</v>
      </c>
      <c r="F21" s="229" t="s">
        <v>5</v>
      </c>
      <c r="G21" s="108" t="s">
        <v>4690</v>
      </c>
      <c r="H21" s="422" t="s">
        <v>254</v>
      </c>
      <c r="I21" s="423"/>
      <c r="J21" s="424"/>
      <c r="K21" s="198" t="str">
        <f ca="1">IFERROR(_xlfn.TEXTJOIN(CHAR(10), TRUE, OFFSET('&lt;별첨9&gt;전체코드'!E:E, MATCH(B21,'&lt;별첨9&gt;전체코드'!A:A,0)-1, 0, COUNTIF('&lt;별첨9&gt;전체코드'!A:A,B21), 1)), "")</f>
        <v/>
      </c>
    </row>
  </sheetData>
  <mergeCells count="41">
    <mergeCell ref="A2:K2"/>
    <mergeCell ref="H20:J20"/>
    <mergeCell ref="H18:J18"/>
    <mergeCell ref="H14:J14"/>
    <mergeCell ref="H12:J12"/>
    <mergeCell ref="H10:J10"/>
    <mergeCell ref="H8:J8"/>
    <mergeCell ref="J5:K5"/>
    <mergeCell ref="C3:K3"/>
    <mergeCell ref="A3:B3"/>
    <mergeCell ref="A4:B4"/>
    <mergeCell ref="D4:F4"/>
    <mergeCell ref="J4:K4"/>
    <mergeCell ref="A5:B5"/>
    <mergeCell ref="D5:F5"/>
    <mergeCell ref="G4:H4"/>
    <mergeCell ref="G5:H5"/>
    <mergeCell ref="B7:C7"/>
    <mergeCell ref="B9:C9"/>
    <mergeCell ref="B10:C10"/>
    <mergeCell ref="B8:C8"/>
    <mergeCell ref="H7:J7"/>
    <mergeCell ref="H9:J9"/>
    <mergeCell ref="B11:C11"/>
    <mergeCell ref="B12:C12"/>
    <mergeCell ref="B13:C13"/>
    <mergeCell ref="H11:J11"/>
    <mergeCell ref="H13:J13"/>
    <mergeCell ref="B14:C14"/>
    <mergeCell ref="B15:C15"/>
    <mergeCell ref="B16:C16"/>
    <mergeCell ref="H15:J15"/>
    <mergeCell ref="B20:C20"/>
    <mergeCell ref="H16:J16"/>
    <mergeCell ref="B21:C21"/>
    <mergeCell ref="B17:C17"/>
    <mergeCell ref="B18:C18"/>
    <mergeCell ref="B19:C19"/>
    <mergeCell ref="H17:J17"/>
    <mergeCell ref="H19:J19"/>
    <mergeCell ref="H21:J2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543-0EEC-4D6F-9821-7731EA32B877}">
  <sheetPr codeName="Sheet41"/>
  <dimension ref="A1:L27"/>
  <sheetViews>
    <sheetView zoomScale="85" zoomScaleNormal="85" workbookViewId="0">
      <selection activeCell="P30" sqref="P30"/>
    </sheetView>
  </sheetViews>
  <sheetFormatPr defaultRowHeight="16.5"/>
  <cols>
    <col min="1" max="1" width="4.625" style="10" customWidth="1"/>
    <col min="2" max="2" width="7.75" style="10" customWidth="1"/>
    <col min="3" max="3" width="16.125" style="10" customWidth="1"/>
    <col min="4" max="6" width="4.625" style="10" customWidth="1"/>
    <col min="7" max="8" width="4.625" style="7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4975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35"/>
      <c r="C3" s="408" t="s">
        <v>4969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38"/>
      <c r="C4" s="242" t="s">
        <v>7627</v>
      </c>
      <c r="D4" s="404" t="s">
        <v>32</v>
      </c>
      <c r="E4" s="405"/>
      <c r="F4" s="406"/>
      <c r="G4" s="410" t="s">
        <v>106</v>
      </c>
      <c r="H4" s="411"/>
      <c r="I4" s="412"/>
      <c r="J4" s="115" t="s">
        <v>33</v>
      </c>
      <c r="K4" s="410"/>
      <c r="L4" s="413"/>
    </row>
    <row r="5" spans="1:12" ht="28.5" customHeight="1" thickBot="1">
      <c r="A5" s="395" t="s">
        <v>34</v>
      </c>
      <c r="B5" s="439"/>
      <c r="C5" s="243">
        <v>520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SLP530101BW
SLP530102BW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31">
        <v>8</v>
      </c>
      <c r="E9" s="228" t="s">
        <v>4</v>
      </c>
      <c r="F9" s="228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112</v>
      </c>
      <c r="C10" s="373"/>
      <c r="D10" s="231">
        <v>4</v>
      </c>
      <c r="E10" s="228" t="s">
        <v>4</v>
      </c>
      <c r="F10" s="228" t="s">
        <v>5</v>
      </c>
      <c r="G10" s="209" t="s">
        <v>446</v>
      </c>
      <c r="H10" s="209" t="s">
        <v>446</v>
      </c>
      <c r="I10" s="366" t="s">
        <v>4916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15" customHeight="1">
      <c r="A11" s="210">
        <v>3</v>
      </c>
      <c r="B11" s="373" t="s">
        <v>96</v>
      </c>
      <c r="C11" s="373"/>
      <c r="D11" s="231">
        <v>10</v>
      </c>
      <c r="E11" s="228" t="s">
        <v>42</v>
      </c>
      <c r="F11" s="228" t="s">
        <v>5</v>
      </c>
      <c r="G11" s="209" t="s">
        <v>446</v>
      </c>
      <c r="H11" s="209" t="s">
        <v>446</v>
      </c>
      <c r="I11" s="366" t="s">
        <v>4943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ht="15" customHeight="1">
      <c r="A12" s="210">
        <v>4</v>
      </c>
      <c r="B12" s="373" t="s">
        <v>10</v>
      </c>
      <c r="C12" s="373"/>
      <c r="D12" s="231">
        <v>18</v>
      </c>
      <c r="E12" s="228" t="s">
        <v>4</v>
      </c>
      <c r="F12" s="228" t="s">
        <v>5</v>
      </c>
      <c r="G12" s="209" t="s">
        <v>446</v>
      </c>
      <c r="H12" s="209" t="s">
        <v>446</v>
      </c>
      <c r="I12" s="366" t="s">
        <v>4970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5" customHeight="1">
      <c r="A13" s="210">
        <v>5</v>
      </c>
      <c r="B13" s="373" t="s">
        <v>113</v>
      </c>
      <c r="C13" s="373"/>
      <c r="D13" s="231">
        <v>11</v>
      </c>
      <c r="E13" s="228" t="s">
        <v>42</v>
      </c>
      <c r="F13" s="228" t="s">
        <v>5</v>
      </c>
      <c r="G13" s="209" t="s">
        <v>446</v>
      </c>
      <c r="H13" s="209" t="s">
        <v>446</v>
      </c>
      <c r="I13" s="366" t="s">
        <v>4971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40.5">
      <c r="A14" s="210">
        <v>6</v>
      </c>
      <c r="B14" s="373" t="s">
        <v>5285</v>
      </c>
      <c r="C14" s="373"/>
      <c r="D14" s="231">
        <v>1</v>
      </c>
      <c r="E14" s="228" t="s">
        <v>4</v>
      </c>
      <c r="F14" s="228" t="s">
        <v>5</v>
      </c>
      <c r="G14" s="209" t="s">
        <v>446</v>
      </c>
      <c r="H14" s="209" t="s">
        <v>446</v>
      </c>
      <c r="I14" s="366" t="s">
        <v>4946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>1 : PAY-IN
2 : 유동성공급
3 : BULKING</v>
      </c>
    </row>
    <row r="15" spans="1:12" ht="15" customHeight="1">
      <c r="A15" s="210">
        <v>7</v>
      </c>
      <c r="B15" s="373" t="s">
        <v>114</v>
      </c>
      <c r="C15" s="373"/>
      <c r="D15" s="231">
        <v>11</v>
      </c>
      <c r="E15" s="228" t="s">
        <v>42</v>
      </c>
      <c r="F15" s="228" t="s">
        <v>5</v>
      </c>
      <c r="G15" s="209" t="s">
        <v>446</v>
      </c>
      <c r="H15" s="209" t="s">
        <v>446</v>
      </c>
      <c r="I15" s="366" t="s">
        <v>4962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5" customHeight="1">
      <c r="A16" s="210">
        <v>8</v>
      </c>
      <c r="B16" s="373" t="s">
        <v>115</v>
      </c>
      <c r="C16" s="373"/>
      <c r="D16" s="231">
        <v>11</v>
      </c>
      <c r="E16" s="228" t="s">
        <v>42</v>
      </c>
      <c r="F16" s="228" t="s">
        <v>5</v>
      </c>
      <c r="G16" s="209" t="s">
        <v>446</v>
      </c>
      <c r="H16" s="209" t="s">
        <v>446</v>
      </c>
      <c r="I16" s="366" t="s">
        <v>4965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5" customHeight="1">
      <c r="A17" s="210">
        <v>9</v>
      </c>
      <c r="B17" s="373" t="s">
        <v>116</v>
      </c>
      <c r="C17" s="373"/>
      <c r="D17" s="231">
        <v>11</v>
      </c>
      <c r="E17" s="228" t="s">
        <v>42</v>
      </c>
      <c r="F17" s="228" t="s">
        <v>5</v>
      </c>
      <c r="G17" s="209" t="s">
        <v>446</v>
      </c>
      <c r="H17" s="209" t="s">
        <v>446</v>
      </c>
      <c r="I17" s="366" t="s">
        <v>4964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15" customHeight="1">
      <c r="A18" s="210">
        <v>10</v>
      </c>
      <c r="B18" s="373" t="s">
        <v>22</v>
      </c>
      <c r="C18" s="373"/>
      <c r="D18" s="231">
        <v>6</v>
      </c>
      <c r="E18" s="228" t="s">
        <v>4</v>
      </c>
      <c r="F18" s="228" t="s">
        <v>5</v>
      </c>
      <c r="G18" s="209" t="s">
        <v>446</v>
      </c>
      <c r="H18" s="209" t="s">
        <v>446</v>
      </c>
      <c r="I18" s="366" t="s">
        <v>4967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30" customHeight="1">
      <c r="A19" s="210">
        <v>11</v>
      </c>
      <c r="B19" s="373" t="s">
        <v>23</v>
      </c>
      <c r="C19" s="373"/>
      <c r="D19" s="231">
        <v>6</v>
      </c>
      <c r="E19" s="228" t="s">
        <v>4</v>
      </c>
      <c r="F19" s="228" t="s">
        <v>5</v>
      </c>
      <c r="G19" s="209" t="s">
        <v>446</v>
      </c>
      <c r="H19" s="209" t="s">
        <v>446</v>
      </c>
      <c r="I19" s="366" t="s">
        <v>4972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373" t="s">
        <v>117</v>
      </c>
      <c r="C20" s="373"/>
      <c r="D20" s="231">
        <v>16</v>
      </c>
      <c r="E20" s="228" t="s">
        <v>42</v>
      </c>
      <c r="F20" s="228" t="s">
        <v>5</v>
      </c>
      <c r="G20" s="209" t="s">
        <v>446</v>
      </c>
      <c r="H20" s="209" t="s">
        <v>446</v>
      </c>
      <c r="I20" s="366" t="s">
        <v>4947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">
      <c r="A21" s="210">
        <v>13</v>
      </c>
      <c r="B21" s="373" t="s">
        <v>5281</v>
      </c>
      <c r="C21" s="373"/>
      <c r="D21" s="231">
        <v>1</v>
      </c>
      <c r="E21" s="228" t="s">
        <v>4</v>
      </c>
      <c r="F21" s="228" t="s">
        <v>5</v>
      </c>
      <c r="G21" s="209" t="s">
        <v>446</v>
      </c>
      <c r="H21" s="209" t="s">
        <v>446</v>
      </c>
      <c r="I21" s="366" t="s">
        <v>4948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대기
2 : 결제</v>
      </c>
    </row>
    <row r="22" spans="1:12" ht="30" customHeight="1">
      <c r="A22" s="210">
        <v>14</v>
      </c>
      <c r="B22" s="372" t="s">
        <v>20</v>
      </c>
      <c r="C22" s="372"/>
      <c r="D22" s="231">
        <v>5</v>
      </c>
      <c r="E22" s="228" t="s">
        <v>4</v>
      </c>
      <c r="F22" s="228" t="s">
        <v>5</v>
      </c>
      <c r="G22" s="209" t="s">
        <v>446</v>
      </c>
      <c r="H22" s="209" t="s">
        <v>446</v>
      </c>
      <c r="I22" s="366" t="s">
        <v>4973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30" customHeight="1">
      <c r="A23" s="210">
        <v>15</v>
      </c>
      <c r="B23" s="372" t="s">
        <v>21</v>
      </c>
      <c r="C23" s="372"/>
      <c r="D23" s="231">
        <v>9</v>
      </c>
      <c r="E23" s="228" t="s">
        <v>42</v>
      </c>
      <c r="F23" s="228" t="s">
        <v>5</v>
      </c>
      <c r="G23" s="209" t="s">
        <v>446</v>
      </c>
      <c r="H23" s="209" t="s">
        <v>446</v>
      </c>
      <c r="I23" s="366" t="s">
        <v>4974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30" customHeight="1">
      <c r="A24" s="210">
        <v>16</v>
      </c>
      <c r="B24" s="372" t="s">
        <v>27</v>
      </c>
      <c r="C24" s="372"/>
      <c r="D24" s="231">
        <v>18</v>
      </c>
      <c r="E24" s="228" t="s">
        <v>4</v>
      </c>
      <c r="F24" s="228" t="s">
        <v>5</v>
      </c>
      <c r="G24" s="209" t="s">
        <v>446</v>
      </c>
      <c r="H24" s="209" t="s">
        <v>446</v>
      </c>
      <c r="I24" s="374" t="s">
        <v>4951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ht="30" customHeight="1">
      <c r="A25" s="210">
        <v>17</v>
      </c>
      <c r="B25" s="372" t="s">
        <v>44</v>
      </c>
      <c r="C25" s="372"/>
      <c r="D25" s="231">
        <v>18</v>
      </c>
      <c r="E25" s="228" t="s">
        <v>4</v>
      </c>
      <c r="F25" s="228" t="s">
        <v>5</v>
      </c>
      <c r="G25" s="209" t="s">
        <v>446</v>
      </c>
      <c r="H25" s="209" t="s">
        <v>446</v>
      </c>
      <c r="I25" s="374" t="s">
        <v>4952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30" customHeight="1">
      <c r="A26" s="210">
        <v>18</v>
      </c>
      <c r="B26" s="372" t="s">
        <v>24</v>
      </c>
      <c r="C26" s="372"/>
      <c r="D26" s="231">
        <v>18</v>
      </c>
      <c r="E26" s="228" t="s">
        <v>4</v>
      </c>
      <c r="F26" s="228" t="s">
        <v>5</v>
      </c>
      <c r="G26" s="209" t="s">
        <v>446</v>
      </c>
      <c r="H26" s="209" t="s">
        <v>446</v>
      </c>
      <c r="I26" s="374" t="s">
        <v>4953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15" customHeight="1" thickBot="1">
      <c r="A27" s="213">
        <v>19</v>
      </c>
      <c r="B27" s="420" t="s">
        <v>25</v>
      </c>
      <c r="C27" s="420"/>
      <c r="D27" s="232">
        <v>138</v>
      </c>
      <c r="E27" s="229" t="s">
        <v>26</v>
      </c>
      <c r="F27" s="229" t="s">
        <v>5</v>
      </c>
      <c r="G27" s="108" t="s">
        <v>4690</v>
      </c>
      <c r="H27" s="108" t="s">
        <v>4690</v>
      </c>
      <c r="I27" s="422" t="s">
        <v>254</v>
      </c>
      <c r="J27" s="423"/>
      <c r="K27" s="424"/>
      <c r="L27" s="198" t="str">
        <f ca="1">IFERROR(_xlfn.TEXTJOIN(CHAR(10), TRUE, OFFSET('&lt;별첨9&gt;전체코드'!E:E, MATCH(B27,'&lt;별첨9&gt;전체코드'!A:A,0)-1, 0, COUNTIF('&lt;별첨9&gt;전체코드'!A:A,B27), 1)), "")</f>
        <v/>
      </c>
    </row>
  </sheetData>
  <mergeCells count="53">
    <mergeCell ref="A2:L2"/>
    <mergeCell ref="I26:K26"/>
    <mergeCell ref="I24:K24"/>
    <mergeCell ref="I22:K22"/>
    <mergeCell ref="I20:K20"/>
    <mergeCell ref="I18:K18"/>
    <mergeCell ref="I16:K16"/>
    <mergeCell ref="I14:K14"/>
    <mergeCell ref="I12:K12"/>
    <mergeCell ref="I10:K10"/>
    <mergeCell ref="I8:K8"/>
    <mergeCell ref="C3:L3"/>
    <mergeCell ref="A3:B3"/>
    <mergeCell ref="A4:B4"/>
    <mergeCell ref="D4:F4"/>
    <mergeCell ref="A5:B5"/>
    <mergeCell ref="D5:F5"/>
    <mergeCell ref="G4:I4"/>
    <mergeCell ref="G5:I5"/>
    <mergeCell ref="K5:L5"/>
    <mergeCell ref="K4:L4"/>
    <mergeCell ref="B7:C7"/>
    <mergeCell ref="B9:C9"/>
    <mergeCell ref="B10:C10"/>
    <mergeCell ref="B8:C8"/>
    <mergeCell ref="I7:K7"/>
    <mergeCell ref="I9:K9"/>
    <mergeCell ref="B11:C11"/>
    <mergeCell ref="B12:C12"/>
    <mergeCell ref="B13:C13"/>
    <mergeCell ref="I11:K11"/>
    <mergeCell ref="I13:K13"/>
    <mergeCell ref="B14:C14"/>
    <mergeCell ref="B15:C15"/>
    <mergeCell ref="B16:C16"/>
    <mergeCell ref="I15:K15"/>
    <mergeCell ref="B17:C17"/>
    <mergeCell ref="B18:C18"/>
    <mergeCell ref="B19:C19"/>
    <mergeCell ref="I17:K17"/>
    <mergeCell ref="I19:K19"/>
    <mergeCell ref="B20:C20"/>
    <mergeCell ref="B21:C21"/>
    <mergeCell ref="B22:C22"/>
    <mergeCell ref="I21:K21"/>
    <mergeCell ref="B24:C24"/>
    <mergeCell ref="B25:C25"/>
    <mergeCell ref="B26:C26"/>
    <mergeCell ref="B27:C27"/>
    <mergeCell ref="B23:C23"/>
    <mergeCell ref="I23:K23"/>
    <mergeCell ref="I25:K25"/>
    <mergeCell ref="I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FBC7-B014-4153-AEE7-F41497EBD408}">
  <sheetPr codeName="Sheet43">
    <pageSetUpPr fitToPage="1"/>
  </sheetPr>
  <dimension ref="A1:L130"/>
  <sheetViews>
    <sheetView zoomScale="85" zoomScaleNormal="85" workbookViewId="0">
      <selection activeCell="U20" sqref="U20"/>
    </sheetView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383" t="s">
        <v>319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57" t="s">
        <v>7637</v>
      </c>
      <c r="D3" s="458"/>
      <c r="E3" s="458"/>
      <c r="F3" s="458"/>
      <c r="G3" s="458"/>
      <c r="H3" s="458"/>
      <c r="I3" s="458"/>
      <c r="J3" s="458"/>
      <c r="K3" s="458"/>
      <c r="L3" s="459"/>
    </row>
    <row r="4" spans="1:12" s="1" customFormat="1" ht="15" customHeight="1">
      <c r="A4" s="455" t="s">
        <v>31</v>
      </c>
      <c r="B4" s="456"/>
      <c r="C4" s="114" t="s">
        <v>7627</v>
      </c>
      <c r="D4" s="404" t="s">
        <v>32</v>
      </c>
      <c r="E4" s="405"/>
      <c r="F4" s="406"/>
      <c r="G4" s="471" t="s">
        <v>50</v>
      </c>
      <c r="H4" s="472"/>
      <c r="I4" s="473"/>
      <c r="J4" s="115" t="s">
        <v>5263</v>
      </c>
      <c r="K4" s="460" t="s">
        <v>47</v>
      </c>
      <c r="L4" s="461"/>
    </row>
    <row r="5" spans="1:12" s="1" customFormat="1" ht="15" customHeight="1" thickBot="1">
      <c r="A5" s="466" t="s">
        <v>34</v>
      </c>
      <c r="B5" s="467"/>
      <c r="C5" s="94" t="s">
        <v>4659</v>
      </c>
      <c r="D5" s="468" t="s">
        <v>35</v>
      </c>
      <c r="E5" s="469"/>
      <c r="F5" s="470"/>
      <c r="G5" s="474" t="s">
        <v>84</v>
      </c>
      <c r="H5" s="475"/>
      <c r="I5" s="476"/>
      <c r="J5" s="29" t="s">
        <v>36</v>
      </c>
      <c r="K5" s="462" t="str">
        <f>VLOOKUP(G4,목록!E14:$G$83,3,FALSE)</f>
        <v>SLP210301SW</v>
      </c>
      <c r="L5" s="463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34" t="s">
        <v>28</v>
      </c>
      <c r="E7" s="35" t="s">
        <v>38</v>
      </c>
      <c r="F7" s="34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9">
        <v>0</v>
      </c>
      <c r="B8" s="377" t="s">
        <v>29</v>
      </c>
      <c r="C8" s="378"/>
      <c r="D8" s="40">
        <v>200</v>
      </c>
      <c r="E8" s="41" t="s">
        <v>30</v>
      </c>
      <c r="F8" s="40" t="s">
        <v>30</v>
      </c>
      <c r="G8" s="32"/>
      <c r="H8" s="32"/>
      <c r="I8" s="464" t="s">
        <v>4665</v>
      </c>
      <c r="J8" s="465"/>
      <c r="K8" s="378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36">
        <v>1</v>
      </c>
      <c r="B9" s="453" t="s">
        <v>4738</v>
      </c>
      <c r="C9" s="454"/>
      <c r="D9" s="15">
        <v>8</v>
      </c>
      <c r="E9" s="37" t="s">
        <v>4</v>
      </c>
      <c r="F9" s="32" t="s">
        <v>196</v>
      </c>
      <c r="G9" s="32" t="s">
        <v>446</v>
      </c>
      <c r="H9" s="32" t="s">
        <v>446</v>
      </c>
      <c r="I9" s="374" t="s">
        <v>7611</v>
      </c>
      <c r="J9" s="375"/>
      <c r="K9" s="376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36">
        <v>2</v>
      </c>
      <c r="B10" s="453" t="s">
        <v>237</v>
      </c>
      <c r="C10" s="454"/>
      <c r="D10" s="15">
        <v>4</v>
      </c>
      <c r="E10" s="37" t="s">
        <v>4</v>
      </c>
      <c r="F10" s="32" t="s">
        <v>196</v>
      </c>
      <c r="G10" s="32" t="s">
        <v>446</v>
      </c>
      <c r="H10" s="32" t="s">
        <v>446</v>
      </c>
      <c r="I10" s="374" t="s">
        <v>5091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36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4690</v>
      </c>
      <c r="H11" s="32" t="s">
        <v>446</v>
      </c>
      <c r="I11" s="374" t="s">
        <v>4675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36">
        <v>4</v>
      </c>
      <c r="B12" s="453" t="s">
        <v>4779</v>
      </c>
      <c r="C12" s="454"/>
      <c r="D12" s="15">
        <v>4</v>
      </c>
      <c r="E12" s="37" t="s">
        <v>4</v>
      </c>
      <c r="F12" s="32" t="s">
        <v>196</v>
      </c>
      <c r="G12" s="32" t="s">
        <v>446</v>
      </c>
      <c r="H12" s="32" t="s">
        <v>446</v>
      </c>
      <c r="I12" s="374" t="s">
        <v>5092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36">
        <v>5</v>
      </c>
      <c r="B13" s="453" t="s">
        <v>9</v>
      </c>
      <c r="C13" s="454"/>
      <c r="D13" s="15">
        <v>4</v>
      </c>
      <c r="E13" s="37" t="s">
        <v>4</v>
      </c>
      <c r="F13" s="32" t="s">
        <v>196</v>
      </c>
      <c r="G13" s="32" t="s">
        <v>446</v>
      </c>
      <c r="H13" s="32" t="s">
        <v>446</v>
      </c>
      <c r="I13" s="374" t="s">
        <v>5094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36">
        <v>6</v>
      </c>
      <c r="B14" s="453" t="s">
        <v>10</v>
      </c>
      <c r="C14" s="454"/>
      <c r="D14" s="15">
        <v>18</v>
      </c>
      <c r="E14" s="37" t="s">
        <v>4</v>
      </c>
      <c r="F14" s="32" t="s">
        <v>196</v>
      </c>
      <c r="G14" s="32" t="s">
        <v>446</v>
      </c>
      <c r="H14" s="32" t="s">
        <v>446</v>
      </c>
      <c r="I14" s="374" t="s">
        <v>4666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36">
        <v>7</v>
      </c>
      <c r="B15" s="453" t="s">
        <v>327</v>
      </c>
      <c r="C15" s="454"/>
      <c r="D15" s="15">
        <v>1</v>
      </c>
      <c r="E15" s="37" t="s">
        <v>4</v>
      </c>
      <c r="F15" s="32" t="s">
        <v>196</v>
      </c>
      <c r="G15" s="32" t="s">
        <v>446</v>
      </c>
      <c r="H15" s="32" t="s">
        <v>446</v>
      </c>
      <c r="I15" s="366" t="s">
        <v>5286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36">
        <v>8</v>
      </c>
      <c r="B16" s="453" t="s">
        <v>11</v>
      </c>
      <c r="C16" s="454"/>
      <c r="D16" s="15">
        <v>1</v>
      </c>
      <c r="E16" s="37" t="s">
        <v>4</v>
      </c>
      <c r="F16" s="32" t="s">
        <v>196</v>
      </c>
      <c r="G16" s="32" t="s">
        <v>446</v>
      </c>
      <c r="H16" s="32" t="s">
        <v>446</v>
      </c>
      <c r="I16" s="374" t="s">
        <v>5287</v>
      </c>
      <c r="J16" s="375"/>
      <c r="K16" s="376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36">
        <v>9</v>
      </c>
      <c r="B17" s="453" t="s">
        <v>12</v>
      </c>
      <c r="C17" s="454"/>
      <c r="D17" s="15">
        <v>20</v>
      </c>
      <c r="E17" s="37" t="s">
        <v>41</v>
      </c>
      <c r="F17" s="32" t="s">
        <v>196</v>
      </c>
      <c r="G17" s="32" t="s">
        <v>4661</v>
      </c>
      <c r="H17" s="32" t="s">
        <v>4661</v>
      </c>
      <c r="I17" s="374" t="s">
        <v>4667</v>
      </c>
      <c r="J17" s="375"/>
      <c r="K17" s="376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36">
        <v>10</v>
      </c>
      <c r="B18" s="453" t="s">
        <v>13</v>
      </c>
      <c r="C18" s="454"/>
      <c r="D18" s="15">
        <v>60</v>
      </c>
      <c r="E18" s="37" t="s">
        <v>41</v>
      </c>
      <c r="F18" s="32" t="s">
        <v>196</v>
      </c>
      <c r="G18" s="32" t="s">
        <v>4661</v>
      </c>
      <c r="H18" s="32" t="s">
        <v>4661</v>
      </c>
      <c r="I18" s="374" t="s">
        <v>4668</v>
      </c>
      <c r="J18" s="375"/>
      <c r="K18" s="376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36">
        <v>11</v>
      </c>
      <c r="B19" s="453" t="s">
        <v>4662</v>
      </c>
      <c r="C19" s="454"/>
      <c r="D19" s="15">
        <v>10</v>
      </c>
      <c r="E19" s="37" t="s">
        <v>42</v>
      </c>
      <c r="F19" s="32" t="s">
        <v>196</v>
      </c>
      <c r="G19" s="32" t="s">
        <v>446</v>
      </c>
      <c r="H19" s="32" t="s">
        <v>446</v>
      </c>
      <c r="I19" s="374" t="s">
        <v>4669</v>
      </c>
      <c r="J19" s="375"/>
      <c r="K19" s="376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36">
        <v>12</v>
      </c>
      <c r="B20" s="453" t="s">
        <v>15</v>
      </c>
      <c r="C20" s="454"/>
      <c r="D20" s="15">
        <v>30</v>
      </c>
      <c r="E20" s="37" t="s">
        <v>41</v>
      </c>
      <c r="F20" s="32" t="s">
        <v>196</v>
      </c>
      <c r="G20" s="32" t="s">
        <v>446</v>
      </c>
      <c r="H20" s="32" t="s">
        <v>446</v>
      </c>
      <c r="I20" s="374" t="s">
        <v>4670</v>
      </c>
      <c r="J20" s="375"/>
      <c r="K20" s="376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36">
        <v>13</v>
      </c>
      <c r="B21" s="374" t="s">
        <v>16</v>
      </c>
      <c r="C21" s="376"/>
      <c r="D21" s="95">
        <v>10</v>
      </c>
      <c r="E21" s="37" t="s">
        <v>42</v>
      </c>
      <c r="F21" s="32" t="s">
        <v>196</v>
      </c>
      <c r="G21" s="32" t="s">
        <v>4661</v>
      </c>
      <c r="H21" s="32" t="s">
        <v>4661</v>
      </c>
      <c r="I21" s="374" t="s">
        <v>4671</v>
      </c>
      <c r="J21" s="375"/>
      <c r="K21" s="376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36">
        <v>14</v>
      </c>
      <c r="B22" s="453" t="s">
        <v>17</v>
      </c>
      <c r="C22" s="454"/>
      <c r="D22" s="15">
        <v>30</v>
      </c>
      <c r="E22" s="37" t="s">
        <v>41</v>
      </c>
      <c r="F22" s="32" t="s">
        <v>196</v>
      </c>
      <c r="G22" s="32" t="s">
        <v>4661</v>
      </c>
      <c r="H22" s="32" t="s">
        <v>4661</v>
      </c>
      <c r="I22" s="374" t="s">
        <v>4672</v>
      </c>
      <c r="J22" s="375"/>
      <c r="K22" s="376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7.25" customHeight="1">
      <c r="A23" s="36">
        <v>15</v>
      </c>
      <c r="B23" s="453" t="s">
        <v>52</v>
      </c>
      <c r="C23" s="454"/>
      <c r="D23" s="15">
        <v>4</v>
      </c>
      <c r="E23" s="37" t="s">
        <v>4</v>
      </c>
      <c r="F23" s="32" t="s">
        <v>196</v>
      </c>
      <c r="G23" s="32" t="s">
        <v>4661</v>
      </c>
      <c r="H23" s="32" t="s">
        <v>4661</v>
      </c>
      <c r="I23" s="366" t="s">
        <v>7618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23" customHeight="1">
      <c r="A24" s="36">
        <v>16</v>
      </c>
      <c r="B24" s="453" t="s">
        <v>5288</v>
      </c>
      <c r="C24" s="454"/>
      <c r="D24" s="15">
        <v>1</v>
      </c>
      <c r="E24" s="37" t="s">
        <v>26</v>
      </c>
      <c r="F24" s="32" t="s">
        <v>5</v>
      </c>
      <c r="G24" s="209" t="s">
        <v>4690</v>
      </c>
      <c r="H24" s="32" t="s">
        <v>446</v>
      </c>
      <c r="I24" s="374" t="s">
        <v>5289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5.25" customHeight="1">
      <c r="A25" s="36">
        <v>17</v>
      </c>
      <c r="B25" s="453" t="s">
        <v>19</v>
      </c>
      <c r="C25" s="454"/>
      <c r="D25" s="15">
        <v>5</v>
      </c>
      <c r="E25" s="37" t="s">
        <v>4</v>
      </c>
      <c r="F25" s="32" t="s">
        <v>5</v>
      </c>
      <c r="G25" s="209" t="s">
        <v>4690</v>
      </c>
      <c r="H25" s="32" t="s">
        <v>4661</v>
      </c>
      <c r="I25" s="374" t="s">
        <v>4681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5.25" customHeight="1">
      <c r="A26" s="36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209" t="s">
        <v>4690</v>
      </c>
      <c r="H26" s="32" t="s">
        <v>4661</v>
      </c>
      <c r="I26" s="374" t="s">
        <v>4682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95.25" customHeight="1">
      <c r="A27" s="36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209" t="s">
        <v>4690</v>
      </c>
      <c r="H27" s="32" t="s">
        <v>4661</v>
      </c>
      <c r="I27" s="374" t="s">
        <v>4683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95.25" customHeight="1">
      <c r="A28" s="36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209" t="s">
        <v>4690</v>
      </c>
      <c r="H28" s="32" t="s">
        <v>4661</v>
      </c>
      <c r="I28" s="374" t="s">
        <v>4684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6.25" customHeight="1">
      <c r="A29" s="36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209" t="s">
        <v>4690</v>
      </c>
      <c r="H29" s="32" t="s">
        <v>446</v>
      </c>
      <c r="I29" s="374" t="s">
        <v>7613</v>
      </c>
      <c r="J29" s="375"/>
      <c r="K29" s="376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7.25" customHeight="1">
      <c r="A30" s="36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209" t="s">
        <v>4690</v>
      </c>
      <c r="H30" s="32" t="s">
        <v>4661</v>
      </c>
      <c r="I30" s="374" t="s">
        <v>7614</v>
      </c>
      <c r="J30" s="375"/>
      <c r="K30" s="376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111.75" customHeight="1">
      <c r="A31" s="36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209" t="s">
        <v>4690</v>
      </c>
      <c r="H31" s="32" t="s">
        <v>446</v>
      </c>
      <c r="I31" s="374" t="s">
        <v>5290</v>
      </c>
      <c r="J31" s="375"/>
      <c r="K31" s="376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28.5" customHeight="1">
      <c r="A32" s="36">
        <v>24</v>
      </c>
      <c r="B32" s="453" t="s">
        <v>55</v>
      </c>
      <c r="C32" s="454"/>
      <c r="D32" s="15">
        <v>2</v>
      </c>
      <c r="E32" s="37" t="s">
        <v>4</v>
      </c>
      <c r="F32" s="32" t="s">
        <v>5</v>
      </c>
      <c r="G32" s="209" t="s">
        <v>4690</v>
      </c>
      <c r="H32" s="32" t="s">
        <v>4661</v>
      </c>
      <c r="I32" s="374" t="s">
        <v>5294</v>
      </c>
      <c r="J32" s="375"/>
      <c r="K32" s="376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36">
        <v>25</v>
      </c>
      <c r="B33" s="453" t="s">
        <v>27</v>
      </c>
      <c r="C33" s="454"/>
      <c r="D33" s="15">
        <v>18</v>
      </c>
      <c r="E33" s="37" t="s">
        <v>4</v>
      </c>
      <c r="F33" s="32" t="s">
        <v>5</v>
      </c>
      <c r="G33" s="209" t="s">
        <v>4690</v>
      </c>
      <c r="H33" s="32" t="s">
        <v>446</v>
      </c>
      <c r="I33" s="374" t="s">
        <v>4676</v>
      </c>
      <c r="J33" s="375"/>
      <c r="K33" s="376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36">
        <v>26</v>
      </c>
      <c r="B34" s="453" t="s">
        <v>44</v>
      </c>
      <c r="C34" s="454"/>
      <c r="D34" s="15">
        <v>18</v>
      </c>
      <c r="E34" s="37" t="s">
        <v>4</v>
      </c>
      <c r="F34" s="32" t="s">
        <v>5</v>
      </c>
      <c r="G34" s="209" t="s">
        <v>4690</v>
      </c>
      <c r="H34" s="32" t="s">
        <v>446</v>
      </c>
      <c r="I34" s="374" t="s">
        <v>4677</v>
      </c>
      <c r="J34" s="375"/>
      <c r="K34" s="376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36">
        <v>27</v>
      </c>
      <c r="B35" s="453" t="s">
        <v>24</v>
      </c>
      <c r="C35" s="454"/>
      <c r="D35" s="15">
        <v>18</v>
      </c>
      <c r="E35" s="37" t="s">
        <v>4</v>
      </c>
      <c r="F35" s="32" t="s">
        <v>5</v>
      </c>
      <c r="G35" s="209" t="s">
        <v>4690</v>
      </c>
      <c r="H35" s="32" t="s">
        <v>446</v>
      </c>
      <c r="I35" s="374" t="s">
        <v>4678</v>
      </c>
      <c r="J35" s="375"/>
      <c r="K35" s="376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36">
        <v>28</v>
      </c>
      <c r="B36" s="453" t="s">
        <v>56</v>
      </c>
      <c r="C36" s="454"/>
      <c r="D36" s="15">
        <v>18</v>
      </c>
      <c r="E36" s="37" t="s">
        <v>4</v>
      </c>
      <c r="F36" s="32" t="s">
        <v>5</v>
      </c>
      <c r="G36" s="209" t="s">
        <v>4690</v>
      </c>
      <c r="H36" s="32" t="s">
        <v>446</v>
      </c>
      <c r="I36" s="374" t="s">
        <v>4679</v>
      </c>
      <c r="J36" s="375"/>
      <c r="K36" s="376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36">
        <v>29</v>
      </c>
      <c r="B37" s="453" t="s">
        <v>57</v>
      </c>
      <c r="C37" s="454"/>
      <c r="D37" s="15">
        <v>18</v>
      </c>
      <c r="E37" s="37" t="s">
        <v>4</v>
      </c>
      <c r="F37" s="32" t="s">
        <v>5</v>
      </c>
      <c r="G37" s="209" t="s">
        <v>4690</v>
      </c>
      <c r="H37" s="32" t="s">
        <v>446</v>
      </c>
      <c r="I37" s="374" t="s">
        <v>4680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36">
        <v>30</v>
      </c>
      <c r="B38" s="453" t="s">
        <v>4673</v>
      </c>
      <c r="C38" s="454"/>
      <c r="D38" s="15">
        <v>20</v>
      </c>
      <c r="E38" s="37" t="s">
        <v>41</v>
      </c>
      <c r="F38" s="32" t="s">
        <v>196</v>
      </c>
      <c r="G38" s="32" t="s">
        <v>4661</v>
      </c>
      <c r="H38" s="32" t="s">
        <v>4661</v>
      </c>
      <c r="I38" s="374" t="s">
        <v>4674</v>
      </c>
      <c r="J38" s="375"/>
      <c r="K38" s="376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8.5" customHeight="1">
      <c r="A39" s="36">
        <v>31</v>
      </c>
      <c r="B39" s="453" t="s">
        <v>4664</v>
      </c>
      <c r="C39" s="454"/>
      <c r="D39" s="15">
        <v>4</v>
      </c>
      <c r="E39" s="37" t="s">
        <v>4</v>
      </c>
      <c r="F39" s="32" t="s">
        <v>196</v>
      </c>
      <c r="G39" s="32" t="s">
        <v>4661</v>
      </c>
      <c r="H39" s="32" t="s">
        <v>4661</v>
      </c>
      <c r="I39" s="374" t="s">
        <v>5095</v>
      </c>
      <c r="J39" s="375"/>
      <c r="K39" s="376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8.5" customHeight="1">
      <c r="A40" s="36">
        <v>32</v>
      </c>
      <c r="B40" s="453" t="s">
        <v>60</v>
      </c>
      <c r="C40" s="454"/>
      <c r="D40" s="15">
        <v>4</v>
      </c>
      <c r="E40" s="37" t="s">
        <v>4</v>
      </c>
      <c r="F40" s="32" t="s">
        <v>196</v>
      </c>
      <c r="G40" s="32" t="s">
        <v>4661</v>
      </c>
      <c r="H40" s="32" t="s">
        <v>4661</v>
      </c>
      <c r="I40" s="374" t="s">
        <v>5096</v>
      </c>
      <c r="J40" s="375"/>
      <c r="K40" s="376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5" customHeight="1" thickBot="1">
      <c r="A41" s="38">
        <v>33</v>
      </c>
      <c r="B41" s="477" t="s">
        <v>25</v>
      </c>
      <c r="C41" s="478"/>
      <c r="D41" s="43">
        <v>6</v>
      </c>
      <c r="E41" s="44" t="s">
        <v>26</v>
      </c>
      <c r="F41" s="45" t="s">
        <v>196</v>
      </c>
      <c r="G41" s="107" t="s">
        <v>4690</v>
      </c>
      <c r="H41" s="107" t="s">
        <v>4690</v>
      </c>
      <c r="I41" s="422" t="s">
        <v>4663</v>
      </c>
      <c r="J41" s="423"/>
      <c r="K41" s="424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45" customHeight="1"/>
    <row r="44" spans="1:12" ht="30" customHeight="1"/>
    <row r="55" ht="30" customHeight="1"/>
    <row r="83" ht="30" customHeight="1"/>
    <row r="85" ht="15" customHeight="1"/>
    <row r="130" ht="30" customHeight="1"/>
  </sheetData>
  <mergeCells count="81">
    <mergeCell ref="B41:C41"/>
    <mergeCell ref="I41:K41"/>
    <mergeCell ref="B37:C37"/>
    <mergeCell ref="I37:K37"/>
    <mergeCell ref="B38:C38"/>
    <mergeCell ref="I38:K38"/>
    <mergeCell ref="B39:C39"/>
    <mergeCell ref="I39:K39"/>
    <mergeCell ref="B40:C40"/>
    <mergeCell ref="I40:K40"/>
    <mergeCell ref="B24:C24"/>
    <mergeCell ref="I24:K24"/>
    <mergeCell ref="B25:C25"/>
    <mergeCell ref="I25:K25"/>
    <mergeCell ref="B31:C31"/>
    <mergeCell ref="I31:K31"/>
    <mergeCell ref="B28:C28"/>
    <mergeCell ref="I28:K28"/>
    <mergeCell ref="B29:C29"/>
    <mergeCell ref="I29:K29"/>
    <mergeCell ref="B30:C30"/>
    <mergeCell ref="I30:K30"/>
    <mergeCell ref="B36:C36"/>
    <mergeCell ref="I36:K36"/>
    <mergeCell ref="B35:C35"/>
    <mergeCell ref="I35:K35"/>
    <mergeCell ref="B26:C26"/>
    <mergeCell ref="I26:K26"/>
    <mergeCell ref="B27:C27"/>
    <mergeCell ref="I27:K27"/>
    <mergeCell ref="B34:C34"/>
    <mergeCell ref="I34:K34"/>
    <mergeCell ref="B32:C32"/>
    <mergeCell ref="I32:K32"/>
    <mergeCell ref="B33:C33"/>
    <mergeCell ref="I33:K33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A2:L2"/>
    <mergeCell ref="B16:C16"/>
    <mergeCell ref="I16:K16"/>
    <mergeCell ref="G4:I4"/>
    <mergeCell ref="G5:I5"/>
    <mergeCell ref="B9:C9"/>
    <mergeCell ref="I9:K9"/>
    <mergeCell ref="B10:C10"/>
    <mergeCell ref="I10:K10"/>
    <mergeCell ref="B11:C11"/>
    <mergeCell ref="I11:K11"/>
    <mergeCell ref="B12:C12"/>
    <mergeCell ref="I12:K12"/>
    <mergeCell ref="B7:C7"/>
    <mergeCell ref="I7:K7"/>
    <mergeCell ref="B8:C8"/>
    <mergeCell ref="B17:C17"/>
    <mergeCell ref="I17:K17"/>
    <mergeCell ref="B14:C14"/>
    <mergeCell ref="I14:K14"/>
    <mergeCell ref="B15:C15"/>
    <mergeCell ref="I15:K15"/>
    <mergeCell ref="B13:C13"/>
    <mergeCell ref="I13:K13"/>
    <mergeCell ref="A3:B3"/>
    <mergeCell ref="A4:B4"/>
    <mergeCell ref="D4:F4"/>
    <mergeCell ref="C3:L3"/>
    <mergeCell ref="K4:L4"/>
    <mergeCell ref="K5:L5"/>
    <mergeCell ref="I8:K8"/>
    <mergeCell ref="A5:B5"/>
    <mergeCell ref="D5:F5"/>
  </mergeCells>
  <phoneticPr fontId="1" type="noConversion"/>
  <pageMargins left="0.7" right="0.7" top="0.75" bottom="0.75" header="0.3" footer="0.3"/>
  <pageSetup paperSize="9" scale="36" orientation="landscape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0489-1840-4318-9055-C3153177CBD6}">
  <sheetPr codeName="Sheet44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4704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7638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55" t="s">
        <v>31</v>
      </c>
      <c r="B4" s="456"/>
      <c r="C4" s="116" t="s">
        <v>7627</v>
      </c>
      <c r="D4" s="404" t="s">
        <v>32</v>
      </c>
      <c r="E4" s="405"/>
      <c r="F4" s="406"/>
      <c r="G4" s="410" t="s">
        <v>47</v>
      </c>
      <c r="H4" s="411"/>
      <c r="I4" s="412"/>
      <c r="J4" s="115" t="s">
        <v>33</v>
      </c>
      <c r="K4" s="410" t="s">
        <v>50</v>
      </c>
      <c r="L4" s="413"/>
    </row>
    <row r="5" spans="1:12" s="1" customFormat="1" ht="15" customHeight="1" thickBot="1">
      <c r="A5" s="466" t="s">
        <v>34</v>
      </c>
      <c r="B5" s="467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SLP210301SW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58">
        <v>0</v>
      </c>
      <c r="B8" s="453" t="s">
        <v>29</v>
      </c>
      <c r="C8" s="454"/>
      <c r="D8" s="15">
        <v>200</v>
      </c>
      <c r="E8" s="59" t="s">
        <v>30</v>
      </c>
      <c r="F8" s="60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5286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5287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32" t="s">
        <v>5</v>
      </c>
      <c r="G23" s="32" t="s">
        <v>4661</v>
      </c>
      <c r="H23" s="32" t="s">
        <v>4661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23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5289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32" t="s">
        <v>5</v>
      </c>
      <c r="G25" s="32" t="s">
        <v>4661</v>
      </c>
      <c r="H25" s="32" t="s">
        <v>4661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94.5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4661</v>
      </c>
      <c r="H27" s="32" t="s">
        <v>4661</v>
      </c>
      <c r="I27" s="366" t="s">
        <v>4683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25.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54" t="s">
        <v>43</v>
      </c>
      <c r="G28" s="32" t="s">
        <v>4690</v>
      </c>
      <c r="H28" s="32" t="s">
        <v>4690</v>
      </c>
      <c r="I28" s="366" t="s">
        <v>4691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8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4661</v>
      </c>
      <c r="H30" s="32" t="s">
        <v>4661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109.5" customHeight="1">
      <c r="A31" s="61">
        <v>23</v>
      </c>
      <c r="B31" s="453" t="s">
        <v>54</v>
      </c>
      <c r="C31" s="454"/>
      <c r="D31" s="15">
        <v>1</v>
      </c>
      <c r="E31" s="37" t="s">
        <v>4</v>
      </c>
      <c r="F31" s="54" t="s">
        <v>43</v>
      </c>
      <c r="G31" s="32" t="s">
        <v>4690</v>
      </c>
      <c r="H31" s="32" t="s">
        <v>4690</v>
      </c>
      <c r="I31" s="374" t="s">
        <v>5290</v>
      </c>
      <c r="J31" s="375"/>
      <c r="K31" s="376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54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54" t="s">
        <v>43</v>
      </c>
      <c r="G32" s="32" t="s">
        <v>4690</v>
      </c>
      <c r="H32" s="32" t="s">
        <v>4690</v>
      </c>
      <c r="I32" s="366" t="s">
        <v>4692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32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32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32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32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32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8:C28"/>
    <mergeCell ref="B29:C29"/>
    <mergeCell ref="B30:C30"/>
    <mergeCell ref="B25:C25"/>
    <mergeCell ref="B26:C26"/>
    <mergeCell ref="B27:C27"/>
    <mergeCell ref="I30:K30"/>
    <mergeCell ref="I25:K25"/>
    <mergeCell ref="I26:K26"/>
    <mergeCell ref="I27:K27"/>
    <mergeCell ref="I28:K28"/>
    <mergeCell ref="I29:K29"/>
    <mergeCell ref="I35:K35"/>
    <mergeCell ref="I36:K36"/>
    <mergeCell ref="B39:C39"/>
    <mergeCell ref="I31:K31"/>
    <mergeCell ref="I32:K32"/>
    <mergeCell ref="I33:K33"/>
    <mergeCell ref="I34:K34"/>
    <mergeCell ref="B34:C34"/>
    <mergeCell ref="B35:C35"/>
    <mergeCell ref="B36:C36"/>
    <mergeCell ref="B31:C31"/>
    <mergeCell ref="B32:C32"/>
    <mergeCell ref="B33:C33"/>
    <mergeCell ref="B40:C40"/>
    <mergeCell ref="B41:C41"/>
    <mergeCell ref="B37:C37"/>
    <mergeCell ref="B38:C38"/>
    <mergeCell ref="I37:K37"/>
    <mergeCell ref="I38:K38"/>
    <mergeCell ref="I39:K39"/>
    <mergeCell ref="I40:K40"/>
    <mergeCell ref="I41:K41"/>
  </mergeCells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4E16-2F42-460A-AF8E-64AC18C3B0A3}">
  <sheetPr codeName="Sheet45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383" t="s">
        <v>320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01"/>
      <c r="C3" s="446" t="s">
        <v>7639</v>
      </c>
      <c r="D3" s="447"/>
      <c r="E3" s="447"/>
      <c r="F3" s="447"/>
      <c r="G3" s="447"/>
      <c r="H3" s="447"/>
      <c r="I3" s="447"/>
      <c r="J3" s="447"/>
      <c r="K3" s="447"/>
      <c r="L3" s="448"/>
    </row>
    <row r="4" spans="1:12" s="1" customFormat="1" ht="15" customHeight="1">
      <c r="A4" s="455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61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466" t="s">
        <v>34</v>
      </c>
      <c r="B5" s="396"/>
      <c r="C5" s="120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ZLP240102ZW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58">
        <v>0</v>
      </c>
      <c r="B8" s="453" t="s">
        <v>29</v>
      </c>
      <c r="C8" s="454"/>
      <c r="D8" s="15">
        <v>200</v>
      </c>
      <c r="E8" s="59" t="s">
        <v>30</v>
      </c>
      <c r="F8" s="60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5286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5287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32" t="s">
        <v>5</v>
      </c>
      <c r="G23" s="32" t="s">
        <v>4661</v>
      </c>
      <c r="H23" s="32" t="s">
        <v>4661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23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5289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54" t="s">
        <v>43</v>
      </c>
      <c r="G25" s="32" t="s">
        <v>4690</v>
      </c>
      <c r="H25" s="32" t="s">
        <v>4690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67.5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4690</v>
      </c>
      <c r="H27" s="32" t="s">
        <v>4690</v>
      </c>
      <c r="I27" s="366" t="s">
        <v>4694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32" t="s">
        <v>446</v>
      </c>
      <c r="H28" s="32" t="s">
        <v>446</v>
      </c>
      <c r="I28" s="366" t="s">
        <v>4693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27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446</v>
      </c>
      <c r="H30" s="32" t="s">
        <v>446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54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446</v>
      </c>
      <c r="H31" s="32" t="s">
        <v>446</v>
      </c>
      <c r="I31" s="366" t="s">
        <v>5352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54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54" t="s">
        <v>43</v>
      </c>
      <c r="G32" s="32" t="s">
        <v>4690</v>
      </c>
      <c r="H32" s="32" t="s">
        <v>4690</v>
      </c>
      <c r="I32" s="366" t="s">
        <v>4692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45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5:C25"/>
    <mergeCell ref="I25:K25"/>
    <mergeCell ref="B26:C26"/>
    <mergeCell ref="I26:K26"/>
    <mergeCell ref="B27:C27"/>
    <mergeCell ref="I27:K27"/>
    <mergeCell ref="B28:C28"/>
    <mergeCell ref="I28:K28"/>
    <mergeCell ref="B29:C29"/>
    <mergeCell ref="I29:K29"/>
    <mergeCell ref="B30:C30"/>
    <mergeCell ref="I30:K30"/>
    <mergeCell ref="B31:C31"/>
    <mergeCell ref="I31:K31"/>
    <mergeCell ref="B32:C32"/>
    <mergeCell ref="I32:K32"/>
    <mergeCell ref="B33:C33"/>
    <mergeCell ref="I33:K33"/>
    <mergeCell ref="B34:C34"/>
    <mergeCell ref="I34:K34"/>
    <mergeCell ref="B35:C35"/>
    <mergeCell ref="I35:K35"/>
    <mergeCell ref="B36:C36"/>
    <mergeCell ref="I36:K36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AE62-C5D2-452A-84FF-50C2D0533010}">
  <dimension ref="A1:O78"/>
  <sheetViews>
    <sheetView workbookViewId="0">
      <selection activeCell="I72" sqref="I72"/>
    </sheetView>
  </sheetViews>
  <sheetFormatPr defaultRowHeight="12"/>
  <cols>
    <col min="1" max="1" width="16.375" style="537" customWidth="1"/>
    <col min="2" max="2" width="13.25" style="537" bestFit="1" customWidth="1"/>
    <col min="3" max="3" width="58.375" style="537" bestFit="1" customWidth="1"/>
    <col min="4" max="4" width="20.625" style="537" bestFit="1" customWidth="1"/>
    <col min="5" max="5" width="35.125" style="537" customWidth="1"/>
    <col min="6" max="6" width="9.25" style="537" bestFit="1" customWidth="1"/>
    <col min="7" max="7" width="21.25" style="537" bestFit="1" customWidth="1"/>
    <col min="8" max="8" width="18" style="537" customWidth="1"/>
    <col min="9" max="9" width="19.375" style="537" customWidth="1"/>
    <col min="10" max="10" width="9" style="537"/>
    <col min="11" max="11" width="31.375" style="537" bestFit="1" customWidth="1"/>
    <col min="12" max="12" width="9.25" style="537" bestFit="1" customWidth="1"/>
    <col min="13" max="13" width="7.75" style="537" bestFit="1" customWidth="1"/>
    <col min="14" max="14" width="21.25" style="537" bestFit="1" customWidth="1"/>
    <col min="15" max="15" width="21.25" style="537" customWidth="1"/>
    <col min="16" max="16384" width="9" style="537"/>
  </cols>
  <sheetData>
    <row r="1" spans="1:15" ht="20.25">
      <c r="A1" s="532" t="s">
        <v>7683</v>
      </c>
      <c r="B1" s="533"/>
      <c r="C1" s="534"/>
      <c r="D1" s="535"/>
      <c r="E1" s="535"/>
      <c r="F1" s="535"/>
      <c r="G1" s="535"/>
      <c r="H1" s="536"/>
      <c r="I1" s="535"/>
      <c r="J1" s="535"/>
      <c r="K1" s="535"/>
      <c r="L1" s="535"/>
      <c r="M1" s="535"/>
      <c r="N1" s="536"/>
      <c r="O1" s="535"/>
    </row>
    <row r="2" spans="1:15">
      <c r="A2" s="537" t="s">
        <v>7684</v>
      </c>
      <c r="B2" s="533"/>
      <c r="C2" s="534"/>
      <c r="D2" s="535"/>
      <c r="E2" s="535"/>
      <c r="F2" s="535"/>
      <c r="G2" s="535"/>
      <c r="H2" s="536"/>
      <c r="I2" s="535"/>
      <c r="J2" s="535"/>
      <c r="K2" s="535"/>
      <c r="L2" s="535"/>
      <c r="M2" s="535"/>
      <c r="N2" s="536"/>
      <c r="O2" s="535"/>
    </row>
    <row r="3" spans="1:15">
      <c r="A3" s="538"/>
      <c r="B3" s="538"/>
      <c r="C3" s="538"/>
      <c r="D3" s="539" t="s">
        <v>7685</v>
      </c>
      <c r="E3" s="539"/>
      <c r="F3" s="539"/>
      <c r="G3" s="539"/>
      <c r="H3" s="539"/>
      <c r="I3" s="566"/>
      <c r="J3" s="539" t="s">
        <v>7686</v>
      </c>
      <c r="K3" s="539"/>
      <c r="L3" s="539"/>
      <c r="M3" s="539"/>
      <c r="N3" s="539"/>
      <c r="O3" s="567"/>
    </row>
    <row r="4" spans="1:15">
      <c r="A4" s="538" t="s">
        <v>7687</v>
      </c>
      <c r="B4" s="540" t="s">
        <v>367</v>
      </c>
      <c r="C4" s="538" t="s">
        <v>76</v>
      </c>
      <c r="D4" s="541" t="s">
        <v>7688</v>
      </c>
      <c r="E4" s="538" t="s">
        <v>7689</v>
      </c>
      <c r="F4" s="538" t="s">
        <v>7690</v>
      </c>
      <c r="G4" s="538" t="s">
        <v>7691</v>
      </c>
      <c r="H4" s="538" t="s">
        <v>7692</v>
      </c>
      <c r="I4" s="538" t="s">
        <v>7883</v>
      </c>
      <c r="J4" s="538" t="s">
        <v>7688</v>
      </c>
      <c r="K4" s="538" t="s">
        <v>7689</v>
      </c>
      <c r="L4" s="538" t="s">
        <v>7690</v>
      </c>
      <c r="M4" s="538" t="s">
        <v>7691</v>
      </c>
      <c r="N4" s="538" t="s">
        <v>7692</v>
      </c>
      <c r="O4" s="568" t="s">
        <v>7883</v>
      </c>
    </row>
    <row r="5" spans="1:15">
      <c r="A5" s="542" t="s">
        <v>7693</v>
      </c>
      <c r="B5" s="543" t="s">
        <v>175</v>
      </c>
      <c r="C5" s="544" t="s">
        <v>7668</v>
      </c>
      <c r="D5" s="545" t="s">
        <v>7694</v>
      </c>
      <c r="E5" s="545" t="s">
        <v>7695</v>
      </c>
      <c r="F5" s="545" t="s">
        <v>7696</v>
      </c>
      <c r="G5" s="546" t="s">
        <v>7697</v>
      </c>
      <c r="H5" s="547" t="s">
        <v>7698</v>
      </c>
      <c r="I5" s="546" t="s">
        <v>7885</v>
      </c>
      <c r="J5" s="545" t="s">
        <v>7699</v>
      </c>
      <c r="K5" s="545" t="s">
        <v>7700</v>
      </c>
      <c r="L5" s="545" t="s">
        <v>7701</v>
      </c>
      <c r="M5" s="546" t="s">
        <v>7698</v>
      </c>
      <c r="N5" s="547" t="s">
        <v>7697</v>
      </c>
      <c r="O5" s="546"/>
    </row>
    <row r="6" spans="1:15">
      <c r="A6" s="542" t="s">
        <v>7693</v>
      </c>
      <c r="B6" s="543" t="s">
        <v>7681</v>
      </c>
      <c r="C6" s="544" t="s">
        <v>7702</v>
      </c>
      <c r="D6" s="545" t="s">
        <v>7703</v>
      </c>
      <c r="E6" s="545" t="s">
        <v>7704</v>
      </c>
      <c r="F6" s="545" t="s">
        <v>7701</v>
      </c>
      <c r="G6" s="546" t="s">
        <v>7705</v>
      </c>
      <c r="H6" s="547" t="s">
        <v>7698</v>
      </c>
      <c r="I6" s="546" t="s">
        <v>7886</v>
      </c>
      <c r="J6" s="545" t="s">
        <v>7699</v>
      </c>
      <c r="K6" s="545" t="s">
        <v>7700</v>
      </c>
      <c r="L6" s="545" t="s">
        <v>7701</v>
      </c>
      <c r="M6" s="546" t="s">
        <v>7698</v>
      </c>
      <c r="N6" s="547" t="s">
        <v>7705</v>
      </c>
      <c r="O6" s="546"/>
    </row>
    <row r="7" spans="1:15">
      <c r="A7" s="542" t="s">
        <v>7693</v>
      </c>
      <c r="B7" s="543" t="s">
        <v>108</v>
      </c>
      <c r="C7" s="544" t="s">
        <v>7706</v>
      </c>
      <c r="D7" s="545" t="s">
        <v>7703</v>
      </c>
      <c r="E7" s="545" t="s">
        <v>7704</v>
      </c>
      <c r="F7" s="545" t="s">
        <v>7701</v>
      </c>
      <c r="G7" s="546" t="s">
        <v>7705</v>
      </c>
      <c r="H7" s="547" t="s">
        <v>7698</v>
      </c>
      <c r="I7" s="546" t="s">
        <v>7886</v>
      </c>
      <c r="J7" s="545" t="s">
        <v>7699</v>
      </c>
      <c r="K7" s="545" t="s">
        <v>7700</v>
      </c>
      <c r="L7" s="545" t="s">
        <v>7701</v>
      </c>
      <c r="M7" s="546" t="s">
        <v>7698</v>
      </c>
      <c r="N7" s="547" t="s">
        <v>7705</v>
      </c>
      <c r="O7" s="546"/>
    </row>
    <row r="8" spans="1:15">
      <c r="A8" s="542" t="s">
        <v>7693</v>
      </c>
      <c r="B8" s="548" t="s">
        <v>7707</v>
      </c>
      <c r="C8" s="549" t="s">
        <v>7708</v>
      </c>
      <c r="D8" s="550" t="s">
        <v>7682</v>
      </c>
      <c r="E8" s="551"/>
      <c r="F8" s="551"/>
      <c r="G8" s="551"/>
      <c r="H8" s="552"/>
      <c r="I8" s="551"/>
      <c r="J8" s="550" t="s">
        <v>7682</v>
      </c>
      <c r="K8" s="551"/>
      <c r="L8" s="551"/>
      <c r="M8" s="551"/>
      <c r="N8" s="552"/>
      <c r="O8" s="551"/>
    </row>
    <row r="9" spans="1:15">
      <c r="A9" s="542" t="s">
        <v>7693</v>
      </c>
      <c r="B9" s="548" t="s">
        <v>7709</v>
      </c>
      <c r="C9" s="549" t="s">
        <v>7710</v>
      </c>
      <c r="D9" s="550" t="s">
        <v>7682</v>
      </c>
      <c r="E9" s="551"/>
      <c r="F9" s="551"/>
      <c r="G9" s="551"/>
      <c r="H9" s="552"/>
      <c r="I9" s="551"/>
      <c r="J9" s="550" t="s">
        <v>7682</v>
      </c>
      <c r="K9" s="551"/>
      <c r="L9" s="551"/>
      <c r="M9" s="551"/>
      <c r="N9" s="552"/>
      <c r="O9" s="551"/>
    </row>
    <row r="10" spans="1:15">
      <c r="A10" s="542" t="s">
        <v>7693</v>
      </c>
      <c r="B10" s="548" t="s">
        <v>7711</v>
      </c>
      <c r="C10" s="553" t="s">
        <v>7712</v>
      </c>
      <c r="D10" s="550" t="s">
        <v>7682</v>
      </c>
      <c r="E10" s="551"/>
      <c r="F10" s="551"/>
      <c r="G10" s="551"/>
      <c r="H10" s="552"/>
      <c r="I10" s="551"/>
      <c r="J10" s="550" t="s">
        <v>7682</v>
      </c>
      <c r="K10" s="551"/>
      <c r="L10" s="551"/>
      <c r="M10" s="551"/>
      <c r="N10" s="552"/>
      <c r="O10" s="551"/>
    </row>
    <row r="11" spans="1:15">
      <c r="A11" s="542" t="s">
        <v>7693</v>
      </c>
      <c r="B11" s="543" t="s">
        <v>86</v>
      </c>
      <c r="C11" s="544" t="s">
        <v>7713</v>
      </c>
      <c r="D11" s="545" t="s">
        <v>7699</v>
      </c>
      <c r="E11" s="545" t="s">
        <v>7700</v>
      </c>
      <c r="F11" s="545" t="s">
        <v>7701</v>
      </c>
      <c r="G11" s="546" t="s">
        <v>7698</v>
      </c>
      <c r="H11" s="547" t="s">
        <v>7705</v>
      </c>
      <c r="I11" s="546" t="s">
        <v>7887</v>
      </c>
      <c r="J11" s="551"/>
      <c r="K11" s="551"/>
      <c r="L11" s="551"/>
      <c r="M11" s="551"/>
      <c r="N11" s="552"/>
      <c r="O11" s="551"/>
    </row>
    <row r="12" spans="1:15">
      <c r="A12" s="542" t="s">
        <v>7693</v>
      </c>
      <c r="B12" s="548" t="s">
        <v>7714</v>
      </c>
      <c r="C12" s="549" t="s">
        <v>7715</v>
      </c>
      <c r="D12" s="550" t="s">
        <v>7682</v>
      </c>
      <c r="E12" s="551"/>
      <c r="F12" s="551"/>
      <c r="G12" s="551"/>
      <c r="H12" s="552"/>
      <c r="I12" s="551"/>
      <c r="J12" s="554" t="s">
        <v>7682</v>
      </c>
      <c r="K12" s="551"/>
      <c r="L12" s="551"/>
      <c r="M12" s="551"/>
      <c r="N12" s="552"/>
      <c r="O12" s="551"/>
    </row>
    <row r="13" spans="1:15">
      <c r="A13" s="542" t="s">
        <v>7693</v>
      </c>
      <c r="B13" s="543" t="s">
        <v>7716</v>
      </c>
      <c r="C13" s="544" t="s">
        <v>7717</v>
      </c>
      <c r="D13" s="545" t="s">
        <v>7718</v>
      </c>
      <c r="E13" s="545" t="s">
        <v>7719</v>
      </c>
      <c r="F13" s="545" t="s">
        <v>7701</v>
      </c>
      <c r="G13" s="546" t="s">
        <v>7698</v>
      </c>
      <c r="H13" s="547" t="s">
        <v>7705</v>
      </c>
      <c r="I13" s="546" t="s">
        <v>7889</v>
      </c>
      <c r="J13" s="551"/>
      <c r="K13" s="551"/>
      <c r="L13" s="551"/>
      <c r="M13" s="551"/>
      <c r="N13" s="552"/>
      <c r="O13" s="551"/>
    </row>
    <row r="14" spans="1:15">
      <c r="A14" s="542" t="s">
        <v>7693</v>
      </c>
      <c r="B14" s="548" t="s">
        <v>7720</v>
      </c>
      <c r="C14" s="553" t="s">
        <v>7721</v>
      </c>
      <c r="D14" s="550" t="s">
        <v>7682</v>
      </c>
      <c r="E14" s="551"/>
      <c r="F14" s="551"/>
      <c r="G14" s="551"/>
      <c r="H14" s="552"/>
      <c r="I14" s="551"/>
      <c r="J14" s="550" t="s">
        <v>7682</v>
      </c>
      <c r="K14" s="551"/>
      <c r="L14" s="551"/>
      <c r="M14" s="551"/>
      <c r="N14" s="552"/>
      <c r="O14" s="551"/>
    </row>
    <row r="15" spans="1:15">
      <c r="A15" s="542" t="s">
        <v>7693</v>
      </c>
      <c r="B15" s="543" t="s">
        <v>7722</v>
      </c>
      <c r="C15" s="544" t="s">
        <v>7723</v>
      </c>
      <c r="D15" s="545" t="s">
        <v>7724</v>
      </c>
      <c r="E15" s="545" t="s">
        <v>7725</v>
      </c>
      <c r="F15" s="545" t="s">
        <v>7701</v>
      </c>
      <c r="G15" s="546" t="s">
        <v>7698</v>
      </c>
      <c r="H15" s="547" t="s">
        <v>7705</v>
      </c>
      <c r="I15" s="546" t="s">
        <v>7890</v>
      </c>
      <c r="J15" s="551"/>
      <c r="K15" s="551"/>
      <c r="L15" s="551"/>
      <c r="M15" s="551"/>
      <c r="N15" s="552"/>
      <c r="O15" s="551"/>
    </row>
    <row r="16" spans="1:15">
      <c r="A16" s="542" t="s">
        <v>7693</v>
      </c>
      <c r="B16" s="548" t="s">
        <v>7726</v>
      </c>
      <c r="C16" s="553" t="s">
        <v>7727</v>
      </c>
      <c r="D16" s="550" t="s">
        <v>7682</v>
      </c>
      <c r="E16" s="551"/>
      <c r="F16" s="551"/>
      <c r="G16" s="551"/>
      <c r="H16" s="552"/>
      <c r="I16" s="551"/>
      <c r="J16" s="550" t="s">
        <v>7682</v>
      </c>
      <c r="K16" s="551"/>
      <c r="L16" s="551"/>
      <c r="M16" s="551"/>
      <c r="N16" s="552"/>
      <c r="O16" s="551"/>
    </row>
    <row r="17" spans="1:15">
      <c r="A17" s="542" t="s">
        <v>7693</v>
      </c>
      <c r="B17" s="543" t="s">
        <v>7728</v>
      </c>
      <c r="C17" s="544" t="s">
        <v>7729</v>
      </c>
      <c r="D17" s="545" t="s">
        <v>7699</v>
      </c>
      <c r="E17" s="545" t="s">
        <v>7700</v>
      </c>
      <c r="F17" s="545" t="s">
        <v>7701</v>
      </c>
      <c r="G17" s="546" t="s">
        <v>7698</v>
      </c>
      <c r="H17" s="547" t="s">
        <v>7705</v>
      </c>
      <c r="I17" s="546" t="s">
        <v>7887</v>
      </c>
      <c r="J17" s="551"/>
      <c r="K17" s="551"/>
      <c r="L17" s="551"/>
      <c r="M17" s="551"/>
      <c r="N17" s="552"/>
      <c r="O17" s="551"/>
    </row>
    <row r="18" spans="1:15">
      <c r="A18" s="542" t="s">
        <v>7693</v>
      </c>
      <c r="B18" s="548" t="s">
        <v>7730</v>
      </c>
      <c r="C18" s="549" t="s">
        <v>7731</v>
      </c>
      <c r="D18" s="550" t="s">
        <v>7682</v>
      </c>
      <c r="E18" s="551"/>
      <c r="F18" s="551"/>
      <c r="G18" s="551"/>
      <c r="H18" s="552"/>
      <c r="I18" s="551"/>
      <c r="J18" s="550" t="s">
        <v>7682</v>
      </c>
      <c r="K18" s="551"/>
      <c r="L18" s="551"/>
      <c r="M18" s="551"/>
      <c r="N18" s="552"/>
      <c r="O18" s="551"/>
    </row>
    <row r="19" spans="1:15">
      <c r="A19" s="542" t="s">
        <v>7693</v>
      </c>
      <c r="B19" s="548" t="s">
        <v>7732</v>
      </c>
      <c r="C19" s="553" t="s">
        <v>7733</v>
      </c>
      <c r="D19" s="550" t="s">
        <v>7682</v>
      </c>
      <c r="E19" s="551"/>
      <c r="F19" s="551"/>
      <c r="G19" s="551"/>
      <c r="H19" s="552"/>
      <c r="I19" s="551"/>
      <c r="J19" s="550" t="s">
        <v>7682</v>
      </c>
      <c r="K19" s="551"/>
      <c r="L19" s="551"/>
      <c r="M19" s="551"/>
      <c r="N19" s="552"/>
      <c r="O19" s="551"/>
    </row>
    <row r="20" spans="1:15">
      <c r="A20" s="542" t="s">
        <v>7693</v>
      </c>
      <c r="B20" s="543" t="s">
        <v>7734</v>
      </c>
      <c r="C20" s="544" t="s">
        <v>7735</v>
      </c>
      <c r="D20" s="545" t="s">
        <v>7718</v>
      </c>
      <c r="E20" s="545" t="s">
        <v>7719</v>
      </c>
      <c r="F20" s="545" t="s">
        <v>7701</v>
      </c>
      <c r="G20" s="546" t="s">
        <v>7698</v>
      </c>
      <c r="H20" s="547" t="s">
        <v>7705</v>
      </c>
      <c r="I20" s="546" t="s">
        <v>7889</v>
      </c>
      <c r="J20" s="551"/>
      <c r="K20" s="551"/>
      <c r="L20" s="551"/>
      <c r="M20" s="551"/>
      <c r="N20" s="552"/>
      <c r="O20" s="551"/>
    </row>
    <row r="21" spans="1:15">
      <c r="A21" s="542" t="s">
        <v>7693</v>
      </c>
      <c r="B21" s="548" t="s">
        <v>7736</v>
      </c>
      <c r="C21" s="553" t="s">
        <v>7737</v>
      </c>
      <c r="D21" s="550" t="s">
        <v>7682</v>
      </c>
      <c r="E21" s="551"/>
      <c r="F21" s="551"/>
      <c r="G21" s="551"/>
      <c r="H21" s="552"/>
      <c r="I21" s="551"/>
      <c r="J21" s="550" t="s">
        <v>7682</v>
      </c>
      <c r="K21" s="551"/>
      <c r="L21" s="551"/>
      <c r="M21" s="551"/>
      <c r="N21" s="552"/>
      <c r="O21" s="551"/>
    </row>
    <row r="22" spans="1:15">
      <c r="A22" s="542" t="s">
        <v>7693</v>
      </c>
      <c r="B22" s="548" t="s">
        <v>7738</v>
      </c>
      <c r="C22" s="549" t="s">
        <v>7739</v>
      </c>
      <c r="D22" s="550" t="s">
        <v>7682</v>
      </c>
      <c r="E22" s="551"/>
      <c r="F22" s="551"/>
      <c r="G22" s="551"/>
      <c r="H22" s="552"/>
      <c r="I22" s="551"/>
      <c r="J22" s="550" t="s">
        <v>7682</v>
      </c>
      <c r="K22" s="551"/>
      <c r="L22" s="551"/>
      <c r="M22" s="551"/>
      <c r="N22" s="552"/>
      <c r="O22" s="551"/>
    </row>
    <row r="23" spans="1:15">
      <c r="A23" s="542" t="s">
        <v>7693</v>
      </c>
      <c r="B23" s="554" t="s">
        <v>7740</v>
      </c>
      <c r="C23" s="555" t="s">
        <v>7741</v>
      </c>
      <c r="D23" s="545" t="s">
        <v>7742</v>
      </c>
      <c r="E23" s="545" t="s">
        <v>7743</v>
      </c>
      <c r="F23" s="545" t="s">
        <v>7701</v>
      </c>
      <c r="G23" s="546" t="s">
        <v>7744</v>
      </c>
      <c r="H23" s="547" t="s">
        <v>7698</v>
      </c>
      <c r="I23" s="546" t="s">
        <v>7891</v>
      </c>
      <c r="J23" s="551"/>
      <c r="K23" s="551"/>
      <c r="L23" s="551"/>
      <c r="M23" s="551"/>
      <c r="N23" s="552"/>
      <c r="O23" s="551"/>
    </row>
    <row r="24" spans="1:15">
      <c r="A24" s="542" t="s">
        <v>7693</v>
      </c>
      <c r="B24" s="554" t="s">
        <v>7740</v>
      </c>
      <c r="C24" s="555" t="s">
        <v>7745</v>
      </c>
      <c r="D24" s="545" t="s">
        <v>7746</v>
      </c>
      <c r="E24" s="545" t="s">
        <v>7747</v>
      </c>
      <c r="F24" s="545" t="s">
        <v>7701</v>
      </c>
      <c r="G24" s="546" t="s">
        <v>7698</v>
      </c>
      <c r="H24" s="547" t="s">
        <v>7744</v>
      </c>
      <c r="I24" s="546" t="s">
        <v>7892</v>
      </c>
      <c r="J24" s="551"/>
      <c r="K24" s="551"/>
      <c r="L24" s="551"/>
      <c r="M24" s="551"/>
      <c r="N24" s="552"/>
      <c r="O24" s="551"/>
    </row>
    <row r="25" spans="1:15">
      <c r="A25" s="542" t="s">
        <v>7693</v>
      </c>
      <c r="B25" s="554" t="s">
        <v>7740</v>
      </c>
      <c r="C25" s="555" t="s">
        <v>7748</v>
      </c>
      <c r="D25" s="556" t="s">
        <v>7749</v>
      </c>
      <c r="E25" s="556" t="s">
        <v>7750</v>
      </c>
      <c r="F25" s="545" t="s">
        <v>7696</v>
      </c>
      <c r="G25" s="546" t="s">
        <v>7744</v>
      </c>
      <c r="H25" s="547" t="s">
        <v>7698</v>
      </c>
      <c r="I25" s="546" t="s">
        <v>7893</v>
      </c>
      <c r="J25" s="551"/>
      <c r="K25" s="551"/>
      <c r="L25" s="551"/>
      <c r="M25" s="551"/>
      <c r="N25" s="552"/>
      <c r="O25" s="551"/>
    </row>
    <row r="26" spans="1:15">
      <c r="A26" s="542" t="s">
        <v>7693</v>
      </c>
      <c r="B26" s="554" t="s">
        <v>7740</v>
      </c>
      <c r="C26" s="555" t="s">
        <v>7751</v>
      </c>
      <c r="D26" s="556" t="s">
        <v>7752</v>
      </c>
      <c r="E26" s="556" t="s">
        <v>7753</v>
      </c>
      <c r="F26" s="545" t="s">
        <v>7701</v>
      </c>
      <c r="G26" s="546" t="s">
        <v>7698</v>
      </c>
      <c r="H26" s="547" t="s">
        <v>7744</v>
      </c>
      <c r="I26" s="546" t="s">
        <v>7894</v>
      </c>
      <c r="J26" s="551"/>
      <c r="K26" s="551"/>
      <c r="L26" s="551"/>
      <c r="M26" s="551"/>
      <c r="N26" s="552"/>
      <c r="O26" s="551"/>
    </row>
    <row r="27" spans="1:15">
      <c r="A27" s="542" t="s">
        <v>7693</v>
      </c>
      <c r="B27" s="554" t="s">
        <v>7740</v>
      </c>
      <c r="C27" s="557" t="s">
        <v>7754</v>
      </c>
      <c r="D27" s="545" t="s">
        <v>7755</v>
      </c>
      <c r="E27" s="545" t="s">
        <v>7756</v>
      </c>
      <c r="F27" s="545" t="s">
        <v>7701</v>
      </c>
      <c r="G27" s="551"/>
      <c r="H27" s="552"/>
      <c r="I27" s="551" t="s">
        <v>7884</v>
      </c>
      <c r="J27" s="551"/>
      <c r="K27" s="551"/>
      <c r="L27" s="551"/>
      <c r="M27" s="551"/>
      <c r="N27" s="552"/>
      <c r="O27" s="551"/>
    </row>
    <row r="28" spans="1:15">
      <c r="A28" s="542" t="s">
        <v>7757</v>
      </c>
      <c r="B28" s="543" t="s">
        <v>7758</v>
      </c>
      <c r="C28" s="544" t="s">
        <v>7759</v>
      </c>
      <c r="D28" s="545" t="s">
        <v>7760</v>
      </c>
      <c r="E28" s="545" t="s">
        <v>7761</v>
      </c>
      <c r="F28" s="545" t="s">
        <v>7701</v>
      </c>
      <c r="G28" s="546" t="s">
        <v>7705</v>
      </c>
      <c r="H28" s="547" t="s">
        <v>7698</v>
      </c>
      <c r="I28" s="546" t="s">
        <v>7895</v>
      </c>
      <c r="J28" s="545" t="s">
        <v>7762</v>
      </c>
      <c r="K28" s="545" t="s">
        <v>7719</v>
      </c>
      <c r="L28" s="545" t="s">
        <v>7701</v>
      </c>
      <c r="M28" s="546" t="s">
        <v>7698</v>
      </c>
      <c r="N28" s="547" t="s">
        <v>7705</v>
      </c>
      <c r="O28" s="546"/>
    </row>
    <row r="29" spans="1:15">
      <c r="A29" s="542" t="s">
        <v>7757</v>
      </c>
      <c r="B29" s="543" t="s">
        <v>139</v>
      </c>
      <c r="C29" s="544" t="s">
        <v>7763</v>
      </c>
      <c r="D29" s="545" t="s">
        <v>7760</v>
      </c>
      <c r="E29" s="545" t="s">
        <v>7761</v>
      </c>
      <c r="F29" s="545" t="s">
        <v>7701</v>
      </c>
      <c r="G29" s="546" t="s">
        <v>7705</v>
      </c>
      <c r="H29" s="547" t="s">
        <v>7698</v>
      </c>
      <c r="I29" s="546" t="s">
        <v>7895</v>
      </c>
      <c r="J29" s="545" t="s">
        <v>7718</v>
      </c>
      <c r="K29" s="545" t="s">
        <v>7719</v>
      </c>
      <c r="L29" s="545" t="s">
        <v>7701</v>
      </c>
      <c r="M29" s="546" t="s">
        <v>7698</v>
      </c>
      <c r="N29" s="547" t="s">
        <v>7705</v>
      </c>
      <c r="O29" s="546"/>
    </row>
    <row r="30" spans="1:15">
      <c r="A30" s="542" t="s">
        <v>7757</v>
      </c>
      <c r="B30" s="543" t="s">
        <v>316</v>
      </c>
      <c r="C30" s="544" t="s">
        <v>7764</v>
      </c>
      <c r="D30" s="545" t="s">
        <v>7760</v>
      </c>
      <c r="E30" s="545" t="s">
        <v>7761</v>
      </c>
      <c r="F30" s="545" t="s">
        <v>7701</v>
      </c>
      <c r="G30" s="546" t="s">
        <v>7705</v>
      </c>
      <c r="H30" s="547" t="s">
        <v>7698</v>
      </c>
      <c r="I30" s="546" t="s">
        <v>7895</v>
      </c>
      <c r="J30" s="551"/>
      <c r="K30" s="551"/>
      <c r="L30" s="551"/>
      <c r="M30" s="551"/>
      <c r="N30" s="552"/>
      <c r="O30" s="551"/>
    </row>
    <row r="31" spans="1:15">
      <c r="A31" s="542" t="s">
        <v>7757</v>
      </c>
      <c r="B31" s="543" t="s">
        <v>224</v>
      </c>
      <c r="C31" s="544" t="s">
        <v>7638</v>
      </c>
      <c r="D31" s="545" t="s">
        <v>7765</v>
      </c>
      <c r="E31" s="545" t="s">
        <v>7761</v>
      </c>
      <c r="F31" s="545" t="s">
        <v>7696</v>
      </c>
      <c r="G31" s="546" t="s">
        <v>7698</v>
      </c>
      <c r="H31" s="547" t="s">
        <v>7766</v>
      </c>
      <c r="I31" s="546" t="s">
        <v>7895</v>
      </c>
      <c r="J31" s="551"/>
      <c r="K31" s="551"/>
      <c r="L31" s="551"/>
      <c r="M31" s="551"/>
      <c r="N31" s="552"/>
      <c r="O31" s="551"/>
    </row>
    <row r="32" spans="1:15">
      <c r="A32" s="542" t="s">
        <v>7757</v>
      </c>
      <c r="B32" s="543" t="s">
        <v>7767</v>
      </c>
      <c r="C32" s="544" t="s">
        <v>7768</v>
      </c>
      <c r="D32" s="545" t="s">
        <v>7769</v>
      </c>
      <c r="E32" s="545" t="s">
        <v>7719</v>
      </c>
      <c r="F32" s="545" t="s">
        <v>7701</v>
      </c>
      <c r="G32" s="546" t="s">
        <v>7698</v>
      </c>
      <c r="H32" s="547" t="s">
        <v>7705</v>
      </c>
      <c r="I32" s="546" t="s">
        <v>7888</v>
      </c>
      <c r="J32" s="551"/>
      <c r="K32" s="551"/>
      <c r="L32" s="551"/>
      <c r="M32" s="551"/>
      <c r="N32" s="552"/>
      <c r="O32" s="551"/>
    </row>
    <row r="33" spans="1:15">
      <c r="A33" s="542" t="s">
        <v>7757</v>
      </c>
      <c r="B33" s="543" t="s">
        <v>7770</v>
      </c>
      <c r="C33" s="544" t="s">
        <v>7640</v>
      </c>
      <c r="D33" s="545" t="s">
        <v>7765</v>
      </c>
      <c r="E33" s="545" t="s">
        <v>7761</v>
      </c>
      <c r="F33" s="545" t="s">
        <v>7696</v>
      </c>
      <c r="G33" s="546" t="s">
        <v>7698</v>
      </c>
      <c r="H33" s="547" t="s">
        <v>7766</v>
      </c>
      <c r="I33" s="546" t="s">
        <v>7895</v>
      </c>
      <c r="J33" s="551"/>
      <c r="K33" s="551"/>
      <c r="L33" s="551"/>
      <c r="M33" s="551"/>
      <c r="N33" s="552"/>
      <c r="O33" s="551"/>
    </row>
    <row r="34" spans="1:15">
      <c r="A34" s="542" t="s">
        <v>7757</v>
      </c>
      <c r="B34" s="543" t="s">
        <v>63</v>
      </c>
      <c r="C34" s="544" t="s">
        <v>7771</v>
      </c>
      <c r="D34" s="545" t="s">
        <v>7718</v>
      </c>
      <c r="E34" s="545" t="s">
        <v>7719</v>
      </c>
      <c r="F34" s="545" t="s">
        <v>7701</v>
      </c>
      <c r="G34" s="546" t="s">
        <v>7698</v>
      </c>
      <c r="H34" s="547" t="s">
        <v>7705</v>
      </c>
      <c r="I34" s="546" t="s">
        <v>7888</v>
      </c>
      <c r="J34" s="551"/>
      <c r="K34" s="551"/>
      <c r="L34" s="551"/>
      <c r="M34" s="551"/>
      <c r="N34" s="552"/>
      <c r="O34" s="551"/>
    </row>
    <row r="35" spans="1:15">
      <c r="A35" s="542" t="s">
        <v>7757</v>
      </c>
      <c r="B35" s="543" t="s">
        <v>7772</v>
      </c>
      <c r="C35" s="544" t="s">
        <v>7773</v>
      </c>
      <c r="D35" s="545" t="s">
        <v>7765</v>
      </c>
      <c r="E35" s="545" t="s">
        <v>7761</v>
      </c>
      <c r="F35" s="545" t="s">
        <v>7701</v>
      </c>
      <c r="G35" s="546" t="s">
        <v>7698</v>
      </c>
      <c r="H35" s="547" t="s">
        <v>7766</v>
      </c>
      <c r="I35" s="546" t="s">
        <v>7895</v>
      </c>
      <c r="J35" s="551"/>
      <c r="K35" s="551"/>
      <c r="L35" s="551"/>
      <c r="M35" s="551"/>
      <c r="N35" s="552"/>
      <c r="O35" s="551"/>
    </row>
    <row r="36" spans="1:15">
      <c r="A36" s="542" t="s">
        <v>7757</v>
      </c>
      <c r="B36" s="543" t="s">
        <v>7774</v>
      </c>
      <c r="C36" s="544" t="s">
        <v>291</v>
      </c>
      <c r="D36" s="545" t="s">
        <v>7718</v>
      </c>
      <c r="E36" s="545" t="s">
        <v>7719</v>
      </c>
      <c r="F36" s="545" t="s">
        <v>7701</v>
      </c>
      <c r="G36" s="546" t="s">
        <v>7698</v>
      </c>
      <c r="H36" s="547" t="s">
        <v>7705</v>
      </c>
      <c r="I36" s="546" t="s">
        <v>7888</v>
      </c>
      <c r="J36" s="551"/>
      <c r="K36" s="551"/>
      <c r="L36" s="551"/>
      <c r="M36" s="551"/>
      <c r="N36" s="552"/>
      <c r="O36" s="551"/>
    </row>
    <row r="37" spans="1:15">
      <c r="A37" s="542" t="s">
        <v>7757</v>
      </c>
      <c r="B37" s="543" t="s">
        <v>7775</v>
      </c>
      <c r="C37" s="544" t="s">
        <v>292</v>
      </c>
      <c r="D37" s="545" t="s">
        <v>7776</v>
      </c>
      <c r="E37" s="545" t="s">
        <v>7777</v>
      </c>
      <c r="F37" s="545" t="s">
        <v>7701</v>
      </c>
      <c r="G37" s="546" t="s">
        <v>7698</v>
      </c>
      <c r="H37" s="547" t="s">
        <v>7766</v>
      </c>
      <c r="I37" s="546" t="s">
        <v>7896</v>
      </c>
      <c r="J37" s="551"/>
      <c r="K37" s="551"/>
      <c r="L37" s="551"/>
      <c r="M37" s="551"/>
      <c r="N37" s="552"/>
      <c r="O37" s="551"/>
    </row>
    <row r="38" spans="1:15">
      <c r="A38" s="542" t="s">
        <v>7757</v>
      </c>
      <c r="B38" s="543" t="s">
        <v>7778</v>
      </c>
      <c r="C38" s="544" t="s">
        <v>7779</v>
      </c>
      <c r="D38" s="545" t="s">
        <v>7776</v>
      </c>
      <c r="E38" s="545" t="s">
        <v>7780</v>
      </c>
      <c r="F38" s="545" t="s">
        <v>7701</v>
      </c>
      <c r="G38" s="546" t="s">
        <v>7698</v>
      </c>
      <c r="H38" s="547" t="s">
        <v>7705</v>
      </c>
      <c r="I38" s="546" t="s">
        <v>7896</v>
      </c>
      <c r="J38" s="551"/>
      <c r="K38" s="551"/>
      <c r="L38" s="551"/>
      <c r="M38" s="551"/>
      <c r="N38" s="552"/>
      <c r="O38" s="551"/>
    </row>
    <row r="39" spans="1:15">
      <c r="A39" s="542" t="s">
        <v>7757</v>
      </c>
      <c r="B39" s="543" t="s">
        <v>7781</v>
      </c>
      <c r="C39" s="544" t="s">
        <v>7782</v>
      </c>
      <c r="D39" s="545" t="s">
        <v>7776</v>
      </c>
      <c r="E39" s="545" t="s">
        <v>7780</v>
      </c>
      <c r="F39" s="545" t="s">
        <v>7701</v>
      </c>
      <c r="G39" s="546" t="s">
        <v>7698</v>
      </c>
      <c r="H39" s="547" t="s">
        <v>7766</v>
      </c>
      <c r="I39" s="546" t="s">
        <v>7896</v>
      </c>
      <c r="J39" s="551"/>
      <c r="K39" s="551"/>
      <c r="L39" s="551"/>
      <c r="M39" s="551"/>
      <c r="N39" s="552"/>
      <c r="O39" s="551"/>
    </row>
    <row r="40" spans="1:15">
      <c r="A40" s="542" t="s">
        <v>7757</v>
      </c>
      <c r="B40" s="543" t="s">
        <v>7783</v>
      </c>
      <c r="C40" s="544" t="s">
        <v>7784</v>
      </c>
      <c r="D40" s="545" t="s">
        <v>7718</v>
      </c>
      <c r="E40" s="545" t="s">
        <v>7719</v>
      </c>
      <c r="F40" s="545" t="s">
        <v>7701</v>
      </c>
      <c r="G40" s="546" t="s">
        <v>7698</v>
      </c>
      <c r="H40" s="547" t="s">
        <v>7785</v>
      </c>
      <c r="I40" s="546" t="s">
        <v>7888</v>
      </c>
      <c r="J40" s="551"/>
      <c r="K40" s="551"/>
      <c r="L40" s="551"/>
      <c r="M40" s="551"/>
      <c r="N40" s="552"/>
      <c r="O40" s="551"/>
    </row>
    <row r="41" spans="1:15">
      <c r="A41" s="542" t="s">
        <v>7757</v>
      </c>
      <c r="B41" s="543" t="s">
        <v>7786</v>
      </c>
      <c r="C41" s="544" t="s">
        <v>7787</v>
      </c>
      <c r="D41" s="545" t="s">
        <v>7765</v>
      </c>
      <c r="E41" s="545" t="s">
        <v>7761</v>
      </c>
      <c r="F41" s="545" t="s">
        <v>7696</v>
      </c>
      <c r="G41" s="546" t="s">
        <v>7698</v>
      </c>
      <c r="H41" s="547" t="s">
        <v>7766</v>
      </c>
      <c r="I41" s="546" t="s">
        <v>7895</v>
      </c>
      <c r="J41" s="551"/>
      <c r="K41" s="551"/>
      <c r="L41" s="551"/>
      <c r="M41" s="551"/>
      <c r="N41" s="552"/>
      <c r="O41" s="551"/>
    </row>
    <row r="42" spans="1:15">
      <c r="A42" s="542" t="s">
        <v>7757</v>
      </c>
      <c r="B42" s="554" t="s">
        <v>7740</v>
      </c>
      <c r="C42" s="555" t="s">
        <v>7788</v>
      </c>
      <c r="D42" s="545" t="s">
        <v>7789</v>
      </c>
      <c r="E42" s="545" t="s">
        <v>7790</v>
      </c>
      <c r="F42" s="545" t="s">
        <v>7696</v>
      </c>
      <c r="G42" s="545" t="s">
        <v>7744</v>
      </c>
      <c r="H42" s="558" t="s">
        <v>7698</v>
      </c>
      <c r="I42" s="545" t="s">
        <v>7897</v>
      </c>
      <c r="J42" s="551"/>
      <c r="K42" s="551"/>
      <c r="L42" s="551"/>
      <c r="M42" s="551"/>
      <c r="N42" s="552"/>
      <c r="O42" s="551"/>
    </row>
    <row r="43" spans="1:15">
      <c r="A43" s="542" t="s">
        <v>7757</v>
      </c>
      <c r="B43" s="554" t="s">
        <v>7740</v>
      </c>
      <c r="C43" s="559" t="s">
        <v>7791</v>
      </c>
      <c r="D43" s="545" t="s">
        <v>7789</v>
      </c>
      <c r="E43" s="545" t="s">
        <v>7790</v>
      </c>
      <c r="F43" s="545" t="s">
        <v>7696</v>
      </c>
      <c r="G43" s="546" t="s">
        <v>7744</v>
      </c>
      <c r="H43" s="547" t="s">
        <v>7698</v>
      </c>
      <c r="I43" s="545" t="s">
        <v>7897</v>
      </c>
      <c r="J43" s="551"/>
      <c r="K43" s="551"/>
      <c r="L43" s="551"/>
      <c r="M43" s="551"/>
      <c r="N43" s="552"/>
      <c r="O43" s="551"/>
    </row>
    <row r="44" spans="1:15">
      <c r="A44" s="542" t="s">
        <v>7757</v>
      </c>
      <c r="B44" s="554" t="s">
        <v>7740</v>
      </c>
      <c r="C44" s="559" t="s">
        <v>7792</v>
      </c>
      <c r="D44" s="560" t="s">
        <v>7718</v>
      </c>
      <c r="E44" s="561" t="s">
        <v>7719</v>
      </c>
      <c r="F44" s="561" t="s">
        <v>7701</v>
      </c>
      <c r="G44" s="546" t="s">
        <v>7698</v>
      </c>
      <c r="H44" s="547" t="s">
        <v>7705</v>
      </c>
      <c r="I44" s="546" t="s">
        <v>7888</v>
      </c>
      <c r="J44" s="551"/>
      <c r="K44" s="551"/>
      <c r="L44" s="551"/>
      <c r="M44" s="551"/>
      <c r="N44" s="552"/>
      <c r="O44" s="551"/>
    </row>
    <row r="45" spans="1:15">
      <c r="A45" s="542" t="s">
        <v>7757</v>
      </c>
      <c r="B45" s="554" t="s">
        <v>7740</v>
      </c>
      <c r="C45" s="559" t="s">
        <v>7793</v>
      </c>
      <c r="D45" s="545" t="s">
        <v>7718</v>
      </c>
      <c r="E45" s="545" t="s">
        <v>7719</v>
      </c>
      <c r="F45" s="545" t="s">
        <v>7701</v>
      </c>
      <c r="G45" s="546" t="s">
        <v>7698</v>
      </c>
      <c r="H45" s="547" t="s">
        <v>7705</v>
      </c>
      <c r="I45" s="546" t="s">
        <v>7888</v>
      </c>
      <c r="J45" s="551"/>
      <c r="K45" s="551"/>
      <c r="L45" s="551"/>
      <c r="M45" s="551"/>
      <c r="N45" s="552"/>
      <c r="O45" s="551"/>
    </row>
    <row r="46" spans="1:15">
      <c r="A46" s="542" t="s">
        <v>7794</v>
      </c>
      <c r="B46" s="543" t="s">
        <v>7795</v>
      </c>
      <c r="C46" s="544" t="s">
        <v>7796</v>
      </c>
      <c r="D46" s="545" t="s">
        <v>7789</v>
      </c>
      <c r="E46" s="545" t="s">
        <v>7790</v>
      </c>
      <c r="F46" s="545" t="s">
        <v>7797</v>
      </c>
      <c r="G46" s="546" t="s">
        <v>7798</v>
      </c>
      <c r="H46" s="547" t="s">
        <v>7698</v>
      </c>
      <c r="I46" s="546" t="s">
        <v>7897</v>
      </c>
      <c r="J46" s="545" t="s">
        <v>7718</v>
      </c>
      <c r="K46" s="545" t="s">
        <v>7719</v>
      </c>
      <c r="L46" s="545" t="s">
        <v>7701</v>
      </c>
      <c r="M46" s="546" t="s">
        <v>7698</v>
      </c>
      <c r="N46" s="547" t="s">
        <v>7798</v>
      </c>
      <c r="O46" s="546"/>
    </row>
    <row r="47" spans="1:15">
      <c r="A47" s="542" t="s">
        <v>7794</v>
      </c>
      <c r="B47" s="543" t="s">
        <v>7799</v>
      </c>
      <c r="C47" s="544" t="s">
        <v>7800</v>
      </c>
      <c r="D47" s="545" t="s">
        <v>7801</v>
      </c>
      <c r="E47" s="545" t="s">
        <v>7802</v>
      </c>
      <c r="F47" s="545" t="s">
        <v>7701</v>
      </c>
      <c r="G47" s="546" t="s">
        <v>7697</v>
      </c>
      <c r="H47" s="547" t="s">
        <v>7698</v>
      </c>
      <c r="I47" s="546" t="s">
        <v>7899</v>
      </c>
      <c r="J47" s="545" t="s">
        <v>7718</v>
      </c>
      <c r="K47" s="545" t="s">
        <v>7719</v>
      </c>
      <c r="L47" s="545" t="s">
        <v>7701</v>
      </c>
      <c r="M47" s="546" t="s">
        <v>7698</v>
      </c>
      <c r="N47" s="552" t="s">
        <v>7697</v>
      </c>
      <c r="O47" s="551"/>
    </row>
    <row r="48" spans="1:15">
      <c r="A48" s="542" t="s">
        <v>7794</v>
      </c>
      <c r="B48" s="543" t="s">
        <v>7803</v>
      </c>
      <c r="C48" s="544" t="s">
        <v>7804</v>
      </c>
      <c r="D48" s="545" t="s">
        <v>7805</v>
      </c>
      <c r="E48" s="545" t="s">
        <v>7806</v>
      </c>
      <c r="F48" s="545" t="s">
        <v>7701</v>
      </c>
      <c r="G48" s="546" t="s">
        <v>7697</v>
      </c>
      <c r="H48" s="547" t="s">
        <v>7698</v>
      </c>
      <c r="I48" s="546" t="s">
        <v>7898</v>
      </c>
      <c r="J48" s="551" t="s">
        <v>7807</v>
      </c>
      <c r="K48" s="551" t="s">
        <v>7808</v>
      </c>
      <c r="L48" s="551" t="s">
        <v>7797</v>
      </c>
      <c r="M48" s="551" t="s">
        <v>7809</v>
      </c>
      <c r="N48" s="552" t="s">
        <v>7697</v>
      </c>
      <c r="O48" s="551"/>
    </row>
    <row r="49" spans="1:15">
      <c r="A49" s="542" t="s">
        <v>7794</v>
      </c>
      <c r="B49" s="543" t="s">
        <v>7810</v>
      </c>
      <c r="C49" s="544" t="s">
        <v>7811</v>
      </c>
      <c r="D49" s="545" t="s">
        <v>7718</v>
      </c>
      <c r="E49" s="545" t="s">
        <v>7719</v>
      </c>
      <c r="F49" s="545" t="s">
        <v>7701</v>
      </c>
      <c r="G49" s="546" t="s">
        <v>7812</v>
      </c>
      <c r="H49" s="547" t="s">
        <v>7698</v>
      </c>
      <c r="I49" s="546" t="s">
        <v>7888</v>
      </c>
      <c r="J49" s="562"/>
      <c r="K49" s="562"/>
      <c r="L49" s="562"/>
      <c r="M49" s="563"/>
      <c r="N49" s="564"/>
      <c r="O49" s="563"/>
    </row>
    <row r="50" spans="1:15">
      <c r="A50" s="542" t="s">
        <v>7794</v>
      </c>
      <c r="B50" s="543" t="s">
        <v>7813</v>
      </c>
      <c r="C50" s="544" t="s">
        <v>7814</v>
      </c>
      <c r="D50" s="556" t="s">
        <v>7749</v>
      </c>
      <c r="E50" s="556" t="s">
        <v>7750</v>
      </c>
      <c r="F50" s="545" t="s">
        <v>7701</v>
      </c>
      <c r="G50" s="546" t="s">
        <v>7815</v>
      </c>
      <c r="H50" s="547" t="s">
        <v>7698</v>
      </c>
      <c r="I50" s="546" t="s">
        <v>7900</v>
      </c>
      <c r="J50" s="556" t="s">
        <v>7752</v>
      </c>
      <c r="K50" s="556" t="s">
        <v>7753</v>
      </c>
      <c r="L50" s="545" t="s">
        <v>7701</v>
      </c>
      <c r="M50" s="546" t="s">
        <v>7698</v>
      </c>
      <c r="N50" s="547" t="s">
        <v>7798</v>
      </c>
      <c r="O50" s="546"/>
    </row>
    <row r="51" spans="1:15">
      <c r="A51" s="542" t="s">
        <v>7794</v>
      </c>
      <c r="B51" s="543" t="s">
        <v>7816</v>
      </c>
      <c r="C51" s="544" t="s">
        <v>7817</v>
      </c>
      <c r="D51" s="545" t="s">
        <v>7818</v>
      </c>
      <c r="E51" s="545" t="s">
        <v>7802</v>
      </c>
      <c r="F51" s="545" t="s">
        <v>7696</v>
      </c>
      <c r="G51" s="546" t="s">
        <v>7698</v>
      </c>
      <c r="H51" s="547" t="s">
        <v>7766</v>
      </c>
      <c r="I51" s="546" t="s">
        <v>7899</v>
      </c>
      <c r="J51" s="551"/>
      <c r="K51" s="551"/>
      <c r="L51" s="551"/>
      <c r="M51" s="551"/>
      <c r="N51" s="552"/>
      <c r="O51" s="551"/>
    </row>
    <row r="52" spans="1:15">
      <c r="A52" s="542" t="s">
        <v>7794</v>
      </c>
      <c r="B52" s="543" t="s">
        <v>7819</v>
      </c>
      <c r="C52" s="544" t="s">
        <v>7820</v>
      </c>
      <c r="D52" s="545" t="s">
        <v>7718</v>
      </c>
      <c r="E52" s="545" t="s">
        <v>7719</v>
      </c>
      <c r="F52" s="545" t="s">
        <v>7701</v>
      </c>
      <c r="G52" s="546" t="s">
        <v>7698</v>
      </c>
      <c r="H52" s="547" t="s">
        <v>7705</v>
      </c>
      <c r="I52" s="546" t="s">
        <v>7888</v>
      </c>
      <c r="J52" s="551"/>
      <c r="K52" s="551"/>
      <c r="L52" s="551"/>
      <c r="M52" s="551"/>
      <c r="N52" s="552"/>
      <c r="O52" s="551"/>
    </row>
    <row r="53" spans="1:15">
      <c r="A53" s="542" t="s">
        <v>7794</v>
      </c>
      <c r="B53" s="543" t="s">
        <v>7821</v>
      </c>
      <c r="C53" s="544" t="s">
        <v>7822</v>
      </c>
      <c r="D53" s="545" t="s">
        <v>7818</v>
      </c>
      <c r="E53" s="545" t="s">
        <v>7802</v>
      </c>
      <c r="F53" s="545" t="s">
        <v>7696</v>
      </c>
      <c r="G53" s="546" t="s">
        <v>7698</v>
      </c>
      <c r="H53" s="547" t="s">
        <v>7766</v>
      </c>
      <c r="I53" s="546" t="s">
        <v>7899</v>
      </c>
      <c r="J53" s="551"/>
      <c r="K53" s="551"/>
      <c r="L53" s="551"/>
      <c r="M53" s="551"/>
      <c r="N53" s="552"/>
      <c r="O53" s="551"/>
    </row>
    <row r="54" spans="1:15">
      <c r="A54" s="542" t="s">
        <v>7794</v>
      </c>
      <c r="B54" s="543" t="s">
        <v>7823</v>
      </c>
      <c r="C54" s="544" t="s">
        <v>7824</v>
      </c>
      <c r="D54" s="545" t="s">
        <v>7718</v>
      </c>
      <c r="E54" s="545" t="s">
        <v>7719</v>
      </c>
      <c r="F54" s="545" t="s">
        <v>7701</v>
      </c>
      <c r="G54" s="546" t="s">
        <v>7698</v>
      </c>
      <c r="H54" s="547" t="s">
        <v>7705</v>
      </c>
      <c r="I54" s="546" t="s">
        <v>7888</v>
      </c>
      <c r="J54" s="551"/>
      <c r="K54" s="551"/>
      <c r="L54" s="551"/>
      <c r="M54" s="551"/>
      <c r="N54" s="552"/>
      <c r="O54" s="551"/>
    </row>
    <row r="55" spans="1:15">
      <c r="A55" s="542" t="s">
        <v>7794</v>
      </c>
      <c r="B55" s="543" t="s">
        <v>7825</v>
      </c>
      <c r="C55" s="544" t="s">
        <v>7826</v>
      </c>
      <c r="D55" s="545" t="s">
        <v>7818</v>
      </c>
      <c r="E55" s="545" t="s">
        <v>7802</v>
      </c>
      <c r="F55" s="545" t="s">
        <v>7696</v>
      </c>
      <c r="G55" s="546" t="s">
        <v>7698</v>
      </c>
      <c r="H55" s="547" t="s">
        <v>7766</v>
      </c>
      <c r="I55" s="546" t="s">
        <v>7899</v>
      </c>
      <c r="J55" s="551"/>
      <c r="K55" s="551"/>
      <c r="L55" s="551"/>
      <c r="M55" s="551"/>
      <c r="N55" s="552"/>
      <c r="O55" s="551"/>
    </row>
    <row r="56" spans="1:15">
      <c r="A56" s="542" t="s">
        <v>7794</v>
      </c>
      <c r="B56" s="543" t="s">
        <v>7827</v>
      </c>
      <c r="C56" s="544" t="s">
        <v>7828</v>
      </c>
      <c r="D56" s="545" t="s">
        <v>7829</v>
      </c>
      <c r="E56" s="545" t="s">
        <v>7790</v>
      </c>
      <c r="F56" s="545" t="s">
        <v>7696</v>
      </c>
      <c r="G56" s="546" t="s">
        <v>7698</v>
      </c>
      <c r="H56" s="547" t="s">
        <v>7812</v>
      </c>
      <c r="I56" s="545" t="s">
        <v>7897</v>
      </c>
      <c r="J56" s="551"/>
      <c r="K56" s="551"/>
      <c r="L56" s="551"/>
      <c r="M56" s="551"/>
      <c r="N56" s="552"/>
      <c r="O56" s="551"/>
    </row>
    <row r="57" spans="1:15">
      <c r="A57" s="542" t="s">
        <v>7794</v>
      </c>
      <c r="B57" s="543" t="s">
        <v>7830</v>
      </c>
      <c r="C57" s="544" t="s">
        <v>7831</v>
      </c>
      <c r="D57" s="545" t="s">
        <v>7718</v>
      </c>
      <c r="E57" s="545" t="s">
        <v>7719</v>
      </c>
      <c r="F57" s="545" t="s">
        <v>7701</v>
      </c>
      <c r="G57" s="546" t="s">
        <v>7698</v>
      </c>
      <c r="H57" s="547" t="s">
        <v>7798</v>
      </c>
      <c r="I57" s="546" t="s">
        <v>7888</v>
      </c>
      <c r="J57" s="551"/>
      <c r="K57" s="551"/>
      <c r="L57" s="551"/>
      <c r="M57" s="551"/>
      <c r="N57" s="552"/>
      <c r="O57" s="551"/>
    </row>
    <row r="58" spans="1:15">
      <c r="A58" s="542" t="s">
        <v>7794</v>
      </c>
      <c r="B58" s="543" t="s">
        <v>7832</v>
      </c>
      <c r="C58" s="544" t="s">
        <v>7833</v>
      </c>
      <c r="D58" s="545" t="s">
        <v>7829</v>
      </c>
      <c r="E58" s="545" t="s">
        <v>7790</v>
      </c>
      <c r="F58" s="545" t="s">
        <v>7696</v>
      </c>
      <c r="G58" s="546" t="s">
        <v>7698</v>
      </c>
      <c r="H58" s="547" t="s">
        <v>7812</v>
      </c>
      <c r="I58" s="545" t="s">
        <v>7897</v>
      </c>
      <c r="J58" s="551"/>
      <c r="K58" s="551"/>
      <c r="L58" s="551"/>
      <c r="M58" s="551"/>
      <c r="N58" s="552"/>
      <c r="O58" s="551"/>
    </row>
    <row r="59" spans="1:15">
      <c r="A59" s="542" t="s">
        <v>7794</v>
      </c>
      <c r="B59" s="543" t="s">
        <v>7834</v>
      </c>
      <c r="C59" s="544" t="s">
        <v>7835</v>
      </c>
      <c r="D59" s="545" t="s">
        <v>7836</v>
      </c>
      <c r="E59" s="545" t="s">
        <v>7806</v>
      </c>
      <c r="F59" s="545" t="s">
        <v>7701</v>
      </c>
      <c r="G59" s="545" t="s">
        <v>7809</v>
      </c>
      <c r="H59" s="547" t="s">
        <v>7837</v>
      </c>
      <c r="I59" s="546" t="s">
        <v>7898</v>
      </c>
      <c r="J59" s="545" t="s">
        <v>7838</v>
      </c>
      <c r="K59" s="545" t="s">
        <v>7839</v>
      </c>
      <c r="L59" s="545" t="s">
        <v>7701</v>
      </c>
      <c r="M59" s="546" t="s">
        <v>7698</v>
      </c>
      <c r="N59" s="547" t="s">
        <v>7744</v>
      </c>
      <c r="O59" s="546"/>
    </row>
    <row r="60" spans="1:15">
      <c r="A60" s="542" t="s">
        <v>7794</v>
      </c>
      <c r="B60" s="543" t="s">
        <v>7840</v>
      </c>
      <c r="C60" s="544" t="s">
        <v>7841</v>
      </c>
      <c r="D60" s="545" t="s">
        <v>7718</v>
      </c>
      <c r="E60" s="545" t="s">
        <v>7719</v>
      </c>
      <c r="F60" s="545" t="s">
        <v>7701</v>
      </c>
      <c r="G60" s="546" t="s">
        <v>7698</v>
      </c>
      <c r="H60" s="547" t="s">
        <v>7812</v>
      </c>
      <c r="I60" s="546" t="s">
        <v>7888</v>
      </c>
      <c r="J60" s="551"/>
      <c r="K60" s="551"/>
      <c r="L60" s="551"/>
      <c r="M60" s="551"/>
      <c r="N60" s="552"/>
      <c r="O60" s="551"/>
    </row>
    <row r="61" spans="1:15">
      <c r="A61" s="542" t="s">
        <v>7842</v>
      </c>
      <c r="B61" s="543" t="s">
        <v>150</v>
      </c>
      <c r="C61" s="544" t="s">
        <v>7843</v>
      </c>
      <c r="D61" s="551" t="s">
        <v>7760</v>
      </c>
      <c r="E61" s="551" t="s">
        <v>7761</v>
      </c>
      <c r="F61" s="551" t="s">
        <v>7844</v>
      </c>
      <c r="G61" s="551" t="s">
        <v>7744</v>
      </c>
      <c r="H61" s="552" t="s">
        <v>7698</v>
      </c>
      <c r="I61" s="551" t="s">
        <v>7901</v>
      </c>
      <c r="J61" s="551" t="s">
        <v>7718</v>
      </c>
      <c r="K61" s="551" t="s">
        <v>7719</v>
      </c>
      <c r="L61" s="551" t="s">
        <v>7844</v>
      </c>
      <c r="M61" s="551" t="s">
        <v>7698</v>
      </c>
      <c r="N61" s="552" t="s">
        <v>7744</v>
      </c>
      <c r="O61" s="551"/>
    </row>
    <row r="62" spans="1:15">
      <c r="A62" s="542" t="s">
        <v>7842</v>
      </c>
      <c r="B62" s="543" t="s">
        <v>7845</v>
      </c>
      <c r="C62" s="544" t="s">
        <v>7846</v>
      </c>
      <c r="D62" s="545" t="s">
        <v>7718</v>
      </c>
      <c r="E62" s="545" t="s">
        <v>7719</v>
      </c>
      <c r="F62" s="545" t="s">
        <v>7844</v>
      </c>
      <c r="G62" s="546" t="s">
        <v>7698</v>
      </c>
      <c r="H62" s="547" t="s">
        <v>7744</v>
      </c>
      <c r="I62" s="546" t="s">
        <v>7902</v>
      </c>
      <c r="J62" s="551"/>
      <c r="K62" s="551"/>
      <c r="L62" s="551"/>
      <c r="M62" s="551"/>
      <c r="N62" s="552"/>
      <c r="O62" s="551"/>
    </row>
    <row r="63" spans="1:15">
      <c r="A63" s="542" t="s">
        <v>7842</v>
      </c>
      <c r="B63" s="543" t="s">
        <v>7847</v>
      </c>
      <c r="C63" s="544" t="s">
        <v>7848</v>
      </c>
      <c r="D63" s="545" t="s">
        <v>7776</v>
      </c>
      <c r="E63" s="545" t="s">
        <v>7780</v>
      </c>
      <c r="F63" s="545" t="s">
        <v>7844</v>
      </c>
      <c r="G63" s="546" t="s">
        <v>7698</v>
      </c>
      <c r="H63" s="547" t="s">
        <v>7744</v>
      </c>
      <c r="I63" s="546" t="s">
        <v>7903</v>
      </c>
      <c r="J63" s="551"/>
      <c r="K63" s="551"/>
      <c r="L63" s="551"/>
      <c r="M63" s="551"/>
      <c r="N63" s="552"/>
      <c r="O63" s="551"/>
    </row>
    <row r="64" spans="1:15">
      <c r="A64" s="542" t="s">
        <v>7842</v>
      </c>
      <c r="B64" s="543" t="s">
        <v>7849</v>
      </c>
      <c r="C64" s="544" t="s">
        <v>7850</v>
      </c>
      <c r="D64" s="545" t="s">
        <v>7718</v>
      </c>
      <c r="E64" s="545" t="s">
        <v>7719</v>
      </c>
      <c r="F64" s="545" t="s">
        <v>7844</v>
      </c>
      <c r="G64" s="546" t="s">
        <v>7698</v>
      </c>
      <c r="H64" s="547" t="s">
        <v>7744</v>
      </c>
      <c r="I64" s="546" t="s">
        <v>7902</v>
      </c>
      <c r="J64" s="551"/>
      <c r="K64" s="551"/>
      <c r="L64" s="551"/>
      <c r="M64" s="551"/>
      <c r="N64" s="552"/>
      <c r="O64" s="551"/>
    </row>
    <row r="65" spans="1:15">
      <c r="A65" s="542" t="s">
        <v>7851</v>
      </c>
      <c r="B65" s="543" t="s">
        <v>7852</v>
      </c>
      <c r="C65" s="544" t="s">
        <v>7853</v>
      </c>
      <c r="D65" s="551" t="s">
        <v>7801</v>
      </c>
      <c r="E65" s="551" t="s">
        <v>7802</v>
      </c>
      <c r="F65" s="551" t="s">
        <v>7844</v>
      </c>
      <c r="G65" s="551" t="s">
        <v>7854</v>
      </c>
      <c r="H65" s="552" t="s">
        <v>7698</v>
      </c>
      <c r="I65" s="551" t="s">
        <v>7904</v>
      </c>
      <c r="J65" s="551" t="s">
        <v>7718</v>
      </c>
      <c r="K65" s="551" t="s">
        <v>7719</v>
      </c>
      <c r="L65" s="551" t="s">
        <v>7701</v>
      </c>
      <c r="M65" s="551" t="s">
        <v>7698</v>
      </c>
      <c r="N65" s="552" t="s">
        <v>7854</v>
      </c>
      <c r="O65" s="551"/>
    </row>
    <row r="66" spans="1:15">
      <c r="A66" s="542" t="s">
        <v>7851</v>
      </c>
      <c r="B66" s="543" t="s">
        <v>7855</v>
      </c>
      <c r="C66" s="544" t="s">
        <v>7856</v>
      </c>
      <c r="D66" s="551" t="s">
        <v>7789</v>
      </c>
      <c r="E66" s="551" t="s">
        <v>7790</v>
      </c>
      <c r="F66" s="551" t="s">
        <v>7857</v>
      </c>
      <c r="G66" s="551" t="s">
        <v>7854</v>
      </c>
      <c r="H66" s="552" t="s">
        <v>7698</v>
      </c>
      <c r="I66" s="551" t="s">
        <v>7905</v>
      </c>
      <c r="J66" s="551" t="s">
        <v>7718</v>
      </c>
      <c r="K66" s="551" t="s">
        <v>7719</v>
      </c>
      <c r="L66" s="551" t="s">
        <v>7701</v>
      </c>
      <c r="M66" s="551" t="s">
        <v>7698</v>
      </c>
      <c r="N66" s="552" t="s">
        <v>7854</v>
      </c>
      <c r="O66" s="551"/>
    </row>
    <row r="67" spans="1:15">
      <c r="A67" s="542" t="s">
        <v>7851</v>
      </c>
      <c r="B67" s="543" t="s">
        <v>7858</v>
      </c>
      <c r="C67" s="544" t="s">
        <v>304</v>
      </c>
      <c r="D67" s="545" t="s">
        <v>7776</v>
      </c>
      <c r="E67" s="545" t="s">
        <v>7780</v>
      </c>
      <c r="F67" s="545" t="s">
        <v>7797</v>
      </c>
      <c r="G67" s="546" t="s">
        <v>7698</v>
      </c>
      <c r="H67" s="547" t="s">
        <v>7705</v>
      </c>
      <c r="I67" s="546" t="s">
        <v>7896</v>
      </c>
      <c r="J67" s="551"/>
      <c r="K67" s="551"/>
      <c r="L67" s="551"/>
      <c r="M67" s="551"/>
      <c r="N67" s="552"/>
      <c r="O67" s="551"/>
    </row>
    <row r="68" spans="1:15">
      <c r="A68" s="542" t="s">
        <v>7851</v>
      </c>
      <c r="B68" s="543" t="s">
        <v>7859</v>
      </c>
      <c r="C68" s="544" t="s">
        <v>7860</v>
      </c>
      <c r="D68" s="545" t="s">
        <v>7776</v>
      </c>
      <c r="E68" s="545" t="s">
        <v>7780</v>
      </c>
      <c r="F68" s="545" t="s">
        <v>7797</v>
      </c>
      <c r="G68" s="546" t="s">
        <v>7698</v>
      </c>
      <c r="H68" s="547" t="s">
        <v>7766</v>
      </c>
      <c r="I68" s="546" t="s">
        <v>7896</v>
      </c>
      <c r="J68" s="551"/>
      <c r="K68" s="551"/>
      <c r="L68" s="551"/>
      <c r="M68" s="551"/>
      <c r="N68" s="552"/>
      <c r="O68" s="551"/>
    </row>
    <row r="69" spans="1:15">
      <c r="A69" s="542" t="s">
        <v>7851</v>
      </c>
      <c r="B69" s="543" t="s">
        <v>7861</v>
      </c>
      <c r="C69" s="544" t="s">
        <v>306</v>
      </c>
      <c r="D69" s="545" t="s">
        <v>7776</v>
      </c>
      <c r="E69" s="545" t="s">
        <v>7780</v>
      </c>
      <c r="F69" s="545" t="s">
        <v>7797</v>
      </c>
      <c r="G69" s="546" t="s">
        <v>7698</v>
      </c>
      <c r="H69" s="547" t="s">
        <v>7705</v>
      </c>
      <c r="I69" s="546" t="s">
        <v>7896</v>
      </c>
      <c r="J69" s="551"/>
      <c r="K69" s="551"/>
      <c r="L69" s="551"/>
      <c r="M69" s="551"/>
      <c r="N69" s="552"/>
      <c r="O69" s="551"/>
    </row>
    <row r="70" spans="1:15">
      <c r="A70" s="542" t="s">
        <v>7851</v>
      </c>
      <c r="B70" s="543" t="s">
        <v>7862</v>
      </c>
      <c r="C70" s="544" t="s">
        <v>307</v>
      </c>
      <c r="D70" s="545" t="s">
        <v>7776</v>
      </c>
      <c r="E70" s="545" t="s">
        <v>7780</v>
      </c>
      <c r="F70" s="545" t="s">
        <v>7797</v>
      </c>
      <c r="G70" s="546" t="s">
        <v>7698</v>
      </c>
      <c r="H70" s="547" t="s">
        <v>7766</v>
      </c>
      <c r="I70" s="546" t="s">
        <v>7896</v>
      </c>
      <c r="J70" s="551"/>
      <c r="K70" s="551"/>
      <c r="L70" s="551"/>
      <c r="M70" s="551"/>
      <c r="N70" s="552"/>
      <c r="O70" s="551"/>
    </row>
    <row r="71" spans="1:15">
      <c r="A71" s="542" t="s">
        <v>7863</v>
      </c>
      <c r="B71" s="543" t="s">
        <v>240</v>
      </c>
      <c r="C71" s="544" t="s">
        <v>7673</v>
      </c>
      <c r="D71" s="556" t="s">
        <v>7864</v>
      </c>
      <c r="E71" s="556" t="s">
        <v>7865</v>
      </c>
      <c r="F71" s="545" t="s">
        <v>7701</v>
      </c>
      <c r="G71" s="546" t="s">
        <v>7744</v>
      </c>
      <c r="H71" s="547" t="s">
        <v>7698</v>
      </c>
      <c r="I71" s="546" t="s">
        <v>7906</v>
      </c>
      <c r="J71" s="556" t="s">
        <v>7866</v>
      </c>
      <c r="K71" s="556" t="s">
        <v>7867</v>
      </c>
      <c r="L71" s="545" t="s">
        <v>7844</v>
      </c>
      <c r="M71" s="546" t="s">
        <v>7698</v>
      </c>
      <c r="N71" s="547" t="s">
        <v>7744</v>
      </c>
      <c r="O71" s="546"/>
    </row>
    <row r="72" spans="1:15">
      <c r="A72" s="542" t="s">
        <v>7863</v>
      </c>
      <c r="B72" s="543" t="s">
        <v>7868</v>
      </c>
      <c r="C72" s="544" t="s">
        <v>7869</v>
      </c>
      <c r="D72" s="556" t="s">
        <v>7749</v>
      </c>
      <c r="E72" s="556" t="s">
        <v>7750</v>
      </c>
      <c r="F72" s="545" t="s">
        <v>7701</v>
      </c>
      <c r="G72" s="546" t="s">
        <v>7744</v>
      </c>
      <c r="H72" s="547" t="s">
        <v>7698</v>
      </c>
      <c r="I72" s="546" t="s">
        <v>7893</v>
      </c>
      <c r="J72" s="556" t="s">
        <v>7752</v>
      </c>
      <c r="K72" s="556" t="s">
        <v>7753</v>
      </c>
      <c r="L72" s="545" t="s">
        <v>7701</v>
      </c>
      <c r="M72" s="546" t="s">
        <v>7698</v>
      </c>
      <c r="N72" s="547" t="s">
        <v>7744</v>
      </c>
      <c r="O72" s="546"/>
    </row>
    <row r="73" spans="1:15">
      <c r="A73" s="542" t="s">
        <v>7863</v>
      </c>
      <c r="B73" s="548" t="s">
        <v>127</v>
      </c>
      <c r="C73" s="549" t="s">
        <v>7870</v>
      </c>
      <c r="D73" s="550" t="s">
        <v>7682</v>
      </c>
      <c r="E73" s="551"/>
      <c r="F73" s="551"/>
      <c r="G73" s="551"/>
      <c r="H73" s="552"/>
      <c r="I73" s="551"/>
      <c r="J73" s="550" t="s">
        <v>7682</v>
      </c>
      <c r="K73" s="551"/>
      <c r="L73" s="551"/>
      <c r="M73" s="551"/>
      <c r="N73" s="552"/>
      <c r="O73" s="551"/>
    </row>
    <row r="74" spans="1:15">
      <c r="A74" s="542" t="s">
        <v>7863</v>
      </c>
      <c r="B74" s="548" t="s">
        <v>131</v>
      </c>
      <c r="C74" s="549" t="s">
        <v>7871</v>
      </c>
      <c r="D74" s="550" t="s">
        <v>7682</v>
      </c>
      <c r="E74" s="551"/>
      <c r="F74" s="551"/>
      <c r="G74" s="551"/>
      <c r="H74" s="552"/>
      <c r="I74" s="551"/>
      <c r="J74" s="550" t="s">
        <v>7682</v>
      </c>
      <c r="K74" s="551"/>
      <c r="L74" s="551"/>
      <c r="M74" s="551"/>
      <c r="N74" s="552"/>
      <c r="O74" s="551"/>
    </row>
    <row r="75" spans="1:15">
      <c r="A75" s="542" t="s">
        <v>7863</v>
      </c>
      <c r="B75" s="554" t="s">
        <v>7740</v>
      </c>
      <c r="C75" s="544" t="s">
        <v>7872</v>
      </c>
      <c r="D75" s="545" t="s">
        <v>7873</v>
      </c>
      <c r="E75" s="545" t="s">
        <v>7874</v>
      </c>
      <c r="F75" s="545" t="s">
        <v>7701</v>
      </c>
      <c r="G75" s="546" t="s">
        <v>7698</v>
      </c>
      <c r="H75" s="547" t="s">
        <v>7744</v>
      </c>
      <c r="I75" s="546" t="s">
        <v>7907</v>
      </c>
      <c r="J75" s="551"/>
      <c r="K75" s="545"/>
      <c r="L75" s="551"/>
      <c r="M75" s="551"/>
      <c r="N75" s="552"/>
      <c r="O75" s="551"/>
    </row>
    <row r="76" spans="1:15">
      <c r="A76" s="542" t="s">
        <v>7863</v>
      </c>
      <c r="B76" s="554" t="s">
        <v>7740</v>
      </c>
      <c r="C76" s="544" t="s">
        <v>7875</v>
      </c>
      <c r="D76" s="545" t="s">
        <v>7866</v>
      </c>
      <c r="E76" s="545" t="s">
        <v>7876</v>
      </c>
      <c r="F76" s="545" t="s">
        <v>7701</v>
      </c>
      <c r="G76" s="546" t="s">
        <v>7744</v>
      </c>
      <c r="H76" s="547" t="s">
        <v>7698</v>
      </c>
      <c r="I76" s="546" t="s">
        <v>7908</v>
      </c>
      <c r="J76" s="551"/>
      <c r="K76" s="551"/>
      <c r="L76" s="551"/>
      <c r="M76" s="551"/>
      <c r="N76" s="552"/>
      <c r="O76" s="551"/>
    </row>
    <row r="77" spans="1:15">
      <c r="A77" s="542" t="s">
        <v>7863</v>
      </c>
      <c r="B77" s="548" t="s">
        <v>7877</v>
      </c>
      <c r="C77" s="549" t="s">
        <v>7878</v>
      </c>
      <c r="D77" s="550" t="s">
        <v>7682</v>
      </c>
      <c r="E77" s="551"/>
      <c r="F77" s="551"/>
      <c r="G77" s="551"/>
      <c r="H77" s="552"/>
      <c r="I77" s="551"/>
      <c r="J77" s="550" t="s">
        <v>7682</v>
      </c>
      <c r="K77" s="551"/>
      <c r="L77" s="551"/>
      <c r="M77" s="551"/>
      <c r="N77" s="552"/>
      <c r="O77" s="551"/>
    </row>
    <row r="78" spans="1:15">
      <c r="A78" s="542" t="s">
        <v>7863</v>
      </c>
      <c r="B78" s="548" t="s">
        <v>7879</v>
      </c>
      <c r="C78" s="549" t="s">
        <v>7880</v>
      </c>
      <c r="D78" s="550" t="s">
        <v>7682</v>
      </c>
      <c r="E78" s="551"/>
      <c r="F78" s="551"/>
      <c r="G78" s="551"/>
      <c r="H78" s="552"/>
      <c r="I78" s="551"/>
      <c r="J78" s="550" t="s">
        <v>7682</v>
      </c>
      <c r="K78" s="551"/>
      <c r="L78" s="551"/>
      <c r="M78" s="551"/>
      <c r="N78" s="552"/>
      <c r="O78" s="551"/>
    </row>
  </sheetData>
  <mergeCells count="2">
    <mergeCell ref="D3:H3"/>
    <mergeCell ref="J3:N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6029-5ECC-42D4-B4BF-398AC4349807}">
  <sheetPr codeName="Sheet46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321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76</v>
      </c>
      <c r="B3" s="435"/>
      <c r="C3" s="434" t="s">
        <v>7640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62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ZLP240102ZW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58">
        <v>0</v>
      </c>
      <c r="B8" s="453" t="s">
        <v>29</v>
      </c>
      <c r="C8" s="454"/>
      <c r="D8" s="15">
        <v>200</v>
      </c>
      <c r="E8" s="59" t="s">
        <v>30</v>
      </c>
      <c r="F8" s="60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5286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5287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32" t="s">
        <v>5</v>
      </c>
      <c r="G23" s="32" t="s">
        <v>4661</v>
      </c>
      <c r="H23" s="32" t="s">
        <v>4661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35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5289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54" t="s">
        <v>43</v>
      </c>
      <c r="G25" s="32" t="s">
        <v>4690</v>
      </c>
      <c r="H25" s="32" t="s">
        <v>4690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70.5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54" t="s">
        <v>43</v>
      </c>
      <c r="G27" s="32" t="s">
        <v>4690</v>
      </c>
      <c r="H27" s="32" t="s">
        <v>4690</v>
      </c>
      <c r="I27" s="366" t="s">
        <v>4694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54" t="s">
        <v>43</v>
      </c>
      <c r="G28" s="32" t="s">
        <v>4690</v>
      </c>
      <c r="H28" s="32" t="s">
        <v>4690</v>
      </c>
      <c r="I28" s="366" t="s">
        <v>4693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27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446</v>
      </c>
      <c r="H30" s="32" t="s">
        <v>446</v>
      </c>
      <c r="I30" s="366" t="s">
        <v>7615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54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446</v>
      </c>
      <c r="H31" s="32" t="s">
        <v>446</v>
      </c>
      <c r="I31" s="366" t="s">
        <v>5352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54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54" t="s">
        <v>43</v>
      </c>
      <c r="G32" s="32" t="s">
        <v>4690</v>
      </c>
      <c r="H32" s="32" t="s">
        <v>4690</v>
      </c>
      <c r="I32" s="366" t="s">
        <v>4692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5:C25"/>
    <mergeCell ref="I25:K25"/>
    <mergeCell ref="B26:C26"/>
    <mergeCell ref="I26:K26"/>
    <mergeCell ref="B27:C27"/>
    <mergeCell ref="I27:K27"/>
    <mergeCell ref="B28:C28"/>
    <mergeCell ref="I28:K28"/>
    <mergeCell ref="B29:C29"/>
    <mergeCell ref="I29:K29"/>
    <mergeCell ref="B30:C30"/>
    <mergeCell ref="I30:K30"/>
    <mergeCell ref="B31:C31"/>
    <mergeCell ref="I31:K31"/>
    <mergeCell ref="B32:C32"/>
    <mergeCell ref="I32:K32"/>
    <mergeCell ref="B33:C33"/>
    <mergeCell ref="I33:K33"/>
    <mergeCell ref="B34:C34"/>
    <mergeCell ref="I34:K34"/>
    <mergeCell ref="B35:C35"/>
    <mergeCell ref="I35:K35"/>
    <mergeCell ref="B36:C36"/>
    <mergeCell ref="I36:K36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6E12-8696-4E12-83D6-088B3609D9AE}">
  <sheetPr codeName="Sheet47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322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01"/>
      <c r="C3" s="407" t="s">
        <v>7641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55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63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466" t="s">
        <v>34</v>
      </c>
      <c r="B5" s="396"/>
      <c r="C5" s="120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SLP210401ZW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51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5286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5287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32" t="s">
        <v>5</v>
      </c>
      <c r="G23" s="32" t="s">
        <v>446</v>
      </c>
      <c r="H23" s="32" t="s">
        <v>446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35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5291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32" t="s">
        <v>5</v>
      </c>
      <c r="G25" s="32" t="s">
        <v>446</v>
      </c>
      <c r="H25" s="32" t="s">
        <v>446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96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4661</v>
      </c>
      <c r="H27" s="32" t="s">
        <v>4661</v>
      </c>
      <c r="I27" s="366" t="s">
        <v>4683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94.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32" t="s">
        <v>4661</v>
      </c>
      <c r="H28" s="32" t="s">
        <v>4661</v>
      </c>
      <c r="I28" s="366" t="s">
        <v>4684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8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4661</v>
      </c>
      <c r="H30" s="32" t="s">
        <v>4661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111.75" customHeight="1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4661</v>
      </c>
      <c r="H31" s="32" t="s">
        <v>4661</v>
      </c>
      <c r="I31" s="366" t="s">
        <v>5353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27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32" t="s">
        <v>5</v>
      </c>
      <c r="G32" s="32" t="s">
        <v>4661</v>
      </c>
      <c r="H32" s="32" t="s">
        <v>4661</v>
      </c>
      <c r="I32" s="453" t="s">
        <v>5294</v>
      </c>
      <c r="J32" s="482"/>
      <c r="K32" s="375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5:C25"/>
    <mergeCell ref="I25:K25"/>
    <mergeCell ref="B26:C26"/>
    <mergeCell ref="I26:K26"/>
    <mergeCell ref="B27:C27"/>
    <mergeCell ref="I27:K27"/>
    <mergeCell ref="B28:C28"/>
    <mergeCell ref="I28:K28"/>
    <mergeCell ref="B29:C29"/>
    <mergeCell ref="I29:K29"/>
    <mergeCell ref="B30:C30"/>
    <mergeCell ref="I30:K30"/>
    <mergeCell ref="B36:C36"/>
    <mergeCell ref="I36:K36"/>
    <mergeCell ref="B31:C31"/>
    <mergeCell ref="I31:K31"/>
    <mergeCell ref="B32:C32"/>
    <mergeCell ref="I32:K32"/>
    <mergeCell ref="B33:C33"/>
    <mergeCell ref="I33:K33"/>
    <mergeCell ref="B34:C34"/>
    <mergeCell ref="I34:K34"/>
    <mergeCell ref="B35:C35"/>
    <mergeCell ref="I35:K35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518-5704-4339-B744-BABA36F38033}">
  <sheetPr codeName="Sheet48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323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7642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64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SLP210401ZW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453" t="s">
        <v>29</v>
      </c>
      <c r="C8" s="454"/>
      <c r="D8" s="15">
        <v>200</v>
      </c>
      <c r="E8" s="47" t="s">
        <v>30</v>
      </c>
      <c r="F8" s="51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86.2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5286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7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5287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32" t="s">
        <v>5</v>
      </c>
      <c r="G23" s="32" t="s">
        <v>446</v>
      </c>
      <c r="H23" s="32" t="s">
        <v>446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35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4695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32" t="s">
        <v>5</v>
      </c>
      <c r="G25" s="32" t="s">
        <v>446</v>
      </c>
      <c r="H25" s="32" t="s">
        <v>446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96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4661</v>
      </c>
      <c r="H27" s="32" t="s">
        <v>4661</v>
      </c>
      <c r="I27" s="366" t="s">
        <v>4683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94.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32" t="s">
        <v>4661</v>
      </c>
      <c r="H28" s="32" t="s">
        <v>4661</v>
      </c>
      <c r="I28" s="453" t="s">
        <v>4684</v>
      </c>
      <c r="J28" s="482"/>
      <c r="K28" s="375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8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4661</v>
      </c>
      <c r="H30" s="32" t="s">
        <v>4661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54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4690</v>
      </c>
      <c r="H31" s="32" t="s">
        <v>4690</v>
      </c>
      <c r="I31" s="366" t="s">
        <v>4696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27" customHeight="1">
      <c r="A32" s="61">
        <v>24</v>
      </c>
      <c r="B32" s="453" t="s">
        <v>4784</v>
      </c>
      <c r="C32" s="454"/>
      <c r="D32" s="15">
        <v>2</v>
      </c>
      <c r="E32" s="37" t="s">
        <v>4</v>
      </c>
      <c r="F32" s="32" t="s">
        <v>5</v>
      </c>
      <c r="G32" s="32" t="s">
        <v>4690</v>
      </c>
      <c r="H32" s="32" t="s">
        <v>4690</v>
      </c>
      <c r="I32" s="366" t="s">
        <v>4697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5:C25"/>
    <mergeCell ref="I25:K25"/>
    <mergeCell ref="B26:C26"/>
    <mergeCell ref="I26:K26"/>
    <mergeCell ref="B27:C27"/>
    <mergeCell ref="I27:K27"/>
    <mergeCell ref="B28:C28"/>
    <mergeCell ref="I28:K28"/>
    <mergeCell ref="B29:C29"/>
    <mergeCell ref="I29:K29"/>
    <mergeCell ref="B30:C30"/>
    <mergeCell ref="I30:K30"/>
    <mergeCell ref="B31:C31"/>
    <mergeCell ref="I31:K31"/>
    <mergeCell ref="B32:C32"/>
    <mergeCell ref="I32:K32"/>
    <mergeCell ref="B33:C33"/>
    <mergeCell ref="I33:K33"/>
    <mergeCell ref="B34:C34"/>
    <mergeCell ref="I34:K34"/>
    <mergeCell ref="B35:C35"/>
    <mergeCell ref="I35:K35"/>
    <mergeCell ref="B36:C36"/>
    <mergeCell ref="I36:K36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FE8B-584F-4D00-B865-E68ADB4A1207}">
  <sheetPr codeName="Sheet49"/>
  <dimension ref="A1:L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67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7644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65</v>
      </c>
      <c r="H4" s="411"/>
      <c r="I4" s="412"/>
      <c r="J4" s="115" t="s">
        <v>7643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SLP210101BW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51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61">
        <v>1</v>
      </c>
      <c r="B9" s="453" t="s">
        <v>4698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</row>
    <row r="14" spans="1:12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78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5292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63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5293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</row>
    <row r="17" spans="1:12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54" t="s">
        <v>43</v>
      </c>
      <c r="G23" s="32" t="s">
        <v>4661</v>
      </c>
      <c r="H23" s="32" t="s">
        <v>4661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35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4695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</row>
    <row r="25" spans="1:12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54" t="s">
        <v>43</v>
      </c>
      <c r="G25" s="32" t="s">
        <v>4661</v>
      </c>
      <c r="H25" s="32" t="s">
        <v>4661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94.5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4661</v>
      </c>
      <c r="H27" s="32" t="s">
        <v>4661</v>
      </c>
      <c r="I27" s="366" t="s">
        <v>4683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94.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32" t="s">
        <v>4661</v>
      </c>
      <c r="H28" s="32" t="s">
        <v>4661</v>
      </c>
      <c r="I28" s="366" t="s">
        <v>4684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8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4661</v>
      </c>
      <c r="H30" s="32" t="s">
        <v>4661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s="1" customFormat="1" ht="94.5" customHeight="1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4661</v>
      </c>
      <c r="H31" s="32" t="s">
        <v>4661</v>
      </c>
      <c r="I31" s="366" t="s">
        <v>5354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</row>
    <row r="32" spans="1:12" s="1" customFormat="1" ht="27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32" t="s">
        <v>5</v>
      </c>
      <c r="G32" s="32" t="s">
        <v>4661</v>
      </c>
      <c r="H32" s="32" t="s">
        <v>4661</v>
      </c>
      <c r="I32" s="366" t="s">
        <v>5294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</row>
    <row r="33" spans="1:12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12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A2:L2"/>
    <mergeCell ref="B7:C7"/>
    <mergeCell ref="I7:K7"/>
    <mergeCell ref="B8:C8"/>
    <mergeCell ref="I8:K8"/>
    <mergeCell ref="A3:B3"/>
    <mergeCell ref="A4:B4"/>
    <mergeCell ref="D4:F4"/>
    <mergeCell ref="G4:I4"/>
    <mergeCell ref="C3:L3"/>
    <mergeCell ref="K4:L4"/>
    <mergeCell ref="B9:C9"/>
    <mergeCell ref="I9:K9"/>
    <mergeCell ref="B10:C10"/>
    <mergeCell ref="I10:K10"/>
    <mergeCell ref="A5:B5"/>
    <mergeCell ref="D5:F5"/>
    <mergeCell ref="G5:I5"/>
    <mergeCell ref="K5:L5"/>
    <mergeCell ref="B11:C11"/>
    <mergeCell ref="I11:K11"/>
    <mergeCell ref="B12:C12"/>
    <mergeCell ref="I12:K12"/>
    <mergeCell ref="B13:C13"/>
    <mergeCell ref="I13:K13"/>
    <mergeCell ref="B14:C14"/>
    <mergeCell ref="I14:K14"/>
    <mergeCell ref="B15:C15"/>
    <mergeCell ref="I15:K15"/>
    <mergeCell ref="B16:C16"/>
    <mergeCell ref="I16:K16"/>
    <mergeCell ref="B17:C17"/>
    <mergeCell ref="I17:K17"/>
    <mergeCell ref="B18:C18"/>
    <mergeCell ref="I18:K18"/>
    <mergeCell ref="B19:C19"/>
    <mergeCell ref="I19:K19"/>
    <mergeCell ref="B20:C20"/>
    <mergeCell ref="I20:K20"/>
    <mergeCell ref="B21:C21"/>
    <mergeCell ref="I21:K21"/>
    <mergeCell ref="B22:C22"/>
    <mergeCell ref="I22:K22"/>
    <mergeCell ref="B23:C23"/>
    <mergeCell ref="I23:K23"/>
    <mergeCell ref="B24:C24"/>
    <mergeCell ref="I24:K24"/>
    <mergeCell ref="B25:C25"/>
    <mergeCell ref="I25:K25"/>
    <mergeCell ref="B26:C26"/>
    <mergeCell ref="I26:K26"/>
    <mergeCell ref="B27:C27"/>
    <mergeCell ref="I27:K27"/>
    <mergeCell ref="B28:C28"/>
    <mergeCell ref="I28:K28"/>
    <mergeCell ref="B29:C29"/>
    <mergeCell ref="I29:K29"/>
    <mergeCell ref="B30:C30"/>
    <mergeCell ref="I30:K30"/>
    <mergeCell ref="B31:C31"/>
    <mergeCell ref="I31:K31"/>
    <mergeCell ref="B32:C32"/>
    <mergeCell ref="I32:K32"/>
    <mergeCell ref="B33:C33"/>
    <mergeCell ref="I33:K33"/>
    <mergeCell ref="B34:C34"/>
    <mergeCell ref="I34:K34"/>
    <mergeCell ref="B35:C35"/>
    <mergeCell ref="I35:K35"/>
    <mergeCell ref="B36:C36"/>
    <mergeCell ref="I36:K36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F743-3229-438C-BE20-56C9184A571F}">
  <sheetPr codeName="Sheet50"/>
  <dimension ref="A1:T41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20" width="9" style="22"/>
    <col min="21" max="16384" width="9" style="2"/>
  </cols>
  <sheetData>
    <row r="1" spans="1:20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customFormat="1" ht="19.5" thickBot="1">
      <c r="A2" s="383" t="s">
        <v>68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23"/>
      <c r="N2" s="25"/>
      <c r="O2" s="25"/>
      <c r="P2" s="25"/>
      <c r="Q2" s="25"/>
      <c r="R2" s="25"/>
      <c r="S2" s="25"/>
      <c r="T2" s="25"/>
    </row>
    <row r="3" spans="1:20" s="1" customFormat="1" ht="15" customHeight="1">
      <c r="A3" s="400" t="s">
        <v>0</v>
      </c>
      <c r="B3" s="401"/>
      <c r="C3" s="407" t="s">
        <v>7645</v>
      </c>
      <c r="D3" s="408"/>
      <c r="E3" s="408"/>
      <c r="F3" s="408"/>
      <c r="G3" s="408"/>
      <c r="H3" s="408"/>
      <c r="I3" s="408"/>
      <c r="J3" s="408"/>
      <c r="K3" s="408"/>
      <c r="L3" s="409"/>
      <c r="M3" s="24"/>
      <c r="N3" s="24"/>
      <c r="O3" s="24"/>
      <c r="P3" s="24"/>
      <c r="Q3" s="24"/>
      <c r="R3" s="24"/>
      <c r="S3" s="24"/>
      <c r="T3" s="24"/>
    </row>
    <row r="4" spans="1:20" s="1" customFormat="1" ht="15" customHeight="1">
      <c r="A4" s="455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66</v>
      </c>
      <c r="H4" s="411"/>
      <c r="I4" s="412"/>
      <c r="J4" s="115" t="s">
        <v>33</v>
      </c>
      <c r="K4" s="410"/>
      <c r="L4" s="413"/>
      <c r="M4" s="24"/>
      <c r="N4" s="24"/>
      <c r="O4" s="24"/>
      <c r="P4" s="24"/>
      <c r="Q4" s="24"/>
      <c r="R4" s="24"/>
      <c r="S4" s="24"/>
      <c r="T4" s="24"/>
    </row>
    <row r="5" spans="1:20" s="1" customFormat="1" ht="15" customHeight="1" thickBot="1">
      <c r="A5" s="466" t="s">
        <v>34</v>
      </c>
      <c r="B5" s="396"/>
      <c r="C5" s="120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SLP210101BW</v>
      </c>
      <c r="L5" s="418"/>
      <c r="M5" s="24"/>
      <c r="N5" s="24"/>
      <c r="O5" s="24"/>
      <c r="P5" s="24"/>
      <c r="Q5" s="24"/>
      <c r="R5" s="24"/>
      <c r="S5" s="24"/>
      <c r="T5" s="24"/>
    </row>
    <row r="6" spans="1:20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24"/>
      <c r="N6" s="24"/>
      <c r="O6" s="24"/>
      <c r="P6" s="24"/>
      <c r="Q6" s="24"/>
      <c r="R6" s="24"/>
      <c r="S6" s="24"/>
      <c r="T6" s="24"/>
    </row>
    <row r="7" spans="1:20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20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51" t="s">
        <v>30</v>
      </c>
      <c r="G8" s="32"/>
      <c r="H8" s="3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  <c r="M8" s="24"/>
      <c r="N8" s="24"/>
      <c r="O8" s="24"/>
      <c r="P8" s="24"/>
      <c r="Q8" s="24"/>
      <c r="R8" s="24"/>
      <c r="S8" s="24"/>
      <c r="T8" s="24"/>
    </row>
    <row r="9" spans="1:20" s="1" customFormat="1" ht="27" customHeight="1">
      <c r="A9" s="61">
        <v>1</v>
      </c>
      <c r="B9" s="453" t="s">
        <v>3</v>
      </c>
      <c r="C9" s="454"/>
      <c r="D9" s="15">
        <v>8</v>
      </c>
      <c r="E9" s="37" t="s">
        <v>4</v>
      </c>
      <c r="F9" s="32" t="s">
        <v>5</v>
      </c>
      <c r="G9" s="32" t="s">
        <v>446</v>
      </c>
      <c r="H9" s="32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  <c r="M9" s="24"/>
      <c r="N9" s="24"/>
      <c r="O9" s="24"/>
      <c r="P9" s="24"/>
      <c r="Q9" s="24"/>
      <c r="R9" s="24"/>
      <c r="S9" s="24"/>
      <c r="T9" s="24"/>
    </row>
    <row r="10" spans="1:20" s="1" customFormat="1" ht="27" customHeight="1">
      <c r="A10" s="61">
        <v>2</v>
      </c>
      <c r="B10" s="453" t="s">
        <v>6</v>
      </c>
      <c r="C10" s="454"/>
      <c r="D10" s="15">
        <v>4</v>
      </c>
      <c r="E10" s="37" t="s">
        <v>4</v>
      </c>
      <c r="F10" s="32" t="s">
        <v>5</v>
      </c>
      <c r="G10" s="32" t="s">
        <v>446</v>
      </c>
      <c r="H10" s="32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  <c r="M10" s="24"/>
      <c r="N10" s="24"/>
      <c r="O10" s="24"/>
      <c r="P10" s="24"/>
      <c r="Q10" s="24"/>
      <c r="R10" s="24"/>
      <c r="S10" s="24"/>
      <c r="T10" s="24"/>
    </row>
    <row r="11" spans="1:20" s="1" customFormat="1" ht="15" customHeight="1">
      <c r="A11" s="61">
        <v>3</v>
      </c>
      <c r="B11" s="453" t="s">
        <v>7</v>
      </c>
      <c r="C11" s="454"/>
      <c r="D11" s="15">
        <v>5</v>
      </c>
      <c r="E11" s="37" t="s">
        <v>4</v>
      </c>
      <c r="F11" s="32" t="s">
        <v>5</v>
      </c>
      <c r="G11" s="32" t="s">
        <v>446</v>
      </c>
      <c r="H11" s="32" t="s">
        <v>446</v>
      </c>
      <c r="I11" s="366" t="s">
        <v>4675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  <c r="M11" s="24"/>
      <c r="N11" s="24"/>
      <c r="O11" s="24"/>
      <c r="P11" s="24"/>
      <c r="Q11" s="24"/>
      <c r="R11" s="24"/>
      <c r="S11" s="24"/>
      <c r="T11" s="24"/>
    </row>
    <row r="12" spans="1:20" s="1" customFormat="1" ht="27" customHeight="1">
      <c r="A12" s="61">
        <v>4</v>
      </c>
      <c r="B12" s="453" t="s">
        <v>8</v>
      </c>
      <c r="C12" s="454"/>
      <c r="D12" s="15">
        <v>4</v>
      </c>
      <c r="E12" s="37" t="s">
        <v>4</v>
      </c>
      <c r="F12" s="32" t="s">
        <v>5</v>
      </c>
      <c r="G12" s="32" t="s">
        <v>446</v>
      </c>
      <c r="H12" s="32" t="s">
        <v>446</v>
      </c>
      <c r="I12" s="366" t="s">
        <v>5092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  <c r="M12" s="24"/>
      <c r="N12" s="24"/>
      <c r="O12" s="24"/>
      <c r="P12" s="24"/>
      <c r="Q12" s="24"/>
      <c r="R12" s="24"/>
      <c r="S12" s="24"/>
      <c r="T12" s="24"/>
    </row>
    <row r="13" spans="1:20" s="1" customFormat="1" ht="202.5" customHeight="1">
      <c r="A13" s="61">
        <v>5</v>
      </c>
      <c r="B13" s="453" t="s">
        <v>9</v>
      </c>
      <c r="C13" s="454"/>
      <c r="D13" s="15">
        <v>4</v>
      </c>
      <c r="E13" s="37" t="s">
        <v>4</v>
      </c>
      <c r="F13" s="32" t="s">
        <v>5</v>
      </c>
      <c r="G13" s="32" t="s">
        <v>446</v>
      </c>
      <c r="H13" s="32" t="s">
        <v>446</v>
      </c>
      <c r="I13" s="366" t="s">
        <v>5094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&lt;별첨4&gt; 참조</v>
      </c>
      <c r="M13" s="24"/>
      <c r="N13" s="24"/>
      <c r="O13" s="24"/>
      <c r="P13" s="24"/>
      <c r="Q13" s="24"/>
      <c r="R13" s="24"/>
      <c r="S13" s="24"/>
      <c r="T13" s="24"/>
    </row>
    <row r="14" spans="1:20" s="1" customFormat="1" ht="15" customHeight="1">
      <c r="A14" s="61">
        <v>6</v>
      </c>
      <c r="B14" s="453" t="s">
        <v>10</v>
      </c>
      <c r="C14" s="454"/>
      <c r="D14" s="15">
        <v>18</v>
      </c>
      <c r="E14" s="37" t="s">
        <v>4</v>
      </c>
      <c r="F14" s="32" t="s">
        <v>5</v>
      </c>
      <c r="G14" s="32" t="s">
        <v>446</v>
      </c>
      <c r="H14" s="32" t="s">
        <v>446</v>
      </c>
      <c r="I14" s="366" t="s">
        <v>4666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  <c r="M14" s="24"/>
      <c r="N14" s="24"/>
      <c r="O14" s="24"/>
      <c r="P14" s="24"/>
      <c r="Q14" s="24"/>
      <c r="R14" s="24"/>
      <c r="S14" s="24"/>
      <c r="T14" s="24"/>
    </row>
    <row r="15" spans="1:20" s="1" customFormat="1" ht="76.5" customHeight="1">
      <c r="A15" s="61">
        <v>7</v>
      </c>
      <c r="B15" s="453" t="s">
        <v>51</v>
      </c>
      <c r="C15" s="454"/>
      <c r="D15" s="15">
        <v>1</v>
      </c>
      <c r="E15" s="37" t="s">
        <v>4</v>
      </c>
      <c r="F15" s="32" t="s">
        <v>5</v>
      </c>
      <c r="G15" s="32" t="s">
        <v>446</v>
      </c>
      <c r="H15" s="32" t="s">
        <v>446</v>
      </c>
      <c r="I15" s="366" t="s">
        <v>5292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  <c r="M15" s="24"/>
      <c r="N15" s="24"/>
      <c r="O15" s="24"/>
      <c r="P15" s="24"/>
      <c r="Q15" s="24"/>
      <c r="R15" s="24"/>
      <c r="S15" s="24"/>
      <c r="T15" s="24"/>
    </row>
    <row r="16" spans="1:20" s="1" customFormat="1" ht="62.25" customHeight="1">
      <c r="A16" s="61">
        <v>8</v>
      </c>
      <c r="B16" s="453" t="s">
        <v>11</v>
      </c>
      <c r="C16" s="454"/>
      <c r="D16" s="15">
        <v>1</v>
      </c>
      <c r="E16" s="37" t="s">
        <v>4</v>
      </c>
      <c r="F16" s="32" t="s">
        <v>5</v>
      </c>
      <c r="G16" s="32" t="s">
        <v>446</v>
      </c>
      <c r="H16" s="32" t="s">
        <v>446</v>
      </c>
      <c r="I16" s="366" t="s">
        <v>5293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즉시
2 : 예약</v>
      </c>
      <c r="M16" s="24"/>
      <c r="N16" s="24"/>
      <c r="O16" s="24"/>
      <c r="P16" s="24"/>
      <c r="Q16" s="24"/>
      <c r="R16" s="24"/>
      <c r="S16" s="24"/>
      <c r="T16" s="24"/>
    </row>
    <row r="17" spans="1:20" s="1" customFormat="1" ht="15" customHeight="1">
      <c r="A17" s="61">
        <v>9</v>
      </c>
      <c r="B17" s="453" t="s">
        <v>12</v>
      </c>
      <c r="C17" s="454"/>
      <c r="D17" s="15">
        <v>20</v>
      </c>
      <c r="E17" s="37" t="s">
        <v>41</v>
      </c>
      <c r="F17" s="32" t="s">
        <v>5</v>
      </c>
      <c r="G17" s="32" t="s">
        <v>4661</v>
      </c>
      <c r="H17" s="32" t="s">
        <v>4661</v>
      </c>
      <c r="I17" s="366" t="s">
        <v>4667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  <c r="M17" s="24"/>
      <c r="N17" s="24"/>
      <c r="O17" s="24"/>
      <c r="P17" s="24"/>
      <c r="Q17" s="24"/>
      <c r="R17" s="24"/>
      <c r="S17" s="24"/>
      <c r="T17" s="24"/>
    </row>
    <row r="18" spans="1:20" s="1" customFormat="1" ht="15" customHeight="1">
      <c r="A18" s="61">
        <v>10</v>
      </c>
      <c r="B18" s="453" t="s">
        <v>13</v>
      </c>
      <c r="C18" s="454"/>
      <c r="D18" s="15">
        <v>60</v>
      </c>
      <c r="E18" s="37" t="s">
        <v>41</v>
      </c>
      <c r="F18" s="32" t="s">
        <v>5</v>
      </c>
      <c r="G18" s="32" t="s">
        <v>4661</v>
      </c>
      <c r="H18" s="32" t="s">
        <v>4661</v>
      </c>
      <c r="I18" s="366" t="s">
        <v>4668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  <c r="M18" s="24"/>
      <c r="N18" s="24"/>
      <c r="O18" s="24"/>
      <c r="P18" s="24"/>
      <c r="Q18" s="24"/>
      <c r="R18" s="24"/>
      <c r="S18" s="24"/>
      <c r="T18" s="24"/>
    </row>
    <row r="19" spans="1:20" s="1" customFormat="1" ht="15" customHeight="1">
      <c r="A19" s="61">
        <v>11</v>
      </c>
      <c r="B19" s="453" t="s">
        <v>14</v>
      </c>
      <c r="C19" s="454"/>
      <c r="D19" s="15">
        <v>10</v>
      </c>
      <c r="E19" s="37" t="s">
        <v>42</v>
      </c>
      <c r="F19" s="32" t="s">
        <v>5</v>
      </c>
      <c r="G19" s="32" t="s">
        <v>446</v>
      </c>
      <c r="H19" s="32" t="s">
        <v>446</v>
      </c>
      <c r="I19" s="366" t="s">
        <v>4669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  <c r="M19" s="24"/>
      <c r="N19" s="24"/>
      <c r="O19" s="24"/>
      <c r="P19" s="24"/>
      <c r="Q19" s="24"/>
      <c r="R19" s="24"/>
      <c r="S19" s="24"/>
      <c r="T19" s="24"/>
    </row>
    <row r="20" spans="1:20" s="1" customFormat="1" ht="15" customHeight="1">
      <c r="A20" s="61">
        <v>12</v>
      </c>
      <c r="B20" s="453" t="s">
        <v>15</v>
      </c>
      <c r="C20" s="454"/>
      <c r="D20" s="15">
        <v>30</v>
      </c>
      <c r="E20" s="37" t="s">
        <v>41</v>
      </c>
      <c r="F20" s="32" t="s">
        <v>5</v>
      </c>
      <c r="G20" s="32" t="s">
        <v>446</v>
      </c>
      <c r="H20" s="32" t="s">
        <v>446</v>
      </c>
      <c r="I20" s="366" t="s">
        <v>4670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  <c r="M20" s="24"/>
      <c r="N20" s="24"/>
      <c r="O20" s="24"/>
      <c r="P20" s="24"/>
      <c r="Q20" s="24"/>
      <c r="R20" s="24"/>
      <c r="S20" s="24"/>
      <c r="T20" s="24"/>
    </row>
    <row r="21" spans="1:20" s="1" customFormat="1" ht="15" customHeight="1">
      <c r="A21" s="61">
        <v>13</v>
      </c>
      <c r="B21" s="453" t="s">
        <v>16</v>
      </c>
      <c r="C21" s="454"/>
      <c r="D21" s="15">
        <v>10</v>
      </c>
      <c r="E21" s="37" t="s">
        <v>42</v>
      </c>
      <c r="F21" s="32" t="s">
        <v>5</v>
      </c>
      <c r="G21" s="32" t="s">
        <v>4661</v>
      </c>
      <c r="H21" s="32" t="s">
        <v>4661</v>
      </c>
      <c r="I21" s="366" t="s">
        <v>4671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  <c r="M21" s="24"/>
      <c r="N21" s="24"/>
      <c r="O21" s="24"/>
      <c r="P21" s="24"/>
      <c r="Q21" s="24"/>
      <c r="R21" s="24"/>
      <c r="S21" s="24"/>
      <c r="T21" s="24"/>
    </row>
    <row r="22" spans="1:20" s="1" customFormat="1" ht="15" customHeight="1">
      <c r="A22" s="61">
        <v>14</v>
      </c>
      <c r="B22" s="453" t="s">
        <v>17</v>
      </c>
      <c r="C22" s="454"/>
      <c r="D22" s="15">
        <v>30</v>
      </c>
      <c r="E22" s="37" t="s">
        <v>41</v>
      </c>
      <c r="F22" s="32" t="s">
        <v>5</v>
      </c>
      <c r="G22" s="32" t="s">
        <v>4661</v>
      </c>
      <c r="H22" s="32" t="s">
        <v>4661</v>
      </c>
      <c r="I22" s="366" t="s">
        <v>4672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  <c r="M22" s="24"/>
      <c r="N22" s="24"/>
      <c r="O22" s="24"/>
      <c r="P22" s="24"/>
      <c r="Q22" s="24"/>
      <c r="R22" s="24"/>
      <c r="S22" s="24"/>
      <c r="T22" s="24"/>
    </row>
    <row r="23" spans="1:20" s="1" customFormat="1" ht="108" customHeight="1">
      <c r="A23" s="61">
        <v>15</v>
      </c>
      <c r="B23" s="453" t="s">
        <v>52</v>
      </c>
      <c r="C23" s="454"/>
      <c r="D23" s="15">
        <v>4</v>
      </c>
      <c r="E23" s="37" t="s">
        <v>4</v>
      </c>
      <c r="F23" s="54" t="s">
        <v>43</v>
      </c>
      <c r="G23" s="32" t="s">
        <v>4661</v>
      </c>
      <c r="H23" s="32" t="s">
        <v>4661</v>
      </c>
      <c r="I23" s="366" t="s">
        <v>7612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  <c r="M23" s="24"/>
      <c r="N23" s="24"/>
      <c r="O23" s="24"/>
      <c r="P23" s="24"/>
      <c r="Q23" s="24"/>
      <c r="R23" s="24"/>
      <c r="S23" s="24"/>
      <c r="T23" s="24"/>
    </row>
    <row r="24" spans="1:20" s="1" customFormat="1" ht="135" customHeight="1">
      <c r="A24" s="61">
        <v>16</v>
      </c>
      <c r="B24" s="453" t="s">
        <v>18</v>
      </c>
      <c r="C24" s="454"/>
      <c r="D24" s="15">
        <v>1</v>
      </c>
      <c r="E24" s="37" t="s">
        <v>26</v>
      </c>
      <c r="F24" s="32" t="s">
        <v>5</v>
      </c>
      <c r="G24" s="32" t="s">
        <v>446</v>
      </c>
      <c r="H24" s="32" t="s">
        <v>446</v>
      </c>
      <c r="I24" s="366" t="s">
        <v>5291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1 : 예약
2 : 대기
3 : 결제
4 : 취소
5 : 예약취소
6 : 실행오류</v>
      </c>
      <c r="M24" s="24"/>
      <c r="N24" s="24"/>
      <c r="O24" s="24"/>
      <c r="P24" s="24"/>
      <c r="Q24" s="24"/>
      <c r="R24" s="24"/>
      <c r="S24" s="24"/>
      <c r="T24" s="24"/>
    </row>
    <row r="25" spans="1:20" s="1" customFormat="1" ht="94.5" customHeight="1">
      <c r="A25" s="61">
        <v>17</v>
      </c>
      <c r="B25" s="453" t="s">
        <v>19</v>
      </c>
      <c r="C25" s="454"/>
      <c r="D25" s="15">
        <v>5</v>
      </c>
      <c r="E25" s="37" t="s">
        <v>4</v>
      </c>
      <c r="F25" s="54" t="s">
        <v>43</v>
      </c>
      <c r="G25" s="32" t="s">
        <v>4661</v>
      </c>
      <c r="H25" s="32" t="s">
        <v>4661</v>
      </c>
      <c r="I25" s="366" t="s">
        <v>4681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  <c r="M25" s="24"/>
      <c r="N25" s="24"/>
      <c r="O25" s="24"/>
      <c r="P25" s="24"/>
      <c r="Q25" s="24"/>
      <c r="R25" s="24"/>
      <c r="S25" s="24"/>
      <c r="T25" s="24"/>
    </row>
    <row r="26" spans="1:20" s="1" customFormat="1" ht="94.5" customHeight="1">
      <c r="A26" s="61">
        <v>18</v>
      </c>
      <c r="B26" s="453" t="s">
        <v>20</v>
      </c>
      <c r="C26" s="454"/>
      <c r="D26" s="15">
        <v>5</v>
      </c>
      <c r="E26" s="37" t="s">
        <v>4</v>
      </c>
      <c r="F26" s="32" t="s">
        <v>5</v>
      </c>
      <c r="G26" s="32" t="s">
        <v>4661</v>
      </c>
      <c r="H26" s="32" t="s">
        <v>4661</v>
      </c>
      <c r="I26" s="366" t="s">
        <v>4682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  <c r="M26" s="24"/>
      <c r="N26" s="24"/>
      <c r="O26" s="24"/>
      <c r="P26" s="24"/>
      <c r="Q26" s="24"/>
      <c r="R26" s="24"/>
      <c r="S26" s="24"/>
      <c r="T26" s="24"/>
    </row>
    <row r="27" spans="1:20" s="1" customFormat="1" ht="94.5" customHeight="1">
      <c r="A27" s="61">
        <v>19</v>
      </c>
      <c r="B27" s="453" t="s">
        <v>53</v>
      </c>
      <c r="C27" s="454"/>
      <c r="D27" s="15">
        <v>16</v>
      </c>
      <c r="E27" s="37" t="s">
        <v>42</v>
      </c>
      <c r="F27" s="32" t="s">
        <v>5</v>
      </c>
      <c r="G27" s="32" t="s">
        <v>4661</v>
      </c>
      <c r="H27" s="32" t="s">
        <v>4661</v>
      </c>
      <c r="I27" s="366" t="s">
        <v>4683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  <c r="M27" s="24"/>
      <c r="N27" s="24"/>
      <c r="O27" s="24"/>
      <c r="P27" s="24"/>
      <c r="Q27" s="24"/>
      <c r="R27" s="24"/>
      <c r="S27" s="24"/>
      <c r="T27" s="24"/>
    </row>
    <row r="28" spans="1:20" s="1" customFormat="1" ht="27.75" customHeight="1">
      <c r="A28" s="61">
        <v>20</v>
      </c>
      <c r="B28" s="453" t="s">
        <v>21</v>
      </c>
      <c r="C28" s="454"/>
      <c r="D28" s="15">
        <v>9</v>
      </c>
      <c r="E28" s="37" t="s">
        <v>42</v>
      </c>
      <c r="F28" s="32" t="s">
        <v>5</v>
      </c>
      <c r="G28" s="32" t="s">
        <v>4690</v>
      </c>
      <c r="H28" s="32" t="s">
        <v>4690</v>
      </c>
      <c r="I28" s="366" t="s">
        <v>4691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  <c r="M28" s="24"/>
      <c r="N28" s="24"/>
      <c r="O28" s="24"/>
      <c r="P28" s="24"/>
      <c r="Q28" s="24"/>
      <c r="R28" s="24"/>
      <c r="S28" s="24"/>
      <c r="T28" s="24"/>
    </row>
    <row r="29" spans="1:20" s="1" customFormat="1" ht="27" customHeight="1">
      <c r="A29" s="61">
        <v>21</v>
      </c>
      <c r="B29" s="453" t="s">
        <v>22</v>
      </c>
      <c r="C29" s="454"/>
      <c r="D29" s="15">
        <v>6</v>
      </c>
      <c r="E29" s="37" t="s">
        <v>4</v>
      </c>
      <c r="F29" s="32" t="s">
        <v>5</v>
      </c>
      <c r="G29" s="32" t="s">
        <v>446</v>
      </c>
      <c r="H29" s="32" t="s">
        <v>446</v>
      </c>
      <c r="I29" s="366" t="s">
        <v>7613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  <c r="M29" s="24"/>
      <c r="N29" s="24"/>
      <c r="O29" s="24"/>
      <c r="P29" s="24"/>
      <c r="Q29" s="24"/>
      <c r="R29" s="24"/>
      <c r="S29" s="24"/>
      <c r="T29" s="24"/>
    </row>
    <row r="30" spans="1:20" s="1" customFormat="1" ht="108" customHeight="1">
      <c r="A30" s="61">
        <v>22</v>
      </c>
      <c r="B30" s="453" t="s">
        <v>23</v>
      </c>
      <c r="C30" s="454"/>
      <c r="D30" s="15">
        <v>6</v>
      </c>
      <c r="E30" s="37" t="s">
        <v>4</v>
      </c>
      <c r="F30" s="32" t="s">
        <v>5</v>
      </c>
      <c r="G30" s="32" t="s">
        <v>4661</v>
      </c>
      <c r="H30" s="32" t="s">
        <v>4661</v>
      </c>
      <c r="I30" s="366" t="s">
        <v>7614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  <c r="M30" s="24"/>
      <c r="N30" s="24"/>
      <c r="O30" s="24"/>
      <c r="P30" s="24"/>
      <c r="Q30" s="24"/>
      <c r="R30" s="24"/>
      <c r="S30" s="24"/>
      <c r="T30" s="24"/>
    </row>
    <row r="31" spans="1:20" s="1" customFormat="1" ht="54">
      <c r="A31" s="61">
        <v>23</v>
      </c>
      <c r="B31" s="453" t="s">
        <v>54</v>
      </c>
      <c r="C31" s="454"/>
      <c r="D31" s="15">
        <v>1</v>
      </c>
      <c r="E31" s="37" t="s">
        <v>4</v>
      </c>
      <c r="F31" s="32" t="s">
        <v>5</v>
      </c>
      <c r="G31" s="32" t="s">
        <v>4690</v>
      </c>
      <c r="H31" s="32" t="s">
        <v>4690</v>
      </c>
      <c r="I31" s="366" t="s">
        <v>4696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>1 : 총액결제
2 : 양자간 동시처리
3 : 다자간 동시처리
4 : 콜연결상환</v>
      </c>
      <c r="M31" s="24"/>
      <c r="N31" s="24"/>
      <c r="O31" s="24"/>
      <c r="P31" s="24"/>
      <c r="Q31" s="24"/>
      <c r="R31" s="24"/>
      <c r="S31" s="24"/>
      <c r="T31" s="24"/>
    </row>
    <row r="32" spans="1:20" s="1" customFormat="1" ht="27" customHeight="1">
      <c r="A32" s="61">
        <v>24</v>
      </c>
      <c r="B32" s="453" t="s">
        <v>55</v>
      </c>
      <c r="C32" s="454"/>
      <c r="D32" s="15">
        <v>2</v>
      </c>
      <c r="E32" s="37" t="s">
        <v>4</v>
      </c>
      <c r="F32" s="32" t="s">
        <v>5</v>
      </c>
      <c r="G32" s="32" t="s">
        <v>4690</v>
      </c>
      <c r="H32" s="32" t="s">
        <v>4690</v>
      </c>
      <c r="I32" s="366" t="s">
        <v>4707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>&lt;별첨6&gt; 참조</v>
      </c>
      <c r="M32" s="24"/>
      <c r="N32" s="24"/>
      <c r="O32" s="24"/>
      <c r="P32" s="24"/>
      <c r="Q32" s="24"/>
      <c r="R32" s="24"/>
      <c r="S32" s="24"/>
      <c r="T32" s="24"/>
    </row>
    <row r="33" spans="1:20" s="1" customFormat="1" ht="15" customHeight="1">
      <c r="A33" s="61">
        <v>25</v>
      </c>
      <c r="B33" s="453" t="s">
        <v>27</v>
      </c>
      <c r="C33" s="454"/>
      <c r="D33" s="15">
        <v>18</v>
      </c>
      <c r="E33" s="37" t="s">
        <v>4</v>
      </c>
      <c r="F33" s="54" t="s">
        <v>5</v>
      </c>
      <c r="G33" s="32" t="s">
        <v>446</v>
      </c>
      <c r="H33" s="32" t="s">
        <v>446</v>
      </c>
      <c r="I33" s="366" t="s">
        <v>4676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  <c r="M33" s="24"/>
      <c r="N33" s="24"/>
      <c r="O33" s="24"/>
      <c r="P33" s="24"/>
      <c r="Q33" s="24"/>
      <c r="R33" s="24"/>
      <c r="S33" s="24"/>
      <c r="T33" s="24"/>
    </row>
    <row r="34" spans="1:20" s="1" customFormat="1" ht="15" customHeight="1">
      <c r="A34" s="61">
        <v>26</v>
      </c>
      <c r="B34" s="453" t="s">
        <v>44</v>
      </c>
      <c r="C34" s="454"/>
      <c r="D34" s="15">
        <v>18</v>
      </c>
      <c r="E34" s="37" t="s">
        <v>4</v>
      </c>
      <c r="F34" s="54" t="s">
        <v>5</v>
      </c>
      <c r="G34" s="32" t="s">
        <v>446</v>
      </c>
      <c r="H34" s="32" t="s">
        <v>446</v>
      </c>
      <c r="I34" s="366" t="s">
        <v>4677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  <c r="M34" s="24"/>
      <c r="N34" s="24"/>
      <c r="O34" s="24"/>
      <c r="P34" s="24"/>
      <c r="Q34" s="24"/>
      <c r="R34" s="24"/>
      <c r="S34" s="24"/>
      <c r="T34" s="24"/>
    </row>
    <row r="35" spans="1:20" s="1" customFormat="1" ht="15" customHeight="1">
      <c r="A35" s="61">
        <v>27</v>
      </c>
      <c r="B35" s="453" t="s">
        <v>24</v>
      </c>
      <c r="C35" s="454"/>
      <c r="D35" s="15">
        <v>18</v>
      </c>
      <c r="E35" s="37" t="s">
        <v>4</v>
      </c>
      <c r="F35" s="54" t="s">
        <v>5</v>
      </c>
      <c r="G35" s="32" t="s">
        <v>446</v>
      </c>
      <c r="H35" s="32" t="s">
        <v>446</v>
      </c>
      <c r="I35" s="366" t="s">
        <v>4678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  <c r="M35" s="24"/>
      <c r="N35" s="24"/>
      <c r="O35" s="24"/>
      <c r="P35" s="24"/>
      <c r="Q35" s="24"/>
      <c r="R35" s="24"/>
      <c r="S35" s="24"/>
      <c r="T35" s="24"/>
    </row>
    <row r="36" spans="1:20" s="1" customFormat="1" ht="15" customHeight="1">
      <c r="A36" s="61">
        <v>28</v>
      </c>
      <c r="B36" s="453" t="s">
        <v>56</v>
      </c>
      <c r="C36" s="454"/>
      <c r="D36" s="15">
        <v>18</v>
      </c>
      <c r="E36" s="37" t="s">
        <v>4</v>
      </c>
      <c r="F36" s="54" t="s">
        <v>5</v>
      </c>
      <c r="G36" s="32" t="s">
        <v>446</v>
      </c>
      <c r="H36" s="32" t="s">
        <v>446</v>
      </c>
      <c r="I36" s="366" t="s">
        <v>4679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/>
      </c>
      <c r="M36" s="24"/>
      <c r="N36" s="24"/>
      <c r="O36" s="24"/>
      <c r="P36" s="24"/>
      <c r="Q36" s="24"/>
      <c r="R36" s="24"/>
      <c r="S36" s="24"/>
      <c r="T36" s="24"/>
    </row>
    <row r="37" spans="1:20" ht="15" customHeight="1">
      <c r="A37" s="61">
        <v>29</v>
      </c>
      <c r="B37" s="453" t="s">
        <v>57</v>
      </c>
      <c r="C37" s="454"/>
      <c r="D37" s="15">
        <v>18</v>
      </c>
      <c r="E37" s="37" t="s">
        <v>4</v>
      </c>
      <c r="F37" s="54" t="s">
        <v>5</v>
      </c>
      <c r="G37" s="32" t="s">
        <v>446</v>
      </c>
      <c r="H37" s="32" t="s">
        <v>446</v>
      </c>
      <c r="I37" s="366" t="s">
        <v>4680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20" ht="15" customHeight="1">
      <c r="A38" s="61">
        <v>30</v>
      </c>
      <c r="B38" s="453" t="s">
        <v>58</v>
      </c>
      <c r="C38" s="454"/>
      <c r="D38" s="15">
        <v>20</v>
      </c>
      <c r="E38" s="37" t="s">
        <v>41</v>
      </c>
      <c r="F38" s="32" t="s">
        <v>5</v>
      </c>
      <c r="G38" s="32" t="s">
        <v>4661</v>
      </c>
      <c r="H38" s="32" t="s">
        <v>4661</v>
      </c>
      <c r="I38" s="366" t="s">
        <v>4674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20" ht="27" customHeight="1">
      <c r="A39" s="61">
        <v>31</v>
      </c>
      <c r="B39" s="453" t="s">
        <v>59</v>
      </c>
      <c r="C39" s="454"/>
      <c r="D39" s="15">
        <v>4</v>
      </c>
      <c r="E39" s="37" t="s">
        <v>4</v>
      </c>
      <c r="F39" s="32" t="s">
        <v>5</v>
      </c>
      <c r="G39" s="32" t="s">
        <v>4661</v>
      </c>
      <c r="H39" s="32" t="s">
        <v>4661</v>
      </c>
      <c r="I39" s="366" t="s">
        <v>5095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>&lt;별첨3&gt; 참조</v>
      </c>
    </row>
    <row r="40" spans="1:20" ht="27" customHeight="1">
      <c r="A40" s="61">
        <v>32</v>
      </c>
      <c r="B40" s="453" t="s">
        <v>60</v>
      </c>
      <c r="C40" s="454"/>
      <c r="D40" s="15">
        <v>4</v>
      </c>
      <c r="E40" s="37" t="s">
        <v>4</v>
      </c>
      <c r="F40" s="32" t="s">
        <v>5</v>
      </c>
      <c r="G40" s="32" t="s">
        <v>4661</v>
      </c>
      <c r="H40" s="32" t="s">
        <v>4661</v>
      </c>
      <c r="I40" s="366" t="s">
        <v>5096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20" ht="17.25" customHeight="1" thickBot="1">
      <c r="A41" s="63">
        <v>33</v>
      </c>
      <c r="B41" s="477" t="s">
        <v>25</v>
      </c>
      <c r="C41" s="478"/>
      <c r="D41" s="43">
        <v>6</v>
      </c>
      <c r="E41" s="44" t="s">
        <v>26</v>
      </c>
      <c r="F41" s="45" t="s">
        <v>5</v>
      </c>
      <c r="G41" s="107" t="s">
        <v>4690</v>
      </c>
      <c r="H41" s="107" t="s">
        <v>4690</v>
      </c>
      <c r="I41" s="479" t="s">
        <v>254</v>
      </c>
      <c r="J41" s="480"/>
      <c r="K41" s="480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</sheetData>
  <mergeCells count="81">
    <mergeCell ref="B7:C7"/>
    <mergeCell ref="I7:K7"/>
    <mergeCell ref="B8:C8"/>
    <mergeCell ref="I8:K8"/>
    <mergeCell ref="B9:C9"/>
    <mergeCell ref="I9:K9"/>
    <mergeCell ref="A5:B5"/>
    <mergeCell ref="D5:F5"/>
    <mergeCell ref="A3:B3"/>
    <mergeCell ref="A4:B4"/>
    <mergeCell ref="D4:F4"/>
    <mergeCell ref="I25:K25"/>
    <mergeCell ref="A2:L2"/>
    <mergeCell ref="I14:K14"/>
    <mergeCell ref="B15:C15"/>
    <mergeCell ref="I15:K15"/>
    <mergeCell ref="B10:C10"/>
    <mergeCell ref="I10:K10"/>
    <mergeCell ref="B11:C11"/>
    <mergeCell ref="I11:K11"/>
    <mergeCell ref="B12:C12"/>
    <mergeCell ref="I12:K12"/>
    <mergeCell ref="G4:I4"/>
    <mergeCell ref="G5:I5"/>
    <mergeCell ref="C3:L3"/>
    <mergeCell ref="K4:L4"/>
    <mergeCell ref="K5:L5"/>
    <mergeCell ref="B35:C35"/>
    <mergeCell ref="I35:K35"/>
    <mergeCell ref="B36:C36"/>
    <mergeCell ref="I36:K36"/>
    <mergeCell ref="B41:C41"/>
    <mergeCell ref="I41:K41"/>
    <mergeCell ref="B37:C37"/>
    <mergeCell ref="I37:K37"/>
    <mergeCell ref="B38:C38"/>
    <mergeCell ref="I38:K38"/>
    <mergeCell ref="B39:C39"/>
    <mergeCell ref="I39:K39"/>
    <mergeCell ref="B40:C40"/>
    <mergeCell ref="I40:K40"/>
    <mergeCell ref="B13:C13"/>
    <mergeCell ref="I13:K13"/>
    <mergeCell ref="B14:C14"/>
    <mergeCell ref="B34:C34"/>
    <mergeCell ref="I34:K34"/>
    <mergeCell ref="B26:C26"/>
    <mergeCell ref="I26:K26"/>
    <mergeCell ref="B27:C27"/>
    <mergeCell ref="I27:K27"/>
    <mergeCell ref="B22:C22"/>
    <mergeCell ref="I22:K22"/>
    <mergeCell ref="B23:C23"/>
    <mergeCell ref="I23:K23"/>
    <mergeCell ref="B24:C24"/>
    <mergeCell ref="I24:K24"/>
    <mergeCell ref="B25:C25"/>
    <mergeCell ref="B20:C20"/>
    <mergeCell ref="I20:K20"/>
    <mergeCell ref="B21:C21"/>
    <mergeCell ref="I21:K21"/>
    <mergeCell ref="B16:C16"/>
    <mergeCell ref="I16:K16"/>
    <mergeCell ref="B17:C17"/>
    <mergeCell ref="I17:K17"/>
    <mergeCell ref="B18:C18"/>
    <mergeCell ref="I18:K18"/>
    <mergeCell ref="B19:C19"/>
    <mergeCell ref="I19:K19"/>
    <mergeCell ref="B31:C31"/>
    <mergeCell ref="I31:K31"/>
    <mergeCell ref="B32:C32"/>
    <mergeCell ref="I32:K32"/>
    <mergeCell ref="B33:C33"/>
    <mergeCell ref="I33:K33"/>
    <mergeCell ref="B28:C28"/>
    <mergeCell ref="I28:K28"/>
    <mergeCell ref="B29:C29"/>
    <mergeCell ref="I29:K29"/>
    <mergeCell ref="B30:C30"/>
    <mergeCell ref="I30:K30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0B82-4285-4707-B1E6-E90FC4FF274D}">
  <sheetPr codeName="Sheet51"/>
  <dimension ref="A1:L133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ht="19.5" thickBot="1">
      <c r="A2" s="481" t="s">
        <v>4701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7646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139</v>
      </c>
      <c r="H4" s="411"/>
      <c r="I4" s="412"/>
      <c r="J4" s="115" t="s">
        <v>5263</v>
      </c>
      <c r="K4" s="410" t="s">
        <v>224</v>
      </c>
      <c r="L4" s="413"/>
    </row>
    <row r="5" spans="1:12" s="1" customFormat="1" ht="15" customHeight="1" thickBot="1">
      <c r="A5" s="395" t="s">
        <v>34</v>
      </c>
      <c r="B5" s="439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SLP210901SW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9">
        <v>0</v>
      </c>
      <c r="B8" s="377" t="s">
        <v>29</v>
      </c>
      <c r="C8" s="378"/>
      <c r="D8" s="40">
        <v>200</v>
      </c>
      <c r="E8" s="41" t="s">
        <v>30</v>
      </c>
      <c r="F8" s="40" t="s">
        <v>30</v>
      </c>
      <c r="G8" s="209"/>
      <c r="H8" s="209"/>
      <c r="I8" s="464" t="s">
        <v>4665</v>
      </c>
      <c r="J8" s="465"/>
      <c r="K8" s="465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.75" customHeight="1">
      <c r="A9" s="36">
        <v>1</v>
      </c>
      <c r="B9" s="453" t="s">
        <v>3</v>
      </c>
      <c r="C9" s="454"/>
      <c r="D9" s="15">
        <v>8</v>
      </c>
      <c r="E9" s="37" t="s">
        <v>4</v>
      </c>
      <c r="F9" s="32" t="s">
        <v>196</v>
      </c>
      <c r="G9" s="209" t="s">
        <v>446</v>
      </c>
      <c r="H9" s="209" t="s">
        <v>446</v>
      </c>
      <c r="I9" s="374" t="s">
        <v>7611</v>
      </c>
      <c r="J9" s="375"/>
      <c r="K9" s="375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.75" customHeight="1">
      <c r="A10" s="36">
        <v>2</v>
      </c>
      <c r="B10" s="453" t="s">
        <v>6</v>
      </c>
      <c r="C10" s="454"/>
      <c r="D10" s="15">
        <v>4</v>
      </c>
      <c r="E10" s="37" t="s">
        <v>4</v>
      </c>
      <c r="F10" s="32" t="s">
        <v>196</v>
      </c>
      <c r="G10" s="209" t="s">
        <v>446</v>
      </c>
      <c r="H10" s="209" t="s">
        <v>446</v>
      </c>
      <c r="I10" s="374" t="s">
        <v>5091</v>
      </c>
      <c r="J10" s="375"/>
      <c r="K10" s="375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27.75" customHeight="1">
      <c r="A11" s="36">
        <v>3</v>
      </c>
      <c r="B11" s="453" t="s">
        <v>59</v>
      </c>
      <c r="C11" s="454"/>
      <c r="D11" s="15">
        <v>4</v>
      </c>
      <c r="E11" s="37" t="s">
        <v>4</v>
      </c>
      <c r="F11" s="32" t="s">
        <v>196</v>
      </c>
      <c r="G11" s="209" t="s">
        <v>446</v>
      </c>
      <c r="H11" s="209" t="s">
        <v>446</v>
      </c>
      <c r="I11" s="374" t="s">
        <v>5097</v>
      </c>
      <c r="J11" s="375"/>
      <c r="K11" s="375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15" customHeight="1">
      <c r="A12" s="36">
        <v>4</v>
      </c>
      <c r="B12" s="453" t="s">
        <v>7</v>
      </c>
      <c r="C12" s="454"/>
      <c r="D12" s="15">
        <v>5</v>
      </c>
      <c r="E12" s="37" t="s">
        <v>4</v>
      </c>
      <c r="F12" s="32" t="s">
        <v>5</v>
      </c>
      <c r="G12" s="209" t="s">
        <v>4690</v>
      </c>
      <c r="H12" s="209" t="s">
        <v>446</v>
      </c>
      <c r="I12" s="374" t="s">
        <v>4675</v>
      </c>
      <c r="J12" s="375"/>
      <c r="K12" s="375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27.75" customHeight="1">
      <c r="A13" s="36">
        <v>5</v>
      </c>
      <c r="B13" s="453" t="s">
        <v>8</v>
      </c>
      <c r="C13" s="454"/>
      <c r="D13" s="15">
        <v>4</v>
      </c>
      <c r="E13" s="37" t="s">
        <v>4</v>
      </c>
      <c r="F13" s="32" t="s">
        <v>196</v>
      </c>
      <c r="G13" s="209" t="s">
        <v>446</v>
      </c>
      <c r="H13" s="209" t="s">
        <v>446</v>
      </c>
      <c r="I13" s="374" t="s">
        <v>5092</v>
      </c>
      <c r="J13" s="375"/>
      <c r="K13" s="375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24" customFormat="1" ht="189" customHeight="1">
      <c r="A14" s="96">
        <v>6</v>
      </c>
      <c r="B14" s="483" t="s">
        <v>9</v>
      </c>
      <c r="C14" s="484"/>
      <c r="D14" s="97">
        <v>4</v>
      </c>
      <c r="E14" s="98" t="s">
        <v>4</v>
      </c>
      <c r="F14" s="99" t="s">
        <v>196</v>
      </c>
      <c r="G14" s="226" t="s">
        <v>446</v>
      </c>
      <c r="H14" s="226" t="s">
        <v>446</v>
      </c>
      <c r="I14" s="374" t="s">
        <v>4687</v>
      </c>
      <c r="J14" s="375"/>
      <c r="K14" s="375"/>
      <c r="L14" s="196" t="str">
        <f ca="1">IFERROR(_xlfn.TEXTJOIN(CHAR(10), TRUE, OFFSET('&lt;별첨9&gt;전체코드'!E:E, MATCH(B14,'&lt;별첨9&gt;전체코드'!A:A,0)-1, 0, COUNTIF('&lt;별첨9&gt;전체코드'!A:A,B14), 1)), "")</f>
        <v>&lt;별첨4&gt; 참조</v>
      </c>
    </row>
    <row r="15" spans="1:12" s="1" customFormat="1" ht="15" customHeight="1">
      <c r="A15" s="36">
        <v>7</v>
      </c>
      <c r="B15" s="453" t="s">
        <v>10</v>
      </c>
      <c r="C15" s="454"/>
      <c r="D15" s="15">
        <v>18</v>
      </c>
      <c r="E15" s="37" t="s">
        <v>4</v>
      </c>
      <c r="F15" s="32" t="s">
        <v>196</v>
      </c>
      <c r="G15" s="209" t="s">
        <v>446</v>
      </c>
      <c r="H15" s="209" t="s">
        <v>446</v>
      </c>
      <c r="I15" s="453" t="s">
        <v>4688</v>
      </c>
      <c r="J15" s="482"/>
      <c r="K15" s="375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86.25" customHeight="1">
      <c r="A16" s="104">
        <v>8</v>
      </c>
      <c r="B16" s="453" t="s">
        <v>51</v>
      </c>
      <c r="C16" s="454"/>
      <c r="D16" s="275">
        <v>1</v>
      </c>
      <c r="E16" s="37" t="s">
        <v>4</v>
      </c>
      <c r="F16" s="32" t="s">
        <v>196</v>
      </c>
      <c r="G16" s="209" t="s">
        <v>446</v>
      </c>
      <c r="H16" s="209" t="s">
        <v>446</v>
      </c>
      <c r="I16" s="366" t="s">
        <v>5286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신속
2 : 보통</v>
      </c>
    </row>
    <row r="17" spans="1:12" ht="30" customHeight="1">
      <c r="A17" s="36">
        <v>9</v>
      </c>
      <c r="B17" s="453" t="s">
        <v>11</v>
      </c>
      <c r="C17" s="454"/>
      <c r="D17" s="15">
        <v>1</v>
      </c>
      <c r="E17" s="37" t="s">
        <v>4</v>
      </c>
      <c r="F17" s="32" t="s">
        <v>196</v>
      </c>
      <c r="G17" s="209" t="s">
        <v>446</v>
      </c>
      <c r="H17" s="209" t="s">
        <v>446</v>
      </c>
      <c r="I17" s="374" t="s">
        <v>5287</v>
      </c>
      <c r="J17" s="375"/>
      <c r="K17" s="375"/>
      <c r="L17" s="196" t="str">
        <f ca="1">IFERROR(_xlfn.TEXTJOIN(CHAR(10), TRUE, OFFSET('&lt;별첨9&gt;전체코드'!E:E, MATCH(B17,'&lt;별첨9&gt;전체코드'!A:A,0)-1, 0, COUNTIF('&lt;별첨9&gt;전체코드'!A:A,B17), 1)), "")</f>
        <v>1 : 즉시
2 : 예약</v>
      </c>
    </row>
    <row r="18" spans="1:12" ht="15" customHeight="1">
      <c r="A18" s="36">
        <v>10</v>
      </c>
      <c r="B18" s="453" t="s">
        <v>12</v>
      </c>
      <c r="C18" s="454"/>
      <c r="D18" s="15">
        <v>20</v>
      </c>
      <c r="E18" s="37" t="s">
        <v>41</v>
      </c>
      <c r="F18" s="32" t="s">
        <v>196</v>
      </c>
      <c r="G18" s="209" t="s">
        <v>4661</v>
      </c>
      <c r="H18" s="209" t="s">
        <v>4661</v>
      </c>
      <c r="I18" s="374" t="s">
        <v>4667</v>
      </c>
      <c r="J18" s="375"/>
      <c r="K18" s="375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36">
        <v>11</v>
      </c>
      <c r="B19" s="453" t="s">
        <v>13</v>
      </c>
      <c r="C19" s="454"/>
      <c r="D19" s="15">
        <v>60</v>
      </c>
      <c r="E19" s="37" t="s">
        <v>41</v>
      </c>
      <c r="F19" s="32" t="s">
        <v>196</v>
      </c>
      <c r="G19" s="209" t="s">
        <v>4661</v>
      </c>
      <c r="H19" s="209" t="s">
        <v>4661</v>
      </c>
      <c r="I19" s="374" t="s">
        <v>4668</v>
      </c>
      <c r="J19" s="375"/>
      <c r="K19" s="375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36">
        <v>12</v>
      </c>
      <c r="B20" s="453" t="s">
        <v>14</v>
      </c>
      <c r="C20" s="454"/>
      <c r="D20" s="15">
        <v>10</v>
      </c>
      <c r="E20" s="37" t="s">
        <v>42</v>
      </c>
      <c r="F20" s="32" t="s">
        <v>196</v>
      </c>
      <c r="G20" s="209" t="s">
        <v>446</v>
      </c>
      <c r="H20" s="209" t="s">
        <v>446</v>
      </c>
      <c r="I20" s="374" t="s">
        <v>4669</v>
      </c>
      <c r="J20" s="375"/>
      <c r="K20" s="375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36">
        <v>13</v>
      </c>
      <c r="B21" s="453" t="s">
        <v>15</v>
      </c>
      <c r="C21" s="454"/>
      <c r="D21" s="15">
        <v>30</v>
      </c>
      <c r="E21" s="37" t="s">
        <v>41</v>
      </c>
      <c r="F21" s="32" t="s">
        <v>196</v>
      </c>
      <c r="G21" s="209" t="s">
        <v>446</v>
      </c>
      <c r="H21" s="209" t="s">
        <v>446</v>
      </c>
      <c r="I21" s="374" t="s">
        <v>4670</v>
      </c>
      <c r="J21" s="375"/>
      <c r="K21" s="375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>
      <c r="A22" s="36">
        <v>14</v>
      </c>
      <c r="B22" s="453" t="s">
        <v>16</v>
      </c>
      <c r="C22" s="454"/>
      <c r="D22" s="15">
        <v>10</v>
      </c>
      <c r="E22" s="37" t="s">
        <v>42</v>
      </c>
      <c r="F22" s="32" t="s">
        <v>196</v>
      </c>
      <c r="G22" s="209" t="s">
        <v>4661</v>
      </c>
      <c r="H22" s="209" t="s">
        <v>4661</v>
      </c>
      <c r="I22" s="374" t="s">
        <v>4671</v>
      </c>
      <c r="J22" s="375"/>
      <c r="K22" s="375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36">
        <v>15</v>
      </c>
      <c r="B23" s="453" t="s">
        <v>17</v>
      </c>
      <c r="C23" s="454"/>
      <c r="D23" s="15">
        <v>30</v>
      </c>
      <c r="E23" s="37" t="s">
        <v>41</v>
      </c>
      <c r="F23" s="32" t="s">
        <v>196</v>
      </c>
      <c r="G23" s="209" t="s">
        <v>4661</v>
      </c>
      <c r="H23" s="209" t="s">
        <v>4661</v>
      </c>
      <c r="I23" s="374" t="s">
        <v>4672</v>
      </c>
      <c r="J23" s="375"/>
      <c r="K23" s="375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08.75" customHeight="1">
      <c r="A24" s="36">
        <v>16</v>
      </c>
      <c r="B24" s="453" t="s">
        <v>52</v>
      </c>
      <c r="C24" s="454"/>
      <c r="D24" s="15">
        <v>4</v>
      </c>
      <c r="E24" s="37" t="s">
        <v>4</v>
      </c>
      <c r="F24" s="32" t="s">
        <v>196</v>
      </c>
      <c r="G24" s="209" t="s">
        <v>4661</v>
      </c>
      <c r="H24" s="209" t="s">
        <v>4661</v>
      </c>
      <c r="I24" s="366" t="s">
        <v>7612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ht="135.75" customHeight="1">
      <c r="A25" s="36">
        <v>17</v>
      </c>
      <c r="B25" s="453" t="s">
        <v>18</v>
      </c>
      <c r="C25" s="454"/>
      <c r="D25" s="15">
        <v>1</v>
      </c>
      <c r="E25" s="37" t="s">
        <v>26</v>
      </c>
      <c r="F25" s="32" t="s">
        <v>5</v>
      </c>
      <c r="G25" s="209" t="s">
        <v>4690</v>
      </c>
      <c r="H25" s="209" t="s">
        <v>446</v>
      </c>
      <c r="I25" s="374" t="s">
        <v>4685</v>
      </c>
      <c r="J25" s="375"/>
      <c r="K25" s="375"/>
      <c r="L25" s="196" t="str">
        <f ca="1">IFERROR(_xlfn.TEXTJOIN(CHAR(10), TRUE, OFFSET('&lt;별첨9&gt;전체코드'!E:E, MATCH(B25,'&lt;별첨9&gt;전체코드'!A:A,0)-1, 0, COUNTIF('&lt;별첨9&gt;전체코드'!A:A,B25), 1)), "")</f>
        <v>1 : 예약
2 : 대기
3 : 결제
4 : 취소
5 : 예약취소
6 : 실행오류</v>
      </c>
    </row>
    <row r="26" spans="1:12" ht="95.25" customHeight="1">
      <c r="A26" s="36">
        <v>18</v>
      </c>
      <c r="B26" s="453" t="s">
        <v>19</v>
      </c>
      <c r="C26" s="454"/>
      <c r="D26" s="15">
        <v>5</v>
      </c>
      <c r="E26" s="37" t="s">
        <v>4</v>
      </c>
      <c r="F26" s="32" t="s">
        <v>5</v>
      </c>
      <c r="G26" s="209" t="s">
        <v>4690</v>
      </c>
      <c r="H26" s="209" t="s">
        <v>4661</v>
      </c>
      <c r="I26" s="374" t="s">
        <v>4681</v>
      </c>
      <c r="J26" s="375"/>
      <c r="K26" s="375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95.25" customHeight="1">
      <c r="A27" s="36">
        <v>19</v>
      </c>
      <c r="B27" s="453" t="s">
        <v>20</v>
      </c>
      <c r="C27" s="454"/>
      <c r="D27" s="15">
        <v>5</v>
      </c>
      <c r="E27" s="37" t="s">
        <v>4</v>
      </c>
      <c r="F27" s="32" t="s">
        <v>5</v>
      </c>
      <c r="G27" s="209" t="s">
        <v>4690</v>
      </c>
      <c r="H27" s="209" t="s">
        <v>4661</v>
      </c>
      <c r="I27" s="374" t="s">
        <v>4682</v>
      </c>
      <c r="J27" s="375"/>
      <c r="K27" s="375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ht="95.25" customHeight="1">
      <c r="A28" s="36">
        <v>20</v>
      </c>
      <c r="B28" s="453" t="s">
        <v>53</v>
      </c>
      <c r="C28" s="454"/>
      <c r="D28" s="15">
        <v>16</v>
      </c>
      <c r="E28" s="37" t="s">
        <v>42</v>
      </c>
      <c r="F28" s="32" t="s">
        <v>5</v>
      </c>
      <c r="G28" s="209" t="s">
        <v>4690</v>
      </c>
      <c r="H28" s="209" t="s">
        <v>4661</v>
      </c>
      <c r="I28" s="374" t="s">
        <v>4683</v>
      </c>
      <c r="J28" s="375"/>
      <c r="K28" s="375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95.25" customHeight="1">
      <c r="A29" s="36">
        <v>21</v>
      </c>
      <c r="B29" s="453" t="s">
        <v>21</v>
      </c>
      <c r="C29" s="454"/>
      <c r="D29" s="15">
        <v>9</v>
      </c>
      <c r="E29" s="37" t="s">
        <v>42</v>
      </c>
      <c r="F29" s="32" t="s">
        <v>5</v>
      </c>
      <c r="G29" s="209" t="s">
        <v>4690</v>
      </c>
      <c r="H29" s="209" t="s">
        <v>4661</v>
      </c>
      <c r="I29" s="374" t="s">
        <v>4684</v>
      </c>
      <c r="J29" s="375"/>
      <c r="K29" s="375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3.5">
      <c r="A30" s="36">
        <v>22</v>
      </c>
      <c r="B30" s="453" t="s">
        <v>22</v>
      </c>
      <c r="C30" s="454"/>
      <c r="D30" s="15">
        <v>6</v>
      </c>
      <c r="E30" s="37" t="s">
        <v>4</v>
      </c>
      <c r="F30" s="32" t="s">
        <v>5</v>
      </c>
      <c r="G30" s="209" t="s">
        <v>4690</v>
      </c>
      <c r="H30" s="209" t="s">
        <v>446</v>
      </c>
      <c r="I30" s="374" t="s">
        <v>7613</v>
      </c>
      <c r="J30" s="375"/>
      <c r="K30" s="375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108" customHeight="1">
      <c r="A31" s="36">
        <v>23</v>
      </c>
      <c r="B31" s="453" t="s">
        <v>23</v>
      </c>
      <c r="C31" s="454"/>
      <c r="D31" s="15">
        <v>6</v>
      </c>
      <c r="E31" s="37" t="s">
        <v>4</v>
      </c>
      <c r="F31" s="32" t="s">
        <v>5</v>
      </c>
      <c r="G31" s="209" t="s">
        <v>4690</v>
      </c>
      <c r="H31" s="209" t="s">
        <v>4661</v>
      </c>
      <c r="I31" s="374" t="s">
        <v>7614</v>
      </c>
      <c r="J31" s="375"/>
      <c r="K31" s="375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08" customHeight="1">
      <c r="A32" s="36">
        <v>24</v>
      </c>
      <c r="B32" s="453" t="s">
        <v>54</v>
      </c>
      <c r="C32" s="454"/>
      <c r="D32" s="15">
        <v>1</v>
      </c>
      <c r="E32" s="37" t="s">
        <v>4</v>
      </c>
      <c r="F32" s="32" t="s">
        <v>5</v>
      </c>
      <c r="G32" s="209" t="s">
        <v>4690</v>
      </c>
      <c r="H32" s="209" t="s">
        <v>446</v>
      </c>
      <c r="I32" s="374" t="s">
        <v>5290</v>
      </c>
      <c r="J32" s="375"/>
      <c r="K32" s="375"/>
      <c r="L32" s="196" t="str">
        <f ca="1">IFERROR(_xlfn.TEXTJOIN(CHAR(10), TRUE, OFFSET('&lt;별첨9&gt;전체코드'!E:E, MATCH(B32,'&lt;별첨9&gt;전체코드'!A:A,0)-1, 0, COUNTIF('&lt;별첨9&gt;전체코드'!A:A,B32), 1)), "")</f>
        <v>1 : 총액결제
2 : 양자간 동시처리
3 : 다자간 동시처리
4 : 콜연결상환</v>
      </c>
    </row>
    <row r="33" spans="1:12" ht="27.75" customHeight="1">
      <c r="A33" s="36">
        <v>25</v>
      </c>
      <c r="B33" s="453" t="s">
        <v>55</v>
      </c>
      <c r="C33" s="454"/>
      <c r="D33" s="15">
        <v>2</v>
      </c>
      <c r="E33" s="37" t="s">
        <v>4</v>
      </c>
      <c r="F33" s="32" t="s">
        <v>5</v>
      </c>
      <c r="G33" s="209" t="s">
        <v>4690</v>
      </c>
      <c r="H33" s="209" t="s">
        <v>4661</v>
      </c>
      <c r="I33" s="374" t="s">
        <v>5294</v>
      </c>
      <c r="J33" s="375"/>
      <c r="K33" s="375"/>
      <c r="L33" s="196" t="str">
        <f ca="1">IFERROR(_xlfn.TEXTJOIN(CHAR(10), TRUE, OFFSET('&lt;별첨9&gt;전체코드'!E:E, MATCH(B33,'&lt;별첨9&gt;전체코드'!A:A,0)-1, 0, COUNTIF('&lt;별첨9&gt;전체코드'!A:A,B33), 1)), "")</f>
        <v>&lt;별첨6&gt; 참조</v>
      </c>
    </row>
    <row r="34" spans="1:12" ht="15" customHeight="1">
      <c r="A34" s="36">
        <v>26</v>
      </c>
      <c r="B34" s="453" t="s">
        <v>27</v>
      </c>
      <c r="C34" s="454"/>
      <c r="D34" s="15">
        <v>18</v>
      </c>
      <c r="E34" s="37" t="s">
        <v>4</v>
      </c>
      <c r="F34" s="32" t="s">
        <v>5</v>
      </c>
      <c r="G34" s="209" t="s">
        <v>4690</v>
      </c>
      <c r="H34" s="209" t="s">
        <v>446</v>
      </c>
      <c r="I34" s="374" t="s">
        <v>4676</v>
      </c>
      <c r="J34" s="375"/>
      <c r="K34" s="375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ht="15" customHeight="1">
      <c r="A35" s="36">
        <v>27</v>
      </c>
      <c r="B35" s="453" t="s">
        <v>44</v>
      </c>
      <c r="C35" s="454"/>
      <c r="D35" s="15">
        <v>18</v>
      </c>
      <c r="E35" s="37" t="s">
        <v>4</v>
      </c>
      <c r="F35" s="32" t="s">
        <v>5</v>
      </c>
      <c r="G35" s="209" t="s">
        <v>4690</v>
      </c>
      <c r="H35" s="209" t="s">
        <v>446</v>
      </c>
      <c r="I35" s="374" t="s">
        <v>4677</v>
      </c>
      <c r="J35" s="375"/>
      <c r="K35" s="375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ht="15" customHeight="1">
      <c r="A36" s="36">
        <v>28</v>
      </c>
      <c r="B36" s="453" t="s">
        <v>24</v>
      </c>
      <c r="C36" s="454"/>
      <c r="D36" s="15">
        <v>18</v>
      </c>
      <c r="E36" s="37" t="s">
        <v>4</v>
      </c>
      <c r="F36" s="32" t="s">
        <v>5</v>
      </c>
      <c r="G36" s="209" t="s">
        <v>4690</v>
      </c>
      <c r="H36" s="209" t="s">
        <v>446</v>
      </c>
      <c r="I36" s="374" t="s">
        <v>4678</v>
      </c>
      <c r="J36" s="375"/>
      <c r="K36" s="375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15" customHeight="1">
      <c r="A37" s="36">
        <v>29</v>
      </c>
      <c r="B37" s="453" t="s">
        <v>56</v>
      </c>
      <c r="C37" s="454"/>
      <c r="D37" s="15">
        <v>18</v>
      </c>
      <c r="E37" s="37" t="s">
        <v>4</v>
      </c>
      <c r="F37" s="32" t="s">
        <v>5</v>
      </c>
      <c r="G37" s="209" t="s">
        <v>4690</v>
      </c>
      <c r="H37" s="209" t="s">
        <v>446</v>
      </c>
      <c r="I37" s="374" t="s">
        <v>4679</v>
      </c>
      <c r="J37" s="375"/>
      <c r="K37" s="375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36">
        <v>30</v>
      </c>
      <c r="B38" s="453" t="s">
        <v>57</v>
      </c>
      <c r="C38" s="454"/>
      <c r="D38" s="15">
        <v>18</v>
      </c>
      <c r="E38" s="37" t="s">
        <v>4</v>
      </c>
      <c r="F38" s="32" t="s">
        <v>5</v>
      </c>
      <c r="G38" s="209" t="s">
        <v>4690</v>
      </c>
      <c r="H38" s="209" t="s">
        <v>446</v>
      </c>
      <c r="I38" s="374" t="s">
        <v>4680</v>
      </c>
      <c r="J38" s="375"/>
      <c r="K38" s="375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15" customHeight="1">
      <c r="A39" s="36">
        <v>31</v>
      </c>
      <c r="B39" s="453" t="s">
        <v>58</v>
      </c>
      <c r="C39" s="454"/>
      <c r="D39" s="15">
        <v>20</v>
      </c>
      <c r="E39" s="37" t="s">
        <v>41</v>
      </c>
      <c r="F39" s="32" t="s">
        <v>196</v>
      </c>
      <c r="G39" s="209" t="s">
        <v>4661</v>
      </c>
      <c r="H39" s="209" t="s">
        <v>4661</v>
      </c>
      <c r="I39" s="374" t="s">
        <v>4674</v>
      </c>
      <c r="J39" s="375"/>
      <c r="K39" s="375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27.75" customHeight="1">
      <c r="A40" s="36">
        <v>32</v>
      </c>
      <c r="B40" s="453" t="s">
        <v>60</v>
      </c>
      <c r="C40" s="454"/>
      <c r="D40" s="15">
        <v>4</v>
      </c>
      <c r="E40" s="37" t="s">
        <v>4</v>
      </c>
      <c r="F40" s="32" t="s">
        <v>196</v>
      </c>
      <c r="G40" s="209" t="s">
        <v>4661</v>
      </c>
      <c r="H40" s="209" t="s">
        <v>4661</v>
      </c>
      <c r="I40" s="374" t="s">
        <v>5096</v>
      </c>
      <c r="J40" s="375"/>
      <c r="K40" s="375"/>
      <c r="L40" s="196" t="str">
        <f ca="1">IFERROR(_xlfn.TEXTJOIN(CHAR(10), TRUE, OFFSET('&lt;별첨9&gt;전체코드'!E:E, MATCH(B40,'&lt;별첨9&gt;전체코드'!A:A,0)-1, 0, COUNTIF('&lt;별첨9&gt;전체코드'!A:A,B40), 1)), "")</f>
        <v>&lt;별첨3&gt; 참조</v>
      </c>
    </row>
    <row r="41" spans="1:12" ht="15" customHeight="1" thickBot="1">
      <c r="A41" s="38">
        <v>33</v>
      </c>
      <c r="B41" s="477" t="s">
        <v>25</v>
      </c>
      <c r="C41" s="478"/>
      <c r="D41" s="43">
        <v>6</v>
      </c>
      <c r="E41" s="44" t="s">
        <v>26</v>
      </c>
      <c r="F41" s="45" t="s">
        <v>196</v>
      </c>
      <c r="G41" s="108" t="s">
        <v>4690</v>
      </c>
      <c r="H41" s="108" t="s">
        <v>4690</v>
      </c>
      <c r="I41" s="422" t="s">
        <v>254</v>
      </c>
      <c r="J41" s="423"/>
      <c r="K41" s="423"/>
      <c r="L41" s="198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30.75" customHeight="1"/>
    <row r="43" spans="1:12" ht="30.75" customHeight="1"/>
    <row r="44" spans="1:12" ht="30.75" customHeight="1"/>
    <row r="47" spans="1:12" ht="30.75" customHeight="1"/>
    <row r="58" ht="30" customHeight="1"/>
    <row r="69" ht="30" customHeight="1"/>
    <row r="86" ht="30.75" customHeight="1"/>
    <row r="104" ht="30.75" customHeight="1"/>
    <row r="133" ht="30" customHeight="1"/>
  </sheetData>
  <mergeCells count="81">
    <mergeCell ref="A2:L2"/>
    <mergeCell ref="B10:C10"/>
    <mergeCell ref="I10:K10"/>
    <mergeCell ref="B11:C11"/>
    <mergeCell ref="I11:K11"/>
    <mergeCell ref="G4:I4"/>
    <mergeCell ref="G5:I5"/>
    <mergeCell ref="C3:L3"/>
    <mergeCell ref="K4:L4"/>
    <mergeCell ref="K5:L5"/>
    <mergeCell ref="A5:B5"/>
    <mergeCell ref="D5:F5"/>
    <mergeCell ref="A3:B3"/>
    <mergeCell ref="A4:B4"/>
    <mergeCell ref="D4:F4"/>
    <mergeCell ref="B12:C12"/>
    <mergeCell ref="I12:K12"/>
    <mergeCell ref="B7:C7"/>
    <mergeCell ref="I7:K7"/>
    <mergeCell ref="B8:C8"/>
    <mergeCell ref="I8:K8"/>
    <mergeCell ref="B9:C9"/>
    <mergeCell ref="I9:K9"/>
    <mergeCell ref="B16:C16"/>
    <mergeCell ref="I16:K16"/>
    <mergeCell ref="B17:C17"/>
    <mergeCell ref="I17:K17"/>
    <mergeCell ref="B18:C18"/>
    <mergeCell ref="I18:K18"/>
    <mergeCell ref="B13:C13"/>
    <mergeCell ref="I13:K13"/>
    <mergeCell ref="B14:C14"/>
    <mergeCell ref="I14:K14"/>
    <mergeCell ref="B15:C15"/>
    <mergeCell ref="I15:K15"/>
    <mergeCell ref="B22:C22"/>
    <mergeCell ref="I22:K22"/>
    <mergeCell ref="B23:C23"/>
    <mergeCell ref="I23:K23"/>
    <mergeCell ref="B24:C24"/>
    <mergeCell ref="I24:K24"/>
    <mergeCell ref="B19:C19"/>
    <mergeCell ref="I19:K19"/>
    <mergeCell ref="B20:C20"/>
    <mergeCell ref="I20:K20"/>
    <mergeCell ref="B21:C21"/>
    <mergeCell ref="I21:K21"/>
    <mergeCell ref="B28:C28"/>
    <mergeCell ref="I28:K28"/>
    <mergeCell ref="B29:C29"/>
    <mergeCell ref="I29:K29"/>
    <mergeCell ref="B30:C30"/>
    <mergeCell ref="I30:K30"/>
    <mergeCell ref="B25:C25"/>
    <mergeCell ref="I25:K25"/>
    <mergeCell ref="B26:C26"/>
    <mergeCell ref="I26:K26"/>
    <mergeCell ref="B27:C27"/>
    <mergeCell ref="I27:K27"/>
    <mergeCell ref="B34:C34"/>
    <mergeCell ref="I34:K34"/>
    <mergeCell ref="B35:C35"/>
    <mergeCell ref="I35:K35"/>
    <mergeCell ref="B36:C36"/>
    <mergeCell ref="I36:K36"/>
    <mergeCell ref="B31:C31"/>
    <mergeCell ref="I31:K31"/>
    <mergeCell ref="B32:C32"/>
    <mergeCell ref="I32:K32"/>
    <mergeCell ref="B33:C33"/>
    <mergeCell ref="I33:K33"/>
    <mergeCell ref="B40:C40"/>
    <mergeCell ref="I40:K40"/>
    <mergeCell ref="B41:C41"/>
    <mergeCell ref="I41:K41"/>
    <mergeCell ref="B37:C37"/>
    <mergeCell ref="I37:K37"/>
    <mergeCell ref="B38:C38"/>
    <mergeCell ref="I38:K38"/>
    <mergeCell ref="B39:C39"/>
    <mergeCell ref="I39:K39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1346-7CF7-4AD6-B052-69AFF99F3763}">
  <sheetPr codeName="Sheet53"/>
  <dimension ref="A1:L22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21" thickBot="1">
      <c r="A2" s="383" t="s">
        <v>4920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7647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29.2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316</v>
      </c>
      <c r="H4" s="411"/>
      <c r="I4" s="412"/>
      <c r="J4" s="115" t="s">
        <v>5263</v>
      </c>
      <c r="K4" s="410" t="s">
        <v>330</v>
      </c>
      <c r="L4" s="413"/>
    </row>
    <row r="5" spans="1:12" s="1" customFormat="1" ht="15" customHeight="1" thickBot="1">
      <c r="A5" s="395" t="s">
        <v>34</v>
      </c>
      <c r="B5" s="439"/>
      <c r="C5" s="117">
        <v>480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SLP210302SW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48">
        <v>0</v>
      </c>
      <c r="B8" s="485" t="s">
        <v>29</v>
      </c>
      <c r="C8" s="486"/>
      <c r="D8" s="55">
        <v>200</v>
      </c>
      <c r="E8" s="56" t="s">
        <v>30</v>
      </c>
      <c r="F8" s="49" t="s">
        <v>30</v>
      </c>
      <c r="G8" s="209"/>
      <c r="H8" s="209"/>
      <c r="I8" s="464" t="s">
        <v>4665</v>
      </c>
      <c r="J8" s="465"/>
      <c r="K8" s="465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.75" customHeight="1">
      <c r="A9" s="48">
        <v>1</v>
      </c>
      <c r="B9" s="485" t="s">
        <v>3</v>
      </c>
      <c r="C9" s="486"/>
      <c r="D9" s="55">
        <v>8</v>
      </c>
      <c r="E9" s="56" t="s">
        <v>4</v>
      </c>
      <c r="F9" s="49" t="s">
        <v>196</v>
      </c>
      <c r="G9" s="209" t="s">
        <v>446</v>
      </c>
      <c r="H9" s="209" t="s">
        <v>446</v>
      </c>
      <c r="I9" s="374" t="s">
        <v>7611</v>
      </c>
      <c r="J9" s="375"/>
      <c r="K9" s="375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.75" customHeight="1">
      <c r="A10" s="48">
        <v>2</v>
      </c>
      <c r="B10" s="485" t="s">
        <v>237</v>
      </c>
      <c r="C10" s="486"/>
      <c r="D10" s="55">
        <v>4</v>
      </c>
      <c r="E10" s="56" t="s">
        <v>4</v>
      </c>
      <c r="F10" s="49" t="s">
        <v>196</v>
      </c>
      <c r="G10" s="209" t="s">
        <v>446</v>
      </c>
      <c r="H10" s="209" t="s">
        <v>446</v>
      </c>
      <c r="I10" s="374" t="s">
        <v>5091</v>
      </c>
      <c r="J10" s="375"/>
      <c r="K10" s="375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27.75" customHeight="1">
      <c r="A11" s="48">
        <v>3</v>
      </c>
      <c r="B11" s="487" t="s">
        <v>45</v>
      </c>
      <c r="C11" s="488"/>
      <c r="D11" s="55">
        <v>4</v>
      </c>
      <c r="E11" s="56" t="s">
        <v>4</v>
      </c>
      <c r="F11" s="49" t="s">
        <v>196</v>
      </c>
      <c r="G11" s="209" t="s">
        <v>446</v>
      </c>
      <c r="H11" s="209" t="s">
        <v>446</v>
      </c>
      <c r="I11" s="374" t="s">
        <v>5097</v>
      </c>
      <c r="J11" s="375"/>
      <c r="K11" s="375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62.25" customHeight="1">
      <c r="A12" s="48">
        <v>4</v>
      </c>
      <c r="B12" s="487" t="s">
        <v>5300</v>
      </c>
      <c r="C12" s="488"/>
      <c r="D12" s="55">
        <v>1</v>
      </c>
      <c r="E12" s="56" t="s">
        <v>4</v>
      </c>
      <c r="F12" s="49" t="s">
        <v>196</v>
      </c>
      <c r="G12" s="209" t="s">
        <v>446</v>
      </c>
      <c r="H12" s="209" t="s">
        <v>446</v>
      </c>
      <c r="I12" s="485" t="s">
        <v>5304</v>
      </c>
      <c r="J12" s="489"/>
      <c r="K12" s="490"/>
      <c r="L12" s="196" t="str">
        <f ca="1">IFERROR(_xlfn.TEXTJOIN(CHAR(10), TRUE, OFFSET('&lt;별첨9&gt;전체코드'!E:E, MATCH(B12,'&lt;별첨9&gt;전체코드'!A:A,0)-1, 0, COUNTIF('&lt;별첨9&gt;전체코드'!A:A,B12), 1)), "")</f>
        <v>1 : 타행(사)의 당좌예금(결제전용) 앞 이체</v>
      </c>
    </row>
    <row r="13" spans="1:12" s="1" customFormat="1" ht="15" customHeight="1">
      <c r="A13" s="48">
        <v>5</v>
      </c>
      <c r="B13" s="487" t="s">
        <v>10</v>
      </c>
      <c r="C13" s="488"/>
      <c r="D13" s="55">
        <v>18</v>
      </c>
      <c r="E13" s="56" t="s">
        <v>4</v>
      </c>
      <c r="F13" s="49" t="s">
        <v>196</v>
      </c>
      <c r="G13" s="209" t="s">
        <v>446</v>
      </c>
      <c r="H13" s="209" t="s">
        <v>446</v>
      </c>
      <c r="I13" s="453" t="s">
        <v>4666</v>
      </c>
      <c r="J13" s="482"/>
      <c r="K13" s="375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63.75" customHeight="1">
      <c r="A14" s="48">
        <v>6</v>
      </c>
      <c r="B14" s="487" t="s">
        <v>327</v>
      </c>
      <c r="C14" s="488"/>
      <c r="D14" s="55">
        <v>1</v>
      </c>
      <c r="E14" s="56" t="s">
        <v>79</v>
      </c>
      <c r="F14" s="49" t="s">
        <v>100</v>
      </c>
      <c r="G14" s="226" t="s">
        <v>446</v>
      </c>
      <c r="H14" s="226" t="s">
        <v>446</v>
      </c>
      <c r="I14" s="374" t="s">
        <v>5295</v>
      </c>
      <c r="J14" s="375"/>
      <c r="K14" s="375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63" customHeight="1">
      <c r="A15" s="48">
        <v>7</v>
      </c>
      <c r="B15" s="487" t="s">
        <v>328</v>
      </c>
      <c r="C15" s="488"/>
      <c r="D15" s="55">
        <v>1</v>
      </c>
      <c r="E15" s="56" t="s">
        <v>79</v>
      </c>
      <c r="F15" s="49" t="s">
        <v>100</v>
      </c>
      <c r="G15" s="209" t="s">
        <v>446</v>
      </c>
      <c r="H15" s="209" t="s">
        <v>446</v>
      </c>
      <c r="I15" s="453" t="s">
        <v>5296</v>
      </c>
      <c r="J15" s="482"/>
      <c r="K15" s="375"/>
      <c r="L15" s="196" t="str">
        <f ca="1">IFERROR(_xlfn.TEXTJOIN(CHAR(10), TRUE, OFFSET('&lt;별첨9&gt;전체코드'!E:E, MATCH(B15,'&lt;별첨9&gt;전체코드'!A:A,0)-1, 0, COUNTIF('&lt;별첨9&gt;전체코드'!A:A,B15), 1)), "")</f>
        <v>1 : 즉시
2 : 예약</v>
      </c>
    </row>
    <row r="16" spans="1:12" s="1" customFormat="1" ht="27.75" customHeight="1">
      <c r="A16" s="48">
        <v>8</v>
      </c>
      <c r="B16" s="487" t="s">
        <v>8</v>
      </c>
      <c r="C16" s="488"/>
      <c r="D16" s="55">
        <v>4</v>
      </c>
      <c r="E16" s="56" t="s">
        <v>4</v>
      </c>
      <c r="F16" s="49" t="s">
        <v>196</v>
      </c>
      <c r="G16" s="209" t="s">
        <v>446</v>
      </c>
      <c r="H16" s="209" t="s">
        <v>446</v>
      </c>
      <c r="I16" s="374" t="s">
        <v>5092</v>
      </c>
      <c r="J16" s="375"/>
      <c r="K16" s="375"/>
      <c r="L16" s="196" t="str">
        <f ca="1">IFERROR(_xlfn.TEXTJOIN(CHAR(10), TRUE, OFFSET('&lt;별첨9&gt;전체코드'!E:E, MATCH(B16,'&lt;별첨9&gt;전체코드'!A:A,0)-1, 0, COUNTIF('&lt;별첨9&gt;전체코드'!A:A,B16), 1)), "")</f>
        <v>&lt;별첨3&gt; 참조</v>
      </c>
    </row>
    <row r="17" spans="1:12" ht="27.75" customHeight="1">
      <c r="A17" s="48">
        <v>9</v>
      </c>
      <c r="B17" s="487" t="s">
        <v>83</v>
      </c>
      <c r="C17" s="488"/>
      <c r="D17" s="55">
        <v>4</v>
      </c>
      <c r="E17" s="56" t="s">
        <v>4</v>
      </c>
      <c r="F17" s="49" t="s">
        <v>196</v>
      </c>
      <c r="G17" s="209" t="s">
        <v>446</v>
      </c>
      <c r="H17" s="209" t="s">
        <v>446</v>
      </c>
      <c r="I17" s="374" t="s">
        <v>5096</v>
      </c>
      <c r="J17" s="375"/>
      <c r="K17" s="375"/>
      <c r="L17" s="196" t="str">
        <f ca="1">IFERROR(_xlfn.TEXTJOIN(CHAR(10), TRUE, OFFSET('&lt;별첨9&gt;전체코드'!E:E, MATCH(B17,'&lt;별첨9&gt;전체코드'!A:A,0)-1, 0, COUNTIF('&lt;별첨9&gt;전체코드'!A:A,B17), 1)), "")</f>
        <v>&lt;별첨3&gt; 참조</v>
      </c>
    </row>
    <row r="18" spans="1:12" ht="200.25" customHeight="1">
      <c r="A18" s="48">
        <v>10</v>
      </c>
      <c r="B18" s="487" t="s">
        <v>9</v>
      </c>
      <c r="C18" s="488"/>
      <c r="D18" s="55">
        <v>4</v>
      </c>
      <c r="E18" s="56" t="s">
        <v>4</v>
      </c>
      <c r="F18" s="49" t="s">
        <v>196</v>
      </c>
      <c r="G18" s="209" t="s">
        <v>446</v>
      </c>
      <c r="H18" s="209" t="s">
        <v>446</v>
      </c>
      <c r="I18" s="374" t="s">
        <v>5094</v>
      </c>
      <c r="J18" s="375"/>
      <c r="K18" s="375"/>
      <c r="L18" s="196" t="str">
        <f ca="1">IFERROR(_xlfn.TEXTJOIN(CHAR(10), TRUE, OFFSET('&lt;별첨9&gt;전체코드'!E:E, MATCH(B18,'&lt;별첨9&gt;전체코드'!A:A,0)-1, 0, COUNTIF('&lt;별첨9&gt;전체코드'!A:A,B18), 1)), "")</f>
        <v>&lt;별첨4&gt; 참조</v>
      </c>
    </row>
    <row r="19" spans="1:12" ht="270" customHeight="1">
      <c r="A19" s="48">
        <v>11</v>
      </c>
      <c r="B19" s="493" t="s">
        <v>5298</v>
      </c>
      <c r="C19" s="494"/>
      <c r="D19" s="55">
        <v>2</v>
      </c>
      <c r="E19" s="56" t="s">
        <v>80</v>
      </c>
      <c r="F19" s="49" t="s">
        <v>196</v>
      </c>
      <c r="G19" s="209" t="s">
        <v>446</v>
      </c>
      <c r="H19" s="209" t="s">
        <v>446</v>
      </c>
      <c r="I19" s="495" t="s">
        <v>5299</v>
      </c>
      <c r="J19" s="496"/>
      <c r="K19" s="497"/>
      <c r="L19" s="196" t="str">
        <f ca="1">IFERROR(_xlfn.TEXTJOIN(CHAR(10), TRUE, OFFSET('&lt;별첨9&gt;전체코드'!E:E, MATCH(B19,'&lt;별첨9&gt;전체코드'!A:A,0)-1, 0, COUNTIF('&lt;별첨9&gt;전체코드'!A:A,B19), 1)), "")</f>
        <v>01 : (지급준비금 예치의무가 없는 참가기관만 해당) 한은금융망 마감으로 대기거래가 취소되어 남아있는 당좌잔액을 거래은행앞 이체
02 : (지급준비금 예치의무가 없는 참가기관만 해당) 한은금융망 마감직전 수취하여 남아 있는 당좌잔액을 거래은행앞 이체
03 : 착오이체자금 반환이체
04 : 지준마감 당일 직전일의 지급준비금 부족기관앞 자금이체
05 : 기타(사전에 한국은행과 협의가 완료된 경우에 한함)</v>
      </c>
    </row>
    <row r="20" spans="1:12" ht="15" customHeight="1">
      <c r="A20" s="48">
        <v>12</v>
      </c>
      <c r="B20" s="487" t="s">
        <v>329</v>
      </c>
      <c r="C20" s="488"/>
      <c r="D20" s="55">
        <v>5</v>
      </c>
      <c r="E20" s="56" t="s">
        <v>4</v>
      </c>
      <c r="F20" s="57" t="s">
        <v>5</v>
      </c>
      <c r="G20" s="209" t="s">
        <v>4690</v>
      </c>
      <c r="H20" s="209" t="s">
        <v>446</v>
      </c>
      <c r="I20" s="485" t="s">
        <v>4689</v>
      </c>
      <c r="J20" s="489"/>
      <c r="K20" s="490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.75" customHeight="1">
      <c r="A21" s="48">
        <v>13</v>
      </c>
      <c r="B21" s="487" t="s">
        <v>111</v>
      </c>
      <c r="C21" s="488"/>
      <c r="D21" s="55">
        <v>6</v>
      </c>
      <c r="E21" s="56" t="s">
        <v>4</v>
      </c>
      <c r="F21" s="57" t="s">
        <v>5</v>
      </c>
      <c r="G21" s="209" t="s">
        <v>4690</v>
      </c>
      <c r="H21" s="209" t="s">
        <v>446</v>
      </c>
      <c r="I21" s="485" t="s">
        <v>7615</v>
      </c>
      <c r="J21" s="489"/>
      <c r="K21" s="490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 thickBot="1">
      <c r="A22" s="100">
        <v>14</v>
      </c>
      <c r="B22" s="491" t="s">
        <v>25</v>
      </c>
      <c r="C22" s="492"/>
      <c r="D22" s="101">
        <v>218</v>
      </c>
      <c r="E22" s="102" t="s">
        <v>26</v>
      </c>
      <c r="F22" s="103" t="s">
        <v>196</v>
      </c>
      <c r="G22" s="107" t="s">
        <v>4690</v>
      </c>
      <c r="H22" s="107" t="s">
        <v>4690</v>
      </c>
      <c r="I22" s="422" t="s">
        <v>254</v>
      </c>
      <c r="J22" s="423"/>
      <c r="K22" s="423"/>
      <c r="L22" s="198" t="str">
        <f ca="1">IFERROR(_xlfn.TEXTJOIN(CHAR(10), TRUE, OFFSET('&lt;별첨9&gt;전체코드'!E:E, MATCH(B22,'&lt;별첨9&gt;전체코드'!A:A,0)-1, 0, COUNTIF('&lt;별첨9&gt;전체코드'!A:A,B22), 1)), "")</f>
        <v/>
      </c>
    </row>
  </sheetData>
  <mergeCells count="43">
    <mergeCell ref="B16:C16"/>
    <mergeCell ref="I16:K16"/>
    <mergeCell ref="B17:C17"/>
    <mergeCell ref="I17:K17"/>
    <mergeCell ref="B18:C18"/>
    <mergeCell ref="I18:K18"/>
    <mergeCell ref="B22:C22"/>
    <mergeCell ref="I22:K22"/>
    <mergeCell ref="B19:C19"/>
    <mergeCell ref="I19:K19"/>
    <mergeCell ref="B20:C20"/>
    <mergeCell ref="I20:K20"/>
    <mergeCell ref="B21:C21"/>
    <mergeCell ref="I21:K21"/>
    <mergeCell ref="I13:K13"/>
    <mergeCell ref="B14:C14"/>
    <mergeCell ref="I14:K14"/>
    <mergeCell ref="B15:C15"/>
    <mergeCell ref="I15:K15"/>
    <mergeCell ref="B13:C13"/>
    <mergeCell ref="B10:C10"/>
    <mergeCell ref="I10:K10"/>
    <mergeCell ref="B11:C11"/>
    <mergeCell ref="I11:K11"/>
    <mergeCell ref="B12:C12"/>
    <mergeCell ref="I12:K12"/>
    <mergeCell ref="B7:C7"/>
    <mergeCell ref="I7:K7"/>
    <mergeCell ref="B8:C8"/>
    <mergeCell ref="I8:K8"/>
    <mergeCell ref="B9:C9"/>
    <mergeCell ref="I9:K9"/>
    <mergeCell ref="A2:L2"/>
    <mergeCell ref="G4:I4"/>
    <mergeCell ref="G5:I5"/>
    <mergeCell ref="C3:L3"/>
    <mergeCell ref="K5:L5"/>
    <mergeCell ref="K4:L4"/>
    <mergeCell ref="A5:B5"/>
    <mergeCell ref="D5:F5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EE66-6B94-44EA-9120-1F9EC8D9E812}">
  <sheetPr codeName="Sheet54"/>
  <dimension ref="A1:L32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344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7648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29.2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317</v>
      </c>
      <c r="H4" s="411"/>
      <c r="I4" s="412"/>
      <c r="J4" s="115" t="s">
        <v>33</v>
      </c>
      <c r="K4" s="410" t="s">
        <v>316</v>
      </c>
      <c r="L4" s="413"/>
    </row>
    <row r="5" spans="1:12" s="1" customFormat="1" ht="15" customHeight="1" thickBot="1">
      <c r="A5" s="395" t="s">
        <v>34</v>
      </c>
      <c r="B5" s="439"/>
      <c r="C5" s="117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SLP210109BW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9">
        <v>0</v>
      </c>
      <c r="B8" s="377" t="s">
        <v>29</v>
      </c>
      <c r="C8" s="378"/>
      <c r="D8" s="52">
        <v>200</v>
      </c>
      <c r="E8" s="41" t="s">
        <v>30</v>
      </c>
      <c r="F8" s="42" t="s">
        <v>30</v>
      </c>
      <c r="G8" s="209"/>
      <c r="H8" s="209"/>
      <c r="I8" s="379" t="s">
        <v>4665</v>
      </c>
      <c r="J8" s="380"/>
      <c r="K8" s="380"/>
      <c r="L8" s="197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36">
        <v>1</v>
      </c>
      <c r="B9" s="453" t="s">
        <v>3</v>
      </c>
      <c r="C9" s="454"/>
      <c r="D9" s="46">
        <v>8</v>
      </c>
      <c r="E9" s="37" t="s">
        <v>4</v>
      </c>
      <c r="F9" s="32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36">
        <v>2</v>
      </c>
      <c r="B10" s="453" t="s">
        <v>6</v>
      </c>
      <c r="C10" s="454"/>
      <c r="D10" s="46">
        <v>4</v>
      </c>
      <c r="E10" s="37" t="s">
        <v>4</v>
      </c>
      <c r="F10" s="32" t="s">
        <v>5</v>
      </c>
      <c r="G10" s="209" t="s">
        <v>446</v>
      </c>
      <c r="H10" s="209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36">
        <v>3</v>
      </c>
      <c r="B11" s="453" t="s">
        <v>329</v>
      </c>
      <c r="C11" s="454"/>
      <c r="D11" s="46">
        <v>5</v>
      </c>
      <c r="E11" s="37" t="s">
        <v>4</v>
      </c>
      <c r="F11" s="32" t="s">
        <v>5</v>
      </c>
      <c r="G11" s="209" t="s">
        <v>446</v>
      </c>
      <c r="H11" s="209" t="s">
        <v>446</v>
      </c>
      <c r="I11" s="493" t="s">
        <v>4689</v>
      </c>
      <c r="J11" s="498"/>
      <c r="K11" s="498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36">
        <v>4</v>
      </c>
      <c r="B12" s="453" t="s">
        <v>7</v>
      </c>
      <c r="C12" s="454"/>
      <c r="D12" s="46">
        <v>5</v>
      </c>
      <c r="E12" s="37" t="s">
        <v>4</v>
      </c>
      <c r="F12" s="32" t="s">
        <v>5</v>
      </c>
      <c r="G12" s="209" t="s">
        <v>446</v>
      </c>
      <c r="H12" s="209" t="s">
        <v>446</v>
      </c>
      <c r="I12" s="493" t="s">
        <v>4699</v>
      </c>
      <c r="J12" s="498"/>
      <c r="K12" s="49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27" customHeight="1">
      <c r="A13" s="36">
        <v>5</v>
      </c>
      <c r="B13" s="453" t="s">
        <v>8</v>
      </c>
      <c r="C13" s="454"/>
      <c r="D13" s="46">
        <v>4</v>
      </c>
      <c r="E13" s="37" t="s">
        <v>4</v>
      </c>
      <c r="F13" s="32" t="s">
        <v>5</v>
      </c>
      <c r="G13" s="209" t="s">
        <v>446</v>
      </c>
      <c r="H13" s="209" t="s">
        <v>446</v>
      </c>
      <c r="I13" s="366" t="s">
        <v>5092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202.5" customHeight="1">
      <c r="A14" s="36">
        <v>6</v>
      </c>
      <c r="B14" s="453" t="s">
        <v>9</v>
      </c>
      <c r="C14" s="454"/>
      <c r="D14" s="46">
        <v>4</v>
      </c>
      <c r="E14" s="37" t="s">
        <v>4</v>
      </c>
      <c r="F14" s="32" t="s">
        <v>5</v>
      </c>
      <c r="G14" s="226" t="s">
        <v>446</v>
      </c>
      <c r="H14" s="226" t="s">
        <v>446</v>
      </c>
      <c r="I14" s="366" t="s">
        <v>5094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>&lt;별첨4&gt; 참조</v>
      </c>
    </row>
    <row r="15" spans="1:12" s="1" customFormat="1" ht="15" customHeight="1">
      <c r="A15" s="36">
        <v>7</v>
      </c>
      <c r="B15" s="453" t="s">
        <v>10</v>
      </c>
      <c r="C15" s="454"/>
      <c r="D15" s="46">
        <v>18</v>
      </c>
      <c r="E15" s="37" t="s">
        <v>4</v>
      </c>
      <c r="F15" s="32" t="s">
        <v>5</v>
      </c>
      <c r="G15" s="209" t="s">
        <v>446</v>
      </c>
      <c r="H15" s="209" t="s">
        <v>446</v>
      </c>
      <c r="I15" s="366" t="s">
        <v>4666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59.25" customHeight="1">
      <c r="A16" s="36">
        <v>8</v>
      </c>
      <c r="B16" s="453" t="s">
        <v>51</v>
      </c>
      <c r="C16" s="454"/>
      <c r="D16" s="46">
        <v>1</v>
      </c>
      <c r="E16" s="37" t="s">
        <v>4</v>
      </c>
      <c r="F16" s="32" t="s">
        <v>5</v>
      </c>
      <c r="G16" s="209" t="s">
        <v>446</v>
      </c>
      <c r="H16" s="209" t="s">
        <v>446</v>
      </c>
      <c r="I16" s="499" t="s">
        <v>5295</v>
      </c>
      <c r="J16" s="500"/>
      <c r="K16" s="500"/>
      <c r="L16" s="196" t="str">
        <f ca="1">IFERROR(_xlfn.TEXTJOIN(CHAR(10), TRUE, OFFSET('&lt;별첨9&gt;전체코드'!E:E, MATCH(B16,'&lt;별첨9&gt;전체코드'!A:A,0)-1, 0, COUNTIF('&lt;별첨9&gt;전체코드'!A:A,B16), 1)), "")</f>
        <v>1 : 신속
2 : 보통</v>
      </c>
    </row>
    <row r="17" spans="1:12" ht="59.25" customHeight="1">
      <c r="A17" s="36">
        <v>9</v>
      </c>
      <c r="B17" s="453" t="s">
        <v>11</v>
      </c>
      <c r="C17" s="454"/>
      <c r="D17" s="46">
        <v>1</v>
      </c>
      <c r="E17" s="37" t="s">
        <v>4</v>
      </c>
      <c r="F17" s="32" t="s">
        <v>5</v>
      </c>
      <c r="G17" s="209" t="s">
        <v>446</v>
      </c>
      <c r="H17" s="209" t="s">
        <v>446</v>
      </c>
      <c r="I17" s="499" t="s">
        <v>5296</v>
      </c>
      <c r="J17" s="500"/>
      <c r="K17" s="500"/>
      <c r="L17" s="196" t="str">
        <f ca="1">IFERROR(_xlfn.TEXTJOIN(CHAR(10), TRUE, OFFSET('&lt;별첨9&gt;전체코드'!E:E, MATCH(B17,'&lt;별첨9&gt;전체코드'!A:A,0)-1, 0, COUNTIF('&lt;별첨9&gt;전체코드'!A:A,B17), 1)), "")</f>
        <v>1 : 즉시
2 : 예약</v>
      </c>
    </row>
    <row r="18" spans="1:12" ht="270" customHeight="1">
      <c r="A18" s="36">
        <v>10</v>
      </c>
      <c r="B18" s="487" t="s">
        <v>5297</v>
      </c>
      <c r="C18" s="488"/>
      <c r="D18" s="46">
        <v>2</v>
      </c>
      <c r="E18" s="37" t="s">
        <v>80</v>
      </c>
      <c r="F18" s="32" t="s">
        <v>5</v>
      </c>
      <c r="G18" s="209" t="s">
        <v>446</v>
      </c>
      <c r="H18" s="209" t="s">
        <v>446</v>
      </c>
      <c r="I18" s="495" t="s">
        <v>5299</v>
      </c>
      <c r="J18" s="496"/>
      <c r="K18" s="497"/>
      <c r="L18" s="196" t="str">
        <f ca="1">IFERROR(_xlfn.TEXTJOIN(CHAR(10), TRUE, OFFSET('&lt;별첨9&gt;전체코드'!E:E, MATCH(B18,'&lt;별첨9&gt;전체코드'!A:A,0)-1, 0, COUNTIF('&lt;별첨9&gt;전체코드'!A:A,B18), 1)), "")</f>
        <v>01 : (지급준비금 예치의무가 없는 참가기관만 해당) 한은금융망 마감으로 대기거래가 취소되어 남아있는 당좌잔액을 거래은행앞 이체
02 : (지급준비금 예치의무가 없는 참가기관만 해당) 한은금융망 마감직전 수취하여 남아 있는 당좌잔액을 거래은행앞 이체
03 : 착오이체자금 반환이체
04 : 지준마감 당일 직전일의 지급준비금 부족기관앞 자금이체
05 : 기타(사전에 한국은행과 협의가 완료된 경우에 한함)</v>
      </c>
    </row>
    <row r="19" spans="1:12" ht="67.5" customHeight="1">
      <c r="A19" s="36">
        <v>11</v>
      </c>
      <c r="B19" s="453" t="s">
        <v>5306</v>
      </c>
      <c r="C19" s="454"/>
      <c r="D19" s="46">
        <v>1</v>
      </c>
      <c r="E19" s="37" t="s">
        <v>26</v>
      </c>
      <c r="F19" s="32" t="s">
        <v>5</v>
      </c>
      <c r="G19" s="209" t="s">
        <v>446</v>
      </c>
      <c r="H19" s="209" t="s">
        <v>446</v>
      </c>
      <c r="I19" s="499" t="s">
        <v>5307</v>
      </c>
      <c r="J19" s="500"/>
      <c r="K19" s="500"/>
      <c r="L19" s="196" t="str">
        <f ca="1">IFERROR(_xlfn.TEXTJOIN(CHAR(10), TRUE, OFFSET('&lt;별첨9&gt;전체코드'!E:E, MATCH(B19,'&lt;별첨9&gt;전체코드'!A:A,0)-1, 0, COUNTIF('&lt;별첨9&gt;전체코드'!A:A,B19), 1)), "")</f>
        <v>1 : 승인(결제)
2 : 승인(오류)
9 : 반려</v>
      </c>
    </row>
    <row r="20" spans="1:12" ht="15" customHeight="1">
      <c r="A20" s="36">
        <v>12</v>
      </c>
      <c r="B20" s="453" t="s">
        <v>21</v>
      </c>
      <c r="C20" s="454"/>
      <c r="D20" s="46">
        <v>9</v>
      </c>
      <c r="E20" s="37" t="s">
        <v>42</v>
      </c>
      <c r="F20" s="32" t="s">
        <v>5</v>
      </c>
      <c r="G20" s="209" t="s">
        <v>4661</v>
      </c>
      <c r="H20" s="209" t="s">
        <v>4661</v>
      </c>
      <c r="I20" s="499" t="s">
        <v>4693</v>
      </c>
      <c r="J20" s="500"/>
      <c r="K20" s="500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" customHeight="1">
      <c r="A21" s="36">
        <v>13</v>
      </c>
      <c r="B21" s="453" t="s">
        <v>22</v>
      </c>
      <c r="C21" s="454"/>
      <c r="D21" s="46">
        <v>6</v>
      </c>
      <c r="E21" s="37" t="s">
        <v>4</v>
      </c>
      <c r="F21" s="32" t="s">
        <v>5</v>
      </c>
      <c r="G21" s="209" t="s">
        <v>446</v>
      </c>
      <c r="H21" s="209" t="s">
        <v>446</v>
      </c>
      <c r="I21" s="499" t="s">
        <v>7613</v>
      </c>
      <c r="J21" s="500"/>
      <c r="K21" s="500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08" customHeight="1">
      <c r="A22" s="36">
        <v>14</v>
      </c>
      <c r="B22" s="453" t="s">
        <v>23</v>
      </c>
      <c r="C22" s="454"/>
      <c r="D22" s="46">
        <v>6</v>
      </c>
      <c r="E22" s="37" t="s">
        <v>4</v>
      </c>
      <c r="F22" s="32" t="s">
        <v>5</v>
      </c>
      <c r="G22" s="209" t="s">
        <v>4661</v>
      </c>
      <c r="H22" s="209" t="s">
        <v>4661</v>
      </c>
      <c r="I22" s="366" t="s">
        <v>7614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27" customHeight="1">
      <c r="A23" s="36">
        <v>15</v>
      </c>
      <c r="B23" s="453" t="s">
        <v>331</v>
      </c>
      <c r="C23" s="454"/>
      <c r="D23" s="46">
        <v>2</v>
      </c>
      <c r="E23" s="37" t="s">
        <v>4</v>
      </c>
      <c r="F23" s="32" t="s">
        <v>5</v>
      </c>
      <c r="G23" s="209" t="s">
        <v>4661</v>
      </c>
      <c r="H23" s="209" t="s">
        <v>4661</v>
      </c>
      <c r="I23" s="366" t="s">
        <v>4686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>&lt;별첨6&gt; 참조</v>
      </c>
    </row>
    <row r="24" spans="1:12" ht="94.5" customHeight="1">
      <c r="A24" s="36">
        <v>16</v>
      </c>
      <c r="B24" s="453" t="s">
        <v>5309</v>
      </c>
      <c r="C24" s="454"/>
      <c r="D24" s="46">
        <v>2</v>
      </c>
      <c r="E24" s="37" t="s">
        <v>80</v>
      </c>
      <c r="F24" s="32" t="s">
        <v>5</v>
      </c>
      <c r="G24" s="209" t="s">
        <v>4661</v>
      </c>
      <c r="H24" s="209" t="s">
        <v>4661</v>
      </c>
      <c r="I24" s="366" t="s">
        <v>5310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00 : 해당없음
01 : 신청사유와 일치하지 않음
02 : 입력내용에 대해 한국은행과 유선상 확인절차를 거치지 않음
03 : 기타</v>
      </c>
    </row>
    <row r="25" spans="1:12" ht="40.5" customHeight="1">
      <c r="A25" s="36">
        <v>17</v>
      </c>
      <c r="B25" s="453" t="s">
        <v>332</v>
      </c>
      <c r="C25" s="454"/>
      <c r="D25" s="46">
        <v>1</v>
      </c>
      <c r="E25" s="37" t="s">
        <v>4</v>
      </c>
      <c r="F25" s="32" t="s">
        <v>5</v>
      </c>
      <c r="G25" s="209" t="s">
        <v>446</v>
      </c>
      <c r="H25" s="209" t="s">
        <v>446</v>
      </c>
      <c r="I25" s="366" t="s">
        <v>5311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>0 : 비수수료거래
1 : 수수료거래</v>
      </c>
    </row>
    <row r="26" spans="1:12" ht="15" customHeight="1">
      <c r="A26" s="36">
        <v>18</v>
      </c>
      <c r="B26" s="453" t="s">
        <v>333</v>
      </c>
      <c r="C26" s="454"/>
      <c r="D26" s="46">
        <v>18</v>
      </c>
      <c r="E26" s="37" t="s">
        <v>4</v>
      </c>
      <c r="F26" s="32" t="s">
        <v>5</v>
      </c>
      <c r="G26" s="209" t="s">
        <v>446</v>
      </c>
      <c r="H26" s="209" t="s">
        <v>446</v>
      </c>
      <c r="I26" s="366" t="s">
        <v>4705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15" customHeight="1">
      <c r="A27" s="36">
        <v>19</v>
      </c>
      <c r="B27" s="453" t="s">
        <v>27</v>
      </c>
      <c r="C27" s="454"/>
      <c r="D27" s="46">
        <v>18</v>
      </c>
      <c r="E27" s="37" t="s">
        <v>4</v>
      </c>
      <c r="F27" s="54" t="s">
        <v>5</v>
      </c>
      <c r="G27" s="209" t="s">
        <v>446</v>
      </c>
      <c r="H27" s="209" t="s">
        <v>446</v>
      </c>
      <c r="I27" s="366" t="s">
        <v>4676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ht="15" customHeight="1">
      <c r="A28" s="36">
        <v>20</v>
      </c>
      <c r="B28" s="453" t="s">
        <v>44</v>
      </c>
      <c r="C28" s="454"/>
      <c r="D28" s="46">
        <v>18</v>
      </c>
      <c r="E28" s="37" t="s">
        <v>4</v>
      </c>
      <c r="F28" s="54" t="s">
        <v>5</v>
      </c>
      <c r="G28" s="209" t="s">
        <v>446</v>
      </c>
      <c r="H28" s="209" t="s">
        <v>446</v>
      </c>
      <c r="I28" s="366" t="s">
        <v>4677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15" customHeight="1">
      <c r="A29" s="36">
        <v>21</v>
      </c>
      <c r="B29" s="453" t="s">
        <v>24</v>
      </c>
      <c r="C29" s="454"/>
      <c r="D29" s="46">
        <v>18</v>
      </c>
      <c r="E29" s="37" t="s">
        <v>4</v>
      </c>
      <c r="F29" s="54" t="s">
        <v>5</v>
      </c>
      <c r="G29" s="209" t="s">
        <v>446</v>
      </c>
      <c r="H29" s="209" t="s">
        <v>446</v>
      </c>
      <c r="I29" s="366" t="s">
        <v>4678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5" customHeight="1">
      <c r="A30" s="36">
        <v>22</v>
      </c>
      <c r="B30" s="453" t="s">
        <v>56</v>
      </c>
      <c r="C30" s="454"/>
      <c r="D30" s="46">
        <v>18</v>
      </c>
      <c r="E30" s="37" t="s">
        <v>4</v>
      </c>
      <c r="F30" s="54" t="s">
        <v>5</v>
      </c>
      <c r="G30" s="209" t="s">
        <v>446</v>
      </c>
      <c r="H30" s="209" t="s">
        <v>446</v>
      </c>
      <c r="I30" s="366" t="s">
        <v>4679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15" customHeight="1">
      <c r="A31" s="36">
        <v>23</v>
      </c>
      <c r="B31" s="453" t="s">
        <v>57</v>
      </c>
      <c r="C31" s="454"/>
      <c r="D31" s="46">
        <v>18</v>
      </c>
      <c r="E31" s="37" t="s">
        <v>4</v>
      </c>
      <c r="F31" s="54" t="s">
        <v>5</v>
      </c>
      <c r="G31" s="209" t="s">
        <v>446</v>
      </c>
      <c r="H31" s="209" t="s">
        <v>446</v>
      </c>
      <c r="I31" s="366" t="s">
        <v>4680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5" customHeight="1" thickBot="1">
      <c r="A32" s="105">
        <v>24</v>
      </c>
      <c r="B32" s="422" t="s">
        <v>25</v>
      </c>
      <c r="C32" s="424"/>
      <c r="D32" s="106">
        <v>197</v>
      </c>
      <c r="E32" s="107" t="s">
        <v>26</v>
      </c>
      <c r="F32" s="108" t="s">
        <v>5</v>
      </c>
      <c r="G32" s="108" t="s">
        <v>4690</v>
      </c>
      <c r="H32" s="108" t="s">
        <v>4690</v>
      </c>
      <c r="I32" s="479" t="s">
        <v>254</v>
      </c>
      <c r="J32" s="480"/>
      <c r="K32" s="480"/>
      <c r="L32" s="198" t="str">
        <f ca="1">IFERROR(_xlfn.TEXTJOIN(CHAR(10), TRUE, OFFSET('&lt;별첨9&gt;전체코드'!E:E, MATCH(B32,'&lt;별첨9&gt;전체코드'!A:A,0)-1, 0, COUNTIF('&lt;별첨9&gt;전체코드'!A:A,B32), 1)), "")</f>
        <v/>
      </c>
    </row>
  </sheetData>
  <mergeCells count="63">
    <mergeCell ref="I19:K19"/>
    <mergeCell ref="I20:K20"/>
    <mergeCell ref="I32:K32"/>
    <mergeCell ref="I22:K22"/>
    <mergeCell ref="I27:K27"/>
    <mergeCell ref="I28:K28"/>
    <mergeCell ref="I29:K29"/>
    <mergeCell ref="I30:K30"/>
    <mergeCell ref="I31:K31"/>
    <mergeCell ref="I21:K21"/>
    <mergeCell ref="I23:K23"/>
    <mergeCell ref="I24:K24"/>
    <mergeCell ref="I25:K25"/>
    <mergeCell ref="I26:K26"/>
    <mergeCell ref="B31:C31"/>
    <mergeCell ref="B32:C32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9:C19"/>
    <mergeCell ref="B20:C20"/>
    <mergeCell ref="B11:C11"/>
    <mergeCell ref="B12:C12"/>
    <mergeCell ref="B13:C13"/>
    <mergeCell ref="B14:C14"/>
    <mergeCell ref="B15:C15"/>
    <mergeCell ref="I8:K8"/>
    <mergeCell ref="I9:K9"/>
    <mergeCell ref="I10:K10"/>
    <mergeCell ref="B17:C17"/>
    <mergeCell ref="B18:C18"/>
    <mergeCell ref="I17:K17"/>
    <mergeCell ref="I18:K18"/>
    <mergeCell ref="A5:B5"/>
    <mergeCell ref="D5:F5"/>
    <mergeCell ref="B16:C16"/>
    <mergeCell ref="I11:K11"/>
    <mergeCell ref="I12:K12"/>
    <mergeCell ref="I13:K13"/>
    <mergeCell ref="I14:K14"/>
    <mergeCell ref="I15:K15"/>
    <mergeCell ref="I16:K16"/>
    <mergeCell ref="G5:I5"/>
    <mergeCell ref="B7:C7"/>
    <mergeCell ref="I7:K7"/>
    <mergeCell ref="K5:L5"/>
    <mergeCell ref="B8:C8"/>
    <mergeCell ref="B9:C9"/>
    <mergeCell ref="B10:C10"/>
    <mergeCell ref="A2:L2"/>
    <mergeCell ref="A3:B3"/>
    <mergeCell ref="A4:B4"/>
    <mergeCell ref="D4:F4"/>
    <mergeCell ref="G4:I4"/>
    <mergeCell ref="C3:L3"/>
    <mergeCell ref="K4:L4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D9C0-70C5-4369-856A-31351D61D224}">
  <sheetPr codeName="Sheet55"/>
  <dimension ref="A1:L32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345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01"/>
      <c r="C3" s="407" t="s">
        <v>7649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29.25" customHeight="1">
      <c r="A4" s="455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318</v>
      </c>
      <c r="H4" s="411"/>
      <c r="I4" s="412"/>
      <c r="J4" s="115" t="s">
        <v>33</v>
      </c>
      <c r="K4" s="410" t="s">
        <v>316</v>
      </c>
      <c r="L4" s="413"/>
    </row>
    <row r="5" spans="1:12" s="1" customFormat="1" ht="15" customHeight="1" thickBot="1">
      <c r="A5" s="466" t="s">
        <v>34</v>
      </c>
      <c r="B5" s="396"/>
      <c r="C5" s="120">
        <v>584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VLOOKUP(G4,목록!E14:$G$83,3,FALSE)</f>
        <v>SLP210109BW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6">
        <v>0</v>
      </c>
      <c r="B8" s="453" t="s">
        <v>29</v>
      </c>
      <c r="C8" s="454"/>
      <c r="D8" s="46">
        <v>200</v>
      </c>
      <c r="E8" s="37" t="s">
        <v>30</v>
      </c>
      <c r="F8" s="32" t="s">
        <v>30</v>
      </c>
      <c r="G8" s="209"/>
      <c r="H8" s="209"/>
      <c r="I8" s="379" t="s">
        <v>4665</v>
      </c>
      <c r="J8" s="380"/>
      <c r="K8" s="380"/>
      <c r="L8" s="197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36">
        <v>1</v>
      </c>
      <c r="B9" s="453" t="s">
        <v>3</v>
      </c>
      <c r="C9" s="454"/>
      <c r="D9" s="46">
        <v>8</v>
      </c>
      <c r="E9" s="37" t="s">
        <v>4</v>
      </c>
      <c r="F9" s="32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36">
        <v>2</v>
      </c>
      <c r="B10" s="453" t="s">
        <v>6</v>
      </c>
      <c r="C10" s="454"/>
      <c r="D10" s="46">
        <v>4</v>
      </c>
      <c r="E10" s="37" t="s">
        <v>4</v>
      </c>
      <c r="F10" s="32" t="s">
        <v>5</v>
      </c>
      <c r="G10" s="209" t="s">
        <v>446</v>
      </c>
      <c r="H10" s="209" t="s">
        <v>446</v>
      </c>
      <c r="I10" s="366" t="s">
        <v>5091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36">
        <v>3</v>
      </c>
      <c r="B11" s="453" t="s">
        <v>329</v>
      </c>
      <c r="C11" s="454"/>
      <c r="D11" s="46">
        <v>5</v>
      </c>
      <c r="E11" s="37" t="s">
        <v>4</v>
      </c>
      <c r="F11" s="32" t="s">
        <v>5</v>
      </c>
      <c r="G11" s="209" t="s">
        <v>446</v>
      </c>
      <c r="H11" s="209" t="s">
        <v>446</v>
      </c>
      <c r="I11" s="493" t="s">
        <v>4689</v>
      </c>
      <c r="J11" s="498"/>
      <c r="K11" s="498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36">
        <v>4</v>
      </c>
      <c r="B12" s="453" t="s">
        <v>7</v>
      </c>
      <c r="C12" s="454"/>
      <c r="D12" s="46">
        <v>5</v>
      </c>
      <c r="E12" s="37" t="s">
        <v>4</v>
      </c>
      <c r="F12" s="32" t="s">
        <v>5</v>
      </c>
      <c r="G12" s="209" t="s">
        <v>446</v>
      </c>
      <c r="H12" s="209" t="s">
        <v>446</v>
      </c>
      <c r="I12" s="493" t="s">
        <v>4699</v>
      </c>
      <c r="J12" s="498"/>
      <c r="K12" s="49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27" customHeight="1">
      <c r="A13" s="36">
        <v>5</v>
      </c>
      <c r="B13" s="453" t="s">
        <v>8</v>
      </c>
      <c r="C13" s="454"/>
      <c r="D13" s="46">
        <v>4</v>
      </c>
      <c r="E13" s="37" t="s">
        <v>4</v>
      </c>
      <c r="F13" s="32" t="s">
        <v>5</v>
      </c>
      <c r="G13" s="209" t="s">
        <v>446</v>
      </c>
      <c r="H13" s="209" t="s">
        <v>446</v>
      </c>
      <c r="I13" s="366" t="s">
        <v>5092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202.5" customHeight="1">
      <c r="A14" s="36">
        <v>6</v>
      </c>
      <c r="B14" s="453" t="s">
        <v>9</v>
      </c>
      <c r="C14" s="454"/>
      <c r="D14" s="46">
        <v>4</v>
      </c>
      <c r="E14" s="37" t="s">
        <v>4</v>
      </c>
      <c r="F14" s="32" t="s">
        <v>5</v>
      </c>
      <c r="G14" s="226" t="s">
        <v>446</v>
      </c>
      <c r="H14" s="226" t="s">
        <v>446</v>
      </c>
      <c r="I14" s="366" t="s">
        <v>5094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>&lt;별첨4&gt; 참조</v>
      </c>
    </row>
    <row r="15" spans="1:12" s="1" customFormat="1" ht="15" customHeight="1">
      <c r="A15" s="36">
        <v>7</v>
      </c>
      <c r="B15" s="453" t="s">
        <v>10</v>
      </c>
      <c r="C15" s="454"/>
      <c r="D15" s="46">
        <v>18</v>
      </c>
      <c r="E15" s="37" t="s">
        <v>4</v>
      </c>
      <c r="F15" s="32" t="s">
        <v>5</v>
      </c>
      <c r="G15" s="209" t="s">
        <v>446</v>
      </c>
      <c r="H15" s="209" t="s">
        <v>446</v>
      </c>
      <c r="I15" s="366" t="s">
        <v>4666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59.25" customHeight="1">
      <c r="A16" s="36">
        <v>8</v>
      </c>
      <c r="B16" s="453" t="s">
        <v>51</v>
      </c>
      <c r="C16" s="454"/>
      <c r="D16" s="46">
        <v>1</v>
      </c>
      <c r="E16" s="37" t="s">
        <v>4</v>
      </c>
      <c r="F16" s="32" t="s">
        <v>5</v>
      </c>
      <c r="G16" s="209" t="s">
        <v>446</v>
      </c>
      <c r="H16" s="209" t="s">
        <v>446</v>
      </c>
      <c r="I16" s="366" t="s">
        <v>5295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1 : 신속
2 : 보통</v>
      </c>
    </row>
    <row r="17" spans="1:12" ht="59.25" customHeight="1">
      <c r="A17" s="36">
        <v>9</v>
      </c>
      <c r="B17" s="453" t="s">
        <v>11</v>
      </c>
      <c r="C17" s="454"/>
      <c r="D17" s="46">
        <v>1</v>
      </c>
      <c r="E17" s="37" t="s">
        <v>4</v>
      </c>
      <c r="F17" s="32" t="s">
        <v>5</v>
      </c>
      <c r="G17" s="209" t="s">
        <v>446</v>
      </c>
      <c r="H17" s="209" t="s">
        <v>446</v>
      </c>
      <c r="I17" s="366" t="s">
        <v>5296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즉시
2 : 예약</v>
      </c>
    </row>
    <row r="18" spans="1:12" ht="270" customHeight="1">
      <c r="A18" s="36">
        <v>10</v>
      </c>
      <c r="B18" s="487" t="s">
        <v>5297</v>
      </c>
      <c r="C18" s="488"/>
      <c r="D18" s="46">
        <v>2</v>
      </c>
      <c r="E18" s="37" t="s">
        <v>80</v>
      </c>
      <c r="F18" s="32" t="s">
        <v>5</v>
      </c>
      <c r="G18" s="209" t="s">
        <v>446</v>
      </c>
      <c r="H18" s="209" t="s">
        <v>446</v>
      </c>
      <c r="I18" s="493" t="s">
        <v>5299</v>
      </c>
      <c r="J18" s="498"/>
      <c r="K18" s="498"/>
      <c r="L18" s="196" t="str">
        <f ca="1">IFERROR(_xlfn.TEXTJOIN(CHAR(10), TRUE, OFFSET('&lt;별첨9&gt;전체코드'!E:E, MATCH(B18,'&lt;별첨9&gt;전체코드'!A:A,0)-1, 0, COUNTIF('&lt;별첨9&gt;전체코드'!A:A,B18), 1)), "")</f>
        <v>01 : (지급준비금 예치의무가 없는 참가기관만 해당) 한은금융망 마감으로 대기거래가 취소되어 남아있는 당좌잔액을 거래은행앞 이체
02 : (지급준비금 예치의무가 없는 참가기관만 해당) 한은금융망 마감직전 수취하여 남아 있는 당좌잔액을 거래은행앞 이체
03 : 착오이체자금 반환이체
04 : 지준마감 당일 직전일의 지급준비금 부족기관앞 자금이체
05 : 기타(사전에 한국은행과 협의가 완료된 경우에 한함)</v>
      </c>
    </row>
    <row r="19" spans="1:12" ht="67.5" customHeight="1">
      <c r="A19" s="36">
        <v>11</v>
      </c>
      <c r="B19" s="453" t="s">
        <v>5305</v>
      </c>
      <c r="C19" s="454"/>
      <c r="D19" s="46">
        <v>1</v>
      </c>
      <c r="E19" s="37" t="s">
        <v>26</v>
      </c>
      <c r="F19" s="32" t="s">
        <v>5</v>
      </c>
      <c r="G19" s="209" t="s">
        <v>446</v>
      </c>
      <c r="H19" s="209" t="s">
        <v>446</v>
      </c>
      <c r="I19" s="366" t="s">
        <v>5312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>1 : 승인(결제)
2 : 승인(오류)
9 : 반려</v>
      </c>
    </row>
    <row r="20" spans="1:12" ht="15" customHeight="1">
      <c r="A20" s="36">
        <v>12</v>
      </c>
      <c r="B20" s="453" t="s">
        <v>21</v>
      </c>
      <c r="C20" s="454"/>
      <c r="D20" s="46">
        <v>9</v>
      </c>
      <c r="E20" s="37" t="s">
        <v>42</v>
      </c>
      <c r="F20" s="32" t="s">
        <v>5</v>
      </c>
      <c r="G20" s="209" t="s">
        <v>446</v>
      </c>
      <c r="H20" s="209" t="s">
        <v>446</v>
      </c>
      <c r="I20" s="366" t="s">
        <v>4693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27" customHeight="1">
      <c r="A21" s="36">
        <v>13</v>
      </c>
      <c r="B21" s="453" t="s">
        <v>22</v>
      </c>
      <c r="C21" s="454"/>
      <c r="D21" s="46">
        <v>6</v>
      </c>
      <c r="E21" s="37" t="s">
        <v>4</v>
      </c>
      <c r="F21" s="32" t="s">
        <v>5</v>
      </c>
      <c r="G21" s="209" t="s">
        <v>446</v>
      </c>
      <c r="H21" s="209" t="s">
        <v>446</v>
      </c>
      <c r="I21" s="366" t="s">
        <v>7613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08" customHeight="1">
      <c r="A22" s="36">
        <v>14</v>
      </c>
      <c r="B22" s="453" t="s">
        <v>23</v>
      </c>
      <c r="C22" s="454"/>
      <c r="D22" s="46">
        <v>6</v>
      </c>
      <c r="E22" s="37" t="s">
        <v>4</v>
      </c>
      <c r="F22" s="32" t="s">
        <v>5</v>
      </c>
      <c r="G22" s="209" t="s">
        <v>446</v>
      </c>
      <c r="H22" s="209" t="s">
        <v>446</v>
      </c>
      <c r="I22" s="366" t="s">
        <v>7614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27" customHeight="1">
      <c r="A23" s="36">
        <v>15</v>
      </c>
      <c r="B23" s="453" t="s">
        <v>331</v>
      </c>
      <c r="C23" s="454"/>
      <c r="D23" s="46">
        <v>2</v>
      </c>
      <c r="E23" s="37" t="s">
        <v>4</v>
      </c>
      <c r="F23" s="32" t="s">
        <v>5</v>
      </c>
      <c r="G23" s="209" t="s">
        <v>4690</v>
      </c>
      <c r="H23" s="209" t="s">
        <v>4690</v>
      </c>
      <c r="I23" s="366" t="s">
        <v>4697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>&lt;별첨6&gt; 참조</v>
      </c>
    </row>
    <row r="24" spans="1:12" ht="94.5" customHeight="1">
      <c r="A24" s="36">
        <v>16</v>
      </c>
      <c r="B24" s="453" t="s">
        <v>5308</v>
      </c>
      <c r="C24" s="454"/>
      <c r="D24" s="46">
        <v>2</v>
      </c>
      <c r="E24" s="37" t="s">
        <v>80</v>
      </c>
      <c r="F24" s="32" t="s">
        <v>5</v>
      </c>
      <c r="G24" s="209" t="s">
        <v>4661</v>
      </c>
      <c r="H24" s="209" t="s">
        <v>4661</v>
      </c>
      <c r="I24" s="366" t="s">
        <v>5310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00 : 해당없음
01 : 신청사유와 일치하지 않음
02 : 입력내용에 대해 한국은행과 유선상 확인절차를 거치지 않음
03 : 기타</v>
      </c>
    </row>
    <row r="25" spans="1:12" ht="40.5" customHeight="1">
      <c r="A25" s="36">
        <v>17</v>
      </c>
      <c r="B25" s="453" t="s">
        <v>332</v>
      </c>
      <c r="C25" s="454"/>
      <c r="D25" s="46">
        <v>1</v>
      </c>
      <c r="E25" s="37" t="s">
        <v>4</v>
      </c>
      <c r="F25" s="32" t="s">
        <v>5</v>
      </c>
      <c r="G25" s="209" t="s">
        <v>446</v>
      </c>
      <c r="H25" s="209" t="s">
        <v>446</v>
      </c>
      <c r="I25" s="366" t="s">
        <v>5311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>0 : 비수수료거래
1 : 수수료거래</v>
      </c>
    </row>
    <row r="26" spans="1:12" ht="26.25" customHeight="1">
      <c r="A26" s="36">
        <v>18</v>
      </c>
      <c r="B26" s="453" t="s">
        <v>333</v>
      </c>
      <c r="C26" s="454"/>
      <c r="D26" s="46">
        <v>18</v>
      </c>
      <c r="E26" s="37" t="s">
        <v>4</v>
      </c>
      <c r="F26" s="32" t="s">
        <v>5</v>
      </c>
      <c r="G26" s="209" t="s">
        <v>4690</v>
      </c>
      <c r="H26" s="209" t="s">
        <v>4690</v>
      </c>
      <c r="I26" s="366" t="s">
        <v>4706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15" customHeight="1">
      <c r="A27" s="36">
        <v>19</v>
      </c>
      <c r="B27" s="453" t="s">
        <v>27</v>
      </c>
      <c r="C27" s="454"/>
      <c r="D27" s="46">
        <v>18</v>
      </c>
      <c r="E27" s="37" t="s">
        <v>4</v>
      </c>
      <c r="F27" s="54" t="s">
        <v>5</v>
      </c>
      <c r="G27" s="209" t="s">
        <v>446</v>
      </c>
      <c r="H27" s="209" t="s">
        <v>446</v>
      </c>
      <c r="I27" s="366" t="s">
        <v>4676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ht="15" customHeight="1">
      <c r="A28" s="36">
        <v>20</v>
      </c>
      <c r="B28" s="453" t="s">
        <v>44</v>
      </c>
      <c r="C28" s="454"/>
      <c r="D28" s="46">
        <v>18</v>
      </c>
      <c r="E28" s="37" t="s">
        <v>4</v>
      </c>
      <c r="F28" s="54" t="s">
        <v>5</v>
      </c>
      <c r="G28" s="209" t="s">
        <v>446</v>
      </c>
      <c r="H28" s="209" t="s">
        <v>446</v>
      </c>
      <c r="I28" s="366" t="s">
        <v>4677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15" customHeight="1">
      <c r="A29" s="36">
        <v>21</v>
      </c>
      <c r="B29" s="453" t="s">
        <v>24</v>
      </c>
      <c r="C29" s="454"/>
      <c r="D29" s="46">
        <v>18</v>
      </c>
      <c r="E29" s="37" t="s">
        <v>4</v>
      </c>
      <c r="F29" s="54" t="s">
        <v>5</v>
      </c>
      <c r="G29" s="209" t="s">
        <v>446</v>
      </c>
      <c r="H29" s="209" t="s">
        <v>446</v>
      </c>
      <c r="I29" s="366" t="s">
        <v>4678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5" customHeight="1">
      <c r="A30" s="36">
        <v>22</v>
      </c>
      <c r="B30" s="453" t="s">
        <v>56</v>
      </c>
      <c r="C30" s="454"/>
      <c r="D30" s="46">
        <v>18</v>
      </c>
      <c r="E30" s="37" t="s">
        <v>4</v>
      </c>
      <c r="F30" s="54" t="s">
        <v>5</v>
      </c>
      <c r="G30" s="209" t="s">
        <v>446</v>
      </c>
      <c r="H30" s="209" t="s">
        <v>446</v>
      </c>
      <c r="I30" s="366" t="s">
        <v>4679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15" customHeight="1">
      <c r="A31" s="36">
        <v>23</v>
      </c>
      <c r="B31" s="453" t="s">
        <v>57</v>
      </c>
      <c r="C31" s="454"/>
      <c r="D31" s="46">
        <v>18</v>
      </c>
      <c r="E31" s="37" t="s">
        <v>4</v>
      </c>
      <c r="F31" s="54" t="s">
        <v>5</v>
      </c>
      <c r="G31" s="209" t="s">
        <v>446</v>
      </c>
      <c r="H31" s="209" t="s">
        <v>446</v>
      </c>
      <c r="I31" s="366" t="s">
        <v>4680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5" customHeight="1" thickBot="1">
      <c r="A32" s="105">
        <v>24</v>
      </c>
      <c r="B32" s="422" t="s">
        <v>25</v>
      </c>
      <c r="C32" s="424"/>
      <c r="D32" s="106">
        <v>197</v>
      </c>
      <c r="E32" s="107" t="s">
        <v>26</v>
      </c>
      <c r="F32" s="108" t="s">
        <v>5</v>
      </c>
      <c r="G32" s="108" t="s">
        <v>4690</v>
      </c>
      <c r="H32" s="108" t="s">
        <v>4690</v>
      </c>
      <c r="I32" s="479" t="s">
        <v>254</v>
      </c>
      <c r="J32" s="480"/>
      <c r="K32" s="480"/>
      <c r="L32" s="198" t="str">
        <f ca="1">IFERROR(_xlfn.TEXTJOIN(CHAR(10), TRUE, OFFSET('&lt;별첨9&gt;전체코드'!E:E, MATCH(B32,'&lt;별첨9&gt;전체코드'!A:A,0)-1, 0, COUNTIF('&lt;별첨9&gt;전체코드'!A:A,B32), 1)), "")</f>
        <v/>
      </c>
    </row>
  </sheetData>
  <mergeCells count="63">
    <mergeCell ref="B31:C31"/>
    <mergeCell ref="I31:K31"/>
    <mergeCell ref="B32:C32"/>
    <mergeCell ref="I32:K32"/>
    <mergeCell ref="B28:C28"/>
    <mergeCell ref="I28:K28"/>
    <mergeCell ref="B29:C29"/>
    <mergeCell ref="I29:K29"/>
    <mergeCell ref="B30:C30"/>
    <mergeCell ref="I30:K30"/>
    <mergeCell ref="B25:C25"/>
    <mergeCell ref="I25:K25"/>
    <mergeCell ref="B26:C26"/>
    <mergeCell ref="I26:K26"/>
    <mergeCell ref="B27:C27"/>
    <mergeCell ref="I27:K27"/>
    <mergeCell ref="B22:C22"/>
    <mergeCell ref="I22:K22"/>
    <mergeCell ref="B23:C23"/>
    <mergeCell ref="I23:K23"/>
    <mergeCell ref="B24:C24"/>
    <mergeCell ref="I24:K24"/>
    <mergeCell ref="B19:C19"/>
    <mergeCell ref="I19:K19"/>
    <mergeCell ref="B20:C20"/>
    <mergeCell ref="I20:K20"/>
    <mergeCell ref="B21:C21"/>
    <mergeCell ref="I21:K21"/>
    <mergeCell ref="B16:C16"/>
    <mergeCell ref="I16:K16"/>
    <mergeCell ref="B17:C17"/>
    <mergeCell ref="I17:K17"/>
    <mergeCell ref="B18:C18"/>
    <mergeCell ref="I18:K18"/>
    <mergeCell ref="B13:C13"/>
    <mergeCell ref="I13:K13"/>
    <mergeCell ref="B14:C14"/>
    <mergeCell ref="I14:K14"/>
    <mergeCell ref="B15:C15"/>
    <mergeCell ref="I15:K15"/>
    <mergeCell ref="B10:C10"/>
    <mergeCell ref="I10:K10"/>
    <mergeCell ref="B11:C11"/>
    <mergeCell ref="I11:K11"/>
    <mergeCell ref="B12:C12"/>
    <mergeCell ref="I12:K12"/>
    <mergeCell ref="A2:L2"/>
    <mergeCell ref="B7:C7"/>
    <mergeCell ref="I7:K7"/>
    <mergeCell ref="B8:C8"/>
    <mergeCell ref="I8:K8"/>
    <mergeCell ref="B9:C9"/>
    <mergeCell ref="I9:K9"/>
    <mergeCell ref="A5:B5"/>
    <mergeCell ref="D5:F5"/>
    <mergeCell ref="A3:B3"/>
    <mergeCell ref="A4:B4"/>
    <mergeCell ref="D4:F4"/>
    <mergeCell ref="G4:I4"/>
    <mergeCell ref="G5:I5"/>
    <mergeCell ref="C3:L3"/>
    <mergeCell ref="K4:L4"/>
    <mergeCell ref="K5:L5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747A-576F-4D5B-A75B-86938BCCE0A6}">
  <sheetPr codeName="Sheet56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4" width="4.625" style="269" customWidth="1"/>
    <col min="5" max="6" width="4.625" style="50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61"/>
      <c r="E1" s="8"/>
      <c r="F1" s="8"/>
      <c r="G1" s="2"/>
      <c r="H1" s="2"/>
      <c r="I1" s="2"/>
      <c r="J1" s="2"/>
      <c r="K1" s="2"/>
      <c r="L1" s="2"/>
    </row>
    <row r="2" spans="1:12" s="10" customFormat="1" ht="19.5" thickBot="1">
      <c r="A2" s="481" t="s">
        <v>5160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7650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506" t="s">
        <v>32</v>
      </c>
      <c r="E4" s="507"/>
      <c r="F4" s="508"/>
      <c r="G4" s="410" t="s">
        <v>153</v>
      </c>
      <c r="H4" s="411"/>
      <c r="I4" s="412"/>
      <c r="J4" s="115" t="s">
        <v>5263</v>
      </c>
      <c r="K4" s="410" t="s">
        <v>154</v>
      </c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502" t="s">
        <v>35</v>
      </c>
      <c r="E5" s="503"/>
      <c r="F5" s="504"/>
      <c r="G5" s="417" t="s">
        <v>1</v>
      </c>
      <c r="H5" s="436"/>
      <c r="I5" s="437"/>
      <c r="J5" s="118" t="s">
        <v>36</v>
      </c>
      <c r="K5" s="417" t="str">
        <f>VLOOKUP(G4,목록!$E14:L$83,3,FALSE)</f>
        <v>SLP220301SW</v>
      </c>
      <c r="L5" s="418"/>
    </row>
    <row r="6" spans="1:12" s="1" customFormat="1" ht="15" customHeight="1" thickBot="1">
      <c r="A6" s="30" t="s">
        <v>30</v>
      </c>
      <c r="B6" s="31"/>
      <c r="C6" s="31"/>
      <c r="D6" s="262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63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264">
        <v>200</v>
      </c>
      <c r="E8" s="47" t="s">
        <v>30</v>
      </c>
      <c r="F8" s="204" t="s">
        <v>30</v>
      </c>
      <c r="G8" s="42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48.75" customHeight="1">
      <c r="A9" s="210">
        <v>1</v>
      </c>
      <c r="B9" s="501" t="s">
        <v>3</v>
      </c>
      <c r="C9" s="501"/>
      <c r="D9" s="265">
        <v>8</v>
      </c>
      <c r="E9" s="237" t="s">
        <v>4</v>
      </c>
      <c r="F9" s="237" t="s">
        <v>196</v>
      </c>
      <c r="G9" s="208" t="s">
        <v>446</v>
      </c>
      <c r="H9" s="209" t="s">
        <v>446</v>
      </c>
      <c r="I9" s="509" t="s">
        <v>7616</v>
      </c>
      <c r="J9" s="509"/>
      <c r="K9" s="509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48.75" customHeight="1">
      <c r="A10" s="210">
        <v>2</v>
      </c>
      <c r="B10" s="501" t="s">
        <v>6</v>
      </c>
      <c r="C10" s="501"/>
      <c r="D10" s="265">
        <v>4</v>
      </c>
      <c r="E10" s="237" t="s">
        <v>4</v>
      </c>
      <c r="F10" s="237" t="s">
        <v>196</v>
      </c>
      <c r="G10" s="208" t="s">
        <v>446</v>
      </c>
      <c r="H10" s="209" t="s">
        <v>446</v>
      </c>
      <c r="I10" s="501" t="s">
        <v>5165</v>
      </c>
      <c r="J10" s="501"/>
      <c r="K10" s="501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35.25" customHeight="1">
      <c r="A11" s="210">
        <v>3</v>
      </c>
      <c r="B11" s="501" t="s">
        <v>7</v>
      </c>
      <c r="C11" s="501"/>
      <c r="D11" s="265">
        <v>5</v>
      </c>
      <c r="E11" s="237" t="s">
        <v>4</v>
      </c>
      <c r="F11" s="237" t="s">
        <v>5</v>
      </c>
      <c r="G11" s="208" t="s">
        <v>4690</v>
      </c>
      <c r="H11" s="209" t="s">
        <v>446</v>
      </c>
      <c r="I11" s="509" t="s">
        <v>5262</v>
      </c>
      <c r="J11" s="509"/>
      <c r="K11" s="50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54" customHeight="1">
      <c r="A12" s="210">
        <v>4</v>
      </c>
      <c r="B12" s="501" t="s">
        <v>4779</v>
      </c>
      <c r="C12" s="501"/>
      <c r="D12" s="265">
        <v>4</v>
      </c>
      <c r="E12" s="237" t="s">
        <v>4</v>
      </c>
      <c r="F12" s="237" t="s">
        <v>196</v>
      </c>
      <c r="G12" s="208" t="s">
        <v>446</v>
      </c>
      <c r="H12" s="209" t="s">
        <v>446</v>
      </c>
      <c r="I12" s="501" t="s">
        <v>5166</v>
      </c>
      <c r="J12" s="501"/>
      <c r="K12" s="501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78.75" customHeight="1">
      <c r="A13" s="210">
        <v>5</v>
      </c>
      <c r="B13" s="501" t="s">
        <v>10</v>
      </c>
      <c r="C13" s="501"/>
      <c r="D13" s="265">
        <v>18</v>
      </c>
      <c r="E13" s="237" t="s">
        <v>4</v>
      </c>
      <c r="F13" s="237" t="s">
        <v>196</v>
      </c>
      <c r="G13" s="208" t="s">
        <v>446</v>
      </c>
      <c r="H13" s="208" t="s">
        <v>446</v>
      </c>
      <c r="I13" s="505" t="s">
        <v>4944</v>
      </c>
      <c r="J13" s="505"/>
      <c r="K13" s="505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48" customHeight="1">
      <c r="A14" s="210">
        <v>6</v>
      </c>
      <c r="B14" s="501" t="s">
        <v>51</v>
      </c>
      <c r="C14" s="501"/>
      <c r="D14" s="265">
        <v>1</v>
      </c>
      <c r="E14" s="237" t="s">
        <v>4</v>
      </c>
      <c r="F14" s="237" t="s">
        <v>196</v>
      </c>
      <c r="G14" s="208" t="s">
        <v>446</v>
      </c>
      <c r="H14" s="209" t="s">
        <v>446</v>
      </c>
      <c r="I14" s="374" t="s">
        <v>5274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94.5" customHeight="1">
      <c r="A15" s="210">
        <v>7</v>
      </c>
      <c r="B15" s="501" t="s">
        <v>184</v>
      </c>
      <c r="C15" s="501"/>
      <c r="D15" s="265">
        <v>20</v>
      </c>
      <c r="E15" s="237" t="s">
        <v>41</v>
      </c>
      <c r="F15" s="237" t="s">
        <v>196</v>
      </c>
      <c r="G15" s="208" t="s">
        <v>446</v>
      </c>
      <c r="H15" s="209" t="s">
        <v>446</v>
      </c>
      <c r="I15" s="505" t="s">
        <v>5120</v>
      </c>
      <c r="J15" s="505"/>
      <c r="K15" s="505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27" customHeight="1">
      <c r="A16" s="210">
        <v>8</v>
      </c>
      <c r="B16" s="501" t="s">
        <v>5159</v>
      </c>
      <c r="C16" s="501"/>
      <c r="D16" s="265">
        <v>20</v>
      </c>
      <c r="E16" s="237" t="s">
        <v>42</v>
      </c>
      <c r="F16" s="237" t="s">
        <v>196</v>
      </c>
      <c r="G16" s="208" t="s">
        <v>4661</v>
      </c>
      <c r="H16" s="209" t="s">
        <v>446</v>
      </c>
      <c r="I16" s="505" t="s">
        <v>5101</v>
      </c>
      <c r="J16" s="505"/>
      <c r="K16" s="505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47.25" customHeight="1">
      <c r="A17" s="210">
        <v>9</v>
      </c>
      <c r="B17" s="501" t="s">
        <v>186</v>
      </c>
      <c r="C17" s="501"/>
      <c r="D17" s="265">
        <v>20</v>
      </c>
      <c r="E17" s="237" t="s">
        <v>41</v>
      </c>
      <c r="F17" s="237" t="s">
        <v>196</v>
      </c>
      <c r="G17" s="208" t="s">
        <v>446</v>
      </c>
      <c r="H17" s="209" t="s">
        <v>4661</v>
      </c>
      <c r="I17" s="505" t="s">
        <v>5121</v>
      </c>
      <c r="J17" s="505"/>
      <c r="K17" s="505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501" t="s">
        <v>187</v>
      </c>
      <c r="C18" s="501"/>
      <c r="D18" s="265">
        <v>20</v>
      </c>
      <c r="E18" s="237" t="s">
        <v>42</v>
      </c>
      <c r="F18" s="237" t="s">
        <v>196</v>
      </c>
      <c r="G18" s="208" t="s">
        <v>4661</v>
      </c>
      <c r="H18" s="209" t="s">
        <v>4661</v>
      </c>
      <c r="I18" s="505" t="s">
        <v>4985</v>
      </c>
      <c r="J18" s="505"/>
      <c r="K18" s="505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>
      <c r="A19" s="210">
        <v>11</v>
      </c>
      <c r="B19" s="501" t="s">
        <v>5321</v>
      </c>
      <c r="C19" s="501"/>
      <c r="D19" s="265">
        <v>1</v>
      </c>
      <c r="E19" s="237" t="s">
        <v>4</v>
      </c>
      <c r="F19" s="237" t="s">
        <v>196</v>
      </c>
      <c r="G19" s="208" t="s">
        <v>446</v>
      </c>
      <c r="H19" s="209" t="s">
        <v>446</v>
      </c>
      <c r="I19" s="509" t="s">
        <v>5320</v>
      </c>
      <c r="J19" s="367"/>
      <c r="K19" s="42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>
      <c r="A20" s="210">
        <v>12</v>
      </c>
      <c r="B20" s="501" t="s">
        <v>189</v>
      </c>
      <c r="C20" s="501"/>
      <c r="D20" s="265">
        <v>2</v>
      </c>
      <c r="E20" s="237" t="s">
        <v>4</v>
      </c>
      <c r="F20" s="237" t="s">
        <v>196</v>
      </c>
      <c r="G20" s="208" t="s">
        <v>446</v>
      </c>
      <c r="H20" s="209" t="s">
        <v>446</v>
      </c>
      <c r="I20" s="509" t="s">
        <v>5264</v>
      </c>
      <c r="J20" s="509"/>
      <c r="K20" s="509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501" t="s">
        <v>5313</v>
      </c>
      <c r="C21" s="501"/>
      <c r="D21" s="265">
        <v>1</v>
      </c>
      <c r="E21" s="237" t="s">
        <v>4</v>
      </c>
      <c r="F21" s="237" t="s">
        <v>196</v>
      </c>
      <c r="G21" s="208" t="s">
        <v>446</v>
      </c>
      <c r="H21" s="209" t="s">
        <v>4661</v>
      </c>
      <c r="I21" s="366" t="s">
        <v>5319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59.25" customHeight="1">
      <c r="A22" s="210">
        <v>14</v>
      </c>
      <c r="B22" s="501" t="s">
        <v>5324</v>
      </c>
      <c r="C22" s="501"/>
      <c r="D22" s="265">
        <v>60</v>
      </c>
      <c r="E22" s="237" t="s">
        <v>42</v>
      </c>
      <c r="F22" s="237" t="s">
        <v>196</v>
      </c>
      <c r="G22" s="208" t="s">
        <v>4661</v>
      </c>
      <c r="H22" s="209" t="s">
        <v>4661</v>
      </c>
      <c r="I22" s="509" t="s">
        <v>5122</v>
      </c>
      <c r="J22" s="509"/>
      <c r="K22" s="509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501" t="s">
        <v>13</v>
      </c>
      <c r="C23" s="501"/>
      <c r="D23" s="265">
        <v>20</v>
      </c>
      <c r="E23" s="237" t="s">
        <v>41</v>
      </c>
      <c r="F23" s="237" t="s">
        <v>196</v>
      </c>
      <c r="G23" s="208" t="s">
        <v>4661</v>
      </c>
      <c r="H23" s="209" t="s">
        <v>4661</v>
      </c>
      <c r="I23" s="366" t="s">
        <v>5261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20.100000000000001" customHeight="1">
      <c r="A24" s="210">
        <v>16</v>
      </c>
      <c r="B24" s="501" t="s">
        <v>4662</v>
      </c>
      <c r="C24" s="501"/>
      <c r="D24" s="265">
        <v>10</v>
      </c>
      <c r="E24" s="237" t="s">
        <v>42</v>
      </c>
      <c r="F24" s="237" t="s">
        <v>196</v>
      </c>
      <c r="G24" s="208" t="s">
        <v>446</v>
      </c>
      <c r="H24" s="209" t="s">
        <v>446</v>
      </c>
      <c r="I24" s="505" t="s">
        <v>5062</v>
      </c>
      <c r="J24" s="505"/>
      <c r="K24" s="505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20.100000000000001" customHeight="1">
      <c r="A25" s="210">
        <v>17</v>
      </c>
      <c r="B25" s="501" t="s">
        <v>15</v>
      </c>
      <c r="C25" s="501"/>
      <c r="D25" s="265">
        <v>30</v>
      </c>
      <c r="E25" s="237" t="s">
        <v>41</v>
      </c>
      <c r="F25" s="237" t="s">
        <v>196</v>
      </c>
      <c r="G25" s="208" t="s">
        <v>446</v>
      </c>
      <c r="H25" s="209" t="s">
        <v>4661</v>
      </c>
      <c r="I25" s="505" t="s">
        <v>5063</v>
      </c>
      <c r="J25" s="505"/>
      <c r="K25" s="505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20.100000000000001" customHeight="1">
      <c r="A26" s="210">
        <v>18</v>
      </c>
      <c r="B26" s="501" t="s">
        <v>5105</v>
      </c>
      <c r="C26" s="501"/>
      <c r="D26" s="265">
        <v>10</v>
      </c>
      <c r="E26" s="237" t="s">
        <v>42</v>
      </c>
      <c r="F26" s="237" t="s">
        <v>196</v>
      </c>
      <c r="G26" s="208" t="s">
        <v>446</v>
      </c>
      <c r="H26" s="209" t="s">
        <v>4661</v>
      </c>
      <c r="I26" s="505" t="s">
        <v>5106</v>
      </c>
      <c r="J26" s="505"/>
      <c r="K26" s="505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20.100000000000001" customHeight="1">
      <c r="A27" s="210">
        <v>19</v>
      </c>
      <c r="B27" s="501" t="s">
        <v>5107</v>
      </c>
      <c r="C27" s="501"/>
      <c r="D27" s="265">
        <v>30</v>
      </c>
      <c r="E27" s="237" t="s">
        <v>41</v>
      </c>
      <c r="F27" s="237" t="s">
        <v>196</v>
      </c>
      <c r="G27" s="208" t="s">
        <v>446</v>
      </c>
      <c r="H27" s="209" t="s">
        <v>4661</v>
      </c>
      <c r="I27" s="505" t="s">
        <v>5065</v>
      </c>
      <c r="J27" s="505"/>
      <c r="K27" s="505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55.5" customHeight="1">
      <c r="A28" s="210">
        <v>20</v>
      </c>
      <c r="B28" s="501" t="s">
        <v>11</v>
      </c>
      <c r="C28" s="501"/>
      <c r="D28" s="265">
        <v>1</v>
      </c>
      <c r="E28" s="237" t="s">
        <v>4</v>
      </c>
      <c r="F28" s="237" t="s">
        <v>196</v>
      </c>
      <c r="G28" s="208" t="s">
        <v>446</v>
      </c>
      <c r="H28" s="209" t="s">
        <v>4690</v>
      </c>
      <c r="I28" s="501" t="s">
        <v>5323</v>
      </c>
      <c r="J28" s="501"/>
      <c r="K28" s="501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38.25" customHeight="1">
      <c r="A29" s="210">
        <v>21</v>
      </c>
      <c r="B29" s="501" t="s">
        <v>52</v>
      </c>
      <c r="C29" s="501"/>
      <c r="D29" s="265">
        <v>4</v>
      </c>
      <c r="E29" s="237" t="s">
        <v>4</v>
      </c>
      <c r="F29" s="237" t="s">
        <v>196</v>
      </c>
      <c r="G29" s="208" t="s">
        <v>4661</v>
      </c>
      <c r="H29" s="209" t="s">
        <v>446</v>
      </c>
      <c r="I29" s="501" t="s">
        <v>5167</v>
      </c>
      <c r="J29" s="375"/>
      <c r="K29" s="376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108" customHeight="1">
      <c r="A30" s="210">
        <v>22</v>
      </c>
      <c r="B30" s="501" t="s">
        <v>18</v>
      </c>
      <c r="C30" s="501"/>
      <c r="D30" s="265">
        <v>1</v>
      </c>
      <c r="E30" s="237" t="s">
        <v>4</v>
      </c>
      <c r="F30" s="237" t="s">
        <v>5</v>
      </c>
      <c r="G30" s="208" t="s">
        <v>4690</v>
      </c>
      <c r="H30" s="209" t="s">
        <v>4661</v>
      </c>
      <c r="I30" s="501" t="s">
        <v>5163</v>
      </c>
      <c r="J30" s="501"/>
      <c r="K30" s="501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76.5" customHeight="1">
      <c r="A31" s="210">
        <v>23</v>
      </c>
      <c r="B31" s="501" t="s">
        <v>19</v>
      </c>
      <c r="C31" s="501"/>
      <c r="D31" s="265">
        <v>5</v>
      </c>
      <c r="E31" s="237" t="s">
        <v>4</v>
      </c>
      <c r="F31" s="237" t="s">
        <v>5</v>
      </c>
      <c r="G31" s="208" t="s">
        <v>4690</v>
      </c>
      <c r="H31" s="209" t="s">
        <v>4661</v>
      </c>
      <c r="I31" s="501" t="s">
        <v>5168</v>
      </c>
      <c r="J31" s="501"/>
      <c r="K31" s="501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54" customHeight="1">
      <c r="A32" s="210">
        <v>24</v>
      </c>
      <c r="B32" s="501" t="s">
        <v>20</v>
      </c>
      <c r="C32" s="501"/>
      <c r="D32" s="265">
        <v>5</v>
      </c>
      <c r="E32" s="237" t="s">
        <v>4</v>
      </c>
      <c r="F32" s="237" t="s">
        <v>5</v>
      </c>
      <c r="G32" s="208" t="s">
        <v>4690</v>
      </c>
      <c r="H32" s="209" t="s">
        <v>4661</v>
      </c>
      <c r="I32" s="501" t="s">
        <v>5170</v>
      </c>
      <c r="J32" s="501"/>
      <c r="K32" s="501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49.5" customHeight="1">
      <c r="A33" s="210">
        <v>25</v>
      </c>
      <c r="B33" s="501" t="s">
        <v>53</v>
      </c>
      <c r="C33" s="501"/>
      <c r="D33" s="265">
        <v>16</v>
      </c>
      <c r="E33" s="237" t="s">
        <v>42</v>
      </c>
      <c r="F33" s="237" t="s">
        <v>5</v>
      </c>
      <c r="G33" s="208" t="s">
        <v>4690</v>
      </c>
      <c r="H33" s="209" t="s">
        <v>4661</v>
      </c>
      <c r="I33" s="501" t="s">
        <v>5171</v>
      </c>
      <c r="J33" s="501"/>
      <c r="K33" s="501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39.75" customHeight="1">
      <c r="A34" s="210">
        <v>26</v>
      </c>
      <c r="B34" s="501" t="s">
        <v>21</v>
      </c>
      <c r="C34" s="501"/>
      <c r="D34" s="265">
        <v>9</v>
      </c>
      <c r="E34" s="237" t="s">
        <v>42</v>
      </c>
      <c r="F34" s="237" t="s">
        <v>5</v>
      </c>
      <c r="G34" s="208" t="s">
        <v>4690</v>
      </c>
      <c r="H34" s="209" t="s">
        <v>4661</v>
      </c>
      <c r="I34" s="501" t="s">
        <v>5172</v>
      </c>
      <c r="J34" s="501"/>
      <c r="K34" s="501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33.75" customHeight="1">
      <c r="A35" s="210">
        <v>27</v>
      </c>
      <c r="B35" s="501" t="s">
        <v>22</v>
      </c>
      <c r="C35" s="501"/>
      <c r="D35" s="265">
        <v>6</v>
      </c>
      <c r="E35" s="237" t="s">
        <v>4</v>
      </c>
      <c r="F35" s="237" t="s">
        <v>5</v>
      </c>
      <c r="G35" s="208" t="s">
        <v>4690</v>
      </c>
      <c r="H35" s="209" t="s">
        <v>446</v>
      </c>
      <c r="I35" s="501" t="s">
        <v>5169</v>
      </c>
      <c r="J35" s="501"/>
      <c r="K35" s="501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38.25" customHeight="1">
      <c r="A36" s="210">
        <v>28</v>
      </c>
      <c r="B36" s="501" t="s">
        <v>23</v>
      </c>
      <c r="C36" s="501"/>
      <c r="D36" s="265">
        <v>6</v>
      </c>
      <c r="E36" s="237" t="s">
        <v>4</v>
      </c>
      <c r="F36" s="237" t="s">
        <v>5</v>
      </c>
      <c r="G36" s="208" t="s">
        <v>4690</v>
      </c>
      <c r="H36" s="209" t="s">
        <v>4661</v>
      </c>
      <c r="I36" s="501" t="s">
        <v>5173</v>
      </c>
      <c r="J36" s="501"/>
      <c r="K36" s="501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54">
      <c r="A37" s="210">
        <v>29</v>
      </c>
      <c r="B37" s="501" t="s">
        <v>54</v>
      </c>
      <c r="C37" s="501"/>
      <c r="D37" s="265">
        <v>1</v>
      </c>
      <c r="E37" s="237" t="s">
        <v>4</v>
      </c>
      <c r="F37" s="237" t="s">
        <v>5</v>
      </c>
      <c r="G37" s="208" t="s">
        <v>4690</v>
      </c>
      <c r="H37" s="209" t="s">
        <v>4661</v>
      </c>
      <c r="I37" s="501" t="s">
        <v>5174</v>
      </c>
      <c r="J37" s="501"/>
      <c r="K37" s="501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ht="27" customHeight="1">
      <c r="A38" s="210">
        <v>30</v>
      </c>
      <c r="B38" s="501" t="s">
        <v>55</v>
      </c>
      <c r="C38" s="501"/>
      <c r="D38" s="265">
        <v>2</v>
      </c>
      <c r="E38" s="237" t="s">
        <v>4</v>
      </c>
      <c r="F38" s="237" t="s">
        <v>5</v>
      </c>
      <c r="G38" s="208" t="s">
        <v>4690</v>
      </c>
      <c r="H38" s="209" t="s">
        <v>4661</v>
      </c>
      <c r="I38" s="509" t="s">
        <v>5110</v>
      </c>
      <c r="J38" s="509"/>
      <c r="K38" s="50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ht="27" customHeight="1">
      <c r="A39" s="210">
        <v>31</v>
      </c>
      <c r="B39" s="501" t="s">
        <v>27</v>
      </c>
      <c r="C39" s="501"/>
      <c r="D39" s="265">
        <v>18</v>
      </c>
      <c r="E39" s="237" t="s">
        <v>4</v>
      </c>
      <c r="F39" s="237" t="s">
        <v>5</v>
      </c>
      <c r="G39" s="208" t="s">
        <v>4690</v>
      </c>
      <c r="H39" s="209" t="s">
        <v>446</v>
      </c>
      <c r="I39" s="509" t="s">
        <v>5112</v>
      </c>
      <c r="J39" s="509"/>
      <c r="K39" s="50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27" customHeight="1">
      <c r="A40" s="210">
        <v>32</v>
      </c>
      <c r="B40" s="501" t="s">
        <v>44</v>
      </c>
      <c r="C40" s="501"/>
      <c r="D40" s="265">
        <v>18</v>
      </c>
      <c r="E40" s="237" t="s">
        <v>4</v>
      </c>
      <c r="F40" s="237" t="s">
        <v>5</v>
      </c>
      <c r="G40" s="208" t="s">
        <v>4690</v>
      </c>
      <c r="H40" s="209" t="s">
        <v>446</v>
      </c>
      <c r="I40" s="509" t="s">
        <v>5113</v>
      </c>
      <c r="J40" s="509"/>
      <c r="K40" s="50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501" t="s">
        <v>24</v>
      </c>
      <c r="C41" s="501"/>
      <c r="D41" s="265">
        <v>18</v>
      </c>
      <c r="E41" s="237" t="s">
        <v>4</v>
      </c>
      <c r="F41" s="237" t="s">
        <v>5</v>
      </c>
      <c r="G41" s="208" t="s">
        <v>4690</v>
      </c>
      <c r="H41" s="209" t="s">
        <v>446</v>
      </c>
      <c r="I41" s="509" t="s">
        <v>5114</v>
      </c>
      <c r="J41" s="509"/>
      <c r="K41" s="50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30" customHeight="1">
      <c r="A42" s="210">
        <v>34</v>
      </c>
      <c r="B42" s="501" t="s">
        <v>56</v>
      </c>
      <c r="C42" s="501"/>
      <c r="D42" s="265">
        <v>18</v>
      </c>
      <c r="E42" s="237" t="s">
        <v>4</v>
      </c>
      <c r="F42" s="237" t="s">
        <v>5</v>
      </c>
      <c r="G42" s="208" t="s">
        <v>4690</v>
      </c>
      <c r="H42" s="209" t="s">
        <v>446</v>
      </c>
      <c r="I42" s="509" t="s">
        <v>5115</v>
      </c>
      <c r="J42" s="509"/>
      <c r="K42" s="50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25.5" customHeight="1">
      <c r="A43" s="210">
        <v>35</v>
      </c>
      <c r="B43" s="501" t="s">
        <v>57</v>
      </c>
      <c r="C43" s="501"/>
      <c r="D43" s="265">
        <v>18</v>
      </c>
      <c r="E43" s="237" t="s">
        <v>4</v>
      </c>
      <c r="F43" s="237" t="s">
        <v>5</v>
      </c>
      <c r="G43" s="208" t="s">
        <v>4690</v>
      </c>
      <c r="H43" s="209" t="s">
        <v>446</v>
      </c>
      <c r="I43" s="509" t="s">
        <v>5116</v>
      </c>
      <c r="J43" s="509"/>
      <c r="K43" s="50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27" customHeight="1">
      <c r="A44" s="210">
        <v>36</v>
      </c>
      <c r="B44" s="501" t="s">
        <v>192</v>
      </c>
      <c r="C44" s="501"/>
      <c r="D44" s="265">
        <v>4</v>
      </c>
      <c r="E44" s="237" t="s">
        <v>4</v>
      </c>
      <c r="F44" s="237" t="s">
        <v>196</v>
      </c>
      <c r="G44" s="208" t="s">
        <v>446</v>
      </c>
      <c r="H44" s="209" t="s">
        <v>4690</v>
      </c>
      <c r="I44" s="501" t="s">
        <v>5175</v>
      </c>
      <c r="J44" s="501"/>
      <c r="K44" s="501"/>
      <c r="L44" s="196" t="str">
        <f ca="1">IFERROR(_xlfn.TEXTJOIN(CHAR(10), TRUE, OFFSET('&lt;별첨9&gt;전체코드'!E:E, MATCH(B44,'&lt;별첨9&gt;전체코드'!A:A,0)-1, 0, COUNTIF('&lt;별첨9&gt;전체코드'!A:A,B44), 1)), "")</f>
        <v/>
      </c>
    </row>
    <row r="45" spans="1:12" s="1" customFormat="1" ht="67.5">
      <c r="A45" s="210">
        <v>37</v>
      </c>
      <c r="B45" s="509" t="s">
        <v>193</v>
      </c>
      <c r="C45" s="509"/>
      <c r="D45" s="265">
        <v>1</v>
      </c>
      <c r="E45" s="237" t="s">
        <v>4</v>
      </c>
      <c r="F45" s="237" t="s">
        <v>196</v>
      </c>
      <c r="G45" s="208" t="s">
        <v>446</v>
      </c>
      <c r="H45" s="209" t="s">
        <v>4661</v>
      </c>
      <c r="I45" s="366" t="s">
        <v>5322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>
      <c r="A46" s="210">
        <v>38</v>
      </c>
      <c r="B46" s="509" t="s">
        <v>194</v>
      </c>
      <c r="C46" s="509"/>
      <c r="D46" s="265">
        <v>2</v>
      </c>
      <c r="E46" s="237" t="s">
        <v>4</v>
      </c>
      <c r="F46" s="237" t="s">
        <v>196</v>
      </c>
      <c r="G46" s="208" t="s">
        <v>446</v>
      </c>
      <c r="H46" s="209" t="s">
        <v>4690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ht="15" customHeight="1" thickBot="1">
      <c r="A47" s="213">
        <v>39</v>
      </c>
      <c r="B47" s="510" t="s">
        <v>25</v>
      </c>
      <c r="C47" s="510"/>
      <c r="D47" s="266">
        <v>123</v>
      </c>
      <c r="E47" s="267" t="s">
        <v>26</v>
      </c>
      <c r="F47" s="267" t="s">
        <v>196</v>
      </c>
      <c r="G47" s="107" t="s">
        <v>4690</v>
      </c>
      <c r="H47" s="108" t="s">
        <v>4690</v>
      </c>
      <c r="I47" s="511" t="s">
        <v>254</v>
      </c>
      <c r="J47" s="511"/>
      <c r="K47" s="511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28:K28"/>
    <mergeCell ref="I22:K22"/>
    <mergeCell ref="I47:K47"/>
    <mergeCell ref="A2:L2"/>
    <mergeCell ref="I43:K43"/>
    <mergeCell ref="I44:K44"/>
    <mergeCell ref="I45:K45"/>
    <mergeCell ref="I39:K39"/>
    <mergeCell ref="I40:K40"/>
    <mergeCell ref="I41:K41"/>
    <mergeCell ref="I35:K35"/>
    <mergeCell ref="I36:K36"/>
    <mergeCell ref="I37:K37"/>
    <mergeCell ref="I31:K31"/>
    <mergeCell ref="I32:K32"/>
    <mergeCell ref="I33:K33"/>
    <mergeCell ref="I27:K27"/>
    <mergeCell ref="G4:I4"/>
    <mergeCell ref="K4:L4"/>
    <mergeCell ref="G5:I5"/>
    <mergeCell ref="K5:L5"/>
    <mergeCell ref="I15:K15"/>
    <mergeCell ref="I12:K12"/>
    <mergeCell ref="I13:K13"/>
    <mergeCell ref="B47:C47"/>
    <mergeCell ref="B44:C44"/>
    <mergeCell ref="B45:C45"/>
    <mergeCell ref="I8:K8"/>
    <mergeCell ref="I9:K9"/>
    <mergeCell ref="I10:K10"/>
    <mergeCell ref="I16:K16"/>
    <mergeCell ref="I17:K17"/>
    <mergeCell ref="I29:K29"/>
    <mergeCell ref="I23:K23"/>
    <mergeCell ref="I24:K24"/>
    <mergeCell ref="I25:K25"/>
    <mergeCell ref="I19:K19"/>
    <mergeCell ref="I20:K20"/>
    <mergeCell ref="I21:K21"/>
    <mergeCell ref="I26:K26"/>
    <mergeCell ref="I42:K42"/>
    <mergeCell ref="I46:K46"/>
    <mergeCell ref="B38:C38"/>
    <mergeCell ref="B39:C39"/>
    <mergeCell ref="B36:C36"/>
    <mergeCell ref="B37:C37"/>
    <mergeCell ref="B42:C42"/>
    <mergeCell ref="I38:K38"/>
    <mergeCell ref="B43:C43"/>
    <mergeCell ref="B40:C40"/>
    <mergeCell ref="B41:C41"/>
    <mergeCell ref="B46:C46"/>
    <mergeCell ref="B31:C31"/>
    <mergeCell ref="B28:C28"/>
    <mergeCell ref="B29:C29"/>
    <mergeCell ref="B34:C34"/>
    <mergeCell ref="B35:C35"/>
    <mergeCell ref="B32:C32"/>
    <mergeCell ref="B33:C33"/>
    <mergeCell ref="I30:K30"/>
    <mergeCell ref="I34:K34"/>
    <mergeCell ref="A3:B3"/>
    <mergeCell ref="A4:B4"/>
    <mergeCell ref="D4:F4"/>
    <mergeCell ref="B7:C7"/>
    <mergeCell ref="B8:C8"/>
    <mergeCell ref="B9:C9"/>
    <mergeCell ref="B10:C10"/>
    <mergeCell ref="B11:C11"/>
    <mergeCell ref="B12:C12"/>
    <mergeCell ref="C3:L3"/>
    <mergeCell ref="I7:K7"/>
    <mergeCell ref="I11:K11"/>
    <mergeCell ref="B16:C16"/>
    <mergeCell ref="B13:C13"/>
    <mergeCell ref="B14:C14"/>
    <mergeCell ref="B15:C15"/>
    <mergeCell ref="B18:C18"/>
    <mergeCell ref="I14:K14"/>
    <mergeCell ref="A5:B5"/>
    <mergeCell ref="D5:F5"/>
    <mergeCell ref="I18:K18"/>
    <mergeCell ref="B26:C26"/>
    <mergeCell ref="B27:C27"/>
    <mergeCell ref="B24:C24"/>
    <mergeCell ref="B25:C25"/>
    <mergeCell ref="B30:C30"/>
    <mergeCell ref="B19:C19"/>
    <mergeCell ref="B17:C17"/>
    <mergeCell ref="B22:C22"/>
    <mergeCell ref="B23:C23"/>
    <mergeCell ref="B20:C20"/>
    <mergeCell ref="B21:C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095D-FA3A-4423-A6C8-A3CB649ACCAD}">
  <dimension ref="A1:I24"/>
  <sheetViews>
    <sheetView zoomScale="115" zoomScaleNormal="115" workbookViewId="0"/>
  </sheetViews>
  <sheetFormatPr defaultRowHeight="16.5"/>
  <cols>
    <col min="1" max="2" width="12.375" style="14" customWidth="1"/>
    <col min="3" max="3" width="104.375" style="14" bestFit="1" customWidth="1"/>
    <col min="4" max="9" width="9" style="9"/>
    <col min="10" max="16384" width="9" style="10"/>
  </cols>
  <sheetData>
    <row r="1" spans="1:3">
      <c r="A1" s="11" t="s">
        <v>4612</v>
      </c>
    </row>
    <row r="2" spans="1:3" ht="17.25" customHeight="1" thickBot="1">
      <c r="A2" s="356" t="s">
        <v>5357</v>
      </c>
      <c r="B2" s="356"/>
      <c r="C2" s="356"/>
    </row>
    <row r="3" spans="1:3" ht="16.5" customHeight="1" thickBot="1">
      <c r="A3" s="83" t="s">
        <v>334</v>
      </c>
      <c r="B3" s="84" t="s">
        <v>417</v>
      </c>
      <c r="C3" s="85" t="s">
        <v>418</v>
      </c>
    </row>
    <row r="4" spans="1:3" ht="16.5" customHeight="1">
      <c r="A4" s="352" t="s">
        <v>4624</v>
      </c>
      <c r="B4" s="87" t="s">
        <v>4</v>
      </c>
      <c r="C4" s="88" t="s">
        <v>419</v>
      </c>
    </row>
    <row r="5" spans="1:3" ht="16.5" customHeight="1">
      <c r="A5" s="353"/>
      <c r="B5" s="12" t="s">
        <v>26</v>
      </c>
      <c r="C5" s="86" t="s">
        <v>420</v>
      </c>
    </row>
    <row r="6" spans="1:3" ht="16.5" customHeight="1">
      <c r="A6" s="353"/>
      <c r="B6" s="354" t="s">
        <v>41</v>
      </c>
      <c r="C6" s="86" t="s">
        <v>421</v>
      </c>
    </row>
    <row r="7" spans="1:3" ht="16.5" customHeight="1">
      <c r="A7" s="353"/>
      <c r="B7" s="354"/>
      <c r="C7" s="86" t="s">
        <v>437</v>
      </c>
    </row>
    <row r="8" spans="1:3">
      <c r="A8" s="353"/>
      <c r="B8" s="354"/>
      <c r="C8" s="86" t="s">
        <v>438</v>
      </c>
    </row>
    <row r="9" spans="1:3" ht="16.5" customHeight="1">
      <c r="A9" s="353"/>
      <c r="B9" s="354"/>
      <c r="C9" s="86" t="s">
        <v>422</v>
      </c>
    </row>
    <row r="10" spans="1:3" ht="16.5" customHeight="1">
      <c r="A10" s="353"/>
      <c r="B10" s="354"/>
      <c r="C10" s="86" t="s">
        <v>423</v>
      </c>
    </row>
    <row r="11" spans="1:3" ht="16.5" customHeight="1">
      <c r="A11" s="353"/>
      <c r="B11" s="354"/>
      <c r="C11" s="86" t="s">
        <v>424</v>
      </c>
    </row>
    <row r="12" spans="1:3">
      <c r="A12" s="353"/>
      <c r="B12" s="354"/>
      <c r="C12" s="86" t="s">
        <v>425</v>
      </c>
    </row>
    <row r="13" spans="1:3" ht="16.5" customHeight="1">
      <c r="A13" s="353"/>
      <c r="B13" s="12" t="s">
        <v>42</v>
      </c>
      <c r="C13" s="86" t="s">
        <v>426</v>
      </c>
    </row>
    <row r="14" spans="1:3" ht="17.25" customHeight="1">
      <c r="A14" s="353" t="s">
        <v>39</v>
      </c>
      <c r="B14" s="12" t="s">
        <v>196</v>
      </c>
      <c r="C14" s="86" t="s">
        <v>427</v>
      </c>
    </row>
    <row r="15" spans="1:3" ht="17.25" customHeight="1">
      <c r="A15" s="353"/>
      <c r="B15" s="12" t="s">
        <v>5</v>
      </c>
      <c r="C15" s="86" t="s">
        <v>428</v>
      </c>
    </row>
    <row r="16" spans="1:3" ht="16.5" customHeight="1">
      <c r="A16" s="353"/>
      <c r="B16" s="12" t="s">
        <v>202</v>
      </c>
      <c r="C16" s="86" t="s">
        <v>429</v>
      </c>
    </row>
    <row r="17" spans="1:3" ht="16.5" customHeight="1">
      <c r="A17" s="353"/>
      <c r="B17" s="12" t="s">
        <v>275</v>
      </c>
      <c r="C17" s="86" t="s">
        <v>430</v>
      </c>
    </row>
    <row r="18" spans="1:3" ht="16.5" customHeight="1">
      <c r="A18" s="353"/>
      <c r="B18" s="12" t="s">
        <v>431</v>
      </c>
      <c r="C18" s="86" t="s">
        <v>432</v>
      </c>
    </row>
    <row r="19" spans="1:3" ht="16.5" customHeight="1">
      <c r="A19" s="353"/>
      <c r="B19" s="12" t="s">
        <v>433</v>
      </c>
      <c r="C19" s="86" t="s">
        <v>434</v>
      </c>
    </row>
    <row r="20" spans="1:3" ht="16.5" customHeight="1">
      <c r="A20" s="353"/>
      <c r="B20" s="12" t="s">
        <v>238</v>
      </c>
      <c r="C20" s="86" t="s">
        <v>435</v>
      </c>
    </row>
    <row r="21" spans="1:3" ht="16.5" customHeight="1">
      <c r="A21" s="355"/>
      <c r="B21" s="303" t="s">
        <v>43</v>
      </c>
      <c r="C21" s="304" t="s">
        <v>436</v>
      </c>
    </row>
    <row r="22" spans="1:3" ht="17.25" customHeight="1">
      <c r="A22" s="357" t="s">
        <v>5358</v>
      </c>
      <c r="B22" s="305" t="s">
        <v>5361</v>
      </c>
      <c r="C22" s="306" t="s">
        <v>5364</v>
      </c>
    </row>
    <row r="23" spans="1:3">
      <c r="A23" s="357"/>
      <c r="B23" s="305" t="s">
        <v>5359</v>
      </c>
      <c r="C23" s="306" t="s">
        <v>5365</v>
      </c>
    </row>
    <row r="24" spans="1:3" ht="17.25" thickBot="1">
      <c r="A24" s="358"/>
      <c r="B24" s="307" t="s">
        <v>5360</v>
      </c>
      <c r="C24" s="308" t="s">
        <v>5366</v>
      </c>
    </row>
  </sheetData>
  <mergeCells count="5">
    <mergeCell ref="A4:A13"/>
    <mergeCell ref="B6:B12"/>
    <mergeCell ref="A14:A21"/>
    <mergeCell ref="A2:C2"/>
    <mergeCell ref="A22:A24"/>
  </mergeCells>
  <phoneticPr fontId="1" type="noConversion"/>
  <hyperlinks>
    <hyperlink ref="A1" location="목록!A1" display="목록으로 이동" xr:uid="{8FA173BA-4F0E-4D42-AD9C-7A995BEFD1E2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3FCD-E7F6-4D1B-B914-FFC06D99E288}">
  <sheetPr codeName="Sheet57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5218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7651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154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SLP220301SW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6">
        <v>8</v>
      </c>
      <c r="E9" s="237" t="s">
        <v>4</v>
      </c>
      <c r="F9" s="271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6</v>
      </c>
      <c r="C10" s="376"/>
      <c r="D10" s="236">
        <v>4</v>
      </c>
      <c r="E10" s="237" t="s">
        <v>4</v>
      </c>
      <c r="F10" s="271" t="s">
        <v>5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7</v>
      </c>
      <c r="C11" s="376"/>
      <c r="D11" s="236">
        <v>5</v>
      </c>
      <c r="E11" s="237" t="s">
        <v>4</v>
      </c>
      <c r="F11" s="271" t="s">
        <v>5</v>
      </c>
      <c r="G11" s="209" t="s">
        <v>446</v>
      </c>
      <c r="H11" s="209" t="s">
        <v>446</v>
      </c>
      <c r="I11" s="366" t="s">
        <v>5099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210">
        <v>4</v>
      </c>
      <c r="B12" s="374" t="s">
        <v>8</v>
      </c>
      <c r="C12" s="376"/>
      <c r="D12" s="236">
        <v>4</v>
      </c>
      <c r="E12" s="237" t="s">
        <v>4</v>
      </c>
      <c r="F12" s="271" t="s">
        <v>5</v>
      </c>
      <c r="G12" s="209" t="s">
        <v>446</v>
      </c>
      <c r="H12" s="209" t="s">
        <v>446</v>
      </c>
      <c r="I12" s="366" t="s">
        <v>5100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10">
        <v>5</v>
      </c>
      <c r="B13" s="374" t="s">
        <v>10</v>
      </c>
      <c r="C13" s="376"/>
      <c r="D13" s="236">
        <v>18</v>
      </c>
      <c r="E13" s="237" t="s">
        <v>4</v>
      </c>
      <c r="F13" s="271" t="s">
        <v>5</v>
      </c>
      <c r="G13" s="209" t="s">
        <v>446</v>
      </c>
      <c r="H13" s="209" t="s">
        <v>446</v>
      </c>
      <c r="I13" s="366" t="s">
        <v>4944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">
      <c r="A14" s="210">
        <v>6</v>
      </c>
      <c r="B14" s="374" t="s">
        <v>51</v>
      </c>
      <c r="C14" s="376"/>
      <c r="D14" s="236">
        <v>1</v>
      </c>
      <c r="E14" s="237" t="s">
        <v>4</v>
      </c>
      <c r="F14" s="271" t="s">
        <v>5</v>
      </c>
      <c r="G14" s="209" t="s">
        <v>446</v>
      </c>
      <c r="H14" s="209" t="s">
        <v>446</v>
      </c>
      <c r="I14" s="366" t="s">
        <v>5195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5" customHeight="1">
      <c r="A15" s="210">
        <v>7</v>
      </c>
      <c r="B15" s="374" t="s">
        <v>184</v>
      </c>
      <c r="C15" s="376"/>
      <c r="D15" s="236">
        <v>20</v>
      </c>
      <c r="E15" s="237" t="s">
        <v>41</v>
      </c>
      <c r="F15" s="271" t="s">
        <v>5</v>
      </c>
      <c r="G15" s="209" t="s">
        <v>446</v>
      </c>
      <c r="H15" s="209" t="s">
        <v>446</v>
      </c>
      <c r="I15" s="366" t="s">
        <v>5181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5" customHeight="1">
      <c r="A16" s="210">
        <v>8</v>
      </c>
      <c r="B16" s="374" t="s">
        <v>185</v>
      </c>
      <c r="C16" s="376"/>
      <c r="D16" s="236">
        <v>20</v>
      </c>
      <c r="E16" s="237" t="s">
        <v>42</v>
      </c>
      <c r="F16" s="271" t="s">
        <v>5</v>
      </c>
      <c r="G16" s="209" t="s">
        <v>446</v>
      </c>
      <c r="H16" s="209" t="s">
        <v>446</v>
      </c>
      <c r="I16" s="366" t="s">
        <v>5101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5" customHeight="1">
      <c r="A17" s="210">
        <v>9</v>
      </c>
      <c r="B17" s="374" t="s">
        <v>186</v>
      </c>
      <c r="C17" s="376"/>
      <c r="D17" s="236">
        <v>20</v>
      </c>
      <c r="E17" s="237" t="s">
        <v>41</v>
      </c>
      <c r="F17" s="271" t="s">
        <v>5</v>
      </c>
      <c r="G17" s="209" t="s">
        <v>446</v>
      </c>
      <c r="H17" s="209" t="s">
        <v>446</v>
      </c>
      <c r="I17" s="366" t="s">
        <v>5187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4" t="s">
        <v>187</v>
      </c>
      <c r="C18" s="376"/>
      <c r="D18" s="236">
        <v>20</v>
      </c>
      <c r="E18" s="237" t="s">
        <v>42</v>
      </c>
      <c r="F18" s="271" t="s">
        <v>5</v>
      </c>
      <c r="G18" s="209" t="s">
        <v>446</v>
      </c>
      <c r="H18" s="209" t="s">
        <v>446</v>
      </c>
      <c r="I18" s="366" t="s">
        <v>5102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 customHeight="1">
      <c r="A19" s="210">
        <v>11</v>
      </c>
      <c r="B19" s="374" t="s">
        <v>188</v>
      </c>
      <c r="C19" s="376"/>
      <c r="D19" s="236">
        <v>1</v>
      </c>
      <c r="E19" s="237" t="s">
        <v>4</v>
      </c>
      <c r="F19" s="271" t="s">
        <v>5</v>
      </c>
      <c r="G19" s="209" t="s">
        <v>446</v>
      </c>
      <c r="H19" s="209" t="s">
        <v>446</v>
      </c>
      <c r="I19" s="509" t="s">
        <v>5320</v>
      </c>
      <c r="J19" s="509"/>
      <c r="K19" s="50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>
      <c r="A20" s="210">
        <v>12</v>
      </c>
      <c r="B20" s="374" t="s">
        <v>189</v>
      </c>
      <c r="C20" s="376"/>
      <c r="D20" s="236">
        <v>2</v>
      </c>
      <c r="E20" s="237" t="s">
        <v>4</v>
      </c>
      <c r="F20" s="271" t="s">
        <v>5</v>
      </c>
      <c r="G20" s="209" t="s">
        <v>446</v>
      </c>
      <c r="H20" s="209" t="s">
        <v>446</v>
      </c>
      <c r="I20" s="366" t="s">
        <v>5264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374" t="s">
        <v>190</v>
      </c>
      <c r="C21" s="376"/>
      <c r="D21" s="236">
        <v>1</v>
      </c>
      <c r="E21" s="237" t="s">
        <v>4</v>
      </c>
      <c r="F21" s="271" t="s">
        <v>5</v>
      </c>
      <c r="G21" s="209" t="s">
        <v>446</v>
      </c>
      <c r="H21" s="209" t="s">
        <v>446</v>
      </c>
      <c r="I21" s="366" t="s">
        <v>5325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30" customHeight="1">
      <c r="A22" s="210">
        <v>14</v>
      </c>
      <c r="B22" s="374" t="s">
        <v>191</v>
      </c>
      <c r="C22" s="376"/>
      <c r="D22" s="236">
        <v>60</v>
      </c>
      <c r="E22" s="237" t="s">
        <v>42</v>
      </c>
      <c r="F22" s="271" t="s">
        <v>5</v>
      </c>
      <c r="G22" s="209" t="s">
        <v>4661</v>
      </c>
      <c r="H22" s="209" t="s">
        <v>4661</v>
      </c>
      <c r="I22" s="366" t="s">
        <v>5270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374" t="s">
        <v>13</v>
      </c>
      <c r="C23" s="376"/>
      <c r="D23" s="236">
        <v>20</v>
      </c>
      <c r="E23" s="237" t="s">
        <v>41</v>
      </c>
      <c r="F23" s="271" t="s">
        <v>5</v>
      </c>
      <c r="G23" s="209" t="s">
        <v>4661</v>
      </c>
      <c r="H23" s="209" t="s">
        <v>4661</v>
      </c>
      <c r="I23" s="366" t="s">
        <v>5261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5" customHeight="1">
      <c r="A24" s="210">
        <v>16</v>
      </c>
      <c r="B24" s="374" t="s">
        <v>4662</v>
      </c>
      <c r="C24" s="376"/>
      <c r="D24" s="236">
        <v>10</v>
      </c>
      <c r="E24" s="237" t="s">
        <v>42</v>
      </c>
      <c r="F24" s="271" t="s">
        <v>5</v>
      </c>
      <c r="G24" s="209" t="s">
        <v>446</v>
      </c>
      <c r="H24" s="209" t="s">
        <v>446</v>
      </c>
      <c r="I24" s="366" t="s">
        <v>5197</v>
      </c>
      <c r="J24" s="367"/>
      <c r="K24" s="429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5198</v>
      </c>
      <c r="C25" s="376"/>
      <c r="D25" s="236">
        <v>30</v>
      </c>
      <c r="E25" s="237" t="s">
        <v>41</v>
      </c>
      <c r="F25" s="271" t="s">
        <v>5</v>
      </c>
      <c r="G25" s="209" t="s">
        <v>446</v>
      </c>
      <c r="H25" s="209" t="s">
        <v>446</v>
      </c>
      <c r="I25" s="366" t="s">
        <v>5063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5105</v>
      </c>
      <c r="C26" s="376"/>
      <c r="D26" s="236">
        <v>10</v>
      </c>
      <c r="E26" s="237" t="s">
        <v>42</v>
      </c>
      <c r="F26" s="271" t="s">
        <v>5</v>
      </c>
      <c r="G26" s="209" t="s">
        <v>446</v>
      </c>
      <c r="H26" s="209" t="s">
        <v>446</v>
      </c>
      <c r="I26" s="366" t="s">
        <v>5106</v>
      </c>
      <c r="J26" s="367"/>
      <c r="K26" s="429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5107</v>
      </c>
      <c r="C27" s="376"/>
      <c r="D27" s="236">
        <v>30</v>
      </c>
      <c r="E27" s="237" t="s">
        <v>41</v>
      </c>
      <c r="F27" s="271" t="s">
        <v>5</v>
      </c>
      <c r="G27" s="209" t="s">
        <v>446</v>
      </c>
      <c r="H27" s="209" t="s">
        <v>446</v>
      </c>
      <c r="I27" s="366" t="s">
        <v>5065</v>
      </c>
      <c r="J27" s="367"/>
      <c r="K27" s="429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30" customHeight="1">
      <c r="A28" s="210">
        <v>20</v>
      </c>
      <c r="B28" s="374" t="s">
        <v>328</v>
      </c>
      <c r="C28" s="376"/>
      <c r="D28" s="236">
        <v>1</v>
      </c>
      <c r="E28" s="237" t="s">
        <v>4</v>
      </c>
      <c r="F28" s="271" t="s">
        <v>5</v>
      </c>
      <c r="G28" s="209" t="s">
        <v>446</v>
      </c>
      <c r="H28" s="209" t="s">
        <v>446</v>
      </c>
      <c r="I28" s="366" t="s">
        <v>5217</v>
      </c>
      <c r="J28" s="367"/>
      <c r="K28" s="429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44.25" customHeight="1">
      <c r="A29" s="210">
        <v>21</v>
      </c>
      <c r="B29" s="374" t="s">
        <v>5199</v>
      </c>
      <c r="C29" s="376"/>
      <c r="D29" s="236">
        <v>4</v>
      </c>
      <c r="E29" s="237" t="s">
        <v>4</v>
      </c>
      <c r="F29" s="271" t="s">
        <v>5</v>
      </c>
      <c r="G29" s="209" t="s">
        <v>4661</v>
      </c>
      <c r="H29" s="209" t="s">
        <v>4661</v>
      </c>
      <c r="I29" s="366" t="s">
        <v>5210</v>
      </c>
      <c r="J29" s="367"/>
      <c r="K29" s="429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96.75" customHeight="1">
      <c r="A30" s="210">
        <v>22</v>
      </c>
      <c r="B30" s="374" t="s">
        <v>339</v>
      </c>
      <c r="C30" s="376"/>
      <c r="D30" s="236">
        <v>1</v>
      </c>
      <c r="E30" s="237" t="s">
        <v>4</v>
      </c>
      <c r="F30" s="271" t="s">
        <v>5</v>
      </c>
      <c r="G30" s="209" t="s">
        <v>446</v>
      </c>
      <c r="H30" s="209" t="s">
        <v>446</v>
      </c>
      <c r="I30" s="366" t="s">
        <v>5010</v>
      </c>
      <c r="J30" s="367"/>
      <c r="K30" s="429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30" customHeight="1">
      <c r="A31" s="210">
        <v>23</v>
      </c>
      <c r="B31" s="374" t="s">
        <v>218</v>
      </c>
      <c r="C31" s="376"/>
      <c r="D31" s="236">
        <v>5</v>
      </c>
      <c r="E31" s="237" t="s">
        <v>4</v>
      </c>
      <c r="F31" s="271" t="s">
        <v>5</v>
      </c>
      <c r="G31" s="209" t="s">
        <v>4661</v>
      </c>
      <c r="H31" s="209" t="s">
        <v>4661</v>
      </c>
      <c r="I31" s="366" t="s">
        <v>5266</v>
      </c>
      <c r="J31" s="367"/>
      <c r="K31" s="429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30" customHeight="1">
      <c r="A32" s="210">
        <v>24</v>
      </c>
      <c r="B32" s="374" t="s">
        <v>5200</v>
      </c>
      <c r="C32" s="376"/>
      <c r="D32" s="236">
        <v>5</v>
      </c>
      <c r="E32" s="237" t="s">
        <v>4</v>
      </c>
      <c r="F32" s="271" t="s">
        <v>5</v>
      </c>
      <c r="G32" s="209" t="s">
        <v>4661</v>
      </c>
      <c r="H32" s="209" t="s">
        <v>4661</v>
      </c>
      <c r="I32" s="366" t="s">
        <v>5269</v>
      </c>
      <c r="J32" s="367"/>
      <c r="K32" s="429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30" customHeight="1">
      <c r="A33" s="210">
        <v>25</v>
      </c>
      <c r="B33" s="374" t="s">
        <v>5201</v>
      </c>
      <c r="C33" s="376"/>
      <c r="D33" s="236">
        <v>16</v>
      </c>
      <c r="E33" s="237" t="s">
        <v>42</v>
      </c>
      <c r="F33" s="271" t="s">
        <v>5</v>
      </c>
      <c r="G33" s="209" t="s">
        <v>4661</v>
      </c>
      <c r="H33" s="209" t="s">
        <v>4661</v>
      </c>
      <c r="I33" s="366" t="s">
        <v>5268</v>
      </c>
      <c r="J33" s="367"/>
      <c r="K33" s="429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30" customHeight="1">
      <c r="A34" s="210">
        <v>26</v>
      </c>
      <c r="B34" s="374" t="s">
        <v>335</v>
      </c>
      <c r="C34" s="376"/>
      <c r="D34" s="236">
        <v>9</v>
      </c>
      <c r="E34" s="237" t="s">
        <v>42</v>
      </c>
      <c r="F34" s="271" t="s">
        <v>5</v>
      </c>
      <c r="G34" s="209" t="s">
        <v>4661</v>
      </c>
      <c r="H34" s="209" t="s">
        <v>4661</v>
      </c>
      <c r="I34" s="366" t="s">
        <v>5267</v>
      </c>
      <c r="J34" s="367"/>
      <c r="K34" s="429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42.75" customHeight="1">
      <c r="A35" s="210">
        <v>27</v>
      </c>
      <c r="B35" s="374" t="s">
        <v>5202</v>
      </c>
      <c r="C35" s="376"/>
      <c r="D35" s="236">
        <v>6</v>
      </c>
      <c r="E35" s="237" t="s">
        <v>4</v>
      </c>
      <c r="F35" s="271" t="s">
        <v>5</v>
      </c>
      <c r="G35" s="209" t="s">
        <v>446</v>
      </c>
      <c r="H35" s="209" t="s">
        <v>446</v>
      </c>
      <c r="I35" s="366" t="s">
        <v>5215</v>
      </c>
      <c r="J35" s="367"/>
      <c r="K35" s="429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42.75" customHeight="1">
      <c r="A36" s="210">
        <v>28</v>
      </c>
      <c r="B36" s="374" t="s">
        <v>23</v>
      </c>
      <c r="C36" s="376"/>
      <c r="D36" s="236">
        <v>6</v>
      </c>
      <c r="E36" s="237" t="s">
        <v>4</v>
      </c>
      <c r="F36" s="271" t="s">
        <v>5</v>
      </c>
      <c r="G36" s="209" t="s">
        <v>446</v>
      </c>
      <c r="H36" s="209" t="s">
        <v>446</v>
      </c>
      <c r="I36" s="366" t="s">
        <v>5216</v>
      </c>
      <c r="J36" s="367"/>
      <c r="K36" s="429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s="1" customFormat="1" ht="54">
      <c r="A37" s="210">
        <v>29</v>
      </c>
      <c r="B37" s="374" t="s">
        <v>54</v>
      </c>
      <c r="C37" s="376"/>
      <c r="D37" s="236">
        <v>1</v>
      </c>
      <c r="E37" s="237" t="s">
        <v>4</v>
      </c>
      <c r="F37" s="271" t="s">
        <v>5</v>
      </c>
      <c r="G37" s="209" t="s">
        <v>446</v>
      </c>
      <c r="H37" s="209" t="s">
        <v>446</v>
      </c>
      <c r="I37" s="512" t="s">
        <v>5208</v>
      </c>
      <c r="J37" s="513"/>
      <c r="K37" s="514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s="1" customFormat="1" ht="15" customHeight="1">
      <c r="A38" s="210">
        <v>30</v>
      </c>
      <c r="B38" s="374" t="s">
        <v>331</v>
      </c>
      <c r="C38" s="376"/>
      <c r="D38" s="236">
        <v>2</v>
      </c>
      <c r="E38" s="237" t="s">
        <v>4</v>
      </c>
      <c r="F38" s="271" t="s">
        <v>5</v>
      </c>
      <c r="G38" s="209" t="s">
        <v>446</v>
      </c>
      <c r="H38" s="209" t="s">
        <v>446</v>
      </c>
      <c r="I38" s="366" t="s">
        <v>5203</v>
      </c>
      <c r="J38" s="367"/>
      <c r="K38" s="42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s="1" customFormat="1" ht="30" customHeight="1">
      <c r="A39" s="210">
        <v>31</v>
      </c>
      <c r="B39" s="374" t="s">
        <v>5111</v>
      </c>
      <c r="C39" s="376"/>
      <c r="D39" s="236">
        <v>18</v>
      </c>
      <c r="E39" s="237" t="s">
        <v>4</v>
      </c>
      <c r="F39" s="271" t="s">
        <v>5</v>
      </c>
      <c r="G39" s="209" t="s">
        <v>446</v>
      </c>
      <c r="H39" s="209" t="s">
        <v>446</v>
      </c>
      <c r="I39" s="366" t="s">
        <v>5204</v>
      </c>
      <c r="J39" s="367"/>
      <c r="K39" s="42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s="1" customFormat="1" ht="30" customHeight="1">
      <c r="A40" s="210">
        <v>32</v>
      </c>
      <c r="B40" s="374" t="s">
        <v>44</v>
      </c>
      <c r="C40" s="376"/>
      <c r="D40" s="236">
        <v>18</v>
      </c>
      <c r="E40" s="237" t="s">
        <v>4</v>
      </c>
      <c r="F40" s="271" t="s">
        <v>5</v>
      </c>
      <c r="G40" s="209" t="s">
        <v>446</v>
      </c>
      <c r="H40" s="209" t="s">
        <v>446</v>
      </c>
      <c r="I40" s="366" t="s">
        <v>5205</v>
      </c>
      <c r="J40" s="367"/>
      <c r="K40" s="42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374" t="s">
        <v>216</v>
      </c>
      <c r="C41" s="376"/>
      <c r="D41" s="236">
        <v>18</v>
      </c>
      <c r="E41" s="237" t="s">
        <v>4</v>
      </c>
      <c r="F41" s="271" t="s">
        <v>5</v>
      </c>
      <c r="G41" s="209" t="s">
        <v>446</v>
      </c>
      <c r="H41" s="209" t="s">
        <v>446</v>
      </c>
      <c r="I41" s="366" t="s">
        <v>5206</v>
      </c>
      <c r="J41" s="367"/>
      <c r="K41" s="42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15" customHeight="1">
      <c r="A42" s="210">
        <v>34</v>
      </c>
      <c r="B42" s="374" t="s">
        <v>5066</v>
      </c>
      <c r="C42" s="376"/>
      <c r="D42" s="236">
        <v>18</v>
      </c>
      <c r="E42" s="237" t="s">
        <v>4</v>
      </c>
      <c r="F42" s="271" t="s">
        <v>5</v>
      </c>
      <c r="G42" s="209" t="s">
        <v>446</v>
      </c>
      <c r="H42" s="209" t="s">
        <v>446</v>
      </c>
      <c r="I42" s="366" t="s">
        <v>5018</v>
      </c>
      <c r="J42" s="367"/>
      <c r="K42" s="42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15" customHeight="1">
      <c r="A43" s="210">
        <v>35</v>
      </c>
      <c r="B43" s="374" t="s">
        <v>5067</v>
      </c>
      <c r="C43" s="376"/>
      <c r="D43" s="236">
        <v>18</v>
      </c>
      <c r="E43" s="237" t="s">
        <v>4</v>
      </c>
      <c r="F43" s="271" t="s">
        <v>5</v>
      </c>
      <c r="G43" s="209" t="s">
        <v>446</v>
      </c>
      <c r="H43" s="209" t="s">
        <v>446</v>
      </c>
      <c r="I43" s="366" t="s">
        <v>5019</v>
      </c>
      <c r="J43" s="367"/>
      <c r="K43" s="42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15" customHeight="1">
      <c r="A44" s="210">
        <v>36</v>
      </c>
      <c r="B44" s="374" t="s">
        <v>45</v>
      </c>
      <c r="C44" s="376"/>
      <c r="D44" s="236">
        <v>4</v>
      </c>
      <c r="E44" s="237" t="s">
        <v>4</v>
      </c>
      <c r="F44" s="271" t="s">
        <v>5</v>
      </c>
      <c r="G44" s="209" t="s">
        <v>446</v>
      </c>
      <c r="H44" s="209" t="s">
        <v>446</v>
      </c>
      <c r="I44" s="366" t="s">
        <v>5207</v>
      </c>
      <c r="J44" s="367"/>
      <c r="K44" s="429"/>
      <c r="L44" s="196" t="str">
        <f ca="1">IFERROR(_xlfn.TEXTJOIN(CHAR(10), TRUE, OFFSET('&lt;별첨9&gt;전체코드'!E:E, MATCH(B44,'&lt;별첨9&gt;전체코드'!A:A,0)-1, 0, COUNTIF('&lt;별첨9&gt;전체코드'!A:A,B44), 1)), "")</f>
        <v>&lt;별첨3&gt; 참조</v>
      </c>
    </row>
    <row r="45" spans="1:12" s="1" customFormat="1" ht="67.5" customHeight="1">
      <c r="A45" s="210">
        <v>37</v>
      </c>
      <c r="B45" s="366" t="s">
        <v>5155</v>
      </c>
      <c r="C45" s="429"/>
      <c r="D45" s="236">
        <v>1</v>
      </c>
      <c r="E45" s="237" t="s">
        <v>79</v>
      </c>
      <c r="F45" s="271" t="s">
        <v>78</v>
      </c>
      <c r="G45" s="209" t="s">
        <v>446</v>
      </c>
      <c r="H45" s="209" t="s">
        <v>446</v>
      </c>
      <c r="I45" s="366" t="s">
        <v>5322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>
      <c r="A46" s="210">
        <v>38</v>
      </c>
      <c r="B46" s="366" t="s">
        <v>5157</v>
      </c>
      <c r="C46" s="429"/>
      <c r="D46" s="236">
        <v>2</v>
      </c>
      <c r="E46" s="237" t="s">
        <v>79</v>
      </c>
      <c r="F46" s="271" t="s">
        <v>78</v>
      </c>
      <c r="G46" s="209" t="s">
        <v>446</v>
      </c>
      <c r="H46" s="209" t="s">
        <v>446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s="1" customFormat="1" ht="15" customHeight="1" thickBot="1">
      <c r="A47" s="213">
        <v>39</v>
      </c>
      <c r="B47" s="422" t="s">
        <v>25</v>
      </c>
      <c r="C47" s="424"/>
      <c r="D47" s="272">
        <v>123</v>
      </c>
      <c r="E47" s="267" t="s">
        <v>26</v>
      </c>
      <c r="F47" s="273" t="s">
        <v>5</v>
      </c>
      <c r="G47" s="108" t="s">
        <v>4690</v>
      </c>
      <c r="H47" s="108" t="s">
        <v>4690</v>
      </c>
      <c r="I47" s="479" t="s">
        <v>254</v>
      </c>
      <c r="J47" s="480"/>
      <c r="K47" s="515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47:K47"/>
    <mergeCell ref="I45:K45"/>
    <mergeCell ref="I43:K43"/>
    <mergeCell ref="I41:K41"/>
    <mergeCell ref="I39:K39"/>
    <mergeCell ref="I44:K44"/>
    <mergeCell ref="I46:K46"/>
    <mergeCell ref="I37:K37"/>
    <mergeCell ref="I35:K35"/>
    <mergeCell ref="I33:K33"/>
    <mergeCell ref="I31:K31"/>
    <mergeCell ref="I29:K29"/>
    <mergeCell ref="I7:K7"/>
    <mergeCell ref="C3:L3"/>
    <mergeCell ref="G4:I4"/>
    <mergeCell ref="K4:L4"/>
    <mergeCell ref="B7:C7"/>
    <mergeCell ref="A2:L2"/>
    <mergeCell ref="A5:B5"/>
    <mergeCell ref="D5:F5"/>
    <mergeCell ref="A3:B3"/>
    <mergeCell ref="A4:B4"/>
    <mergeCell ref="D4:F4"/>
    <mergeCell ref="G5:I5"/>
    <mergeCell ref="K5:L5"/>
    <mergeCell ref="B8:C8"/>
    <mergeCell ref="B9:C9"/>
    <mergeCell ref="I8:K8"/>
    <mergeCell ref="B10:C10"/>
    <mergeCell ref="B11:C11"/>
    <mergeCell ref="I11:K11"/>
    <mergeCell ref="I9:K9"/>
    <mergeCell ref="B12:C12"/>
    <mergeCell ref="I10:K10"/>
    <mergeCell ref="I12:K12"/>
    <mergeCell ref="B13:C13"/>
    <mergeCell ref="B14:C14"/>
    <mergeCell ref="I13:K13"/>
    <mergeCell ref="B15:C15"/>
    <mergeCell ref="I14:K14"/>
    <mergeCell ref="B16:C16"/>
    <mergeCell ref="B17:C17"/>
    <mergeCell ref="B18:C18"/>
    <mergeCell ref="I16:K16"/>
    <mergeCell ref="I18:K18"/>
    <mergeCell ref="I17:K17"/>
    <mergeCell ref="I15:K15"/>
    <mergeCell ref="B19:C19"/>
    <mergeCell ref="B20:C20"/>
    <mergeCell ref="B21:C21"/>
    <mergeCell ref="I20:K20"/>
    <mergeCell ref="B22:C22"/>
    <mergeCell ref="I21:K21"/>
    <mergeCell ref="I19:K19"/>
    <mergeCell ref="B23:C23"/>
    <mergeCell ref="B24:C24"/>
    <mergeCell ref="I22:K22"/>
    <mergeCell ref="I24:K24"/>
    <mergeCell ref="B25:C25"/>
    <mergeCell ref="I25:K25"/>
    <mergeCell ref="I23:K23"/>
    <mergeCell ref="B26:C26"/>
    <mergeCell ref="B27:C27"/>
    <mergeCell ref="I26:K26"/>
    <mergeCell ref="B28:C28"/>
    <mergeCell ref="B29:C29"/>
    <mergeCell ref="I27:K27"/>
    <mergeCell ref="B30:C30"/>
    <mergeCell ref="I28:K28"/>
    <mergeCell ref="I30:K30"/>
    <mergeCell ref="B31:C31"/>
    <mergeCell ref="B32:C32"/>
    <mergeCell ref="B33:C33"/>
    <mergeCell ref="I32:K32"/>
    <mergeCell ref="B34:C34"/>
    <mergeCell ref="B35:C35"/>
    <mergeCell ref="B36:C36"/>
    <mergeCell ref="I34:K34"/>
    <mergeCell ref="I36:K36"/>
    <mergeCell ref="B37:C37"/>
    <mergeCell ref="B47:C47"/>
    <mergeCell ref="B43:C43"/>
    <mergeCell ref="B44:C44"/>
    <mergeCell ref="B45:C45"/>
    <mergeCell ref="B38:C38"/>
    <mergeCell ref="B39:C39"/>
    <mergeCell ref="B46:C46"/>
    <mergeCell ref="I38:K38"/>
    <mergeCell ref="B40:C40"/>
    <mergeCell ref="B41:C41"/>
    <mergeCell ref="B42:C42"/>
    <mergeCell ref="I40:K40"/>
    <mergeCell ref="I42:K4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2E4A-14A0-4057-BA09-72E5437407F5}">
  <sheetPr codeName="Sheet58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5219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7652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155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ZLP240103ZW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6">
        <v>8</v>
      </c>
      <c r="E9" s="237" t="s">
        <v>4</v>
      </c>
      <c r="F9" s="271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6</v>
      </c>
      <c r="C10" s="376"/>
      <c r="D10" s="236">
        <v>4</v>
      </c>
      <c r="E10" s="237" t="s">
        <v>4</v>
      </c>
      <c r="F10" s="271" t="s">
        <v>5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7</v>
      </c>
      <c r="C11" s="376"/>
      <c r="D11" s="236">
        <v>5</v>
      </c>
      <c r="E11" s="237" t="s">
        <v>4</v>
      </c>
      <c r="F11" s="271" t="s">
        <v>5</v>
      </c>
      <c r="G11" s="209" t="s">
        <v>446</v>
      </c>
      <c r="H11" s="209" t="s">
        <v>446</v>
      </c>
      <c r="I11" s="366" t="s">
        <v>5099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210">
        <v>4</v>
      </c>
      <c r="B12" s="374" t="s">
        <v>8</v>
      </c>
      <c r="C12" s="376"/>
      <c r="D12" s="236">
        <v>4</v>
      </c>
      <c r="E12" s="237" t="s">
        <v>4</v>
      </c>
      <c r="F12" s="271" t="s">
        <v>5</v>
      </c>
      <c r="G12" s="209" t="s">
        <v>446</v>
      </c>
      <c r="H12" s="209" t="s">
        <v>446</v>
      </c>
      <c r="I12" s="366" t="s">
        <v>5100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10">
        <v>5</v>
      </c>
      <c r="B13" s="374" t="s">
        <v>10</v>
      </c>
      <c r="C13" s="376"/>
      <c r="D13" s="236">
        <v>18</v>
      </c>
      <c r="E13" s="237" t="s">
        <v>4</v>
      </c>
      <c r="F13" s="271" t="s">
        <v>5</v>
      </c>
      <c r="G13" s="209" t="s">
        <v>446</v>
      </c>
      <c r="H13" s="209" t="s">
        <v>446</v>
      </c>
      <c r="I13" s="366" t="s">
        <v>4944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">
      <c r="A14" s="210">
        <v>6</v>
      </c>
      <c r="B14" s="374" t="s">
        <v>51</v>
      </c>
      <c r="C14" s="376"/>
      <c r="D14" s="236">
        <v>1</v>
      </c>
      <c r="E14" s="237" t="s">
        <v>4</v>
      </c>
      <c r="F14" s="271" t="s">
        <v>5</v>
      </c>
      <c r="G14" s="209" t="s">
        <v>446</v>
      </c>
      <c r="H14" s="209" t="s">
        <v>446</v>
      </c>
      <c r="I14" s="366" t="s">
        <v>5195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5" customHeight="1">
      <c r="A15" s="210">
        <v>7</v>
      </c>
      <c r="B15" s="374" t="s">
        <v>184</v>
      </c>
      <c r="C15" s="376"/>
      <c r="D15" s="236">
        <v>20</v>
      </c>
      <c r="E15" s="237" t="s">
        <v>41</v>
      </c>
      <c r="F15" s="271" t="s">
        <v>5</v>
      </c>
      <c r="G15" s="209" t="s">
        <v>446</v>
      </c>
      <c r="H15" s="209" t="s">
        <v>446</v>
      </c>
      <c r="I15" s="366" t="s">
        <v>5181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5" customHeight="1">
      <c r="A16" s="210">
        <v>8</v>
      </c>
      <c r="B16" s="374" t="s">
        <v>185</v>
      </c>
      <c r="C16" s="376"/>
      <c r="D16" s="236">
        <v>20</v>
      </c>
      <c r="E16" s="237" t="s">
        <v>42</v>
      </c>
      <c r="F16" s="271" t="s">
        <v>5</v>
      </c>
      <c r="G16" s="209" t="s">
        <v>446</v>
      </c>
      <c r="H16" s="209" t="s">
        <v>446</v>
      </c>
      <c r="I16" s="366" t="s">
        <v>5101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5" customHeight="1">
      <c r="A17" s="210">
        <v>9</v>
      </c>
      <c r="B17" s="374" t="s">
        <v>186</v>
      </c>
      <c r="C17" s="376"/>
      <c r="D17" s="236">
        <v>20</v>
      </c>
      <c r="E17" s="237" t="s">
        <v>41</v>
      </c>
      <c r="F17" s="271" t="s">
        <v>5</v>
      </c>
      <c r="G17" s="209" t="s">
        <v>446</v>
      </c>
      <c r="H17" s="209" t="s">
        <v>446</v>
      </c>
      <c r="I17" s="366" t="s">
        <v>5187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4" t="s">
        <v>187</v>
      </c>
      <c r="C18" s="376"/>
      <c r="D18" s="236">
        <v>20</v>
      </c>
      <c r="E18" s="237" t="s">
        <v>42</v>
      </c>
      <c r="F18" s="271" t="s">
        <v>5</v>
      </c>
      <c r="G18" s="209" t="s">
        <v>446</v>
      </c>
      <c r="H18" s="209" t="s">
        <v>446</v>
      </c>
      <c r="I18" s="366" t="s">
        <v>5102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 customHeight="1">
      <c r="A19" s="210">
        <v>11</v>
      </c>
      <c r="B19" s="374" t="s">
        <v>188</v>
      </c>
      <c r="C19" s="376"/>
      <c r="D19" s="236">
        <v>1</v>
      </c>
      <c r="E19" s="237" t="s">
        <v>4</v>
      </c>
      <c r="F19" s="271" t="s">
        <v>5</v>
      </c>
      <c r="G19" s="209" t="s">
        <v>446</v>
      </c>
      <c r="H19" s="209" t="s">
        <v>446</v>
      </c>
      <c r="I19" s="509" t="s">
        <v>5326</v>
      </c>
      <c r="J19" s="509"/>
      <c r="K19" s="50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 customHeight="1">
      <c r="A20" s="210">
        <v>12</v>
      </c>
      <c r="B20" s="374" t="s">
        <v>189</v>
      </c>
      <c r="C20" s="376"/>
      <c r="D20" s="236">
        <v>2</v>
      </c>
      <c r="E20" s="237" t="s">
        <v>4</v>
      </c>
      <c r="F20" s="271" t="s">
        <v>5</v>
      </c>
      <c r="G20" s="209" t="s">
        <v>446</v>
      </c>
      <c r="H20" s="209" t="s">
        <v>446</v>
      </c>
      <c r="I20" s="366" t="s">
        <v>5264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374" t="s">
        <v>190</v>
      </c>
      <c r="C21" s="376"/>
      <c r="D21" s="236">
        <v>1</v>
      </c>
      <c r="E21" s="237" t="s">
        <v>4</v>
      </c>
      <c r="F21" s="271" t="s">
        <v>5</v>
      </c>
      <c r="G21" s="209" t="s">
        <v>446</v>
      </c>
      <c r="H21" s="209" t="s">
        <v>446</v>
      </c>
      <c r="I21" s="366" t="s">
        <v>5325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30" customHeight="1">
      <c r="A22" s="210">
        <v>14</v>
      </c>
      <c r="B22" s="374" t="s">
        <v>191</v>
      </c>
      <c r="C22" s="376"/>
      <c r="D22" s="236">
        <v>60</v>
      </c>
      <c r="E22" s="237" t="s">
        <v>42</v>
      </c>
      <c r="F22" s="271" t="s">
        <v>5</v>
      </c>
      <c r="G22" s="209" t="s">
        <v>4661</v>
      </c>
      <c r="H22" s="209" t="s">
        <v>4661</v>
      </c>
      <c r="I22" s="366" t="s">
        <v>5270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374" t="s">
        <v>13</v>
      </c>
      <c r="C23" s="376"/>
      <c r="D23" s="236">
        <v>20</v>
      </c>
      <c r="E23" s="237" t="s">
        <v>41</v>
      </c>
      <c r="F23" s="271" t="s">
        <v>5</v>
      </c>
      <c r="G23" s="209" t="s">
        <v>4661</v>
      </c>
      <c r="H23" s="209" t="s">
        <v>4661</v>
      </c>
      <c r="I23" s="366" t="s">
        <v>5196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5" customHeight="1">
      <c r="A24" s="210">
        <v>16</v>
      </c>
      <c r="B24" s="374" t="s">
        <v>4662</v>
      </c>
      <c r="C24" s="376"/>
      <c r="D24" s="236">
        <v>10</v>
      </c>
      <c r="E24" s="237" t="s">
        <v>42</v>
      </c>
      <c r="F24" s="271" t="s">
        <v>5</v>
      </c>
      <c r="G24" s="209" t="s">
        <v>446</v>
      </c>
      <c r="H24" s="209" t="s">
        <v>446</v>
      </c>
      <c r="I24" s="366" t="s">
        <v>5197</v>
      </c>
      <c r="J24" s="367"/>
      <c r="K24" s="429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5198</v>
      </c>
      <c r="C25" s="376"/>
      <c r="D25" s="236">
        <v>30</v>
      </c>
      <c r="E25" s="237" t="s">
        <v>41</v>
      </c>
      <c r="F25" s="271" t="s">
        <v>5</v>
      </c>
      <c r="G25" s="209" t="s">
        <v>446</v>
      </c>
      <c r="H25" s="209" t="s">
        <v>446</v>
      </c>
      <c r="I25" s="366" t="s">
        <v>5063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5105</v>
      </c>
      <c r="C26" s="376"/>
      <c r="D26" s="236">
        <v>10</v>
      </c>
      <c r="E26" s="237" t="s">
        <v>42</v>
      </c>
      <c r="F26" s="271" t="s">
        <v>5</v>
      </c>
      <c r="G26" s="209" t="s">
        <v>446</v>
      </c>
      <c r="H26" s="209" t="s">
        <v>446</v>
      </c>
      <c r="I26" s="366" t="s">
        <v>5106</v>
      </c>
      <c r="J26" s="367"/>
      <c r="K26" s="429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5107</v>
      </c>
      <c r="C27" s="376"/>
      <c r="D27" s="236">
        <v>30</v>
      </c>
      <c r="E27" s="237" t="s">
        <v>41</v>
      </c>
      <c r="F27" s="271" t="s">
        <v>5</v>
      </c>
      <c r="G27" s="209" t="s">
        <v>446</v>
      </c>
      <c r="H27" s="209" t="s">
        <v>446</v>
      </c>
      <c r="I27" s="366" t="s">
        <v>5065</v>
      </c>
      <c r="J27" s="367"/>
      <c r="K27" s="429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27" customHeight="1">
      <c r="A28" s="210">
        <v>20</v>
      </c>
      <c r="B28" s="374" t="s">
        <v>328</v>
      </c>
      <c r="C28" s="376"/>
      <c r="D28" s="236">
        <v>1</v>
      </c>
      <c r="E28" s="237" t="s">
        <v>4</v>
      </c>
      <c r="F28" s="271" t="s">
        <v>5</v>
      </c>
      <c r="G28" s="209" t="s">
        <v>446</v>
      </c>
      <c r="H28" s="209" t="s">
        <v>446</v>
      </c>
      <c r="I28" s="366" t="s">
        <v>5327</v>
      </c>
      <c r="J28" s="367"/>
      <c r="K28" s="429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30" customHeight="1">
      <c r="A29" s="210">
        <v>21</v>
      </c>
      <c r="B29" s="374" t="s">
        <v>5199</v>
      </c>
      <c r="C29" s="376"/>
      <c r="D29" s="236">
        <v>4</v>
      </c>
      <c r="E29" s="237" t="s">
        <v>4</v>
      </c>
      <c r="F29" s="271" t="s">
        <v>5</v>
      </c>
      <c r="G29" s="209" t="s">
        <v>4661</v>
      </c>
      <c r="H29" s="209" t="s">
        <v>4661</v>
      </c>
      <c r="I29" s="366" t="s">
        <v>5210</v>
      </c>
      <c r="J29" s="367"/>
      <c r="K29" s="429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81">
      <c r="A30" s="210">
        <v>22</v>
      </c>
      <c r="B30" s="374" t="s">
        <v>339</v>
      </c>
      <c r="C30" s="376"/>
      <c r="D30" s="236">
        <v>1</v>
      </c>
      <c r="E30" s="237" t="s">
        <v>4</v>
      </c>
      <c r="F30" s="271" t="s">
        <v>5</v>
      </c>
      <c r="G30" s="209" t="s">
        <v>446</v>
      </c>
      <c r="H30" s="209" t="s">
        <v>446</v>
      </c>
      <c r="I30" s="366" t="s">
        <v>5209</v>
      </c>
      <c r="J30" s="367"/>
      <c r="K30" s="429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30" customHeight="1">
      <c r="A31" s="210">
        <v>23</v>
      </c>
      <c r="B31" s="374" t="s">
        <v>218</v>
      </c>
      <c r="C31" s="376"/>
      <c r="D31" s="236">
        <v>5</v>
      </c>
      <c r="E31" s="237" t="s">
        <v>4</v>
      </c>
      <c r="F31" s="271" t="s">
        <v>5</v>
      </c>
      <c r="G31" s="209" t="s">
        <v>4661</v>
      </c>
      <c r="H31" s="209" t="s">
        <v>4661</v>
      </c>
      <c r="I31" s="366" t="s">
        <v>5266</v>
      </c>
      <c r="J31" s="367"/>
      <c r="K31" s="429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30" customHeight="1">
      <c r="A32" s="210">
        <v>24</v>
      </c>
      <c r="B32" s="374" t="s">
        <v>5200</v>
      </c>
      <c r="C32" s="376"/>
      <c r="D32" s="236">
        <v>5</v>
      </c>
      <c r="E32" s="237" t="s">
        <v>4</v>
      </c>
      <c r="F32" s="271" t="s">
        <v>5</v>
      </c>
      <c r="G32" s="209" t="s">
        <v>4661</v>
      </c>
      <c r="H32" s="209" t="s">
        <v>4661</v>
      </c>
      <c r="I32" s="366" t="s">
        <v>5269</v>
      </c>
      <c r="J32" s="367"/>
      <c r="K32" s="429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30" customHeight="1">
      <c r="A33" s="210">
        <v>25</v>
      </c>
      <c r="B33" s="374" t="s">
        <v>5201</v>
      </c>
      <c r="C33" s="376"/>
      <c r="D33" s="236">
        <v>16</v>
      </c>
      <c r="E33" s="237" t="s">
        <v>42</v>
      </c>
      <c r="F33" s="271" t="s">
        <v>5</v>
      </c>
      <c r="G33" s="209" t="s">
        <v>4661</v>
      </c>
      <c r="H33" s="209" t="s">
        <v>4661</v>
      </c>
      <c r="I33" s="366" t="s">
        <v>5268</v>
      </c>
      <c r="J33" s="367"/>
      <c r="K33" s="429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30" customHeight="1">
      <c r="A34" s="210">
        <v>26</v>
      </c>
      <c r="B34" s="374" t="s">
        <v>335</v>
      </c>
      <c r="C34" s="376"/>
      <c r="D34" s="236">
        <v>9</v>
      </c>
      <c r="E34" s="237" t="s">
        <v>42</v>
      </c>
      <c r="F34" s="271" t="s">
        <v>5</v>
      </c>
      <c r="G34" s="209" t="s">
        <v>4661</v>
      </c>
      <c r="H34" s="209" t="s">
        <v>4661</v>
      </c>
      <c r="I34" s="366" t="s">
        <v>5267</v>
      </c>
      <c r="J34" s="367"/>
      <c r="K34" s="429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30" customHeight="1">
      <c r="A35" s="210">
        <v>27</v>
      </c>
      <c r="B35" s="374" t="s">
        <v>5202</v>
      </c>
      <c r="C35" s="376"/>
      <c r="D35" s="236">
        <v>6</v>
      </c>
      <c r="E35" s="237" t="s">
        <v>4</v>
      </c>
      <c r="F35" s="271" t="s">
        <v>5</v>
      </c>
      <c r="G35" s="209" t="s">
        <v>446</v>
      </c>
      <c r="H35" s="209" t="s">
        <v>446</v>
      </c>
      <c r="I35" s="366" t="s">
        <v>5215</v>
      </c>
      <c r="J35" s="367"/>
      <c r="K35" s="429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30" customHeight="1">
      <c r="A36" s="210">
        <v>28</v>
      </c>
      <c r="B36" s="374" t="s">
        <v>23</v>
      </c>
      <c r="C36" s="376"/>
      <c r="D36" s="236">
        <v>6</v>
      </c>
      <c r="E36" s="237" t="s">
        <v>4</v>
      </c>
      <c r="F36" s="271" t="s">
        <v>5</v>
      </c>
      <c r="G36" s="209" t="s">
        <v>446</v>
      </c>
      <c r="H36" s="209" t="s">
        <v>446</v>
      </c>
      <c r="I36" s="366" t="s">
        <v>5216</v>
      </c>
      <c r="J36" s="367"/>
      <c r="K36" s="429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s="1" customFormat="1" ht="54">
      <c r="A37" s="210">
        <v>29</v>
      </c>
      <c r="B37" s="374" t="s">
        <v>54</v>
      </c>
      <c r="C37" s="376"/>
      <c r="D37" s="236">
        <v>1</v>
      </c>
      <c r="E37" s="237" t="s">
        <v>4</v>
      </c>
      <c r="F37" s="271" t="s">
        <v>5</v>
      </c>
      <c r="G37" s="209" t="s">
        <v>446</v>
      </c>
      <c r="H37" s="209" t="s">
        <v>446</v>
      </c>
      <c r="I37" s="512" t="s">
        <v>5208</v>
      </c>
      <c r="J37" s="513"/>
      <c r="K37" s="514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s="1" customFormat="1" ht="15" customHeight="1">
      <c r="A38" s="210">
        <v>30</v>
      </c>
      <c r="B38" s="374" t="s">
        <v>331</v>
      </c>
      <c r="C38" s="376"/>
      <c r="D38" s="236">
        <v>2</v>
      </c>
      <c r="E38" s="237" t="s">
        <v>4</v>
      </c>
      <c r="F38" s="271" t="s">
        <v>5</v>
      </c>
      <c r="G38" s="209" t="s">
        <v>446</v>
      </c>
      <c r="H38" s="209" t="s">
        <v>446</v>
      </c>
      <c r="I38" s="366" t="s">
        <v>5203</v>
      </c>
      <c r="J38" s="367"/>
      <c r="K38" s="42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s="1" customFormat="1" ht="30" customHeight="1">
      <c r="A39" s="210">
        <v>31</v>
      </c>
      <c r="B39" s="374" t="s">
        <v>5111</v>
      </c>
      <c r="C39" s="376"/>
      <c r="D39" s="236">
        <v>18</v>
      </c>
      <c r="E39" s="237" t="s">
        <v>4</v>
      </c>
      <c r="F39" s="271" t="s">
        <v>5</v>
      </c>
      <c r="G39" s="209" t="s">
        <v>446</v>
      </c>
      <c r="H39" s="209" t="s">
        <v>446</v>
      </c>
      <c r="I39" s="366" t="s">
        <v>5204</v>
      </c>
      <c r="J39" s="367"/>
      <c r="K39" s="42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s="1" customFormat="1" ht="30" customHeight="1">
      <c r="A40" s="210">
        <v>32</v>
      </c>
      <c r="B40" s="374" t="s">
        <v>44</v>
      </c>
      <c r="C40" s="376"/>
      <c r="D40" s="236">
        <v>18</v>
      </c>
      <c r="E40" s="237" t="s">
        <v>4</v>
      </c>
      <c r="F40" s="271" t="s">
        <v>5</v>
      </c>
      <c r="G40" s="209" t="s">
        <v>446</v>
      </c>
      <c r="H40" s="209" t="s">
        <v>446</v>
      </c>
      <c r="I40" s="366" t="s">
        <v>5205</v>
      </c>
      <c r="J40" s="367"/>
      <c r="K40" s="42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374" t="s">
        <v>216</v>
      </c>
      <c r="C41" s="376"/>
      <c r="D41" s="236">
        <v>18</v>
      </c>
      <c r="E41" s="237" t="s">
        <v>4</v>
      </c>
      <c r="F41" s="271" t="s">
        <v>5</v>
      </c>
      <c r="G41" s="209" t="s">
        <v>446</v>
      </c>
      <c r="H41" s="209" t="s">
        <v>446</v>
      </c>
      <c r="I41" s="366" t="s">
        <v>5206</v>
      </c>
      <c r="J41" s="367"/>
      <c r="K41" s="42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15" customHeight="1">
      <c r="A42" s="210">
        <v>34</v>
      </c>
      <c r="B42" s="374" t="s">
        <v>5066</v>
      </c>
      <c r="C42" s="376"/>
      <c r="D42" s="236">
        <v>18</v>
      </c>
      <c r="E42" s="237" t="s">
        <v>4</v>
      </c>
      <c r="F42" s="271" t="s">
        <v>5</v>
      </c>
      <c r="G42" s="209" t="s">
        <v>446</v>
      </c>
      <c r="H42" s="209" t="s">
        <v>446</v>
      </c>
      <c r="I42" s="366" t="s">
        <v>5018</v>
      </c>
      <c r="J42" s="367"/>
      <c r="K42" s="42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15" customHeight="1">
      <c r="A43" s="210">
        <v>35</v>
      </c>
      <c r="B43" s="374" t="s">
        <v>5067</v>
      </c>
      <c r="C43" s="376"/>
      <c r="D43" s="236">
        <v>18</v>
      </c>
      <c r="E43" s="237" t="s">
        <v>4</v>
      </c>
      <c r="F43" s="271" t="s">
        <v>5</v>
      </c>
      <c r="G43" s="209" t="s">
        <v>446</v>
      </c>
      <c r="H43" s="209" t="s">
        <v>446</v>
      </c>
      <c r="I43" s="366" t="s">
        <v>5019</v>
      </c>
      <c r="J43" s="367"/>
      <c r="K43" s="42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15" customHeight="1">
      <c r="A44" s="210">
        <v>36</v>
      </c>
      <c r="B44" s="374" t="s">
        <v>45</v>
      </c>
      <c r="C44" s="376"/>
      <c r="D44" s="236">
        <v>4</v>
      </c>
      <c r="E44" s="237" t="s">
        <v>4</v>
      </c>
      <c r="F44" s="271" t="s">
        <v>5</v>
      </c>
      <c r="G44" s="209" t="s">
        <v>446</v>
      </c>
      <c r="H44" s="209" t="s">
        <v>446</v>
      </c>
      <c r="I44" s="366" t="s">
        <v>5207</v>
      </c>
      <c r="J44" s="367"/>
      <c r="K44" s="429"/>
      <c r="L44" s="196" t="str">
        <f ca="1">IFERROR(_xlfn.TEXTJOIN(CHAR(10), TRUE, OFFSET('&lt;별첨9&gt;전체코드'!E:E, MATCH(B44,'&lt;별첨9&gt;전체코드'!A:A,0)-1, 0, COUNTIF('&lt;별첨9&gt;전체코드'!A:A,B44), 1)), "")</f>
        <v>&lt;별첨3&gt; 참조</v>
      </c>
    </row>
    <row r="45" spans="1:12" s="1" customFormat="1" ht="67.5" customHeight="1">
      <c r="A45" s="210">
        <v>37</v>
      </c>
      <c r="B45" s="366" t="s">
        <v>5155</v>
      </c>
      <c r="C45" s="429"/>
      <c r="D45" s="236">
        <v>1</v>
      </c>
      <c r="E45" s="237" t="s">
        <v>79</v>
      </c>
      <c r="F45" s="271" t="s">
        <v>78</v>
      </c>
      <c r="G45" s="209" t="s">
        <v>446</v>
      </c>
      <c r="H45" s="209" t="s">
        <v>446</v>
      </c>
      <c r="I45" s="366" t="s">
        <v>5328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 customHeight="1">
      <c r="A46" s="210">
        <v>38</v>
      </c>
      <c r="B46" s="366" t="s">
        <v>5157</v>
      </c>
      <c r="C46" s="429"/>
      <c r="D46" s="236">
        <v>2</v>
      </c>
      <c r="E46" s="237" t="s">
        <v>79</v>
      </c>
      <c r="F46" s="271" t="s">
        <v>78</v>
      </c>
      <c r="G46" s="209" t="s">
        <v>446</v>
      </c>
      <c r="H46" s="209" t="s">
        <v>446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s="1" customFormat="1" ht="15" customHeight="1" thickBot="1">
      <c r="A47" s="213">
        <v>39</v>
      </c>
      <c r="B47" s="422" t="s">
        <v>25</v>
      </c>
      <c r="C47" s="424"/>
      <c r="D47" s="272">
        <v>123</v>
      </c>
      <c r="E47" s="267" t="s">
        <v>26</v>
      </c>
      <c r="F47" s="273" t="s">
        <v>5</v>
      </c>
      <c r="G47" s="108" t="s">
        <v>4690</v>
      </c>
      <c r="H47" s="108" t="s">
        <v>4690</v>
      </c>
      <c r="I47" s="479" t="s">
        <v>254</v>
      </c>
      <c r="J47" s="480"/>
      <c r="K47" s="515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47:K47"/>
    <mergeCell ref="I45:K45"/>
    <mergeCell ref="I43:K43"/>
    <mergeCell ref="I41:K41"/>
    <mergeCell ref="I39:K39"/>
    <mergeCell ref="I44:K44"/>
    <mergeCell ref="I46:K46"/>
    <mergeCell ref="C3:L3"/>
    <mergeCell ref="G4:I4"/>
    <mergeCell ref="K4:L4"/>
    <mergeCell ref="A2:L2"/>
    <mergeCell ref="A5:B5"/>
    <mergeCell ref="D5:F5"/>
    <mergeCell ref="A3:B3"/>
    <mergeCell ref="A4:B4"/>
    <mergeCell ref="D4:F4"/>
    <mergeCell ref="G5:I5"/>
    <mergeCell ref="K5:L5"/>
    <mergeCell ref="B46:C46"/>
    <mergeCell ref="B47:C47"/>
    <mergeCell ref="B43:C43"/>
    <mergeCell ref="B44:C44"/>
    <mergeCell ref="B45:C45"/>
    <mergeCell ref="B40:C40"/>
    <mergeCell ref="B41:C41"/>
    <mergeCell ref="B42:C42"/>
    <mergeCell ref="I40:K40"/>
    <mergeCell ref="I42:K42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I37:K37"/>
    <mergeCell ref="I35:K35"/>
    <mergeCell ref="B25:C25"/>
    <mergeCell ref="B26:C26"/>
    <mergeCell ref="B27:C27"/>
    <mergeCell ref="I26:K26"/>
    <mergeCell ref="B22:C22"/>
    <mergeCell ref="B23:C23"/>
    <mergeCell ref="I27:K27"/>
    <mergeCell ref="I25:K25"/>
    <mergeCell ref="I23:K23"/>
    <mergeCell ref="B24:C24"/>
    <mergeCell ref="I22:K22"/>
    <mergeCell ref="I24:K24"/>
    <mergeCell ref="B19:C19"/>
    <mergeCell ref="B20:C20"/>
    <mergeCell ref="B21:C21"/>
    <mergeCell ref="I20:K20"/>
    <mergeCell ref="I21:K21"/>
    <mergeCell ref="I19:K19"/>
    <mergeCell ref="B32:C32"/>
    <mergeCell ref="B33:C33"/>
    <mergeCell ref="I32:K32"/>
    <mergeCell ref="B28:C28"/>
    <mergeCell ref="B29:C29"/>
    <mergeCell ref="B30:C30"/>
    <mergeCell ref="I28:K28"/>
    <mergeCell ref="I30:K30"/>
    <mergeCell ref="B31:C31"/>
    <mergeCell ref="I33:K33"/>
    <mergeCell ref="I31:K31"/>
    <mergeCell ref="I29:K29"/>
    <mergeCell ref="B18:C18"/>
    <mergeCell ref="I16:K16"/>
    <mergeCell ref="I18:K18"/>
    <mergeCell ref="B13:C13"/>
    <mergeCell ref="B14:C14"/>
    <mergeCell ref="B15:C15"/>
    <mergeCell ref="I14:K14"/>
    <mergeCell ref="B16:C16"/>
    <mergeCell ref="B17:C17"/>
    <mergeCell ref="I17:K17"/>
    <mergeCell ref="I15:K15"/>
    <mergeCell ref="I13:K13"/>
    <mergeCell ref="B12:C12"/>
    <mergeCell ref="I10:K10"/>
    <mergeCell ref="I12:K12"/>
    <mergeCell ref="B7:C7"/>
    <mergeCell ref="B8:C8"/>
    <mergeCell ref="B9:C9"/>
    <mergeCell ref="I8:K8"/>
    <mergeCell ref="B10:C10"/>
    <mergeCell ref="B11:C11"/>
    <mergeCell ref="I7:K7"/>
    <mergeCell ref="I11:K11"/>
    <mergeCell ref="I9:K9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9D60-AA60-4E4E-9453-E39A7DCC5E61}">
  <sheetPr codeName="Sheet59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5221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7653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156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ZLP240103ZW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6">
        <v>8</v>
      </c>
      <c r="E9" s="237" t="s">
        <v>4</v>
      </c>
      <c r="F9" s="271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6</v>
      </c>
      <c r="C10" s="376"/>
      <c r="D10" s="236">
        <v>4</v>
      </c>
      <c r="E10" s="237" t="s">
        <v>4</v>
      </c>
      <c r="F10" s="271" t="s">
        <v>5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7</v>
      </c>
      <c r="C11" s="376"/>
      <c r="D11" s="236">
        <v>5</v>
      </c>
      <c r="E11" s="237" t="s">
        <v>4</v>
      </c>
      <c r="F11" s="271" t="s">
        <v>5</v>
      </c>
      <c r="G11" s="209" t="s">
        <v>446</v>
      </c>
      <c r="H11" s="209" t="s">
        <v>446</v>
      </c>
      <c r="I11" s="366" t="s">
        <v>5099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210">
        <v>4</v>
      </c>
      <c r="B12" s="374" t="s">
        <v>8</v>
      </c>
      <c r="C12" s="376"/>
      <c r="D12" s="236">
        <v>4</v>
      </c>
      <c r="E12" s="237" t="s">
        <v>4</v>
      </c>
      <c r="F12" s="271" t="s">
        <v>5</v>
      </c>
      <c r="G12" s="209" t="s">
        <v>446</v>
      </c>
      <c r="H12" s="209" t="s">
        <v>446</v>
      </c>
      <c r="I12" s="366" t="s">
        <v>5100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10">
        <v>5</v>
      </c>
      <c r="B13" s="374" t="s">
        <v>10</v>
      </c>
      <c r="C13" s="376"/>
      <c r="D13" s="236">
        <v>18</v>
      </c>
      <c r="E13" s="237" t="s">
        <v>4</v>
      </c>
      <c r="F13" s="271" t="s">
        <v>5</v>
      </c>
      <c r="G13" s="209" t="s">
        <v>446</v>
      </c>
      <c r="H13" s="209" t="s">
        <v>446</v>
      </c>
      <c r="I13" s="366" t="s">
        <v>4944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">
      <c r="A14" s="210">
        <v>6</v>
      </c>
      <c r="B14" s="374" t="s">
        <v>51</v>
      </c>
      <c r="C14" s="376"/>
      <c r="D14" s="236">
        <v>1</v>
      </c>
      <c r="E14" s="237" t="s">
        <v>4</v>
      </c>
      <c r="F14" s="271" t="s">
        <v>5</v>
      </c>
      <c r="G14" s="209" t="s">
        <v>446</v>
      </c>
      <c r="H14" s="209" t="s">
        <v>446</v>
      </c>
      <c r="I14" s="366" t="s">
        <v>5195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5" customHeight="1">
      <c r="A15" s="210">
        <v>7</v>
      </c>
      <c r="B15" s="374" t="s">
        <v>184</v>
      </c>
      <c r="C15" s="376"/>
      <c r="D15" s="236">
        <v>20</v>
      </c>
      <c r="E15" s="237" t="s">
        <v>41</v>
      </c>
      <c r="F15" s="271" t="s">
        <v>5</v>
      </c>
      <c r="G15" s="209" t="s">
        <v>446</v>
      </c>
      <c r="H15" s="209" t="s">
        <v>446</v>
      </c>
      <c r="I15" s="366" t="s">
        <v>5181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5" customHeight="1">
      <c r="A16" s="210">
        <v>8</v>
      </c>
      <c r="B16" s="374" t="s">
        <v>185</v>
      </c>
      <c r="C16" s="376"/>
      <c r="D16" s="236">
        <v>20</v>
      </c>
      <c r="E16" s="237" t="s">
        <v>42</v>
      </c>
      <c r="F16" s="271" t="s">
        <v>5</v>
      </c>
      <c r="G16" s="209" t="s">
        <v>446</v>
      </c>
      <c r="H16" s="209" t="s">
        <v>446</v>
      </c>
      <c r="I16" s="366" t="s">
        <v>5101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5" customHeight="1">
      <c r="A17" s="210">
        <v>9</v>
      </c>
      <c r="B17" s="374" t="s">
        <v>186</v>
      </c>
      <c r="C17" s="376"/>
      <c r="D17" s="236">
        <v>20</v>
      </c>
      <c r="E17" s="237" t="s">
        <v>41</v>
      </c>
      <c r="F17" s="271" t="s">
        <v>5</v>
      </c>
      <c r="G17" s="209" t="s">
        <v>446</v>
      </c>
      <c r="H17" s="209" t="s">
        <v>446</v>
      </c>
      <c r="I17" s="366" t="s">
        <v>5187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4" t="s">
        <v>187</v>
      </c>
      <c r="C18" s="376"/>
      <c r="D18" s="236">
        <v>20</v>
      </c>
      <c r="E18" s="237" t="s">
        <v>42</v>
      </c>
      <c r="F18" s="271" t="s">
        <v>5</v>
      </c>
      <c r="G18" s="209" t="s">
        <v>446</v>
      </c>
      <c r="H18" s="209" t="s">
        <v>446</v>
      </c>
      <c r="I18" s="366" t="s">
        <v>5102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 customHeight="1">
      <c r="A19" s="210">
        <v>11</v>
      </c>
      <c r="B19" s="374" t="s">
        <v>188</v>
      </c>
      <c r="C19" s="376"/>
      <c r="D19" s="236">
        <v>1</v>
      </c>
      <c r="E19" s="237" t="s">
        <v>4</v>
      </c>
      <c r="F19" s="271" t="s">
        <v>5</v>
      </c>
      <c r="G19" s="209" t="s">
        <v>446</v>
      </c>
      <c r="H19" s="209" t="s">
        <v>446</v>
      </c>
      <c r="I19" s="509" t="s">
        <v>5326</v>
      </c>
      <c r="J19" s="509"/>
      <c r="K19" s="50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>
      <c r="A20" s="210">
        <v>12</v>
      </c>
      <c r="B20" s="374" t="s">
        <v>189</v>
      </c>
      <c r="C20" s="376"/>
      <c r="D20" s="236">
        <v>2</v>
      </c>
      <c r="E20" s="237" t="s">
        <v>4</v>
      </c>
      <c r="F20" s="271" t="s">
        <v>5</v>
      </c>
      <c r="G20" s="209" t="s">
        <v>446</v>
      </c>
      <c r="H20" s="209" t="s">
        <v>446</v>
      </c>
      <c r="I20" s="366" t="s">
        <v>5264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374" t="s">
        <v>190</v>
      </c>
      <c r="C21" s="376"/>
      <c r="D21" s="236">
        <v>1</v>
      </c>
      <c r="E21" s="237" t="s">
        <v>4</v>
      </c>
      <c r="F21" s="271" t="s">
        <v>5</v>
      </c>
      <c r="G21" s="209" t="s">
        <v>446</v>
      </c>
      <c r="H21" s="209" t="s">
        <v>446</v>
      </c>
      <c r="I21" s="366" t="s">
        <v>5325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30" customHeight="1">
      <c r="A22" s="210">
        <v>14</v>
      </c>
      <c r="B22" s="374" t="s">
        <v>191</v>
      </c>
      <c r="C22" s="376"/>
      <c r="D22" s="236">
        <v>60</v>
      </c>
      <c r="E22" s="237" t="s">
        <v>42</v>
      </c>
      <c r="F22" s="271" t="s">
        <v>5</v>
      </c>
      <c r="G22" s="209" t="s">
        <v>4661</v>
      </c>
      <c r="H22" s="209" t="s">
        <v>4661</v>
      </c>
      <c r="I22" s="366" t="s">
        <v>5122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374" t="s">
        <v>13</v>
      </c>
      <c r="C23" s="376"/>
      <c r="D23" s="236">
        <v>20</v>
      </c>
      <c r="E23" s="237" t="s">
        <v>41</v>
      </c>
      <c r="F23" s="271" t="s">
        <v>5</v>
      </c>
      <c r="G23" s="209" t="s">
        <v>4661</v>
      </c>
      <c r="H23" s="209" t="s">
        <v>4661</v>
      </c>
      <c r="I23" s="366" t="s">
        <v>5196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5" customHeight="1">
      <c r="A24" s="210">
        <v>16</v>
      </c>
      <c r="B24" s="374" t="s">
        <v>4662</v>
      </c>
      <c r="C24" s="376"/>
      <c r="D24" s="236">
        <v>10</v>
      </c>
      <c r="E24" s="237" t="s">
        <v>42</v>
      </c>
      <c r="F24" s="271" t="s">
        <v>5</v>
      </c>
      <c r="G24" s="209" t="s">
        <v>446</v>
      </c>
      <c r="H24" s="209" t="s">
        <v>446</v>
      </c>
      <c r="I24" s="366" t="s">
        <v>5197</v>
      </c>
      <c r="J24" s="367"/>
      <c r="K24" s="429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5198</v>
      </c>
      <c r="C25" s="376"/>
      <c r="D25" s="236">
        <v>30</v>
      </c>
      <c r="E25" s="237" t="s">
        <v>41</v>
      </c>
      <c r="F25" s="271" t="s">
        <v>5</v>
      </c>
      <c r="G25" s="209" t="s">
        <v>446</v>
      </c>
      <c r="H25" s="209" t="s">
        <v>446</v>
      </c>
      <c r="I25" s="366" t="s">
        <v>5063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5105</v>
      </c>
      <c r="C26" s="376"/>
      <c r="D26" s="236">
        <v>10</v>
      </c>
      <c r="E26" s="237" t="s">
        <v>42</v>
      </c>
      <c r="F26" s="271" t="s">
        <v>5</v>
      </c>
      <c r="G26" s="209" t="s">
        <v>446</v>
      </c>
      <c r="H26" s="209" t="s">
        <v>446</v>
      </c>
      <c r="I26" s="366" t="s">
        <v>5106</v>
      </c>
      <c r="J26" s="367"/>
      <c r="K26" s="429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5107</v>
      </c>
      <c r="C27" s="376"/>
      <c r="D27" s="236">
        <v>30</v>
      </c>
      <c r="E27" s="237" t="s">
        <v>41</v>
      </c>
      <c r="F27" s="271" t="s">
        <v>5</v>
      </c>
      <c r="G27" s="209" t="s">
        <v>446</v>
      </c>
      <c r="H27" s="209" t="s">
        <v>446</v>
      </c>
      <c r="I27" s="366" t="s">
        <v>5065</v>
      </c>
      <c r="J27" s="367"/>
      <c r="K27" s="429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27">
      <c r="A28" s="210">
        <v>20</v>
      </c>
      <c r="B28" s="374" t="s">
        <v>328</v>
      </c>
      <c r="C28" s="376"/>
      <c r="D28" s="236">
        <v>1</v>
      </c>
      <c r="E28" s="237" t="s">
        <v>4</v>
      </c>
      <c r="F28" s="271" t="s">
        <v>5</v>
      </c>
      <c r="G28" s="209" t="s">
        <v>446</v>
      </c>
      <c r="H28" s="209" t="s">
        <v>446</v>
      </c>
      <c r="I28" s="366" t="s">
        <v>5327</v>
      </c>
      <c r="J28" s="367"/>
      <c r="K28" s="429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30" customHeight="1">
      <c r="A29" s="210">
        <v>21</v>
      </c>
      <c r="B29" s="374" t="s">
        <v>5199</v>
      </c>
      <c r="C29" s="376"/>
      <c r="D29" s="236">
        <v>4</v>
      </c>
      <c r="E29" s="237" t="s">
        <v>4</v>
      </c>
      <c r="F29" s="271" t="s">
        <v>5</v>
      </c>
      <c r="G29" s="209" t="s">
        <v>4661</v>
      </c>
      <c r="H29" s="209" t="s">
        <v>4661</v>
      </c>
      <c r="I29" s="366" t="s">
        <v>5210</v>
      </c>
      <c r="J29" s="367"/>
      <c r="K29" s="429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81">
      <c r="A30" s="210">
        <v>22</v>
      </c>
      <c r="B30" s="374" t="s">
        <v>339</v>
      </c>
      <c r="C30" s="376"/>
      <c r="D30" s="236">
        <v>1</v>
      </c>
      <c r="E30" s="237" t="s">
        <v>4</v>
      </c>
      <c r="F30" s="271" t="s">
        <v>5</v>
      </c>
      <c r="G30" s="209" t="s">
        <v>446</v>
      </c>
      <c r="H30" s="209" t="s">
        <v>446</v>
      </c>
      <c r="I30" s="366" t="s">
        <v>5209</v>
      </c>
      <c r="J30" s="367"/>
      <c r="K30" s="429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13.5">
      <c r="A31" s="210">
        <v>23</v>
      </c>
      <c r="B31" s="374" t="s">
        <v>218</v>
      </c>
      <c r="C31" s="376"/>
      <c r="D31" s="236">
        <v>5</v>
      </c>
      <c r="E31" s="237" t="s">
        <v>4</v>
      </c>
      <c r="F31" s="271" t="s">
        <v>5</v>
      </c>
      <c r="G31" s="209" t="s">
        <v>4661</v>
      </c>
      <c r="H31" s="209" t="s">
        <v>4661</v>
      </c>
      <c r="I31" s="366" t="s">
        <v>5211</v>
      </c>
      <c r="J31" s="367"/>
      <c r="K31" s="429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13.5">
      <c r="A32" s="210">
        <v>24</v>
      </c>
      <c r="B32" s="374" t="s">
        <v>5200</v>
      </c>
      <c r="C32" s="376"/>
      <c r="D32" s="236">
        <v>5</v>
      </c>
      <c r="E32" s="237" t="s">
        <v>4</v>
      </c>
      <c r="F32" s="271" t="s">
        <v>5</v>
      </c>
      <c r="G32" s="209" t="s">
        <v>4661</v>
      </c>
      <c r="H32" s="209" t="s">
        <v>4661</v>
      </c>
      <c r="I32" s="366" t="s">
        <v>5212</v>
      </c>
      <c r="J32" s="367"/>
      <c r="K32" s="429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13.5">
      <c r="A33" s="210">
        <v>25</v>
      </c>
      <c r="B33" s="374" t="s">
        <v>5201</v>
      </c>
      <c r="C33" s="376"/>
      <c r="D33" s="236">
        <v>16</v>
      </c>
      <c r="E33" s="237" t="s">
        <v>42</v>
      </c>
      <c r="F33" s="271" t="s">
        <v>5</v>
      </c>
      <c r="G33" s="209" t="s">
        <v>4661</v>
      </c>
      <c r="H33" s="209" t="s">
        <v>4661</v>
      </c>
      <c r="I33" s="366" t="s">
        <v>5213</v>
      </c>
      <c r="J33" s="367"/>
      <c r="K33" s="429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3.5">
      <c r="A34" s="210">
        <v>26</v>
      </c>
      <c r="B34" s="374" t="s">
        <v>335</v>
      </c>
      <c r="C34" s="376"/>
      <c r="D34" s="236">
        <v>9</v>
      </c>
      <c r="E34" s="237" t="s">
        <v>42</v>
      </c>
      <c r="F34" s="271" t="s">
        <v>5</v>
      </c>
      <c r="G34" s="209" t="s">
        <v>4661</v>
      </c>
      <c r="H34" s="209" t="s">
        <v>4661</v>
      </c>
      <c r="I34" s="366" t="s">
        <v>5214</v>
      </c>
      <c r="J34" s="367"/>
      <c r="K34" s="429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3.5">
      <c r="A35" s="210">
        <v>27</v>
      </c>
      <c r="B35" s="374" t="s">
        <v>5202</v>
      </c>
      <c r="C35" s="376"/>
      <c r="D35" s="236">
        <v>6</v>
      </c>
      <c r="E35" s="237" t="s">
        <v>4</v>
      </c>
      <c r="F35" s="271" t="s">
        <v>5</v>
      </c>
      <c r="G35" s="209" t="s">
        <v>446</v>
      </c>
      <c r="H35" s="209" t="s">
        <v>446</v>
      </c>
      <c r="I35" s="366" t="s">
        <v>5215</v>
      </c>
      <c r="J35" s="367"/>
      <c r="K35" s="429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3.5">
      <c r="A36" s="210">
        <v>28</v>
      </c>
      <c r="B36" s="374" t="s">
        <v>23</v>
      </c>
      <c r="C36" s="376"/>
      <c r="D36" s="236">
        <v>6</v>
      </c>
      <c r="E36" s="237" t="s">
        <v>4</v>
      </c>
      <c r="F36" s="271" t="s">
        <v>5</v>
      </c>
      <c r="G36" s="209" t="s">
        <v>446</v>
      </c>
      <c r="H36" s="209" t="s">
        <v>446</v>
      </c>
      <c r="I36" s="366" t="s">
        <v>5216</v>
      </c>
      <c r="J36" s="367"/>
      <c r="K36" s="429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s="1" customFormat="1" ht="54">
      <c r="A37" s="210">
        <v>29</v>
      </c>
      <c r="B37" s="374" t="s">
        <v>54</v>
      </c>
      <c r="C37" s="376"/>
      <c r="D37" s="236">
        <v>1</v>
      </c>
      <c r="E37" s="237" t="s">
        <v>4</v>
      </c>
      <c r="F37" s="271" t="s">
        <v>5</v>
      </c>
      <c r="G37" s="209" t="s">
        <v>446</v>
      </c>
      <c r="H37" s="209" t="s">
        <v>446</v>
      </c>
      <c r="I37" s="512" t="s">
        <v>5208</v>
      </c>
      <c r="J37" s="513"/>
      <c r="K37" s="514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s="1" customFormat="1" ht="30" customHeight="1">
      <c r="A38" s="210">
        <v>30</v>
      </c>
      <c r="B38" s="374" t="s">
        <v>331</v>
      </c>
      <c r="C38" s="376"/>
      <c r="D38" s="236">
        <v>2</v>
      </c>
      <c r="E38" s="237" t="s">
        <v>4</v>
      </c>
      <c r="F38" s="271" t="s">
        <v>5</v>
      </c>
      <c r="G38" s="209" t="s">
        <v>446</v>
      </c>
      <c r="H38" s="209" t="s">
        <v>446</v>
      </c>
      <c r="I38" s="366" t="s">
        <v>5203</v>
      </c>
      <c r="J38" s="367"/>
      <c r="K38" s="42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s="1" customFormat="1" ht="30" customHeight="1">
      <c r="A39" s="210">
        <v>31</v>
      </c>
      <c r="B39" s="374" t="s">
        <v>5111</v>
      </c>
      <c r="C39" s="376"/>
      <c r="D39" s="236">
        <v>18</v>
      </c>
      <c r="E39" s="237" t="s">
        <v>4</v>
      </c>
      <c r="F39" s="271" t="s">
        <v>5</v>
      </c>
      <c r="G39" s="209" t="s">
        <v>446</v>
      </c>
      <c r="H39" s="209" t="s">
        <v>446</v>
      </c>
      <c r="I39" s="366" t="s">
        <v>5204</v>
      </c>
      <c r="J39" s="367"/>
      <c r="K39" s="42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s="1" customFormat="1" ht="30" customHeight="1">
      <c r="A40" s="210">
        <v>32</v>
      </c>
      <c r="B40" s="374" t="s">
        <v>44</v>
      </c>
      <c r="C40" s="376"/>
      <c r="D40" s="236">
        <v>18</v>
      </c>
      <c r="E40" s="237" t="s">
        <v>4</v>
      </c>
      <c r="F40" s="271" t="s">
        <v>5</v>
      </c>
      <c r="G40" s="209" t="s">
        <v>446</v>
      </c>
      <c r="H40" s="209" t="s">
        <v>446</v>
      </c>
      <c r="I40" s="366" t="s">
        <v>5205</v>
      </c>
      <c r="J40" s="367"/>
      <c r="K40" s="42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374" t="s">
        <v>216</v>
      </c>
      <c r="C41" s="376"/>
      <c r="D41" s="236">
        <v>18</v>
      </c>
      <c r="E41" s="237" t="s">
        <v>4</v>
      </c>
      <c r="F41" s="271" t="s">
        <v>5</v>
      </c>
      <c r="G41" s="209" t="s">
        <v>446</v>
      </c>
      <c r="H41" s="209" t="s">
        <v>446</v>
      </c>
      <c r="I41" s="366" t="s">
        <v>5206</v>
      </c>
      <c r="J41" s="367"/>
      <c r="K41" s="42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15" customHeight="1">
      <c r="A42" s="210">
        <v>34</v>
      </c>
      <c r="B42" s="374" t="s">
        <v>5066</v>
      </c>
      <c r="C42" s="376"/>
      <c r="D42" s="236">
        <v>18</v>
      </c>
      <c r="E42" s="237" t="s">
        <v>4</v>
      </c>
      <c r="F42" s="271" t="s">
        <v>5</v>
      </c>
      <c r="G42" s="209" t="s">
        <v>446</v>
      </c>
      <c r="H42" s="209" t="s">
        <v>446</v>
      </c>
      <c r="I42" s="366" t="s">
        <v>5018</v>
      </c>
      <c r="J42" s="367"/>
      <c r="K42" s="42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15" customHeight="1">
      <c r="A43" s="210">
        <v>35</v>
      </c>
      <c r="B43" s="374" t="s">
        <v>5067</v>
      </c>
      <c r="C43" s="376"/>
      <c r="D43" s="236">
        <v>18</v>
      </c>
      <c r="E43" s="237" t="s">
        <v>4</v>
      </c>
      <c r="F43" s="271" t="s">
        <v>5</v>
      </c>
      <c r="G43" s="209" t="s">
        <v>446</v>
      </c>
      <c r="H43" s="209" t="s">
        <v>446</v>
      </c>
      <c r="I43" s="366" t="s">
        <v>5019</v>
      </c>
      <c r="J43" s="367"/>
      <c r="K43" s="42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15" customHeight="1">
      <c r="A44" s="210">
        <v>36</v>
      </c>
      <c r="B44" s="374" t="s">
        <v>45</v>
      </c>
      <c r="C44" s="376"/>
      <c r="D44" s="236">
        <v>4</v>
      </c>
      <c r="E44" s="237" t="s">
        <v>4</v>
      </c>
      <c r="F44" s="271" t="s">
        <v>5</v>
      </c>
      <c r="G44" s="209" t="s">
        <v>446</v>
      </c>
      <c r="H44" s="209" t="s">
        <v>446</v>
      </c>
      <c r="I44" s="366" t="s">
        <v>5207</v>
      </c>
      <c r="J44" s="367"/>
      <c r="K44" s="429"/>
      <c r="L44" s="196" t="str">
        <f ca="1">IFERROR(_xlfn.TEXTJOIN(CHAR(10), TRUE, OFFSET('&lt;별첨9&gt;전체코드'!E:E, MATCH(B44,'&lt;별첨9&gt;전체코드'!A:A,0)-1, 0, COUNTIF('&lt;별첨9&gt;전체코드'!A:A,B44), 1)), "")</f>
        <v>&lt;별첨3&gt; 참조</v>
      </c>
    </row>
    <row r="45" spans="1:12" s="1" customFormat="1" ht="67.5" customHeight="1">
      <c r="A45" s="210">
        <v>37</v>
      </c>
      <c r="B45" s="366" t="s">
        <v>5155</v>
      </c>
      <c r="C45" s="429"/>
      <c r="D45" s="236">
        <v>1</v>
      </c>
      <c r="E45" s="237" t="s">
        <v>79</v>
      </c>
      <c r="F45" s="271" t="s">
        <v>78</v>
      </c>
      <c r="G45" s="209" t="s">
        <v>446</v>
      </c>
      <c r="H45" s="209" t="s">
        <v>446</v>
      </c>
      <c r="I45" s="366" t="s">
        <v>5328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>
      <c r="A46" s="210">
        <v>38</v>
      </c>
      <c r="B46" s="366" t="s">
        <v>5157</v>
      </c>
      <c r="C46" s="429"/>
      <c r="D46" s="236">
        <v>2</v>
      </c>
      <c r="E46" s="237" t="s">
        <v>79</v>
      </c>
      <c r="F46" s="271" t="s">
        <v>78</v>
      </c>
      <c r="G46" s="209" t="s">
        <v>446</v>
      </c>
      <c r="H46" s="209" t="s">
        <v>446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s="1" customFormat="1" ht="15" customHeight="1" thickBot="1">
      <c r="A47" s="213">
        <v>39</v>
      </c>
      <c r="B47" s="422" t="s">
        <v>25</v>
      </c>
      <c r="C47" s="424"/>
      <c r="D47" s="272">
        <v>123</v>
      </c>
      <c r="E47" s="267" t="s">
        <v>26</v>
      </c>
      <c r="F47" s="273" t="s">
        <v>5</v>
      </c>
      <c r="G47" s="108" t="s">
        <v>4690</v>
      </c>
      <c r="H47" s="108" t="s">
        <v>4690</v>
      </c>
      <c r="I47" s="479" t="s">
        <v>254</v>
      </c>
      <c r="J47" s="480"/>
      <c r="K47" s="515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47:K47"/>
    <mergeCell ref="I45:K45"/>
    <mergeCell ref="I43:K43"/>
    <mergeCell ref="I41:K41"/>
    <mergeCell ref="I39:K39"/>
    <mergeCell ref="I44:K44"/>
    <mergeCell ref="I46:K46"/>
    <mergeCell ref="C3:L3"/>
    <mergeCell ref="G4:I4"/>
    <mergeCell ref="K4:L4"/>
    <mergeCell ref="A2:L2"/>
    <mergeCell ref="A5:B5"/>
    <mergeCell ref="D5:F5"/>
    <mergeCell ref="A3:B3"/>
    <mergeCell ref="A4:B4"/>
    <mergeCell ref="D4:F4"/>
    <mergeCell ref="G5:I5"/>
    <mergeCell ref="K5:L5"/>
    <mergeCell ref="B46:C46"/>
    <mergeCell ref="B47:C47"/>
    <mergeCell ref="B43:C43"/>
    <mergeCell ref="B44:C44"/>
    <mergeCell ref="B45:C45"/>
    <mergeCell ref="B40:C40"/>
    <mergeCell ref="B41:C41"/>
    <mergeCell ref="B42:C42"/>
    <mergeCell ref="I40:K40"/>
    <mergeCell ref="I42:K42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I37:K37"/>
    <mergeCell ref="I35:K35"/>
    <mergeCell ref="B25:C25"/>
    <mergeCell ref="B26:C26"/>
    <mergeCell ref="B27:C27"/>
    <mergeCell ref="I26:K26"/>
    <mergeCell ref="B22:C22"/>
    <mergeCell ref="B23:C23"/>
    <mergeCell ref="I27:K27"/>
    <mergeCell ref="I25:K25"/>
    <mergeCell ref="I23:K23"/>
    <mergeCell ref="B24:C24"/>
    <mergeCell ref="I22:K22"/>
    <mergeCell ref="I24:K24"/>
    <mergeCell ref="B19:C19"/>
    <mergeCell ref="B20:C20"/>
    <mergeCell ref="B21:C21"/>
    <mergeCell ref="I20:K20"/>
    <mergeCell ref="I21:K21"/>
    <mergeCell ref="I19:K19"/>
    <mergeCell ref="B32:C32"/>
    <mergeCell ref="B33:C33"/>
    <mergeCell ref="I32:K32"/>
    <mergeCell ref="B28:C28"/>
    <mergeCell ref="B29:C29"/>
    <mergeCell ref="B30:C30"/>
    <mergeCell ref="I28:K28"/>
    <mergeCell ref="I30:K30"/>
    <mergeCell ref="B31:C31"/>
    <mergeCell ref="I33:K33"/>
    <mergeCell ref="I31:K31"/>
    <mergeCell ref="I29:K29"/>
    <mergeCell ref="B18:C18"/>
    <mergeCell ref="I16:K16"/>
    <mergeCell ref="I18:K18"/>
    <mergeCell ref="B13:C13"/>
    <mergeCell ref="B14:C14"/>
    <mergeCell ref="B15:C15"/>
    <mergeCell ref="I14:K14"/>
    <mergeCell ref="B16:C16"/>
    <mergeCell ref="B17:C17"/>
    <mergeCell ref="I17:K17"/>
    <mergeCell ref="I15:K15"/>
    <mergeCell ref="I13:K13"/>
    <mergeCell ref="B12:C12"/>
    <mergeCell ref="I10:K10"/>
    <mergeCell ref="I12:K12"/>
    <mergeCell ref="B7:C7"/>
    <mergeCell ref="B8:C8"/>
    <mergeCell ref="B9:C9"/>
    <mergeCell ref="I8:K8"/>
    <mergeCell ref="B10:C10"/>
    <mergeCell ref="B11:C11"/>
    <mergeCell ref="I7:K7"/>
    <mergeCell ref="I11:K11"/>
    <mergeCell ref="I9:K9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2E25-A2AD-49CF-B559-DEB8C40E8748}">
  <sheetPr codeName="Sheet60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5222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7654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157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SLP220103ZW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6">
        <v>8</v>
      </c>
      <c r="E9" s="237" t="s">
        <v>4</v>
      </c>
      <c r="F9" s="271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6</v>
      </c>
      <c r="C10" s="376"/>
      <c r="D10" s="236">
        <v>4</v>
      </c>
      <c r="E10" s="237" t="s">
        <v>4</v>
      </c>
      <c r="F10" s="271" t="s">
        <v>5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7</v>
      </c>
      <c r="C11" s="376"/>
      <c r="D11" s="236">
        <v>5</v>
      </c>
      <c r="E11" s="237" t="s">
        <v>4</v>
      </c>
      <c r="F11" s="271" t="s">
        <v>5</v>
      </c>
      <c r="G11" s="209" t="s">
        <v>446</v>
      </c>
      <c r="H11" s="209" t="s">
        <v>446</v>
      </c>
      <c r="I11" s="366" t="s">
        <v>5099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210">
        <v>4</v>
      </c>
      <c r="B12" s="374" t="s">
        <v>8</v>
      </c>
      <c r="C12" s="376"/>
      <c r="D12" s="236">
        <v>4</v>
      </c>
      <c r="E12" s="237" t="s">
        <v>4</v>
      </c>
      <c r="F12" s="271" t="s">
        <v>5</v>
      </c>
      <c r="G12" s="209" t="s">
        <v>446</v>
      </c>
      <c r="H12" s="209" t="s">
        <v>446</v>
      </c>
      <c r="I12" s="366" t="s">
        <v>5100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10">
        <v>5</v>
      </c>
      <c r="B13" s="374" t="s">
        <v>10</v>
      </c>
      <c r="C13" s="376"/>
      <c r="D13" s="236">
        <v>18</v>
      </c>
      <c r="E13" s="237" t="s">
        <v>4</v>
      </c>
      <c r="F13" s="271" t="s">
        <v>5</v>
      </c>
      <c r="G13" s="209" t="s">
        <v>446</v>
      </c>
      <c r="H13" s="209" t="s">
        <v>446</v>
      </c>
      <c r="I13" s="366" t="s">
        <v>4944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">
      <c r="A14" s="210">
        <v>6</v>
      </c>
      <c r="B14" s="374" t="s">
        <v>51</v>
      </c>
      <c r="C14" s="376"/>
      <c r="D14" s="236">
        <v>1</v>
      </c>
      <c r="E14" s="237" t="s">
        <v>4</v>
      </c>
      <c r="F14" s="271" t="s">
        <v>5</v>
      </c>
      <c r="G14" s="209" t="s">
        <v>446</v>
      </c>
      <c r="H14" s="209" t="s">
        <v>446</v>
      </c>
      <c r="I14" s="366" t="s">
        <v>5195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5" customHeight="1">
      <c r="A15" s="210">
        <v>7</v>
      </c>
      <c r="B15" s="374" t="s">
        <v>184</v>
      </c>
      <c r="C15" s="376"/>
      <c r="D15" s="236">
        <v>20</v>
      </c>
      <c r="E15" s="237" t="s">
        <v>41</v>
      </c>
      <c r="F15" s="271" t="s">
        <v>5</v>
      </c>
      <c r="G15" s="209" t="s">
        <v>446</v>
      </c>
      <c r="H15" s="209" t="s">
        <v>446</v>
      </c>
      <c r="I15" s="366" t="s">
        <v>5181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5" customHeight="1">
      <c r="A16" s="210">
        <v>8</v>
      </c>
      <c r="B16" s="374" t="s">
        <v>185</v>
      </c>
      <c r="C16" s="376"/>
      <c r="D16" s="236">
        <v>20</v>
      </c>
      <c r="E16" s="237" t="s">
        <v>42</v>
      </c>
      <c r="F16" s="271" t="s">
        <v>5</v>
      </c>
      <c r="G16" s="209" t="s">
        <v>446</v>
      </c>
      <c r="H16" s="209" t="s">
        <v>446</v>
      </c>
      <c r="I16" s="366" t="s">
        <v>5101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5" customHeight="1">
      <c r="A17" s="210">
        <v>9</v>
      </c>
      <c r="B17" s="374" t="s">
        <v>186</v>
      </c>
      <c r="C17" s="376"/>
      <c r="D17" s="236">
        <v>20</v>
      </c>
      <c r="E17" s="237" t="s">
        <v>41</v>
      </c>
      <c r="F17" s="271" t="s">
        <v>5</v>
      </c>
      <c r="G17" s="209" t="s">
        <v>446</v>
      </c>
      <c r="H17" s="209" t="s">
        <v>446</v>
      </c>
      <c r="I17" s="366" t="s">
        <v>5187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4" t="s">
        <v>187</v>
      </c>
      <c r="C18" s="376"/>
      <c r="D18" s="236">
        <v>20</v>
      </c>
      <c r="E18" s="237" t="s">
        <v>42</v>
      </c>
      <c r="F18" s="271" t="s">
        <v>5</v>
      </c>
      <c r="G18" s="209" t="s">
        <v>446</v>
      </c>
      <c r="H18" s="209" t="s">
        <v>446</v>
      </c>
      <c r="I18" s="366" t="s">
        <v>5102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>
      <c r="A19" s="210">
        <v>11</v>
      </c>
      <c r="B19" s="374" t="s">
        <v>188</v>
      </c>
      <c r="C19" s="376"/>
      <c r="D19" s="236">
        <v>1</v>
      </c>
      <c r="E19" s="237" t="s">
        <v>4</v>
      </c>
      <c r="F19" s="271" t="s">
        <v>5</v>
      </c>
      <c r="G19" s="209" t="s">
        <v>446</v>
      </c>
      <c r="H19" s="209" t="s">
        <v>446</v>
      </c>
      <c r="I19" s="509" t="s">
        <v>5326</v>
      </c>
      <c r="J19" s="509"/>
      <c r="K19" s="50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>
      <c r="A20" s="210">
        <v>12</v>
      </c>
      <c r="B20" s="374" t="s">
        <v>189</v>
      </c>
      <c r="C20" s="376"/>
      <c r="D20" s="236">
        <v>2</v>
      </c>
      <c r="E20" s="237" t="s">
        <v>4</v>
      </c>
      <c r="F20" s="271" t="s">
        <v>5</v>
      </c>
      <c r="G20" s="209" t="s">
        <v>446</v>
      </c>
      <c r="H20" s="209" t="s">
        <v>446</v>
      </c>
      <c r="I20" s="366" t="s">
        <v>5264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374" t="s">
        <v>190</v>
      </c>
      <c r="C21" s="376"/>
      <c r="D21" s="236">
        <v>1</v>
      </c>
      <c r="E21" s="237" t="s">
        <v>4</v>
      </c>
      <c r="F21" s="271" t="s">
        <v>5</v>
      </c>
      <c r="G21" s="209" t="s">
        <v>446</v>
      </c>
      <c r="H21" s="209" t="s">
        <v>446</v>
      </c>
      <c r="I21" s="366" t="s">
        <v>5325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30" customHeight="1">
      <c r="A22" s="210">
        <v>14</v>
      </c>
      <c r="B22" s="374" t="s">
        <v>191</v>
      </c>
      <c r="C22" s="376"/>
      <c r="D22" s="236">
        <v>60</v>
      </c>
      <c r="E22" s="237" t="s">
        <v>42</v>
      </c>
      <c r="F22" s="271" t="s">
        <v>5</v>
      </c>
      <c r="G22" s="209" t="s">
        <v>4661</v>
      </c>
      <c r="H22" s="209" t="s">
        <v>4661</v>
      </c>
      <c r="I22" s="366" t="s">
        <v>5271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374" t="s">
        <v>13</v>
      </c>
      <c r="C23" s="376"/>
      <c r="D23" s="236">
        <v>20</v>
      </c>
      <c r="E23" s="237" t="s">
        <v>41</v>
      </c>
      <c r="F23" s="271" t="s">
        <v>5</v>
      </c>
      <c r="G23" s="209" t="s">
        <v>4661</v>
      </c>
      <c r="H23" s="209" t="s">
        <v>4661</v>
      </c>
      <c r="I23" s="366" t="s">
        <v>5196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5" customHeight="1">
      <c r="A24" s="210">
        <v>16</v>
      </c>
      <c r="B24" s="374" t="s">
        <v>14</v>
      </c>
      <c r="C24" s="376"/>
      <c r="D24" s="236">
        <v>10</v>
      </c>
      <c r="E24" s="237" t="s">
        <v>42</v>
      </c>
      <c r="F24" s="271" t="s">
        <v>5</v>
      </c>
      <c r="G24" s="209" t="s">
        <v>446</v>
      </c>
      <c r="H24" s="209" t="s">
        <v>446</v>
      </c>
      <c r="I24" s="366" t="s">
        <v>5197</v>
      </c>
      <c r="J24" s="367"/>
      <c r="K24" s="429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15</v>
      </c>
      <c r="C25" s="376"/>
      <c r="D25" s="236">
        <v>30</v>
      </c>
      <c r="E25" s="237" t="s">
        <v>41</v>
      </c>
      <c r="F25" s="271" t="s">
        <v>5</v>
      </c>
      <c r="G25" s="209" t="s">
        <v>446</v>
      </c>
      <c r="H25" s="209" t="s">
        <v>446</v>
      </c>
      <c r="I25" s="366" t="s">
        <v>5063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16</v>
      </c>
      <c r="C26" s="376"/>
      <c r="D26" s="236">
        <v>10</v>
      </c>
      <c r="E26" s="237" t="s">
        <v>42</v>
      </c>
      <c r="F26" s="271" t="s">
        <v>5</v>
      </c>
      <c r="G26" s="209" t="s">
        <v>446</v>
      </c>
      <c r="H26" s="209" t="s">
        <v>446</v>
      </c>
      <c r="I26" s="366" t="s">
        <v>5106</v>
      </c>
      <c r="J26" s="367"/>
      <c r="K26" s="429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17</v>
      </c>
      <c r="C27" s="376"/>
      <c r="D27" s="236">
        <v>30</v>
      </c>
      <c r="E27" s="237" t="s">
        <v>41</v>
      </c>
      <c r="F27" s="271" t="s">
        <v>5</v>
      </c>
      <c r="G27" s="209" t="s">
        <v>446</v>
      </c>
      <c r="H27" s="209" t="s">
        <v>446</v>
      </c>
      <c r="I27" s="366" t="s">
        <v>5065</v>
      </c>
      <c r="J27" s="367"/>
      <c r="K27" s="429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27">
      <c r="A28" s="210">
        <v>20</v>
      </c>
      <c r="B28" s="374" t="s">
        <v>11</v>
      </c>
      <c r="C28" s="376"/>
      <c r="D28" s="236">
        <v>1</v>
      </c>
      <c r="E28" s="237" t="s">
        <v>4</v>
      </c>
      <c r="F28" s="271" t="s">
        <v>5</v>
      </c>
      <c r="G28" s="209" t="s">
        <v>446</v>
      </c>
      <c r="H28" s="209" t="s">
        <v>446</v>
      </c>
      <c r="I28" s="366" t="s">
        <v>5327</v>
      </c>
      <c r="J28" s="367"/>
      <c r="K28" s="429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30" customHeight="1">
      <c r="A29" s="210">
        <v>21</v>
      </c>
      <c r="B29" s="374" t="s">
        <v>52</v>
      </c>
      <c r="C29" s="376"/>
      <c r="D29" s="236">
        <v>4</v>
      </c>
      <c r="E29" s="237" t="s">
        <v>4</v>
      </c>
      <c r="F29" s="271" t="s">
        <v>5</v>
      </c>
      <c r="G29" s="209" t="s">
        <v>4661</v>
      </c>
      <c r="H29" s="209" t="s">
        <v>4661</v>
      </c>
      <c r="I29" s="366" t="s">
        <v>5210</v>
      </c>
      <c r="J29" s="367"/>
      <c r="K29" s="429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81">
      <c r="A30" s="210">
        <v>22</v>
      </c>
      <c r="B30" s="374" t="s">
        <v>18</v>
      </c>
      <c r="C30" s="376"/>
      <c r="D30" s="236">
        <v>1</v>
      </c>
      <c r="E30" s="237" t="s">
        <v>4</v>
      </c>
      <c r="F30" s="271" t="s">
        <v>5</v>
      </c>
      <c r="G30" s="209" t="s">
        <v>446</v>
      </c>
      <c r="H30" s="209" t="s">
        <v>446</v>
      </c>
      <c r="I30" s="366" t="s">
        <v>5209</v>
      </c>
      <c r="J30" s="367"/>
      <c r="K30" s="429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13.5">
      <c r="A31" s="210">
        <v>23</v>
      </c>
      <c r="B31" s="374" t="s">
        <v>19</v>
      </c>
      <c r="C31" s="376"/>
      <c r="D31" s="236">
        <v>5</v>
      </c>
      <c r="E31" s="237" t="s">
        <v>4</v>
      </c>
      <c r="F31" s="271" t="s">
        <v>5</v>
      </c>
      <c r="G31" s="209" t="s">
        <v>4661</v>
      </c>
      <c r="H31" s="209" t="s">
        <v>4661</v>
      </c>
      <c r="I31" s="366" t="s">
        <v>5211</v>
      </c>
      <c r="J31" s="367"/>
      <c r="K31" s="429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13.5">
      <c r="A32" s="210">
        <v>24</v>
      </c>
      <c r="B32" s="374" t="s">
        <v>20</v>
      </c>
      <c r="C32" s="376"/>
      <c r="D32" s="236">
        <v>5</v>
      </c>
      <c r="E32" s="237" t="s">
        <v>4</v>
      </c>
      <c r="F32" s="271" t="s">
        <v>5</v>
      </c>
      <c r="G32" s="209" t="s">
        <v>4661</v>
      </c>
      <c r="H32" s="209" t="s">
        <v>4661</v>
      </c>
      <c r="I32" s="366" t="s">
        <v>5212</v>
      </c>
      <c r="J32" s="367"/>
      <c r="K32" s="429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13.5" customHeight="1">
      <c r="A33" s="210">
        <v>25</v>
      </c>
      <c r="B33" s="374" t="s">
        <v>53</v>
      </c>
      <c r="C33" s="376"/>
      <c r="D33" s="236">
        <v>16</v>
      </c>
      <c r="E33" s="237" t="s">
        <v>42</v>
      </c>
      <c r="F33" s="271" t="s">
        <v>5</v>
      </c>
      <c r="G33" s="209" t="s">
        <v>4661</v>
      </c>
      <c r="H33" s="209" t="s">
        <v>4661</v>
      </c>
      <c r="I33" s="366" t="s">
        <v>5213</v>
      </c>
      <c r="J33" s="367"/>
      <c r="K33" s="429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3.5">
      <c r="A34" s="210">
        <v>26</v>
      </c>
      <c r="B34" s="374" t="s">
        <v>21</v>
      </c>
      <c r="C34" s="376"/>
      <c r="D34" s="236">
        <v>9</v>
      </c>
      <c r="E34" s="237" t="s">
        <v>42</v>
      </c>
      <c r="F34" s="271" t="s">
        <v>5</v>
      </c>
      <c r="G34" s="209" t="s">
        <v>4661</v>
      </c>
      <c r="H34" s="209" t="s">
        <v>4661</v>
      </c>
      <c r="I34" s="366" t="s">
        <v>5214</v>
      </c>
      <c r="J34" s="367"/>
      <c r="K34" s="429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3.5">
      <c r="A35" s="210">
        <v>27</v>
      </c>
      <c r="B35" s="374" t="s">
        <v>22</v>
      </c>
      <c r="C35" s="376"/>
      <c r="D35" s="236">
        <v>6</v>
      </c>
      <c r="E35" s="237" t="s">
        <v>4</v>
      </c>
      <c r="F35" s="271" t="s">
        <v>5</v>
      </c>
      <c r="G35" s="209" t="s">
        <v>446</v>
      </c>
      <c r="H35" s="209" t="s">
        <v>446</v>
      </c>
      <c r="I35" s="366" t="s">
        <v>5215</v>
      </c>
      <c r="J35" s="367"/>
      <c r="K35" s="429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3.5">
      <c r="A36" s="210">
        <v>28</v>
      </c>
      <c r="B36" s="374" t="s">
        <v>23</v>
      </c>
      <c r="C36" s="376"/>
      <c r="D36" s="236">
        <v>6</v>
      </c>
      <c r="E36" s="237" t="s">
        <v>4</v>
      </c>
      <c r="F36" s="271" t="s">
        <v>5</v>
      </c>
      <c r="G36" s="209" t="s">
        <v>446</v>
      </c>
      <c r="H36" s="209" t="s">
        <v>446</v>
      </c>
      <c r="I36" s="366" t="s">
        <v>5216</v>
      </c>
      <c r="J36" s="367"/>
      <c r="K36" s="429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s="1" customFormat="1" ht="54">
      <c r="A37" s="210">
        <v>29</v>
      </c>
      <c r="B37" s="374" t="s">
        <v>54</v>
      </c>
      <c r="C37" s="376"/>
      <c r="D37" s="236">
        <v>1</v>
      </c>
      <c r="E37" s="237" t="s">
        <v>4</v>
      </c>
      <c r="F37" s="271" t="s">
        <v>5</v>
      </c>
      <c r="G37" s="209" t="s">
        <v>446</v>
      </c>
      <c r="H37" s="209" t="s">
        <v>446</v>
      </c>
      <c r="I37" s="512" t="s">
        <v>5208</v>
      </c>
      <c r="J37" s="513"/>
      <c r="K37" s="514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s="1" customFormat="1" ht="30" customHeight="1">
      <c r="A38" s="210">
        <v>30</v>
      </c>
      <c r="B38" s="374" t="s">
        <v>55</v>
      </c>
      <c r="C38" s="376"/>
      <c r="D38" s="236">
        <v>2</v>
      </c>
      <c r="E38" s="237" t="s">
        <v>4</v>
      </c>
      <c r="F38" s="271" t="s">
        <v>5</v>
      </c>
      <c r="G38" s="209" t="s">
        <v>446</v>
      </c>
      <c r="H38" s="209" t="s">
        <v>446</v>
      </c>
      <c r="I38" s="366" t="s">
        <v>5203</v>
      </c>
      <c r="J38" s="367"/>
      <c r="K38" s="42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s="1" customFormat="1" ht="30" customHeight="1">
      <c r="A39" s="210">
        <v>31</v>
      </c>
      <c r="B39" s="374" t="s">
        <v>27</v>
      </c>
      <c r="C39" s="376"/>
      <c r="D39" s="236">
        <v>18</v>
      </c>
      <c r="E39" s="237" t="s">
        <v>4</v>
      </c>
      <c r="F39" s="271" t="s">
        <v>5</v>
      </c>
      <c r="G39" s="209" t="s">
        <v>446</v>
      </c>
      <c r="H39" s="209" t="s">
        <v>446</v>
      </c>
      <c r="I39" s="366" t="s">
        <v>5204</v>
      </c>
      <c r="J39" s="367"/>
      <c r="K39" s="42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s="1" customFormat="1" ht="30" customHeight="1">
      <c r="A40" s="210">
        <v>32</v>
      </c>
      <c r="B40" s="374" t="s">
        <v>44</v>
      </c>
      <c r="C40" s="376"/>
      <c r="D40" s="236">
        <v>18</v>
      </c>
      <c r="E40" s="237" t="s">
        <v>4</v>
      </c>
      <c r="F40" s="271" t="s">
        <v>5</v>
      </c>
      <c r="G40" s="209" t="s">
        <v>446</v>
      </c>
      <c r="H40" s="209" t="s">
        <v>446</v>
      </c>
      <c r="I40" s="366" t="s">
        <v>5205</v>
      </c>
      <c r="J40" s="367"/>
      <c r="K40" s="42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374" t="s">
        <v>24</v>
      </c>
      <c r="C41" s="376"/>
      <c r="D41" s="236">
        <v>18</v>
      </c>
      <c r="E41" s="237" t="s">
        <v>4</v>
      </c>
      <c r="F41" s="271" t="s">
        <v>5</v>
      </c>
      <c r="G41" s="209" t="s">
        <v>446</v>
      </c>
      <c r="H41" s="209" t="s">
        <v>446</v>
      </c>
      <c r="I41" s="366" t="s">
        <v>5206</v>
      </c>
      <c r="J41" s="367"/>
      <c r="K41" s="42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15" customHeight="1">
      <c r="A42" s="210">
        <v>34</v>
      </c>
      <c r="B42" s="374" t="s">
        <v>56</v>
      </c>
      <c r="C42" s="376"/>
      <c r="D42" s="236">
        <v>18</v>
      </c>
      <c r="E42" s="237" t="s">
        <v>4</v>
      </c>
      <c r="F42" s="271" t="s">
        <v>5</v>
      </c>
      <c r="G42" s="209" t="s">
        <v>446</v>
      </c>
      <c r="H42" s="209" t="s">
        <v>446</v>
      </c>
      <c r="I42" s="366" t="s">
        <v>5018</v>
      </c>
      <c r="J42" s="367"/>
      <c r="K42" s="42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15" customHeight="1">
      <c r="A43" s="210">
        <v>35</v>
      </c>
      <c r="B43" s="374" t="s">
        <v>57</v>
      </c>
      <c r="C43" s="376"/>
      <c r="D43" s="236">
        <v>18</v>
      </c>
      <c r="E43" s="237" t="s">
        <v>4</v>
      </c>
      <c r="F43" s="271" t="s">
        <v>5</v>
      </c>
      <c r="G43" s="209" t="s">
        <v>446</v>
      </c>
      <c r="H43" s="209" t="s">
        <v>446</v>
      </c>
      <c r="I43" s="366" t="s">
        <v>5019</v>
      </c>
      <c r="J43" s="367"/>
      <c r="K43" s="42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15" customHeight="1">
      <c r="A44" s="210">
        <v>36</v>
      </c>
      <c r="B44" s="374" t="s">
        <v>192</v>
      </c>
      <c r="C44" s="376"/>
      <c r="D44" s="236">
        <v>4</v>
      </c>
      <c r="E44" s="237" t="s">
        <v>4</v>
      </c>
      <c r="F44" s="271" t="s">
        <v>5</v>
      </c>
      <c r="G44" s="209" t="s">
        <v>446</v>
      </c>
      <c r="H44" s="209" t="s">
        <v>446</v>
      </c>
      <c r="I44" s="366" t="s">
        <v>5207</v>
      </c>
      <c r="J44" s="367"/>
      <c r="K44" s="429"/>
      <c r="L44" s="196" t="str">
        <f ca="1">IFERROR(_xlfn.TEXTJOIN(CHAR(10), TRUE, OFFSET('&lt;별첨9&gt;전체코드'!E:E, MATCH(B44,'&lt;별첨9&gt;전체코드'!A:A,0)-1, 0, COUNTIF('&lt;별첨9&gt;전체코드'!A:A,B44), 1)), "")</f>
        <v/>
      </c>
    </row>
    <row r="45" spans="1:12" s="1" customFormat="1" ht="67.5" customHeight="1">
      <c r="A45" s="210">
        <v>37</v>
      </c>
      <c r="B45" s="366" t="s">
        <v>193</v>
      </c>
      <c r="C45" s="429"/>
      <c r="D45" s="236">
        <v>1</v>
      </c>
      <c r="E45" s="237" t="s">
        <v>79</v>
      </c>
      <c r="F45" s="271" t="s">
        <v>78</v>
      </c>
      <c r="G45" s="209" t="s">
        <v>446</v>
      </c>
      <c r="H45" s="209" t="s">
        <v>446</v>
      </c>
      <c r="I45" s="366" t="s">
        <v>5328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>
      <c r="A46" s="210">
        <v>38</v>
      </c>
      <c r="B46" s="366" t="s">
        <v>194</v>
      </c>
      <c r="C46" s="429"/>
      <c r="D46" s="236">
        <v>2</v>
      </c>
      <c r="E46" s="237" t="s">
        <v>79</v>
      </c>
      <c r="F46" s="271" t="s">
        <v>78</v>
      </c>
      <c r="G46" s="209" t="s">
        <v>446</v>
      </c>
      <c r="H46" s="209" t="s">
        <v>446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s="1" customFormat="1" ht="15" customHeight="1" thickBot="1">
      <c r="A47" s="213">
        <v>39</v>
      </c>
      <c r="B47" s="422" t="s">
        <v>25</v>
      </c>
      <c r="C47" s="424"/>
      <c r="D47" s="272">
        <v>123</v>
      </c>
      <c r="E47" s="267" t="s">
        <v>26</v>
      </c>
      <c r="F47" s="273" t="s">
        <v>5</v>
      </c>
      <c r="G47" s="108" t="s">
        <v>4690</v>
      </c>
      <c r="H47" s="108" t="s">
        <v>4690</v>
      </c>
      <c r="I47" s="479" t="s">
        <v>254</v>
      </c>
      <c r="J47" s="480"/>
      <c r="K47" s="515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47:K47"/>
    <mergeCell ref="I45:K45"/>
    <mergeCell ref="I43:K43"/>
    <mergeCell ref="I41:K41"/>
    <mergeCell ref="I39:K39"/>
    <mergeCell ref="I44:K44"/>
    <mergeCell ref="I46:K46"/>
    <mergeCell ref="I9:K9"/>
    <mergeCell ref="I27:K27"/>
    <mergeCell ref="I25:K25"/>
    <mergeCell ref="I23:K23"/>
    <mergeCell ref="I21:K21"/>
    <mergeCell ref="I19:K19"/>
    <mergeCell ref="B46:C46"/>
    <mergeCell ref="B47:C47"/>
    <mergeCell ref="B43:C43"/>
    <mergeCell ref="B44:C44"/>
    <mergeCell ref="B45:C45"/>
    <mergeCell ref="B40:C40"/>
    <mergeCell ref="B41:C41"/>
    <mergeCell ref="B42:C42"/>
    <mergeCell ref="I40:K40"/>
    <mergeCell ref="I42:K42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I37:K37"/>
    <mergeCell ref="I35:K35"/>
    <mergeCell ref="B31:C31"/>
    <mergeCell ref="B32:C32"/>
    <mergeCell ref="B33:C33"/>
    <mergeCell ref="I32:K32"/>
    <mergeCell ref="B28:C28"/>
    <mergeCell ref="B29:C29"/>
    <mergeCell ref="B30:C30"/>
    <mergeCell ref="I28:K28"/>
    <mergeCell ref="I30:K30"/>
    <mergeCell ref="I33:K33"/>
    <mergeCell ref="I31:K31"/>
    <mergeCell ref="I29:K29"/>
    <mergeCell ref="B25:C25"/>
    <mergeCell ref="B26:C26"/>
    <mergeCell ref="B27:C27"/>
    <mergeCell ref="I26:K26"/>
    <mergeCell ref="B22:C22"/>
    <mergeCell ref="B23:C23"/>
    <mergeCell ref="B24:C24"/>
    <mergeCell ref="I22:K22"/>
    <mergeCell ref="I24:K24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5:K15"/>
    <mergeCell ref="I13:K13"/>
    <mergeCell ref="I11:K11"/>
    <mergeCell ref="A2:L2"/>
    <mergeCell ref="G5:I5"/>
    <mergeCell ref="K5:L5"/>
    <mergeCell ref="B8:C8"/>
    <mergeCell ref="B9:C9"/>
    <mergeCell ref="I8:K8"/>
    <mergeCell ref="A5:B5"/>
    <mergeCell ref="D5:F5"/>
    <mergeCell ref="I7:K7"/>
    <mergeCell ref="C3:L3"/>
    <mergeCell ref="G4:I4"/>
    <mergeCell ref="K4:L4"/>
    <mergeCell ref="B7:C7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9F78-6A34-48FD-A96C-1FC873F017AC}">
  <sheetPr codeName="Sheet61"/>
  <dimension ref="A1:L4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5223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7655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158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SLP220103ZW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6">
        <v>8</v>
      </c>
      <c r="E9" s="237" t="s">
        <v>4</v>
      </c>
      <c r="F9" s="271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6</v>
      </c>
      <c r="C10" s="376"/>
      <c r="D10" s="236">
        <v>4</v>
      </c>
      <c r="E10" s="237" t="s">
        <v>4</v>
      </c>
      <c r="F10" s="271" t="s">
        <v>5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7</v>
      </c>
      <c r="C11" s="376"/>
      <c r="D11" s="236">
        <v>5</v>
      </c>
      <c r="E11" s="237" t="s">
        <v>4</v>
      </c>
      <c r="F11" s="271" t="s">
        <v>5</v>
      </c>
      <c r="G11" s="209" t="s">
        <v>446</v>
      </c>
      <c r="H11" s="209" t="s">
        <v>446</v>
      </c>
      <c r="I11" s="366" t="s">
        <v>5099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5" customHeight="1">
      <c r="A12" s="210">
        <v>4</v>
      </c>
      <c r="B12" s="374" t="s">
        <v>8</v>
      </c>
      <c r="C12" s="376"/>
      <c r="D12" s="236">
        <v>4</v>
      </c>
      <c r="E12" s="237" t="s">
        <v>4</v>
      </c>
      <c r="F12" s="271" t="s">
        <v>5</v>
      </c>
      <c r="G12" s="209" t="s">
        <v>446</v>
      </c>
      <c r="H12" s="209" t="s">
        <v>446</v>
      </c>
      <c r="I12" s="366" t="s">
        <v>5100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10">
        <v>5</v>
      </c>
      <c r="B13" s="374" t="s">
        <v>10</v>
      </c>
      <c r="C13" s="376"/>
      <c r="D13" s="236">
        <v>18</v>
      </c>
      <c r="E13" s="237" t="s">
        <v>4</v>
      </c>
      <c r="F13" s="271" t="s">
        <v>5</v>
      </c>
      <c r="G13" s="209" t="s">
        <v>446</v>
      </c>
      <c r="H13" s="209" t="s">
        <v>446</v>
      </c>
      <c r="I13" s="366" t="s">
        <v>4944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">
      <c r="A14" s="210">
        <v>6</v>
      </c>
      <c r="B14" s="374" t="s">
        <v>51</v>
      </c>
      <c r="C14" s="376"/>
      <c r="D14" s="236">
        <v>1</v>
      </c>
      <c r="E14" s="237" t="s">
        <v>4</v>
      </c>
      <c r="F14" s="271" t="s">
        <v>5</v>
      </c>
      <c r="G14" s="209" t="s">
        <v>446</v>
      </c>
      <c r="H14" s="209" t="s">
        <v>446</v>
      </c>
      <c r="I14" s="366" t="s">
        <v>5195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5" customHeight="1">
      <c r="A15" s="210">
        <v>7</v>
      </c>
      <c r="B15" s="374" t="s">
        <v>184</v>
      </c>
      <c r="C15" s="376"/>
      <c r="D15" s="236">
        <v>20</v>
      </c>
      <c r="E15" s="237" t="s">
        <v>41</v>
      </c>
      <c r="F15" s="271" t="s">
        <v>5</v>
      </c>
      <c r="G15" s="209" t="s">
        <v>446</v>
      </c>
      <c r="H15" s="209" t="s">
        <v>446</v>
      </c>
      <c r="I15" s="366" t="s">
        <v>5181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5" customHeight="1">
      <c r="A16" s="210">
        <v>8</v>
      </c>
      <c r="B16" s="374" t="s">
        <v>185</v>
      </c>
      <c r="C16" s="376"/>
      <c r="D16" s="236">
        <v>20</v>
      </c>
      <c r="E16" s="237" t="s">
        <v>42</v>
      </c>
      <c r="F16" s="271" t="s">
        <v>5</v>
      </c>
      <c r="G16" s="209" t="s">
        <v>446</v>
      </c>
      <c r="H16" s="209" t="s">
        <v>446</v>
      </c>
      <c r="I16" s="366" t="s">
        <v>5101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5" customHeight="1">
      <c r="A17" s="210">
        <v>9</v>
      </c>
      <c r="B17" s="374" t="s">
        <v>186</v>
      </c>
      <c r="C17" s="376"/>
      <c r="D17" s="236">
        <v>20</v>
      </c>
      <c r="E17" s="237" t="s">
        <v>41</v>
      </c>
      <c r="F17" s="271" t="s">
        <v>5</v>
      </c>
      <c r="G17" s="209" t="s">
        <v>446</v>
      </c>
      <c r="H17" s="209" t="s">
        <v>446</v>
      </c>
      <c r="I17" s="366" t="s">
        <v>5187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4" t="s">
        <v>187</v>
      </c>
      <c r="C18" s="376"/>
      <c r="D18" s="236">
        <v>20</v>
      </c>
      <c r="E18" s="237" t="s">
        <v>42</v>
      </c>
      <c r="F18" s="271" t="s">
        <v>5</v>
      </c>
      <c r="G18" s="209" t="s">
        <v>446</v>
      </c>
      <c r="H18" s="209" t="s">
        <v>446</v>
      </c>
      <c r="I18" s="366" t="s">
        <v>5102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67.5" customHeight="1">
      <c r="A19" s="210">
        <v>11</v>
      </c>
      <c r="B19" s="374" t="s">
        <v>188</v>
      </c>
      <c r="C19" s="376"/>
      <c r="D19" s="236">
        <v>1</v>
      </c>
      <c r="E19" s="237" t="s">
        <v>4</v>
      </c>
      <c r="F19" s="271" t="s">
        <v>5</v>
      </c>
      <c r="G19" s="209" t="s">
        <v>446</v>
      </c>
      <c r="H19" s="209" t="s">
        <v>446</v>
      </c>
      <c r="I19" s="509" t="s">
        <v>5326</v>
      </c>
      <c r="J19" s="509"/>
      <c r="K19" s="509"/>
      <c r="L19" s="196" t="str">
        <f ca="1">IFERROR(_xlfn.TEXTJOIN(CHAR(10), TRUE, OFFSET('&lt;별첨9&gt;전체코드'!E:E, MATCH(B19,'&lt;별첨9&gt;전체코드'!A:A,0)-1, 0, COUNTIF('&lt;별첨9&gt;전체코드'!A:A,B19), 1)), "")</f>
        <v>2 : 금융기관(연기금포함)
3 : 기타
4 : 기업
5 : 개인</v>
      </c>
    </row>
    <row r="20" spans="1:12" s="1" customFormat="1" ht="229.5">
      <c r="A20" s="210">
        <v>12</v>
      </c>
      <c r="B20" s="374" t="s">
        <v>189</v>
      </c>
      <c r="C20" s="376"/>
      <c r="D20" s="236">
        <v>2</v>
      </c>
      <c r="E20" s="237" t="s">
        <v>4</v>
      </c>
      <c r="F20" s="271" t="s">
        <v>5</v>
      </c>
      <c r="G20" s="209" t="s">
        <v>446</v>
      </c>
      <c r="H20" s="209" t="s">
        <v>446</v>
      </c>
      <c r="I20" s="366" t="s">
        <v>5264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1" spans="1:12" s="1" customFormat="1" ht="54">
      <c r="A21" s="210">
        <v>13</v>
      </c>
      <c r="B21" s="374" t="s">
        <v>190</v>
      </c>
      <c r="C21" s="376"/>
      <c r="D21" s="236">
        <v>1</v>
      </c>
      <c r="E21" s="237" t="s">
        <v>4</v>
      </c>
      <c r="F21" s="271" t="s">
        <v>5</v>
      </c>
      <c r="G21" s="209" t="s">
        <v>446</v>
      </c>
      <c r="H21" s="209" t="s">
        <v>446</v>
      </c>
      <c r="I21" s="366" t="s">
        <v>5325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1 : CMS계좌 또는 CMS코드 사용
2 : 기타계좌 또는 CMS코드 미사용</v>
      </c>
    </row>
    <row r="22" spans="1:12" s="1" customFormat="1" ht="30" customHeight="1">
      <c r="A22" s="210">
        <v>14</v>
      </c>
      <c r="B22" s="374" t="s">
        <v>191</v>
      </c>
      <c r="C22" s="376"/>
      <c r="D22" s="236">
        <v>60</v>
      </c>
      <c r="E22" s="237" t="s">
        <v>42</v>
      </c>
      <c r="F22" s="271" t="s">
        <v>5</v>
      </c>
      <c r="G22" s="209" t="s">
        <v>4661</v>
      </c>
      <c r="H22" s="209" t="s">
        <v>4661</v>
      </c>
      <c r="I22" s="366" t="s">
        <v>5271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30" customHeight="1">
      <c r="A23" s="210">
        <v>15</v>
      </c>
      <c r="B23" s="374" t="s">
        <v>13</v>
      </c>
      <c r="C23" s="376"/>
      <c r="D23" s="236">
        <v>20</v>
      </c>
      <c r="E23" s="237" t="s">
        <v>41</v>
      </c>
      <c r="F23" s="271" t="s">
        <v>5</v>
      </c>
      <c r="G23" s="209" t="s">
        <v>4661</v>
      </c>
      <c r="H23" s="209" t="s">
        <v>4661</v>
      </c>
      <c r="I23" s="366" t="s">
        <v>5196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15" customHeight="1">
      <c r="A24" s="210">
        <v>16</v>
      </c>
      <c r="B24" s="374" t="s">
        <v>14</v>
      </c>
      <c r="C24" s="376"/>
      <c r="D24" s="236">
        <v>10</v>
      </c>
      <c r="E24" s="237" t="s">
        <v>42</v>
      </c>
      <c r="F24" s="271" t="s">
        <v>5</v>
      </c>
      <c r="G24" s="209" t="s">
        <v>446</v>
      </c>
      <c r="H24" s="209" t="s">
        <v>446</v>
      </c>
      <c r="I24" s="366" t="s">
        <v>5197</v>
      </c>
      <c r="J24" s="367"/>
      <c r="K24" s="429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15</v>
      </c>
      <c r="C25" s="376"/>
      <c r="D25" s="236">
        <v>30</v>
      </c>
      <c r="E25" s="237" t="s">
        <v>41</v>
      </c>
      <c r="F25" s="271" t="s">
        <v>5</v>
      </c>
      <c r="G25" s="209" t="s">
        <v>446</v>
      </c>
      <c r="H25" s="209" t="s">
        <v>446</v>
      </c>
      <c r="I25" s="366" t="s">
        <v>5063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16</v>
      </c>
      <c r="C26" s="376"/>
      <c r="D26" s="236">
        <v>10</v>
      </c>
      <c r="E26" s="237" t="s">
        <v>42</v>
      </c>
      <c r="F26" s="271" t="s">
        <v>5</v>
      </c>
      <c r="G26" s="209" t="s">
        <v>446</v>
      </c>
      <c r="H26" s="209" t="s">
        <v>446</v>
      </c>
      <c r="I26" s="366" t="s">
        <v>5106</v>
      </c>
      <c r="J26" s="367"/>
      <c r="K26" s="429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17</v>
      </c>
      <c r="C27" s="376"/>
      <c r="D27" s="236">
        <v>30</v>
      </c>
      <c r="E27" s="237" t="s">
        <v>41</v>
      </c>
      <c r="F27" s="271" t="s">
        <v>5</v>
      </c>
      <c r="G27" s="209" t="s">
        <v>446</v>
      </c>
      <c r="H27" s="209" t="s">
        <v>446</v>
      </c>
      <c r="I27" s="366" t="s">
        <v>5065</v>
      </c>
      <c r="J27" s="367"/>
      <c r="K27" s="429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27">
      <c r="A28" s="210">
        <v>20</v>
      </c>
      <c r="B28" s="374" t="s">
        <v>11</v>
      </c>
      <c r="C28" s="376"/>
      <c r="D28" s="236">
        <v>1</v>
      </c>
      <c r="E28" s="237" t="s">
        <v>4</v>
      </c>
      <c r="F28" s="271" t="s">
        <v>5</v>
      </c>
      <c r="G28" s="209" t="s">
        <v>446</v>
      </c>
      <c r="H28" s="209" t="s">
        <v>446</v>
      </c>
      <c r="I28" s="366" t="s">
        <v>5327</v>
      </c>
      <c r="J28" s="367"/>
      <c r="K28" s="429"/>
      <c r="L28" s="196" t="str">
        <f ca="1">IFERROR(_xlfn.TEXTJOIN(CHAR(10), TRUE, OFFSET('&lt;별첨9&gt;전체코드'!E:E, MATCH(B28,'&lt;별첨9&gt;전체코드'!A:A,0)-1, 0, COUNTIF('&lt;별첨9&gt;전체코드'!A:A,B28), 1)), "")</f>
        <v>1 : 즉시
2 : 예약</v>
      </c>
    </row>
    <row r="29" spans="1:12" s="1" customFormat="1" ht="30" customHeight="1">
      <c r="A29" s="210">
        <v>21</v>
      </c>
      <c r="B29" s="374" t="s">
        <v>52</v>
      </c>
      <c r="C29" s="376"/>
      <c r="D29" s="236">
        <v>4</v>
      </c>
      <c r="E29" s="237" t="s">
        <v>4</v>
      </c>
      <c r="F29" s="271" t="s">
        <v>5</v>
      </c>
      <c r="G29" s="209" t="s">
        <v>4661</v>
      </c>
      <c r="H29" s="209" t="s">
        <v>4661</v>
      </c>
      <c r="I29" s="366" t="s">
        <v>5210</v>
      </c>
      <c r="J29" s="367"/>
      <c r="K29" s="429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s="1" customFormat="1" ht="81">
      <c r="A30" s="210">
        <v>22</v>
      </c>
      <c r="B30" s="374" t="s">
        <v>18</v>
      </c>
      <c r="C30" s="376"/>
      <c r="D30" s="236">
        <v>1</v>
      </c>
      <c r="E30" s="237" t="s">
        <v>4</v>
      </c>
      <c r="F30" s="271" t="s">
        <v>5</v>
      </c>
      <c r="G30" s="209" t="s">
        <v>446</v>
      </c>
      <c r="H30" s="209" t="s">
        <v>446</v>
      </c>
      <c r="I30" s="366" t="s">
        <v>5209</v>
      </c>
      <c r="J30" s="367"/>
      <c r="K30" s="429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13.5">
      <c r="A31" s="210">
        <v>23</v>
      </c>
      <c r="B31" s="374" t="s">
        <v>19</v>
      </c>
      <c r="C31" s="376"/>
      <c r="D31" s="236">
        <v>5</v>
      </c>
      <c r="E31" s="237" t="s">
        <v>4</v>
      </c>
      <c r="F31" s="271" t="s">
        <v>5</v>
      </c>
      <c r="G31" s="209" t="s">
        <v>4661</v>
      </c>
      <c r="H31" s="209" t="s">
        <v>4661</v>
      </c>
      <c r="I31" s="366" t="s">
        <v>5211</v>
      </c>
      <c r="J31" s="367"/>
      <c r="K31" s="429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13.5">
      <c r="A32" s="210">
        <v>24</v>
      </c>
      <c r="B32" s="374" t="s">
        <v>20</v>
      </c>
      <c r="C32" s="376"/>
      <c r="D32" s="236">
        <v>5</v>
      </c>
      <c r="E32" s="237" t="s">
        <v>4</v>
      </c>
      <c r="F32" s="271" t="s">
        <v>5</v>
      </c>
      <c r="G32" s="209" t="s">
        <v>4661</v>
      </c>
      <c r="H32" s="209" t="s">
        <v>4661</v>
      </c>
      <c r="I32" s="366" t="s">
        <v>5212</v>
      </c>
      <c r="J32" s="367"/>
      <c r="K32" s="429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13.5" customHeight="1">
      <c r="A33" s="210">
        <v>25</v>
      </c>
      <c r="B33" s="374" t="s">
        <v>53</v>
      </c>
      <c r="C33" s="376"/>
      <c r="D33" s="236">
        <v>16</v>
      </c>
      <c r="E33" s="237" t="s">
        <v>42</v>
      </c>
      <c r="F33" s="271" t="s">
        <v>5</v>
      </c>
      <c r="G33" s="209" t="s">
        <v>4661</v>
      </c>
      <c r="H33" s="209" t="s">
        <v>4661</v>
      </c>
      <c r="I33" s="366" t="s">
        <v>5213</v>
      </c>
      <c r="J33" s="367"/>
      <c r="K33" s="429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13.5">
      <c r="A34" s="210">
        <v>26</v>
      </c>
      <c r="B34" s="374" t="s">
        <v>21</v>
      </c>
      <c r="C34" s="376"/>
      <c r="D34" s="236">
        <v>9</v>
      </c>
      <c r="E34" s="237" t="s">
        <v>42</v>
      </c>
      <c r="F34" s="271" t="s">
        <v>5</v>
      </c>
      <c r="G34" s="209" t="s">
        <v>4661</v>
      </c>
      <c r="H34" s="209" t="s">
        <v>4661</v>
      </c>
      <c r="I34" s="366" t="s">
        <v>5214</v>
      </c>
      <c r="J34" s="367"/>
      <c r="K34" s="429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13.5">
      <c r="A35" s="210">
        <v>27</v>
      </c>
      <c r="B35" s="374" t="s">
        <v>22</v>
      </c>
      <c r="C35" s="376"/>
      <c r="D35" s="236">
        <v>6</v>
      </c>
      <c r="E35" s="237" t="s">
        <v>4</v>
      </c>
      <c r="F35" s="271" t="s">
        <v>5</v>
      </c>
      <c r="G35" s="209" t="s">
        <v>446</v>
      </c>
      <c r="H35" s="209" t="s">
        <v>446</v>
      </c>
      <c r="I35" s="366" t="s">
        <v>5215</v>
      </c>
      <c r="J35" s="367"/>
      <c r="K35" s="429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13.5">
      <c r="A36" s="210">
        <v>28</v>
      </c>
      <c r="B36" s="374" t="s">
        <v>23</v>
      </c>
      <c r="C36" s="376"/>
      <c r="D36" s="236">
        <v>6</v>
      </c>
      <c r="E36" s="237" t="s">
        <v>4</v>
      </c>
      <c r="F36" s="271" t="s">
        <v>5</v>
      </c>
      <c r="G36" s="209" t="s">
        <v>446</v>
      </c>
      <c r="H36" s="209" t="s">
        <v>446</v>
      </c>
      <c r="I36" s="366" t="s">
        <v>5216</v>
      </c>
      <c r="J36" s="367"/>
      <c r="K36" s="429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s="1" customFormat="1" ht="54">
      <c r="A37" s="210">
        <v>29</v>
      </c>
      <c r="B37" s="374" t="s">
        <v>54</v>
      </c>
      <c r="C37" s="376"/>
      <c r="D37" s="236">
        <v>1</v>
      </c>
      <c r="E37" s="237" t="s">
        <v>4</v>
      </c>
      <c r="F37" s="271" t="s">
        <v>5</v>
      </c>
      <c r="G37" s="209" t="s">
        <v>446</v>
      </c>
      <c r="H37" s="209" t="s">
        <v>446</v>
      </c>
      <c r="I37" s="512" t="s">
        <v>5208</v>
      </c>
      <c r="J37" s="513"/>
      <c r="K37" s="514"/>
      <c r="L37" s="196" t="str">
        <f ca="1">IFERROR(_xlfn.TEXTJOIN(CHAR(10), TRUE, OFFSET('&lt;별첨9&gt;전체코드'!E:E, MATCH(B37,'&lt;별첨9&gt;전체코드'!A:A,0)-1, 0, COUNTIF('&lt;별첨9&gt;전체코드'!A:A,B37), 1)), "")</f>
        <v>1 : 총액결제
2 : 양자간 동시처리
3 : 다자간 동시처리
4 : 콜연결상환</v>
      </c>
    </row>
    <row r="38" spans="1:12" s="1" customFormat="1" ht="30" customHeight="1">
      <c r="A38" s="210">
        <v>30</v>
      </c>
      <c r="B38" s="374" t="s">
        <v>55</v>
      </c>
      <c r="C38" s="376"/>
      <c r="D38" s="236">
        <v>2</v>
      </c>
      <c r="E38" s="237" t="s">
        <v>4</v>
      </c>
      <c r="F38" s="271" t="s">
        <v>5</v>
      </c>
      <c r="G38" s="209" t="s">
        <v>446</v>
      </c>
      <c r="H38" s="209" t="s">
        <v>446</v>
      </c>
      <c r="I38" s="366" t="s">
        <v>5203</v>
      </c>
      <c r="J38" s="367"/>
      <c r="K38" s="429"/>
      <c r="L38" s="196" t="str">
        <f ca="1">IFERROR(_xlfn.TEXTJOIN(CHAR(10), TRUE, OFFSET('&lt;별첨9&gt;전체코드'!E:E, MATCH(B38,'&lt;별첨9&gt;전체코드'!A:A,0)-1, 0, COUNTIF('&lt;별첨9&gt;전체코드'!A:A,B38), 1)), "")</f>
        <v>&lt;별첨6&gt; 참조</v>
      </c>
    </row>
    <row r="39" spans="1:12" s="1" customFormat="1" ht="30" customHeight="1">
      <c r="A39" s="210">
        <v>31</v>
      </c>
      <c r="B39" s="374" t="s">
        <v>27</v>
      </c>
      <c r="C39" s="376"/>
      <c r="D39" s="236">
        <v>18</v>
      </c>
      <c r="E39" s="237" t="s">
        <v>4</v>
      </c>
      <c r="F39" s="271" t="s">
        <v>5</v>
      </c>
      <c r="G39" s="209" t="s">
        <v>446</v>
      </c>
      <c r="H39" s="209" t="s">
        <v>446</v>
      </c>
      <c r="I39" s="366" t="s">
        <v>5204</v>
      </c>
      <c r="J39" s="367"/>
      <c r="K39" s="429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s="1" customFormat="1" ht="30" customHeight="1">
      <c r="A40" s="210">
        <v>32</v>
      </c>
      <c r="B40" s="374" t="s">
        <v>44</v>
      </c>
      <c r="C40" s="376"/>
      <c r="D40" s="236">
        <v>18</v>
      </c>
      <c r="E40" s="237" t="s">
        <v>4</v>
      </c>
      <c r="F40" s="271" t="s">
        <v>5</v>
      </c>
      <c r="G40" s="209" t="s">
        <v>446</v>
      </c>
      <c r="H40" s="209" t="s">
        <v>446</v>
      </c>
      <c r="I40" s="366" t="s">
        <v>5205</v>
      </c>
      <c r="J40" s="367"/>
      <c r="K40" s="429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s="1" customFormat="1" ht="30" customHeight="1">
      <c r="A41" s="210">
        <v>33</v>
      </c>
      <c r="B41" s="374" t="s">
        <v>24</v>
      </c>
      <c r="C41" s="376"/>
      <c r="D41" s="236">
        <v>18</v>
      </c>
      <c r="E41" s="237" t="s">
        <v>4</v>
      </c>
      <c r="F41" s="271" t="s">
        <v>5</v>
      </c>
      <c r="G41" s="209" t="s">
        <v>446</v>
      </c>
      <c r="H41" s="209" t="s">
        <v>446</v>
      </c>
      <c r="I41" s="366" t="s">
        <v>5206</v>
      </c>
      <c r="J41" s="367"/>
      <c r="K41" s="429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s="1" customFormat="1" ht="15" customHeight="1">
      <c r="A42" s="210">
        <v>34</v>
      </c>
      <c r="B42" s="374" t="s">
        <v>56</v>
      </c>
      <c r="C42" s="376"/>
      <c r="D42" s="236">
        <v>18</v>
      </c>
      <c r="E42" s="237" t="s">
        <v>4</v>
      </c>
      <c r="F42" s="271" t="s">
        <v>5</v>
      </c>
      <c r="G42" s="209" t="s">
        <v>446</v>
      </c>
      <c r="H42" s="209" t="s">
        <v>446</v>
      </c>
      <c r="I42" s="366" t="s">
        <v>5018</v>
      </c>
      <c r="J42" s="367"/>
      <c r="K42" s="429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s="1" customFormat="1" ht="15" customHeight="1">
      <c r="A43" s="210">
        <v>35</v>
      </c>
      <c r="B43" s="374" t="s">
        <v>57</v>
      </c>
      <c r="C43" s="376"/>
      <c r="D43" s="236">
        <v>18</v>
      </c>
      <c r="E43" s="237" t="s">
        <v>4</v>
      </c>
      <c r="F43" s="271" t="s">
        <v>5</v>
      </c>
      <c r="G43" s="209" t="s">
        <v>446</v>
      </c>
      <c r="H43" s="209" t="s">
        <v>446</v>
      </c>
      <c r="I43" s="366" t="s">
        <v>5019</v>
      </c>
      <c r="J43" s="367"/>
      <c r="K43" s="429"/>
      <c r="L43" s="196" t="str">
        <f ca="1">IFERROR(_xlfn.TEXTJOIN(CHAR(10), TRUE, OFFSET('&lt;별첨9&gt;전체코드'!E:E, MATCH(B43,'&lt;별첨9&gt;전체코드'!A:A,0)-1, 0, COUNTIF('&lt;별첨9&gt;전체코드'!A:A,B43), 1)), "")</f>
        <v/>
      </c>
    </row>
    <row r="44" spans="1:12" s="1" customFormat="1" ht="15" customHeight="1">
      <c r="A44" s="210">
        <v>36</v>
      </c>
      <c r="B44" s="374" t="s">
        <v>192</v>
      </c>
      <c r="C44" s="376"/>
      <c r="D44" s="236">
        <v>4</v>
      </c>
      <c r="E44" s="237" t="s">
        <v>4</v>
      </c>
      <c r="F44" s="271" t="s">
        <v>5</v>
      </c>
      <c r="G44" s="209" t="s">
        <v>446</v>
      </c>
      <c r="H44" s="209" t="s">
        <v>446</v>
      </c>
      <c r="I44" s="366" t="s">
        <v>5207</v>
      </c>
      <c r="J44" s="367"/>
      <c r="K44" s="429"/>
      <c r="L44" s="196" t="str">
        <f ca="1">IFERROR(_xlfn.TEXTJOIN(CHAR(10), TRUE, OFFSET('&lt;별첨9&gt;전체코드'!E:E, MATCH(B44,'&lt;별첨9&gt;전체코드'!A:A,0)-1, 0, COUNTIF('&lt;별첨9&gt;전체코드'!A:A,B44), 1)), "")</f>
        <v/>
      </c>
    </row>
    <row r="45" spans="1:12" s="1" customFormat="1" ht="67.5" customHeight="1">
      <c r="A45" s="210">
        <v>37</v>
      </c>
      <c r="B45" s="366" t="s">
        <v>193</v>
      </c>
      <c r="C45" s="429"/>
      <c r="D45" s="236">
        <v>1</v>
      </c>
      <c r="E45" s="237" t="s">
        <v>79</v>
      </c>
      <c r="F45" s="271" t="s">
        <v>78</v>
      </c>
      <c r="G45" s="209" t="s">
        <v>446</v>
      </c>
      <c r="H45" s="209" t="s">
        <v>446</v>
      </c>
      <c r="I45" s="366" t="s">
        <v>5328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>2 : 금융기관(연기금포함)
3 : 기타
4 : 기업
5 : 개인</v>
      </c>
    </row>
    <row r="46" spans="1:12" s="1" customFormat="1" ht="229.5">
      <c r="A46" s="210">
        <v>38</v>
      </c>
      <c r="B46" s="366" t="s">
        <v>194</v>
      </c>
      <c r="C46" s="429"/>
      <c r="D46" s="236">
        <v>2</v>
      </c>
      <c r="E46" s="237" t="s">
        <v>79</v>
      </c>
      <c r="F46" s="271" t="s">
        <v>78</v>
      </c>
      <c r="G46" s="209" t="s">
        <v>446</v>
      </c>
      <c r="H46" s="209" t="s">
        <v>446</v>
      </c>
      <c r="I46" s="366" t="s">
        <v>5265</v>
      </c>
      <c r="J46" s="367"/>
      <c r="K46" s="367"/>
      <c r="L46" s="196" t="str">
        <f ca="1">IFERROR(_xlfn.TEXTJOIN(CHAR(10), TRUE, OFFSET('&lt;별첨9&gt;전체코드'!E:E, MATCH(B46,'&lt;별첨9&gt;전체코드'!A:A,0)-1, 0, COUNTIF('&lt;별첨9&gt;전체코드'!A:A,B46),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7" spans="1:12" s="1" customFormat="1" ht="15" customHeight="1" thickBot="1">
      <c r="A47" s="213">
        <v>39</v>
      </c>
      <c r="B47" s="422" t="s">
        <v>25</v>
      </c>
      <c r="C47" s="424"/>
      <c r="D47" s="272">
        <v>123</v>
      </c>
      <c r="E47" s="267" t="s">
        <v>26</v>
      </c>
      <c r="F47" s="273" t="s">
        <v>5</v>
      </c>
      <c r="G47" s="108" t="s">
        <v>4690</v>
      </c>
      <c r="H47" s="108" t="s">
        <v>4690</v>
      </c>
      <c r="I47" s="479" t="s">
        <v>254</v>
      </c>
      <c r="J47" s="480"/>
      <c r="K47" s="515"/>
      <c r="L47" s="198" t="str">
        <f ca="1">IFERROR(_xlfn.TEXTJOIN(CHAR(10), TRUE, OFFSET('&lt;별첨9&gt;전체코드'!E:E, MATCH(B47,'&lt;별첨9&gt;전체코드'!A:A,0)-1, 0, COUNTIF('&lt;별첨9&gt;전체코드'!A:A,B47), 1)), "")</f>
        <v/>
      </c>
    </row>
  </sheetData>
  <mergeCells count="93">
    <mergeCell ref="I47:K47"/>
    <mergeCell ref="I45:K45"/>
    <mergeCell ref="I43:K43"/>
    <mergeCell ref="I41:K41"/>
    <mergeCell ref="I39:K39"/>
    <mergeCell ref="I44:K44"/>
    <mergeCell ref="I46:K46"/>
    <mergeCell ref="I9:K9"/>
    <mergeCell ref="I27:K27"/>
    <mergeCell ref="I25:K25"/>
    <mergeCell ref="I23:K23"/>
    <mergeCell ref="I21:K21"/>
    <mergeCell ref="I19:K19"/>
    <mergeCell ref="B46:C46"/>
    <mergeCell ref="B47:C47"/>
    <mergeCell ref="B43:C43"/>
    <mergeCell ref="B44:C44"/>
    <mergeCell ref="B45:C45"/>
    <mergeCell ref="B40:C40"/>
    <mergeCell ref="B41:C41"/>
    <mergeCell ref="B42:C42"/>
    <mergeCell ref="I40:K40"/>
    <mergeCell ref="I42:K42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I37:K37"/>
    <mergeCell ref="I35:K35"/>
    <mergeCell ref="B31:C31"/>
    <mergeCell ref="B32:C32"/>
    <mergeCell ref="B33:C33"/>
    <mergeCell ref="I32:K32"/>
    <mergeCell ref="B28:C28"/>
    <mergeCell ref="B29:C29"/>
    <mergeCell ref="B30:C30"/>
    <mergeCell ref="I28:K28"/>
    <mergeCell ref="I30:K30"/>
    <mergeCell ref="I33:K33"/>
    <mergeCell ref="I31:K31"/>
    <mergeCell ref="I29:K29"/>
    <mergeCell ref="B25:C25"/>
    <mergeCell ref="B26:C26"/>
    <mergeCell ref="B27:C27"/>
    <mergeCell ref="I26:K26"/>
    <mergeCell ref="B22:C22"/>
    <mergeCell ref="B23:C23"/>
    <mergeCell ref="B24:C24"/>
    <mergeCell ref="I22:K22"/>
    <mergeCell ref="I24:K24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5:K15"/>
    <mergeCell ref="I13:K13"/>
    <mergeCell ref="I11:K11"/>
    <mergeCell ref="A2:L2"/>
    <mergeCell ref="G5:I5"/>
    <mergeCell ref="K5:L5"/>
    <mergeCell ref="B8:C8"/>
    <mergeCell ref="B9:C9"/>
    <mergeCell ref="I8:K8"/>
    <mergeCell ref="A5:B5"/>
    <mergeCell ref="D5:F5"/>
    <mergeCell ref="I7:K7"/>
    <mergeCell ref="C3:L3"/>
    <mergeCell ref="G4:I4"/>
    <mergeCell ref="K4:L4"/>
    <mergeCell ref="B7:C7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8C4A-005F-4A02-A372-C647E3CD6564}">
  <sheetPr codeName="Sheet62"/>
  <dimension ref="A1:L46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5226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7656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159</v>
      </c>
      <c r="H4" s="411"/>
      <c r="I4" s="412"/>
      <c r="J4" s="115" t="s">
        <v>5263</v>
      </c>
      <c r="K4" s="410" t="s">
        <v>5162</v>
      </c>
      <c r="L4" s="413"/>
    </row>
    <row r="5" spans="1:12" s="1" customFormat="1" ht="15" customHeight="1" thickBot="1">
      <c r="A5" s="395" t="s">
        <v>34</v>
      </c>
      <c r="B5" s="439"/>
      <c r="C5" s="117"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SLP220302SW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42" customHeight="1">
      <c r="A9" s="210">
        <v>1</v>
      </c>
      <c r="B9" s="374" t="s">
        <v>3</v>
      </c>
      <c r="C9" s="376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7617</v>
      </c>
      <c r="J9" s="367"/>
      <c r="K9" s="429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10">
        <v>2</v>
      </c>
      <c r="B10" s="374" t="s">
        <v>6</v>
      </c>
      <c r="C10" s="376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74" t="s">
        <v>5118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40.5" customHeight="1">
      <c r="A11" s="210">
        <v>3</v>
      </c>
      <c r="B11" s="374" t="s">
        <v>195</v>
      </c>
      <c r="C11" s="376"/>
      <c r="D11" s="233">
        <v>5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74" t="s">
        <v>5119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.75" customHeight="1">
      <c r="A12" s="210">
        <v>4</v>
      </c>
      <c r="B12" s="374" t="s">
        <v>7</v>
      </c>
      <c r="C12" s="376"/>
      <c r="D12" s="233">
        <v>5</v>
      </c>
      <c r="E12" s="234" t="s">
        <v>4</v>
      </c>
      <c r="F12" s="235" t="s">
        <v>5</v>
      </c>
      <c r="G12" s="209" t="s">
        <v>4690</v>
      </c>
      <c r="H12" s="209" t="s">
        <v>446</v>
      </c>
      <c r="I12" s="366" t="s">
        <v>5128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0" customHeight="1">
      <c r="A13" s="210">
        <v>5</v>
      </c>
      <c r="B13" s="374" t="s">
        <v>8</v>
      </c>
      <c r="C13" s="376"/>
      <c r="D13" s="233">
        <v>4</v>
      </c>
      <c r="E13" s="234" t="s">
        <v>4</v>
      </c>
      <c r="F13" s="235" t="s">
        <v>196</v>
      </c>
      <c r="G13" s="209" t="s">
        <v>446</v>
      </c>
      <c r="H13" s="209" t="s">
        <v>446</v>
      </c>
      <c r="I13" s="366" t="s">
        <v>5092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10">
        <v>6</v>
      </c>
      <c r="B14" s="374" t="s">
        <v>10</v>
      </c>
      <c r="C14" s="376"/>
      <c r="D14" s="233">
        <v>18</v>
      </c>
      <c r="E14" s="234" t="s">
        <v>4</v>
      </c>
      <c r="F14" s="235" t="s">
        <v>196</v>
      </c>
      <c r="G14" s="209" t="s">
        <v>446</v>
      </c>
      <c r="H14" s="209" t="s">
        <v>446</v>
      </c>
      <c r="I14" s="366" t="s">
        <v>5117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27">
      <c r="A15" s="210">
        <v>7</v>
      </c>
      <c r="B15" s="374" t="s">
        <v>51</v>
      </c>
      <c r="C15" s="376"/>
      <c r="D15" s="233">
        <v>1</v>
      </c>
      <c r="E15" s="234" t="s">
        <v>4</v>
      </c>
      <c r="F15" s="235" t="s">
        <v>196</v>
      </c>
      <c r="G15" s="209" t="s">
        <v>446</v>
      </c>
      <c r="H15" s="209" t="s">
        <v>446</v>
      </c>
      <c r="I15" s="366" t="s">
        <v>5127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9.25" customHeight="1">
      <c r="A16" s="210">
        <v>8</v>
      </c>
      <c r="B16" s="374" t="s">
        <v>184</v>
      </c>
      <c r="C16" s="376"/>
      <c r="D16" s="233">
        <v>20</v>
      </c>
      <c r="E16" s="234" t="s">
        <v>41</v>
      </c>
      <c r="F16" s="235" t="s">
        <v>196</v>
      </c>
      <c r="G16" s="209" t="s">
        <v>446</v>
      </c>
      <c r="H16" s="209" t="s">
        <v>446</v>
      </c>
      <c r="I16" s="366" t="s">
        <v>5120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30" customHeight="1">
      <c r="A17" s="210">
        <v>9</v>
      </c>
      <c r="B17" s="374" t="s">
        <v>185</v>
      </c>
      <c r="C17" s="376"/>
      <c r="D17" s="233">
        <v>20</v>
      </c>
      <c r="E17" s="234" t="s">
        <v>42</v>
      </c>
      <c r="F17" s="235" t="s">
        <v>196</v>
      </c>
      <c r="G17" s="209" t="s">
        <v>4661</v>
      </c>
      <c r="H17" s="209" t="s">
        <v>4661</v>
      </c>
      <c r="I17" s="366" t="s">
        <v>5101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30" customHeight="1">
      <c r="A18" s="210">
        <v>10</v>
      </c>
      <c r="B18" s="374" t="s">
        <v>186</v>
      </c>
      <c r="C18" s="376"/>
      <c r="D18" s="233">
        <v>20</v>
      </c>
      <c r="E18" s="234" t="s">
        <v>41</v>
      </c>
      <c r="F18" s="235" t="s">
        <v>196</v>
      </c>
      <c r="G18" s="209" t="s">
        <v>446</v>
      </c>
      <c r="H18" s="209" t="s">
        <v>446</v>
      </c>
      <c r="I18" s="366" t="s">
        <v>5121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28.5" customHeight="1">
      <c r="A19" s="210">
        <v>11</v>
      </c>
      <c r="B19" s="374" t="s">
        <v>187</v>
      </c>
      <c r="C19" s="376"/>
      <c r="D19" s="233">
        <v>20</v>
      </c>
      <c r="E19" s="234" t="s">
        <v>42</v>
      </c>
      <c r="F19" s="235" t="s">
        <v>196</v>
      </c>
      <c r="G19" s="209" t="s">
        <v>4661</v>
      </c>
      <c r="H19" s="209" t="s">
        <v>4661</v>
      </c>
      <c r="I19" s="366" t="s">
        <v>5102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67.5" customHeight="1">
      <c r="A20" s="210">
        <v>12</v>
      </c>
      <c r="B20" s="374" t="s">
        <v>5129</v>
      </c>
      <c r="C20" s="376"/>
      <c r="D20" s="233">
        <v>1</v>
      </c>
      <c r="E20" s="234" t="s">
        <v>4</v>
      </c>
      <c r="F20" s="235" t="s">
        <v>196</v>
      </c>
      <c r="G20" s="209" t="s">
        <v>446</v>
      </c>
      <c r="H20" s="209" t="s">
        <v>446</v>
      </c>
      <c r="I20" s="366" t="s">
        <v>5326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2 : 금융기관(연기금포함)
3 : 기타
4 : 기업
5 : 개인</v>
      </c>
    </row>
    <row r="21" spans="1:12" s="1" customFormat="1" ht="229.5" customHeight="1">
      <c r="A21" s="210">
        <v>13</v>
      </c>
      <c r="B21" s="374" t="s">
        <v>5135</v>
      </c>
      <c r="C21" s="376"/>
      <c r="D21" s="233">
        <v>2</v>
      </c>
      <c r="E21" s="234" t="s">
        <v>4</v>
      </c>
      <c r="F21" s="235" t="s">
        <v>196</v>
      </c>
      <c r="G21" s="209" t="s">
        <v>446</v>
      </c>
      <c r="H21" s="209" t="s">
        <v>446</v>
      </c>
      <c r="I21" s="366" t="s">
        <v>5264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2" spans="1:12" s="1" customFormat="1" ht="54">
      <c r="A22" s="210">
        <v>14</v>
      </c>
      <c r="B22" s="501" t="s">
        <v>5313</v>
      </c>
      <c r="C22" s="501"/>
      <c r="D22" s="233">
        <v>1</v>
      </c>
      <c r="E22" s="234" t="s">
        <v>4</v>
      </c>
      <c r="F22" s="235" t="s">
        <v>196</v>
      </c>
      <c r="G22" s="209" t="s">
        <v>446</v>
      </c>
      <c r="H22" s="209" t="s">
        <v>446</v>
      </c>
      <c r="I22" s="366" t="s">
        <v>5325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>1 : CMS계좌 또는 CMS코드 사용
2 : 기타계좌 또는 CMS코드 미사용</v>
      </c>
    </row>
    <row r="23" spans="1:12" s="1" customFormat="1" ht="49.5" customHeight="1">
      <c r="A23" s="210">
        <v>15</v>
      </c>
      <c r="B23" s="501" t="s">
        <v>5103</v>
      </c>
      <c r="C23" s="501"/>
      <c r="D23" s="233">
        <v>60</v>
      </c>
      <c r="E23" s="234" t="s">
        <v>42</v>
      </c>
      <c r="F23" s="235" t="s">
        <v>196</v>
      </c>
      <c r="G23" s="209" t="s">
        <v>4661</v>
      </c>
      <c r="H23" s="209" t="s">
        <v>4661</v>
      </c>
      <c r="I23" s="366" t="s">
        <v>5122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28.5" customHeight="1">
      <c r="A24" s="210">
        <v>16</v>
      </c>
      <c r="B24" s="374" t="s">
        <v>13</v>
      </c>
      <c r="C24" s="376"/>
      <c r="D24" s="233">
        <v>20</v>
      </c>
      <c r="E24" s="234" t="s">
        <v>41</v>
      </c>
      <c r="F24" s="235" t="s">
        <v>196</v>
      </c>
      <c r="G24" s="209" t="s">
        <v>4661</v>
      </c>
      <c r="H24" s="209" t="s">
        <v>4661</v>
      </c>
      <c r="I24" s="366" t="s">
        <v>5104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14</v>
      </c>
      <c r="C25" s="376"/>
      <c r="D25" s="233">
        <v>10</v>
      </c>
      <c r="E25" s="234" t="s">
        <v>42</v>
      </c>
      <c r="F25" s="235" t="s">
        <v>196</v>
      </c>
      <c r="G25" s="209" t="s">
        <v>446</v>
      </c>
      <c r="H25" s="209" t="s">
        <v>446</v>
      </c>
      <c r="I25" s="366" t="s">
        <v>5062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15</v>
      </c>
      <c r="C26" s="376"/>
      <c r="D26" s="233">
        <v>30</v>
      </c>
      <c r="E26" s="234" t="s">
        <v>41</v>
      </c>
      <c r="F26" s="235" t="s">
        <v>196</v>
      </c>
      <c r="G26" s="209" t="s">
        <v>446</v>
      </c>
      <c r="H26" s="209" t="s">
        <v>446</v>
      </c>
      <c r="I26" s="366" t="s">
        <v>5063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5105</v>
      </c>
      <c r="C27" s="376"/>
      <c r="D27" s="233">
        <v>10</v>
      </c>
      <c r="E27" s="234" t="s">
        <v>42</v>
      </c>
      <c r="F27" s="235" t="s">
        <v>196</v>
      </c>
      <c r="G27" s="209" t="s">
        <v>446</v>
      </c>
      <c r="H27" s="209" t="s">
        <v>446</v>
      </c>
      <c r="I27" s="366" t="s">
        <v>5106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10">
        <v>20</v>
      </c>
      <c r="B28" s="374" t="s">
        <v>5107</v>
      </c>
      <c r="C28" s="376"/>
      <c r="D28" s="233">
        <v>30</v>
      </c>
      <c r="E28" s="234" t="s">
        <v>41</v>
      </c>
      <c r="F28" s="235" t="s">
        <v>196</v>
      </c>
      <c r="G28" s="209" t="s">
        <v>446</v>
      </c>
      <c r="H28" s="209" t="s">
        <v>446</v>
      </c>
      <c r="I28" s="366" t="s">
        <v>5065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48" customHeight="1">
      <c r="A29" s="210">
        <v>21</v>
      </c>
      <c r="B29" s="374" t="s">
        <v>11</v>
      </c>
      <c r="C29" s="376"/>
      <c r="D29" s="233">
        <v>1</v>
      </c>
      <c r="E29" s="234" t="s">
        <v>4</v>
      </c>
      <c r="F29" s="235" t="s">
        <v>196</v>
      </c>
      <c r="G29" s="209" t="s">
        <v>446</v>
      </c>
      <c r="H29" s="209" t="s">
        <v>446</v>
      </c>
      <c r="I29" s="366" t="s">
        <v>5123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>1 : 즉시
2 : 예약</v>
      </c>
    </row>
    <row r="30" spans="1:12" s="1" customFormat="1" ht="87.75" customHeight="1">
      <c r="A30" s="210">
        <v>22</v>
      </c>
      <c r="B30" s="374" t="s">
        <v>18</v>
      </c>
      <c r="C30" s="376"/>
      <c r="D30" s="233">
        <v>1</v>
      </c>
      <c r="E30" s="234" t="s">
        <v>4</v>
      </c>
      <c r="F30" s="235" t="s">
        <v>5</v>
      </c>
      <c r="G30" s="209" t="s">
        <v>4690</v>
      </c>
      <c r="H30" s="209" t="s">
        <v>446</v>
      </c>
      <c r="I30" s="366" t="s">
        <v>5108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48" customHeight="1">
      <c r="A31" s="210">
        <v>23</v>
      </c>
      <c r="B31" s="374" t="s">
        <v>20</v>
      </c>
      <c r="C31" s="376"/>
      <c r="D31" s="233">
        <v>5</v>
      </c>
      <c r="E31" s="234" t="s">
        <v>4</v>
      </c>
      <c r="F31" s="235" t="s">
        <v>5</v>
      </c>
      <c r="G31" s="209" t="s">
        <v>4690</v>
      </c>
      <c r="H31" s="209" t="s">
        <v>4661</v>
      </c>
      <c r="I31" s="366" t="s">
        <v>7660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43.5" customHeight="1">
      <c r="A32" s="210">
        <v>24</v>
      </c>
      <c r="B32" s="374" t="s">
        <v>53</v>
      </c>
      <c r="C32" s="376"/>
      <c r="D32" s="233">
        <v>16</v>
      </c>
      <c r="E32" s="234" t="s">
        <v>42</v>
      </c>
      <c r="F32" s="235" t="s">
        <v>5</v>
      </c>
      <c r="G32" s="209" t="s">
        <v>4690</v>
      </c>
      <c r="H32" s="209" t="s">
        <v>4661</v>
      </c>
      <c r="I32" s="366" t="s">
        <v>7659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49.5" customHeight="1">
      <c r="A33" s="210">
        <v>25</v>
      </c>
      <c r="B33" s="374" t="s">
        <v>21</v>
      </c>
      <c r="C33" s="376"/>
      <c r="D33" s="233">
        <v>9</v>
      </c>
      <c r="E33" s="234" t="s">
        <v>42</v>
      </c>
      <c r="F33" s="235" t="s">
        <v>5</v>
      </c>
      <c r="G33" s="209" t="s">
        <v>4690</v>
      </c>
      <c r="H33" s="209" t="s">
        <v>4661</v>
      </c>
      <c r="I33" s="366" t="s">
        <v>7658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48" customHeight="1">
      <c r="A34" s="210">
        <v>26</v>
      </c>
      <c r="B34" s="374" t="s">
        <v>22</v>
      </c>
      <c r="C34" s="376"/>
      <c r="D34" s="233">
        <v>6</v>
      </c>
      <c r="E34" s="234" t="s">
        <v>4</v>
      </c>
      <c r="F34" s="235" t="s">
        <v>5</v>
      </c>
      <c r="G34" s="209" t="s">
        <v>4690</v>
      </c>
      <c r="H34" s="209" t="s">
        <v>446</v>
      </c>
      <c r="I34" s="366" t="s">
        <v>5228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49.5" customHeight="1">
      <c r="A35" s="210">
        <v>27</v>
      </c>
      <c r="B35" s="374" t="s">
        <v>23</v>
      </c>
      <c r="C35" s="376"/>
      <c r="D35" s="233">
        <v>6</v>
      </c>
      <c r="E35" s="234" t="s">
        <v>4</v>
      </c>
      <c r="F35" s="235" t="s">
        <v>5</v>
      </c>
      <c r="G35" s="209" t="s">
        <v>4690</v>
      </c>
      <c r="H35" s="209" t="s">
        <v>4661</v>
      </c>
      <c r="I35" s="366" t="s">
        <v>7657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54">
      <c r="A36" s="210">
        <v>28</v>
      </c>
      <c r="B36" s="374" t="s">
        <v>54</v>
      </c>
      <c r="C36" s="376"/>
      <c r="D36" s="233">
        <v>1</v>
      </c>
      <c r="E36" s="234" t="s">
        <v>4</v>
      </c>
      <c r="F36" s="235" t="s">
        <v>5</v>
      </c>
      <c r="G36" s="209" t="s">
        <v>4690</v>
      </c>
      <c r="H36" s="209" t="s">
        <v>4661</v>
      </c>
      <c r="I36" s="366" t="s">
        <v>5109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1 : 총액결제
2 : 양자간 동시처리
3 : 다자간 동시처리
4 : 콜연결상환</v>
      </c>
    </row>
    <row r="37" spans="1:12" ht="32.25" customHeight="1">
      <c r="A37" s="210">
        <v>29</v>
      </c>
      <c r="B37" s="374" t="s">
        <v>55</v>
      </c>
      <c r="C37" s="376"/>
      <c r="D37" s="233">
        <v>2</v>
      </c>
      <c r="E37" s="234" t="s">
        <v>4</v>
      </c>
      <c r="F37" s="235" t="s">
        <v>5</v>
      </c>
      <c r="G37" s="209" t="s">
        <v>4690</v>
      </c>
      <c r="H37" s="209" t="s">
        <v>4661</v>
      </c>
      <c r="I37" s="366" t="s">
        <v>5110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>&lt;별첨6&gt; 참조</v>
      </c>
    </row>
    <row r="38" spans="1:12" ht="32.25" customHeight="1">
      <c r="A38" s="210">
        <v>30</v>
      </c>
      <c r="B38" s="374" t="s">
        <v>5111</v>
      </c>
      <c r="C38" s="376"/>
      <c r="D38" s="233">
        <v>18</v>
      </c>
      <c r="E38" s="234" t="s">
        <v>4</v>
      </c>
      <c r="F38" s="235" t="s">
        <v>5</v>
      </c>
      <c r="G38" s="209" t="s">
        <v>4690</v>
      </c>
      <c r="H38" s="209" t="s">
        <v>446</v>
      </c>
      <c r="I38" s="366" t="s">
        <v>5112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2.25" customHeight="1">
      <c r="A39" s="210">
        <v>31</v>
      </c>
      <c r="B39" s="374" t="s">
        <v>44</v>
      </c>
      <c r="C39" s="376"/>
      <c r="D39" s="233">
        <v>18</v>
      </c>
      <c r="E39" s="234" t="s">
        <v>4</v>
      </c>
      <c r="F39" s="235" t="s">
        <v>5</v>
      </c>
      <c r="G39" s="209" t="s">
        <v>4690</v>
      </c>
      <c r="H39" s="209" t="s">
        <v>446</v>
      </c>
      <c r="I39" s="366" t="s">
        <v>5113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32.25" customHeight="1">
      <c r="A40" s="210">
        <v>32</v>
      </c>
      <c r="B40" s="374" t="s">
        <v>216</v>
      </c>
      <c r="C40" s="376"/>
      <c r="D40" s="233">
        <v>18</v>
      </c>
      <c r="E40" s="234" t="s">
        <v>4</v>
      </c>
      <c r="F40" s="235" t="s">
        <v>5</v>
      </c>
      <c r="G40" s="209" t="s">
        <v>4690</v>
      </c>
      <c r="H40" s="209" t="s">
        <v>446</v>
      </c>
      <c r="I40" s="366" t="s">
        <v>5114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2.25" customHeight="1">
      <c r="A41" s="210">
        <v>33</v>
      </c>
      <c r="B41" s="374" t="s">
        <v>5066</v>
      </c>
      <c r="C41" s="376"/>
      <c r="D41" s="233">
        <v>18</v>
      </c>
      <c r="E41" s="234" t="s">
        <v>4</v>
      </c>
      <c r="F41" s="235" t="s">
        <v>5</v>
      </c>
      <c r="G41" s="209" t="s">
        <v>4690</v>
      </c>
      <c r="H41" s="209" t="s">
        <v>446</v>
      </c>
      <c r="I41" s="366" t="s">
        <v>5115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32.25" customHeight="1">
      <c r="A42" s="210">
        <v>34</v>
      </c>
      <c r="B42" s="374" t="s">
        <v>5067</v>
      </c>
      <c r="C42" s="376"/>
      <c r="D42" s="233">
        <v>18</v>
      </c>
      <c r="E42" s="234" t="s">
        <v>4</v>
      </c>
      <c r="F42" s="235" t="s">
        <v>5</v>
      </c>
      <c r="G42" s="209" t="s">
        <v>4690</v>
      </c>
      <c r="H42" s="209" t="s">
        <v>446</v>
      </c>
      <c r="I42" s="366" t="s">
        <v>5116</v>
      </c>
      <c r="J42" s="367"/>
      <c r="K42" s="367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67.5" customHeight="1">
      <c r="A43" s="210">
        <v>35</v>
      </c>
      <c r="B43" s="366" t="s">
        <v>193</v>
      </c>
      <c r="C43" s="429"/>
      <c r="D43" s="233">
        <v>1</v>
      </c>
      <c r="E43" s="234" t="s">
        <v>79</v>
      </c>
      <c r="F43" s="235" t="s">
        <v>100</v>
      </c>
      <c r="G43" s="209" t="s">
        <v>446</v>
      </c>
      <c r="H43" s="209" t="s">
        <v>446</v>
      </c>
      <c r="I43" s="366" t="s">
        <v>5329</v>
      </c>
      <c r="J43" s="367"/>
      <c r="K43" s="367"/>
      <c r="L43" s="196" t="str">
        <f ca="1">IFERROR(_xlfn.TEXTJOIN(CHAR(10), TRUE, OFFSET('&lt;별첨9&gt;전체코드'!E:E, MATCH(B43,'&lt;별첨9&gt;전체코드'!A:A,0)-1, 0, COUNTIF('&lt;별첨9&gt;전체코드'!A:A,B43), 1)), "")</f>
        <v>2 : 금융기관(연기금포함)
3 : 기타
4 : 기업
5 : 개인</v>
      </c>
    </row>
    <row r="44" spans="1:12" ht="229.5">
      <c r="A44" s="210">
        <v>36</v>
      </c>
      <c r="B44" s="366" t="s">
        <v>194</v>
      </c>
      <c r="C44" s="429"/>
      <c r="D44" s="233">
        <v>2</v>
      </c>
      <c r="E44" s="234" t="s">
        <v>79</v>
      </c>
      <c r="F44" s="235" t="s">
        <v>100</v>
      </c>
      <c r="G44" s="209" t="s">
        <v>446</v>
      </c>
      <c r="H44" s="209" t="s">
        <v>446</v>
      </c>
      <c r="I44" s="366" t="s">
        <v>5265</v>
      </c>
      <c r="J44" s="367"/>
      <c r="K44" s="367"/>
      <c r="L44" s="196" t="str">
        <f ca="1">IFERROR(_xlfn.TEXTJOIN(CHAR(10), TRUE, OFFSET('&lt;별첨9&gt;전체코드'!E:E, MATCH(B44,'&lt;별첨9&gt;전체코드'!A:A,0)-1, 0, COUNTIF('&lt;별첨9&gt;전체코드'!A:A,B44),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5" spans="1:12" ht="15" customHeight="1">
      <c r="A45" s="210">
        <v>37</v>
      </c>
      <c r="B45" s="374" t="s">
        <v>25</v>
      </c>
      <c r="C45" s="376"/>
      <c r="D45" s="233">
        <v>131</v>
      </c>
      <c r="E45" s="234" t="s">
        <v>26</v>
      </c>
      <c r="F45" s="235" t="s">
        <v>196</v>
      </c>
      <c r="G45" s="209" t="s">
        <v>4690</v>
      </c>
      <c r="H45" s="209" t="s">
        <v>4690</v>
      </c>
      <c r="I45" s="366" t="s">
        <v>254</v>
      </c>
      <c r="J45" s="367"/>
      <c r="K45" s="367"/>
      <c r="L45" s="196" t="str">
        <f ca="1">IFERROR(_xlfn.TEXTJOIN(CHAR(10), TRUE, OFFSET('&lt;별첨9&gt;전체코드'!E:E, MATCH(B45,'&lt;별첨9&gt;전체코드'!A:A,0)-1, 0, COUNTIF('&lt;별첨9&gt;전체코드'!A:A,B45), 1)), "")</f>
        <v/>
      </c>
    </row>
    <row r="46" spans="1:12" ht="122.25" customHeight="1" thickBot="1">
      <c r="A46" s="213" t="s">
        <v>229</v>
      </c>
      <c r="B46" s="479" t="s">
        <v>226</v>
      </c>
      <c r="C46" s="480"/>
      <c r="D46" s="480"/>
      <c r="E46" s="480"/>
      <c r="F46" s="480"/>
      <c r="G46" s="480"/>
      <c r="H46" s="480"/>
      <c r="I46" s="480"/>
      <c r="J46" s="480"/>
      <c r="K46" s="480"/>
      <c r="L46" s="516"/>
    </row>
  </sheetData>
  <mergeCells count="90">
    <mergeCell ref="B46:L46"/>
    <mergeCell ref="A2:L2"/>
    <mergeCell ref="I42:K42"/>
    <mergeCell ref="I43:K43"/>
    <mergeCell ref="I44:K44"/>
    <mergeCell ref="I38:K38"/>
    <mergeCell ref="I39:K39"/>
    <mergeCell ref="I40:K40"/>
    <mergeCell ref="I34:K34"/>
    <mergeCell ref="I35:K35"/>
    <mergeCell ref="I36:K36"/>
    <mergeCell ref="I30:K30"/>
    <mergeCell ref="I31:K31"/>
    <mergeCell ref="I32:K32"/>
    <mergeCell ref="I26:K26"/>
    <mergeCell ref="I27:K27"/>
    <mergeCell ref="I28:K28"/>
    <mergeCell ref="I22:K22"/>
    <mergeCell ref="I23:K23"/>
    <mergeCell ref="I24:K24"/>
    <mergeCell ref="I18:K18"/>
    <mergeCell ref="I19:K19"/>
    <mergeCell ref="I20:K20"/>
    <mergeCell ref="I14:K14"/>
    <mergeCell ref="I15:K15"/>
    <mergeCell ref="I16:K16"/>
    <mergeCell ref="I8:K8"/>
    <mergeCell ref="I9:K9"/>
    <mergeCell ref="I10:K10"/>
    <mergeCell ref="I11:K11"/>
    <mergeCell ref="I12:K12"/>
    <mergeCell ref="I13:K13"/>
    <mergeCell ref="A3:B3"/>
    <mergeCell ref="A4:B4"/>
    <mergeCell ref="D4:F4"/>
    <mergeCell ref="C3:L3"/>
    <mergeCell ref="B10:C10"/>
    <mergeCell ref="I7:K7"/>
    <mergeCell ref="K5:L5"/>
    <mergeCell ref="G4:I4"/>
    <mergeCell ref="K4:L4"/>
    <mergeCell ref="B7:C7"/>
    <mergeCell ref="G5:I5"/>
    <mergeCell ref="D5:F5"/>
    <mergeCell ref="B11:C11"/>
    <mergeCell ref="B12:C12"/>
    <mergeCell ref="B9:C9"/>
    <mergeCell ref="A5:B5"/>
    <mergeCell ref="B8:C8"/>
    <mergeCell ref="B16:C16"/>
    <mergeCell ref="B17:C17"/>
    <mergeCell ref="B18:C18"/>
    <mergeCell ref="B13:C13"/>
    <mergeCell ref="B14:C14"/>
    <mergeCell ref="B15:C15"/>
    <mergeCell ref="I17:K17"/>
    <mergeCell ref="I21:K21"/>
    <mergeCell ref="B25:C25"/>
    <mergeCell ref="B26:C26"/>
    <mergeCell ref="B27:C27"/>
    <mergeCell ref="B22:C22"/>
    <mergeCell ref="B23:C23"/>
    <mergeCell ref="B24:C24"/>
    <mergeCell ref="I25:K25"/>
    <mergeCell ref="B19:C19"/>
    <mergeCell ref="B20:C20"/>
    <mergeCell ref="B21:C21"/>
    <mergeCell ref="B43:C43"/>
    <mergeCell ref="B31:C31"/>
    <mergeCell ref="B32:C32"/>
    <mergeCell ref="B33:C33"/>
    <mergeCell ref="B28:C28"/>
    <mergeCell ref="B29:C29"/>
    <mergeCell ref="B30:C30"/>
    <mergeCell ref="B44:C44"/>
    <mergeCell ref="I29:K29"/>
    <mergeCell ref="I33:K33"/>
    <mergeCell ref="B45:C45"/>
    <mergeCell ref="B40:C40"/>
    <mergeCell ref="B41:C41"/>
    <mergeCell ref="B42:C42"/>
    <mergeCell ref="I41:K41"/>
    <mergeCell ref="I45:K45"/>
    <mergeCell ref="B37:C37"/>
    <mergeCell ref="B38:C38"/>
    <mergeCell ref="B39:C39"/>
    <mergeCell ref="B34:C34"/>
    <mergeCell ref="B35:C35"/>
    <mergeCell ref="B36:C36"/>
    <mergeCell ref="I37:K37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FC82-5F91-44F7-B557-06D71C2DA543}">
  <sheetPr codeName="Sheet63"/>
  <dimension ref="A1:L4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5224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7661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160</v>
      </c>
      <c r="H4" s="411"/>
      <c r="I4" s="412"/>
      <c r="J4" s="115" t="s">
        <v>5161</v>
      </c>
      <c r="K4" s="410" t="s">
        <v>5225</v>
      </c>
      <c r="L4" s="413"/>
    </row>
    <row r="5" spans="1:12" s="1" customFormat="1" ht="15" customHeight="1" thickBot="1">
      <c r="A5" s="395" t="s">
        <v>34</v>
      </c>
      <c r="B5" s="439"/>
      <c r="C5" s="117"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SLP220302SW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207">
        <v>0</v>
      </c>
      <c r="B8" s="374" t="s">
        <v>29</v>
      </c>
      <c r="C8" s="376"/>
      <c r="D8" s="203">
        <v>200</v>
      </c>
      <c r="E8" s="41" t="s">
        <v>30</v>
      </c>
      <c r="F8" s="42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42" customHeight="1">
      <c r="A9" s="207">
        <v>1</v>
      </c>
      <c r="B9" s="374" t="s">
        <v>3</v>
      </c>
      <c r="C9" s="376"/>
      <c r="D9" s="203">
        <v>8</v>
      </c>
      <c r="E9" s="20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07">
        <v>2</v>
      </c>
      <c r="B10" s="374" t="s">
        <v>6</v>
      </c>
      <c r="C10" s="376"/>
      <c r="D10" s="203">
        <v>4</v>
      </c>
      <c r="E10" s="208" t="s">
        <v>4</v>
      </c>
      <c r="F10" s="209" t="s">
        <v>5</v>
      </c>
      <c r="G10" s="209" t="s">
        <v>5058</v>
      </c>
      <c r="H10" s="209" t="s">
        <v>5058</v>
      </c>
      <c r="I10" s="366" t="s">
        <v>5254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40.5" customHeight="1">
      <c r="A11" s="207">
        <v>3</v>
      </c>
      <c r="B11" s="374" t="s">
        <v>195</v>
      </c>
      <c r="C11" s="376"/>
      <c r="D11" s="203">
        <v>5</v>
      </c>
      <c r="E11" s="208" t="s">
        <v>4</v>
      </c>
      <c r="F11" s="209" t="s">
        <v>5</v>
      </c>
      <c r="G11" s="209" t="s">
        <v>446</v>
      </c>
      <c r="H11" s="209" t="s">
        <v>446</v>
      </c>
      <c r="I11" s="366" t="s">
        <v>5253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.75" customHeight="1">
      <c r="A12" s="207">
        <v>4</v>
      </c>
      <c r="B12" s="374" t="s">
        <v>7</v>
      </c>
      <c r="C12" s="376"/>
      <c r="D12" s="203">
        <v>5</v>
      </c>
      <c r="E12" s="208" t="s">
        <v>4</v>
      </c>
      <c r="F12" s="209" t="s">
        <v>5</v>
      </c>
      <c r="G12" s="209" t="s">
        <v>5058</v>
      </c>
      <c r="H12" s="209" t="s">
        <v>5058</v>
      </c>
      <c r="I12" s="366" t="s">
        <v>5099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0" customHeight="1">
      <c r="A13" s="207">
        <v>5</v>
      </c>
      <c r="B13" s="374" t="s">
        <v>8</v>
      </c>
      <c r="C13" s="376"/>
      <c r="D13" s="203">
        <v>4</v>
      </c>
      <c r="E13" s="208" t="s">
        <v>4</v>
      </c>
      <c r="F13" s="209" t="s">
        <v>5</v>
      </c>
      <c r="G13" s="209" t="s">
        <v>5058</v>
      </c>
      <c r="H13" s="209" t="s">
        <v>5058</v>
      </c>
      <c r="I13" s="366" t="s">
        <v>5252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07">
        <v>6</v>
      </c>
      <c r="B14" s="374" t="s">
        <v>10</v>
      </c>
      <c r="C14" s="376"/>
      <c r="D14" s="203">
        <v>18</v>
      </c>
      <c r="E14" s="208" t="s">
        <v>4</v>
      </c>
      <c r="F14" s="209" t="s">
        <v>5</v>
      </c>
      <c r="G14" s="209" t="s">
        <v>5058</v>
      </c>
      <c r="H14" s="209" t="s">
        <v>5058</v>
      </c>
      <c r="I14" s="366" t="s">
        <v>5235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40.5" customHeight="1">
      <c r="A15" s="207">
        <v>7</v>
      </c>
      <c r="B15" s="374" t="s">
        <v>51</v>
      </c>
      <c r="C15" s="376"/>
      <c r="D15" s="203">
        <v>1</v>
      </c>
      <c r="E15" s="208" t="s">
        <v>4</v>
      </c>
      <c r="F15" s="209" t="s">
        <v>5</v>
      </c>
      <c r="G15" s="209" t="s">
        <v>5058</v>
      </c>
      <c r="H15" s="209" t="s">
        <v>5058</v>
      </c>
      <c r="I15" s="366" t="s">
        <v>5251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9.25" customHeight="1">
      <c r="A16" s="207">
        <v>8</v>
      </c>
      <c r="B16" s="374" t="s">
        <v>184</v>
      </c>
      <c r="C16" s="376"/>
      <c r="D16" s="203">
        <v>20</v>
      </c>
      <c r="E16" s="208" t="s">
        <v>41</v>
      </c>
      <c r="F16" s="209" t="s">
        <v>5</v>
      </c>
      <c r="G16" s="209" t="s">
        <v>5058</v>
      </c>
      <c r="H16" s="209" t="s">
        <v>5058</v>
      </c>
      <c r="I16" s="366" t="s">
        <v>5250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30" customHeight="1">
      <c r="A17" s="207">
        <v>9</v>
      </c>
      <c r="B17" s="374" t="s">
        <v>185</v>
      </c>
      <c r="C17" s="376"/>
      <c r="D17" s="203">
        <v>20</v>
      </c>
      <c r="E17" s="208" t="s">
        <v>42</v>
      </c>
      <c r="F17" s="209" t="s">
        <v>5</v>
      </c>
      <c r="G17" s="209" t="s">
        <v>5058</v>
      </c>
      <c r="H17" s="209" t="s">
        <v>5058</v>
      </c>
      <c r="I17" s="366" t="s">
        <v>5249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30" customHeight="1">
      <c r="A18" s="207">
        <v>10</v>
      </c>
      <c r="B18" s="374" t="s">
        <v>186</v>
      </c>
      <c r="C18" s="376"/>
      <c r="D18" s="203">
        <v>20</v>
      </c>
      <c r="E18" s="208" t="s">
        <v>41</v>
      </c>
      <c r="F18" s="209" t="s">
        <v>5</v>
      </c>
      <c r="G18" s="209" t="s">
        <v>5058</v>
      </c>
      <c r="H18" s="209" t="s">
        <v>5058</v>
      </c>
      <c r="I18" s="366" t="s">
        <v>5187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28.5" customHeight="1">
      <c r="A19" s="207">
        <v>11</v>
      </c>
      <c r="B19" s="374" t="s">
        <v>187</v>
      </c>
      <c r="C19" s="376"/>
      <c r="D19" s="203">
        <v>20</v>
      </c>
      <c r="E19" s="208" t="s">
        <v>42</v>
      </c>
      <c r="F19" s="209" t="s">
        <v>5</v>
      </c>
      <c r="G19" s="209" t="s">
        <v>5058</v>
      </c>
      <c r="H19" s="209" t="s">
        <v>5058</v>
      </c>
      <c r="I19" s="366" t="s">
        <v>5220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67.5" customHeight="1">
      <c r="A20" s="207">
        <v>12</v>
      </c>
      <c r="B20" s="374" t="s">
        <v>188</v>
      </c>
      <c r="C20" s="376"/>
      <c r="D20" s="203">
        <v>1</v>
      </c>
      <c r="E20" s="208" t="s">
        <v>4</v>
      </c>
      <c r="F20" s="209" t="s">
        <v>5</v>
      </c>
      <c r="G20" s="209" t="s">
        <v>5058</v>
      </c>
      <c r="H20" s="209" t="s">
        <v>5058</v>
      </c>
      <c r="I20" s="366" t="s">
        <v>5326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2 : 금융기관(연기금포함)
3 : 기타
4 : 기업
5 : 개인</v>
      </c>
    </row>
    <row r="21" spans="1:12" s="1" customFormat="1" ht="229.5" customHeight="1">
      <c r="A21" s="207">
        <v>13</v>
      </c>
      <c r="B21" s="374" t="s">
        <v>189</v>
      </c>
      <c r="C21" s="376"/>
      <c r="D21" s="203">
        <v>2</v>
      </c>
      <c r="E21" s="208" t="s">
        <v>4</v>
      </c>
      <c r="F21" s="209" t="s">
        <v>5</v>
      </c>
      <c r="G21" s="209" t="s">
        <v>5058</v>
      </c>
      <c r="H21" s="209" t="s">
        <v>5058</v>
      </c>
      <c r="I21" s="366" t="s">
        <v>5264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2" spans="1:12" s="1" customFormat="1" ht="54">
      <c r="A22" s="207">
        <v>14</v>
      </c>
      <c r="B22" s="374" t="s">
        <v>190</v>
      </c>
      <c r="C22" s="376"/>
      <c r="D22" s="203">
        <v>1</v>
      </c>
      <c r="E22" s="208" t="s">
        <v>4</v>
      </c>
      <c r="F22" s="209" t="s">
        <v>5</v>
      </c>
      <c r="G22" s="209" t="s">
        <v>5058</v>
      </c>
      <c r="H22" s="209" t="s">
        <v>5058</v>
      </c>
      <c r="I22" s="366" t="s">
        <v>5325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>1 : CMS계좌 또는 CMS코드 사용
2 : 기타계좌 또는 CMS코드 미사용</v>
      </c>
    </row>
    <row r="23" spans="1:12" s="1" customFormat="1" ht="49.5" customHeight="1">
      <c r="A23" s="207">
        <v>15</v>
      </c>
      <c r="B23" s="374" t="s">
        <v>191</v>
      </c>
      <c r="C23" s="376"/>
      <c r="D23" s="203">
        <v>60</v>
      </c>
      <c r="E23" s="208" t="s">
        <v>42</v>
      </c>
      <c r="F23" s="209" t="s">
        <v>5</v>
      </c>
      <c r="G23" s="209" t="s">
        <v>5227</v>
      </c>
      <c r="H23" s="209" t="s">
        <v>5227</v>
      </c>
      <c r="I23" s="366" t="s">
        <v>5236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28.5" customHeight="1">
      <c r="A24" s="207">
        <v>16</v>
      </c>
      <c r="B24" s="374" t="s">
        <v>13</v>
      </c>
      <c r="C24" s="376"/>
      <c r="D24" s="203">
        <v>20</v>
      </c>
      <c r="E24" s="208" t="s">
        <v>41</v>
      </c>
      <c r="F24" s="209" t="s">
        <v>5</v>
      </c>
      <c r="G24" s="209" t="s">
        <v>5227</v>
      </c>
      <c r="H24" s="209" t="s">
        <v>5227</v>
      </c>
      <c r="I24" s="366" t="s">
        <v>5229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07">
        <v>17</v>
      </c>
      <c r="B25" s="374" t="s">
        <v>14</v>
      </c>
      <c r="C25" s="376"/>
      <c r="D25" s="203">
        <v>10</v>
      </c>
      <c r="E25" s="208" t="s">
        <v>42</v>
      </c>
      <c r="F25" s="209" t="s">
        <v>5</v>
      </c>
      <c r="G25" s="209" t="s">
        <v>5058</v>
      </c>
      <c r="H25" s="209" t="s">
        <v>5058</v>
      </c>
      <c r="I25" s="366" t="s">
        <v>5230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07">
        <v>18</v>
      </c>
      <c r="B26" s="374" t="s">
        <v>15</v>
      </c>
      <c r="C26" s="376"/>
      <c r="D26" s="203">
        <v>30</v>
      </c>
      <c r="E26" s="208" t="s">
        <v>41</v>
      </c>
      <c r="F26" s="209" t="s">
        <v>5</v>
      </c>
      <c r="G26" s="209" t="s">
        <v>5058</v>
      </c>
      <c r="H26" s="209" t="s">
        <v>5058</v>
      </c>
      <c r="I26" s="366" t="s">
        <v>5231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07">
        <v>19</v>
      </c>
      <c r="B27" s="374" t="s">
        <v>16</v>
      </c>
      <c r="C27" s="376"/>
      <c r="D27" s="203">
        <v>10</v>
      </c>
      <c r="E27" s="208" t="s">
        <v>42</v>
      </c>
      <c r="F27" s="209" t="s">
        <v>5</v>
      </c>
      <c r="G27" s="209" t="s">
        <v>5058</v>
      </c>
      <c r="H27" s="209" t="s">
        <v>5058</v>
      </c>
      <c r="I27" s="366" t="s">
        <v>5232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07">
        <v>20</v>
      </c>
      <c r="B28" s="374" t="s">
        <v>17</v>
      </c>
      <c r="C28" s="376"/>
      <c r="D28" s="203">
        <v>30</v>
      </c>
      <c r="E28" s="208" t="s">
        <v>41</v>
      </c>
      <c r="F28" s="209" t="s">
        <v>5</v>
      </c>
      <c r="G28" s="209" t="s">
        <v>5058</v>
      </c>
      <c r="H28" s="209" t="s">
        <v>5058</v>
      </c>
      <c r="I28" s="366" t="s">
        <v>5233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48" customHeight="1">
      <c r="A29" s="207">
        <v>21</v>
      </c>
      <c r="B29" s="374" t="s">
        <v>11</v>
      </c>
      <c r="C29" s="376"/>
      <c r="D29" s="203">
        <v>1</v>
      </c>
      <c r="E29" s="208" t="s">
        <v>4</v>
      </c>
      <c r="F29" s="209" t="s">
        <v>5</v>
      </c>
      <c r="G29" s="209" t="s">
        <v>5058</v>
      </c>
      <c r="H29" s="209" t="s">
        <v>5058</v>
      </c>
      <c r="I29" s="366" t="s">
        <v>5123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>1 : 즉시
2 : 예약</v>
      </c>
    </row>
    <row r="30" spans="1:12" s="1" customFormat="1" ht="87.75" customHeight="1">
      <c r="A30" s="207">
        <v>22</v>
      </c>
      <c r="B30" s="374" t="s">
        <v>18</v>
      </c>
      <c r="C30" s="376"/>
      <c r="D30" s="203">
        <v>1</v>
      </c>
      <c r="E30" s="208" t="s">
        <v>4</v>
      </c>
      <c r="F30" s="209" t="s">
        <v>5</v>
      </c>
      <c r="G30" s="209" t="s">
        <v>5058</v>
      </c>
      <c r="H30" s="209" t="s">
        <v>5058</v>
      </c>
      <c r="I30" s="366" t="s">
        <v>5239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48" customHeight="1">
      <c r="A31" s="207">
        <v>23</v>
      </c>
      <c r="B31" s="374" t="s">
        <v>20</v>
      </c>
      <c r="C31" s="376"/>
      <c r="D31" s="203">
        <v>5</v>
      </c>
      <c r="E31" s="208" t="s">
        <v>4</v>
      </c>
      <c r="F31" s="209" t="s">
        <v>5</v>
      </c>
      <c r="G31" s="209" t="s">
        <v>5227</v>
      </c>
      <c r="H31" s="209" t="s">
        <v>5227</v>
      </c>
      <c r="I31" s="366" t="s">
        <v>5240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43.5" customHeight="1">
      <c r="A32" s="207">
        <v>24</v>
      </c>
      <c r="B32" s="374" t="s">
        <v>53</v>
      </c>
      <c r="C32" s="376"/>
      <c r="D32" s="203">
        <v>16</v>
      </c>
      <c r="E32" s="208" t="s">
        <v>42</v>
      </c>
      <c r="F32" s="209" t="s">
        <v>5</v>
      </c>
      <c r="G32" s="209" t="s">
        <v>5227</v>
      </c>
      <c r="H32" s="209" t="s">
        <v>5227</v>
      </c>
      <c r="I32" s="366" t="s">
        <v>5241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49.5" customHeight="1">
      <c r="A33" s="207">
        <v>25</v>
      </c>
      <c r="B33" s="374" t="s">
        <v>21</v>
      </c>
      <c r="C33" s="376"/>
      <c r="D33" s="203">
        <v>9</v>
      </c>
      <c r="E33" s="208" t="s">
        <v>42</v>
      </c>
      <c r="F33" s="209" t="s">
        <v>5</v>
      </c>
      <c r="G33" s="209" t="s">
        <v>5227</v>
      </c>
      <c r="H33" s="209" t="s">
        <v>5227</v>
      </c>
      <c r="I33" s="366" t="s">
        <v>5242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48" customHeight="1">
      <c r="A34" s="207">
        <v>26</v>
      </c>
      <c r="B34" s="374" t="s">
        <v>22</v>
      </c>
      <c r="C34" s="376"/>
      <c r="D34" s="203">
        <v>6</v>
      </c>
      <c r="E34" s="208" t="s">
        <v>4</v>
      </c>
      <c r="F34" s="209" t="s">
        <v>5</v>
      </c>
      <c r="G34" s="209" t="s">
        <v>5058</v>
      </c>
      <c r="H34" s="209" t="s">
        <v>5058</v>
      </c>
      <c r="I34" s="366" t="s">
        <v>5243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49.5" customHeight="1">
      <c r="A35" s="207">
        <v>27</v>
      </c>
      <c r="B35" s="374" t="s">
        <v>23</v>
      </c>
      <c r="C35" s="376"/>
      <c r="D35" s="203">
        <v>6</v>
      </c>
      <c r="E35" s="208" t="s">
        <v>4</v>
      </c>
      <c r="F35" s="209" t="s">
        <v>5</v>
      </c>
      <c r="G35" s="209" t="s">
        <v>5058</v>
      </c>
      <c r="H35" s="209" t="s">
        <v>5058</v>
      </c>
      <c r="I35" s="366" t="s">
        <v>5244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75.75" customHeight="1">
      <c r="A36" s="207">
        <v>28</v>
      </c>
      <c r="B36" s="374" t="s">
        <v>54</v>
      </c>
      <c r="C36" s="376"/>
      <c r="D36" s="203">
        <v>1</v>
      </c>
      <c r="E36" s="208" t="s">
        <v>4</v>
      </c>
      <c r="F36" s="209" t="s">
        <v>5</v>
      </c>
      <c r="G36" s="209" t="s">
        <v>5058</v>
      </c>
      <c r="H36" s="209" t="s">
        <v>5058</v>
      </c>
      <c r="I36" s="366" t="s">
        <v>5245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1 : 총액결제
2 : 양자간 동시처리
3 : 다자간 동시처리
4 : 콜연결상환</v>
      </c>
    </row>
    <row r="37" spans="1:12" ht="32.25" customHeight="1">
      <c r="A37" s="207">
        <v>29</v>
      </c>
      <c r="B37" s="374" t="s">
        <v>55</v>
      </c>
      <c r="C37" s="376"/>
      <c r="D37" s="203">
        <v>2</v>
      </c>
      <c r="E37" s="208" t="s">
        <v>4</v>
      </c>
      <c r="F37" s="209" t="s">
        <v>5</v>
      </c>
      <c r="G37" s="209" t="s">
        <v>5058</v>
      </c>
      <c r="H37" s="209" t="s">
        <v>5058</v>
      </c>
      <c r="I37" s="366" t="s">
        <v>5234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>&lt;별첨6&gt; 참조</v>
      </c>
    </row>
    <row r="38" spans="1:12" ht="32.25" customHeight="1">
      <c r="A38" s="207">
        <v>30</v>
      </c>
      <c r="B38" s="374" t="s">
        <v>27</v>
      </c>
      <c r="C38" s="376"/>
      <c r="D38" s="203">
        <v>18</v>
      </c>
      <c r="E38" s="208" t="s">
        <v>4</v>
      </c>
      <c r="F38" s="209" t="s">
        <v>5</v>
      </c>
      <c r="G38" s="209" t="s">
        <v>5058</v>
      </c>
      <c r="H38" s="209" t="s">
        <v>5058</v>
      </c>
      <c r="I38" s="366" t="s">
        <v>5246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2.25" customHeight="1">
      <c r="A39" s="207">
        <v>31</v>
      </c>
      <c r="B39" s="374" t="s">
        <v>44</v>
      </c>
      <c r="C39" s="376"/>
      <c r="D39" s="203">
        <v>18</v>
      </c>
      <c r="E39" s="208" t="s">
        <v>4</v>
      </c>
      <c r="F39" s="209" t="s">
        <v>5</v>
      </c>
      <c r="G39" s="209" t="s">
        <v>5058</v>
      </c>
      <c r="H39" s="209" t="s">
        <v>5058</v>
      </c>
      <c r="I39" s="366" t="s">
        <v>5247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32.25" customHeight="1">
      <c r="A40" s="207">
        <v>32</v>
      </c>
      <c r="B40" s="374" t="s">
        <v>24</v>
      </c>
      <c r="C40" s="376"/>
      <c r="D40" s="203">
        <v>18</v>
      </c>
      <c r="E40" s="208" t="s">
        <v>4</v>
      </c>
      <c r="F40" s="209" t="s">
        <v>5</v>
      </c>
      <c r="G40" s="209" t="s">
        <v>5058</v>
      </c>
      <c r="H40" s="209" t="s">
        <v>5058</v>
      </c>
      <c r="I40" s="366" t="s">
        <v>5248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2.25" customHeight="1">
      <c r="A41" s="207">
        <v>33</v>
      </c>
      <c r="B41" s="374" t="s">
        <v>56</v>
      </c>
      <c r="C41" s="376"/>
      <c r="D41" s="203">
        <v>18</v>
      </c>
      <c r="E41" s="208" t="s">
        <v>4</v>
      </c>
      <c r="F41" s="209" t="s">
        <v>5</v>
      </c>
      <c r="G41" s="209" t="s">
        <v>5058</v>
      </c>
      <c r="H41" s="209" t="s">
        <v>5058</v>
      </c>
      <c r="I41" s="366" t="s">
        <v>5074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32.25" customHeight="1">
      <c r="A42" s="207">
        <v>34</v>
      </c>
      <c r="B42" s="374" t="s">
        <v>57</v>
      </c>
      <c r="C42" s="376"/>
      <c r="D42" s="203">
        <v>18</v>
      </c>
      <c r="E42" s="208" t="s">
        <v>4</v>
      </c>
      <c r="F42" s="209" t="s">
        <v>5</v>
      </c>
      <c r="G42" s="209" t="s">
        <v>5058</v>
      </c>
      <c r="H42" s="209" t="s">
        <v>5058</v>
      </c>
      <c r="I42" s="366" t="s">
        <v>5075</v>
      </c>
      <c r="J42" s="367"/>
      <c r="K42" s="367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67.5" customHeight="1">
      <c r="A43" s="207">
        <v>35</v>
      </c>
      <c r="B43" s="366" t="s">
        <v>193</v>
      </c>
      <c r="C43" s="429"/>
      <c r="D43" s="203">
        <v>1</v>
      </c>
      <c r="E43" s="208" t="s">
        <v>79</v>
      </c>
      <c r="F43" s="209" t="s">
        <v>78</v>
      </c>
      <c r="G43" s="209" t="s">
        <v>5058</v>
      </c>
      <c r="H43" s="209" t="s">
        <v>5058</v>
      </c>
      <c r="I43" s="366" t="s">
        <v>5328</v>
      </c>
      <c r="J43" s="367"/>
      <c r="K43" s="367"/>
      <c r="L43" s="196" t="str">
        <f ca="1">IFERROR(_xlfn.TEXTJOIN(CHAR(10), TRUE, OFFSET('&lt;별첨9&gt;전체코드'!E:E, MATCH(B43,'&lt;별첨9&gt;전체코드'!A:A,0)-1, 0, COUNTIF('&lt;별첨9&gt;전체코드'!A:A,B43), 1)), "")</f>
        <v>2 : 금융기관(연기금포함)
3 : 기타
4 : 기업
5 : 개인</v>
      </c>
    </row>
    <row r="44" spans="1:12" ht="229.5" customHeight="1">
      <c r="A44" s="207">
        <v>36</v>
      </c>
      <c r="B44" s="366" t="s">
        <v>194</v>
      </c>
      <c r="C44" s="429"/>
      <c r="D44" s="203">
        <v>2</v>
      </c>
      <c r="E44" s="208" t="s">
        <v>79</v>
      </c>
      <c r="F44" s="209" t="s">
        <v>78</v>
      </c>
      <c r="G44" s="209" t="s">
        <v>5058</v>
      </c>
      <c r="H44" s="209" t="s">
        <v>5058</v>
      </c>
      <c r="I44" s="366" t="s">
        <v>5265</v>
      </c>
      <c r="J44" s="367"/>
      <c r="K44" s="367"/>
      <c r="L44" s="196" t="str">
        <f ca="1">IFERROR(_xlfn.TEXTJOIN(CHAR(10), TRUE, OFFSET('&lt;별첨9&gt;전체코드'!E:E, MATCH(B44,'&lt;별첨9&gt;전체코드'!A:A,0)-1, 0, COUNTIF('&lt;별첨9&gt;전체코드'!A:A,B44),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5" spans="1:12" ht="15" customHeight="1" thickBot="1">
      <c r="A45" s="105">
        <v>37</v>
      </c>
      <c r="B45" s="422" t="s">
        <v>25</v>
      </c>
      <c r="C45" s="424"/>
      <c r="D45" s="268">
        <v>131</v>
      </c>
      <c r="E45" s="107" t="s">
        <v>26</v>
      </c>
      <c r="F45" s="108" t="s">
        <v>196</v>
      </c>
      <c r="G45" s="108" t="s">
        <v>4690</v>
      </c>
      <c r="H45" s="108" t="s">
        <v>4690</v>
      </c>
      <c r="I45" s="479" t="s">
        <v>254</v>
      </c>
      <c r="J45" s="480"/>
      <c r="K45" s="480"/>
      <c r="L45" s="198" t="str">
        <f ca="1">IFERROR(_xlfn.TEXTJOIN(CHAR(10), TRUE, OFFSET('&lt;별첨9&gt;전체코드'!E:E, MATCH(B45,'&lt;별첨9&gt;전체코드'!A:A,0)-1, 0, COUNTIF('&lt;별첨9&gt;전체코드'!A:A,B45), 1)), "")</f>
        <v/>
      </c>
    </row>
  </sheetData>
  <mergeCells count="89">
    <mergeCell ref="I35:K35"/>
    <mergeCell ref="I33:K33"/>
    <mergeCell ref="I31:K31"/>
    <mergeCell ref="A2:L2"/>
    <mergeCell ref="B43:C43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B31:C31"/>
    <mergeCell ref="B32:C32"/>
    <mergeCell ref="I15:K15"/>
    <mergeCell ref="I39:K39"/>
    <mergeCell ref="I37:K37"/>
    <mergeCell ref="B33:C33"/>
    <mergeCell ref="I32:K32"/>
    <mergeCell ref="B28:C28"/>
    <mergeCell ref="I29:K29"/>
    <mergeCell ref="I27:K27"/>
    <mergeCell ref="B44:C44"/>
    <mergeCell ref="B45:C45"/>
    <mergeCell ref="I44:K44"/>
    <mergeCell ref="B40:C40"/>
    <mergeCell ref="B41:C41"/>
    <mergeCell ref="B42:C42"/>
    <mergeCell ref="I40:K40"/>
    <mergeCell ref="I42:K42"/>
    <mergeCell ref="I45:K45"/>
    <mergeCell ref="I43:K43"/>
    <mergeCell ref="I41:K41"/>
    <mergeCell ref="B29:C29"/>
    <mergeCell ref="B30:C30"/>
    <mergeCell ref="I28:K28"/>
    <mergeCell ref="I30:K30"/>
    <mergeCell ref="B25:C25"/>
    <mergeCell ref="B26:C26"/>
    <mergeCell ref="B27:C27"/>
    <mergeCell ref="I26:K26"/>
    <mergeCell ref="I25:K25"/>
    <mergeCell ref="B22:C22"/>
    <mergeCell ref="B23:C23"/>
    <mergeCell ref="B24:C24"/>
    <mergeCell ref="I22:K22"/>
    <mergeCell ref="I24:K24"/>
    <mergeCell ref="I23:K23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21:K21"/>
    <mergeCell ref="I19:K19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3:K13"/>
    <mergeCell ref="I11:K11"/>
    <mergeCell ref="B7:C7"/>
    <mergeCell ref="B8:C8"/>
    <mergeCell ref="B9:C9"/>
    <mergeCell ref="I8:K8"/>
    <mergeCell ref="A5:B5"/>
    <mergeCell ref="D5:F5"/>
    <mergeCell ref="I9:K9"/>
    <mergeCell ref="I7:K7"/>
    <mergeCell ref="A3:B3"/>
    <mergeCell ref="A4:B4"/>
    <mergeCell ref="D4:F4"/>
    <mergeCell ref="G5:I5"/>
    <mergeCell ref="K5:L5"/>
    <mergeCell ref="C3:L3"/>
    <mergeCell ref="G4:I4"/>
    <mergeCell ref="K4:L4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08D7-4197-4255-B255-6EEF1ECEC7BB}">
  <sheetPr codeName="Sheet64"/>
  <dimension ref="A1:L4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5256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7662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161</v>
      </c>
      <c r="H4" s="411"/>
      <c r="I4" s="412"/>
      <c r="J4" s="115" t="s">
        <v>5161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ZLP240104ZW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42" customHeight="1">
      <c r="A9" s="210">
        <v>1</v>
      </c>
      <c r="B9" s="427" t="s">
        <v>3</v>
      </c>
      <c r="C9" s="428"/>
      <c r="D9" s="233">
        <v>8</v>
      </c>
      <c r="E9" s="234" t="s">
        <v>4</v>
      </c>
      <c r="F9" s="235" t="s">
        <v>5</v>
      </c>
      <c r="G9" s="209" t="s">
        <v>5058</v>
      </c>
      <c r="H9" s="209" t="s">
        <v>5058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10">
        <v>2</v>
      </c>
      <c r="B10" s="427" t="s">
        <v>6</v>
      </c>
      <c r="C10" s="428"/>
      <c r="D10" s="233">
        <v>4</v>
      </c>
      <c r="E10" s="234" t="s">
        <v>4</v>
      </c>
      <c r="F10" s="235" t="s">
        <v>5</v>
      </c>
      <c r="G10" s="209" t="s">
        <v>5058</v>
      </c>
      <c r="H10" s="209" t="s">
        <v>5058</v>
      </c>
      <c r="I10" s="366" t="s">
        <v>5254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40.5" customHeight="1">
      <c r="A11" s="210">
        <v>3</v>
      </c>
      <c r="B11" s="427" t="s">
        <v>195</v>
      </c>
      <c r="C11" s="428"/>
      <c r="D11" s="233">
        <v>5</v>
      </c>
      <c r="E11" s="234" t="s">
        <v>4</v>
      </c>
      <c r="F11" s="235" t="s">
        <v>5</v>
      </c>
      <c r="G11" s="209" t="s">
        <v>5058</v>
      </c>
      <c r="H11" s="209" t="s">
        <v>5058</v>
      </c>
      <c r="I11" s="366" t="s">
        <v>5253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.75" customHeight="1">
      <c r="A12" s="210">
        <v>4</v>
      </c>
      <c r="B12" s="427" t="s">
        <v>7</v>
      </c>
      <c r="C12" s="428"/>
      <c r="D12" s="233">
        <v>5</v>
      </c>
      <c r="E12" s="234" t="s">
        <v>4</v>
      </c>
      <c r="F12" s="235" t="s">
        <v>5</v>
      </c>
      <c r="G12" s="209" t="s">
        <v>5058</v>
      </c>
      <c r="H12" s="209" t="s">
        <v>5058</v>
      </c>
      <c r="I12" s="366" t="s">
        <v>5099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0" customHeight="1">
      <c r="A13" s="210">
        <v>5</v>
      </c>
      <c r="B13" s="427" t="s">
        <v>8</v>
      </c>
      <c r="C13" s="428"/>
      <c r="D13" s="233">
        <v>4</v>
      </c>
      <c r="E13" s="234" t="s">
        <v>4</v>
      </c>
      <c r="F13" s="235" t="s">
        <v>5</v>
      </c>
      <c r="G13" s="209" t="s">
        <v>5058</v>
      </c>
      <c r="H13" s="209" t="s">
        <v>5058</v>
      </c>
      <c r="I13" s="366" t="s">
        <v>5252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10">
        <v>6</v>
      </c>
      <c r="B14" s="427" t="s">
        <v>10</v>
      </c>
      <c r="C14" s="428"/>
      <c r="D14" s="233">
        <v>18</v>
      </c>
      <c r="E14" s="234" t="s">
        <v>4</v>
      </c>
      <c r="F14" s="235" t="s">
        <v>5</v>
      </c>
      <c r="G14" s="209" t="s">
        <v>5058</v>
      </c>
      <c r="H14" s="209" t="s">
        <v>5058</v>
      </c>
      <c r="I14" s="366" t="s">
        <v>5235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40.5" customHeight="1">
      <c r="A15" s="210">
        <v>7</v>
      </c>
      <c r="B15" s="427" t="s">
        <v>51</v>
      </c>
      <c r="C15" s="428"/>
      <c r="D15" s="233">
        <v>1</v>
      </c>
      <c r="E15" s="234" t="s">
        <v>4</v>
      </c>
      <c r="F15" s="235" t="s">
        <v>5</v>
      </c>
      <c r="G15" s="209" t="s">
        <v>5058</v>
      </c>
      <c r="H15" s="209" t="s">
        <v>5058</v>
      </c>
      <c r="I15" s="366" t="s">
        <v>5251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9.25" customHeight="1">
      <c r="A16" s="210">
        <v>8</v>
      </c>
      <c r="B16" s="427" t="s">
        <v>184</v>
      </c>
      <c r="C16" s="428"/>
      <c r="D16" s="233">
        <v>20</v>
      </c>
      <c r="E16" s="234" t="s">
        <v>41</v>
      </c>
      <c r="F16" s="235" t="s">
        <v>5</v>
      </c>
      <c r="G16" s="209" t="s">
        <v>5058</v>
      </c>
      <c r="H16" s="209" t="s">
        <v>5058</v>
      </c>
      <c r="I16" s="366" t="s">
        <v>5250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30" customHeight="1">
      <c r="A17" s="210">
        <v>9</v>
      </c>
      <c r="B17" s="427" t="s">
        <v>185</v>
      </c>
      <c r="C17" s="428"/>
      <c r="D17" s="233">
        <v>20</v>
      </c>
      <c r="E17" s="234" t="s">
        <v>42</v>
      </c>
      <c r="F17" s="235" t="s">
        <v>5</v>
      </c>
      <c r="G17" s="209" t="s">
        <v>5058</v>
      </c>
      <c r="H17" s="209" t="s">
        <v>5058</v>
      </c>
      <c r="I17" s="366" t="s">
        <v>5249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30" customHeight="1">
      <c r="A18" s="210">
        <v>10</v>
      </c>
      <c r="B18" s="427" t="s">
        <v>186</v>
      </c>
      <c r="C18" s="428"/>
      <c r="D18" s="233">
        <v>20</v>
      </c>
      <c r="E18" s="234" t="s">
        <v>41</v>
      </c>
      <c r="F18" s="235" t="s">
        <v>5</v>
      </c>
      <c r="G18" s="209" t="s">
        <v>5058</v>
      </c>
      <c r="H18" s="209" t="s">
        <v>5058</v>
      </c>
      <c r="I18" s="366" t="s">
        <v>5237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28.5" customHeight="1">
      <c r="A19" s="210">
        <v>11</v>
      </c>
      <c r="B19" s="427" t="s">
        <v>187</v>
      </c>
      <c r="C19" s="428"/>
      <c r="D19" s="233">
        <v>20</v>
      </c>
      <c r="E19" s="234" t="s">
        <v>42</v>
      </c>
      <c r="F19" s="235" t="s">
        <v>5</v>
      </c>
      <c r="G19" s="209" t="s">
        <v>5058</v>
      </c>
      <c r="H19" s="209" t="s">
        <v>5058</v>
      </c>
      <c r="I19" s="366" t="s">
        <v>5220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67.5" customHeight="1">
      <c r="A20" s="210">
        <v>12</v>
      </c>
      <c r="B20" s="427" t="s">
        <v>188</v>
      </c>
      <c r="C20" s="428"/>
      <c r="D20" s="233">
        <v>1</v>
      </c>
      <c r="E20" s="234" t="s">
        <v>4</v>
      </c>
      <c r="F20" s="235" t="s">
        <v>5</v>
      </c>
      <c r="G20" s="209" t="s">
        <v>5058</v>
      </c>
      <c r="H20" s="209" t="s">
        <v>5058</v>
      </c>
      <c r="I20" s="366" t="s">
        <v>5326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2 : 금융기관(연기금포함)
3 : 기타
4 : 기업
5 : 개인</v>
      </c>
    </row>
    <row r="21" spans="1:12" s="1" customFormat="1" ht="229.5" customHeight="1">
      <c r="A21" s="210">
        <v>13</v>
      </c>
      <c r="B21" s="427" t="s">
        <v>189</v>
      </c>
      <c r="C21" s="428"/>
      <c r="D21" s="233">
        <v>2</v>
      </c>
      <c r="E21" s="234" t="s">
        <v>4</v>
      </c>
      <c r="F21" s="235" t="s">
        <v>5</v>
      </c>
      <c r="G21" s="209" t="s">
        <v>5058</v>
      </c>
      <c r="H21" s="209" t="s">
        <v>5058</v>
      </c>
      <c r="I21" s="366" t="s">
        <v>5264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2" spans="1:12" s="1" customFormat="1" ht="54">
      <c r="A22" s="210">
        <v>14</v>
      </c>
      <c r="B22" s="427" t="s">
        <v>190</v>
      </c>
      <c r="C22" s="428"/>
      <c r="D22" s="233">
        <v>1</v>
      </c>
      <c r="E22" s="234" t="s">
        <v>4</v>
      </c>
      <c r="F22" s="235" t="s">
        <v>5</v>
      </c>
      <c r="G22" s="209" t="s">
        <v>5058</v>
      </c>
      <c r="H22" s="209" t="s">
        <v>5058</v>
      </c>
      <c r="I22" s="366" t="s">
        <v>5325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>1 : CMS계좌 또는 CMS코드 사용
2 : 기타계좌 또는 CMS코드 미사용</v>
      </c>
    </row>
    <row r="23" spans="1:12" s="1" customFormat="1" ht="49.5" customHeight="1">
      <c r="A23" s="210">
        <v>15</v>
      </c>
      <c r="B23" s="427" t="s">
        <v>191</v>
      </c>
      <c r="C23" s="428"/>
      <c r="D23" s="233">
        <v>60</v>
      </c>
      <c r="E23" s="234" t="s">
        <v>42</v>
      </c>
      <c r="F23" s="235" t="s">
        <v>5</v>
      </c>
      <c r="G23" s="209" t="s">
        <v>5227</v>
      </c>
      <c r="H23" s="209" t="s">
        <v>5227</v>
      </c>
      <c r="I23" s="366" t="s">
        <v>5236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28.5" customHeight="1">
      <c r="A24" s="210">
        <v>16</v>
      </c>
      <c r="B24" s="427" t="s">
        <v>13</v>
      </c>
      <c r="C24" s="428"/>
      <c r="D24" s="233">
        <v>20</v>
      </c>
      <c r="E24" s="234" t="s">
        <v>41</v>
      </c>
      <c r="F24" s="235" t="s">
        <v>5</v>
      </c>
      <c r="G24" s="209" t="s">
        <v>5227</v>
      </c>
      <c r="H24" s="209" t="s">
        <v>5227</v>
      </c>
      <c r="I24" s="366" t="s">
        <v>5229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427" t="s">
        <v>14</v>
      </c>
      <c r="C25" s="428"/>
      <c r="D25" s="233">
        <v>10</v>
      </c>
      <c r="E25" s="234" t="s">
        <v>42</v>
      </c>
      <c r="F25" s="235" t="s">
        <v>5</v>
      </c>
      <c r="G25" s="209" t="s">
        <v>5058</v>
      </c>
      <c r="H25" s="209" t="s">
        <v>5058</v>
      </c>
      <c r="I25" s="366" t="s">
        <v>5230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427" t="s">
        <v>15</v>
      </c>
      <c r="C26" s="428"/>
      <c r="D26" s="233">
        <v>30</v>
      </c>
      <c r="E26" s="234" t="s">
        <v>41</v>
      </c>
      <c r="F26" s="235" t="s">
        <v>5</v>
      </c>
      <c r="G26" s="209" t="s">
        <v>5058</v>
      </c>
      <c r="H26" s="209" t="s">
        <v>5058</v>
      </c>
      <c r="I26" s="366" t="s">
        <v>5231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427" t="s">
        <v>16</v>
      </c>
      <c r="C27" s="428"/>
      <c r="D27" s="233">
        <v>10</v>
      </c>
      <c r="E27" s="234" t="s">
        <v>42</v>
      </c>
      <c r="F27" s="235" t="s">
        <v>5</v>
      </c>
      <c r="G27" s="209" t="s">
        <v>5058</v>
      </c>
      <c r="H27" s="209" t="s">
        <v>5058</v>
      </c>
      <c r="I27" s="366" t="s">
        <v>5232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10">
        <v>20</v>
      </c>
      <c r="B28" s="427" t="s">
        <v>17</v>
      </c>
      <c r="C28" s="428"/>
      <c r="D28" s="233">
        <v>30</v>
      </c>
      <c r="E28" s="234" t="s">
        <v>41</v>
      </c>
      <c r="F28" s="235" t="s">
        <v>5</v>
      </c>
      <c r="G28" s="209" t="s">
        <v>5058</v>
      </c>
      <c r="H28" s="209" t="s">
        <v>5058</v>
      </c>
      <c r="I28" s="366" t="s">
        <v>5233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48" customHeight="1">
      <c r="A29" s="210">
        <v>21</v>
      </c>
      <c r="B29" s="427" t="s">
        <v>11</v>
      </c>
      <c r="C29" s="428"/>
      <c r="D29" s="233">
        <v>1</v>
      </c>
      <c r="E29" s="234" t="s">
        <v>4</v>
      </c>
      <c r="F29" s="235" t="s">
        <v>5</v>
      </c>
      <c r="G29" s="209" t="s">
        <v>5058</v>
      </c>
      <c r="H29" s="209" t="s">
        <v>5058</v>
      </c>
      <c r="I29" s="366" t="s">
        <v>5123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>1 : 즉시
2 : 예약</v>
      </c>
    </row>
    <row r="30" spans="1:12" s="1" customFormat="1" ht="87.75" customHeight="1">
      <c r="A30" s="210">
        <v>22</v>
      </c>
      <c r="B30" s="427" t="s">
        <v>18</v>
      </c>
      <c r="C30" s="428"/>
      <c r="D30" s="233">
        <v>1</v>
      </c>
      <c r="E30" s="234" t="s">
        <v>4</v>
      </c>
      <c r="F30" s="235" t="s">
        <v>5</v>
      </c>
      <c r="G30" s="209" t="s">
        <v>5058</v>
      </c>
      <c r="H30" s="209" t="s">
        <v>5058</v>
      </c>
      <c r="I30" s="366" t="s">
        <v>5238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48" customHeight="1">
      <c r="A31" s="210">
        <v>23</v>
      </c>
      <c r="B31" s="427" t="s">
        <v>20</v>
      </c>
      <c r="C31" s="428"/>
      <c r="D31" s="233">
        <v>5</v>
      </c>
      <c r="E31" s="234" t="s">
        <v>4</v>
      </c>
      <c r="F31" s="235" t="s">
        <v>5</v>
      </c>
      <c r="G31" s="209" t="s">
        <v>5227</v>
      </c>
      <c r="H31" s="209" t="s">
        <v>5227</v>
      </c>
      <c r="I31" s="366" t="s">
        <v>5240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43.5" customHeight="1">
      <c r="A32" s="210">
        <v>24</v>
      </c>
      <c r="B32" s="427" t="s">
        <v>53</v>
      </c>
      <c r="C32" s="428"/>
      <c r="D32" s="233">
        <v>16</v>
      </c>
      <c r="E32" s="234" t="s">
        <v>42</v>
      </c>
      <c r="F32" s="274" t="s">
        <v>43</v>
      </c>
      <c r="G32" s="209" t="s">
        <v>5227</v>
      </c>
      <c r="H32" s="209" t="s">
        <v>5227</v>
      </c>
      <c r="I32" s="366" t="s">
        <v>5241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49.5" customHeight="1">
      <c r="A33" s="210">
        <v>25</v>
      </c>
      <c r="B33" s="427" t="s">
        <v>21</v>
      </c>
      <c r="C33" s="428"/>
      <c r="D33" s="233">
        <v>9</v>
      </c>
      <c r="E33" s="234" t="s">
        <v>42</v>
      </c>
      <c r="F33" s="235" t="s">
        <v>5</v>
      </c>
      <c r="G33" s="209" t="s">
        <v>5058</v>
      </c>
      <c r="H33" s="209" t="s">
        <v>5227</v>
      </c>
      <c r="I33" s="366" t="s">
        <v>5242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48" customHeight="1">
      <c r="A34" s="210">
        <v>26</v>
      </c>
      <c r="B34" s="427" t="s">
        <v>22</v>
      </c>
      <c r="C34" s="428"/>
      <c r="D34" s="233">
        <v>6</v>
      </c>
      <c r="E34" s="234" t="s">
        <v>4</v>
      </c>
      <c r="F34" s="235" t="s">
        <v>5</v>
      </c>
      <c r="G34" s="209" t="s">
        <v>5058</v>
      </c>
      <c r="H34" s="209" t="s">
        <v>5058</v>
      </c>
      <c r="I34" s="366" t="s">
        <v>5243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49.5" customHeight="1">
      <c r="A35" s="210">
        <v>27</v>
      </c>
      <c r="B35" s="427" t="s">
        <v>23</v>
      </c>
      <c r="C35" s="428"/>
      <c r="D35" s="233">
        <v>6</v>
      </c>
      <c r="E35" s="234" t="s">
        <v>4</v>
      </c>
      <c r="F35" s="235" t="s">
        <v>5</v>
      </c>
      <c r="G35" s="209" t="s">
        <v>5058</v>
      </c>
      <c r="H35" s="209" t="s">
        <v>5058</v>
      </c>
      <c r="I35" s="366" t="s">
        <v>5244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54">
      <c r="A36" s="210">
        <v>28</v>
      </c>
      <c r="B36" s="427" t="s">
        <v>54</v>
      </c>
      <c r="C36" s="428"/>
      <c r="D36" s="233">
        <v>1</v>
      </c>
      <c r="E36" s="234" t="s">
        <v>4</v>
      </c>
      <c r="F36" s="235" t="s">
        <v>5</v>
      </c>
      <c r="G36" s="209" t="s">
        <v>5058</v>
      </c>
      <c r="H36" s="209" t="s">
        <v>446</v>
      </c>
      <c r="I36" s="366" t="s">
        <v>5255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1 : 총액결제
2 : 양자간 동시처리
3 : 다자간 동시처리
4 : 콜연결상환</v>
      </c>
    </row>
    <row r="37" spans="1:12" ht="32.25" customHeight="1">
      <c r="A37" s="210">
        <v>29</v>
      </c>
      <c r="B37" s="427" t="s">
        <v>55</v>
      </c>
      <c r="C37" s="428"/>
      <c r="D37" s="233">
        <v>2</v>
      </c>
      <c r="E37" s="234" t="s">
        <v>4</v>
      </c>
      <c r="F37" s="235" t="s">
        <v>5</v>
      </c>
      <c r="G37" s="209" t="s">
        <v>5058</v>
      </c>
      <c r="H37" s="209" t="s">
        <v>5058</v>
      </c>
      <c r="I37" s="366" t="s">
        <v>5234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>&lt;별첨6&gt; 참조</v>
      </c>
    </row>
    <row r="38" spans="1:12" ht="32.25" customHeight="1">
      <c r="A38" s="210">
        <v>30</v>
      </c>
      <c r="B38" s="519" t="s">
        <v>27</v>
      </c>
      <c r="C38" s="520"/>
      <c r="D38" s="233">
        <v>18</v>
      </c>
      <c r="E38" s="234" t="s">
        <v>4</v>
      </c>
      <c r="F38" s="235" t="s">
        <v>5</v>
      </c>
      <c r="G38" s="209" t="s">
        <v>5058</v>
      </c>
      <c r="H38" s="209" t="s">
        <v>5058</v>
      </c>
      <c r="I38" s="366" t="s">
        <v>5246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2.25" customHeight="1">
      <c r="A39" s="210">
        <v>31</v>
      </c>
      <c r="B39" s="519" t="s">
        <v>44</v>
      </c>
      <c r="C39" s="520"/>
      <c r="D39" s="233">
        <v>18</v>
      </c>
      <c r="E39" s="234" t="s">
        <v>4</v>
      </c>
      <c r="F39" s="235" t="s">
        <v>5</v>
      </c>
      <c r="G39" s="209" t="s">
        <v>5058</v>
      </c>
      <c r="H39" s="209" t="s">
        <v>5058</v>
      </c>
      <c r="I39" s="366" t="s">
        <v>5247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32.25" customHeight="1">
      <c r="A40" s="210">
        <v>32</v>
      </c>
      <c r="B40" s="519" t="s">
        <v>24</v>
      </c>
      <c r="C40" s="520"/>
      <c r="D40" s="233">
        <v>18</v>
      </c>
      <c r="E40" s="234" t="s">
        <v>4</v>
      </c>
      <c r="F40" s="235" t="s">
        <v>5</v>
      </c>
      <c r="G40" s="209" t="s">
        <v>5058</v>
      </c>
      <c r="H40" s="209" t="s">
        <v>5058</v>
      </c>
      <c r="I40" s="366" t="s">
        <v>5248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2.25" customHeight="1">
      <c r="A41" s="210">
        <v>33</v>
      </c>
      <c r="B41" s="519" t="s">
        <v>56</v>
      </c>
      <c r="C41" s="520"/>
      <c r="D41" s="233">
        <v>18</v>
      </c>
      <c r="E41" s="234" t="s">
        <v>4</v>
      </c>
      <c r="F41" s="235" t="s">
        <v>5</v>
      </c>
      <c r="G41" s="209" t="s">
        <v>5058</v>
      </c>
      <c r="H41" s="209" t="s">
        <v>5058</v>
      </c>
      <c r="I41" s="366" t="s">
        <v>5074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32.25" customHeight="1">
      <c r="A42" s="210">
        <v>34</v>
      </c>
      <c r="B42" s="519" t="s">
        <v>57</v>
      </c>
      <c r="C42" s="520"/>
      <c r="D42" s="233">
        <v>18</v>
      </c>
      <c r="E42" s="234" t="s">
        <v>4</v>
      </c>
      <c r="F42" s="235" t="s">
        <v>5</v>
      </c>
      <c r="G42" s="209" t="s">
        <v>5058</v>
      </c>
      <c r="H42" s="209" t="s">
        <v>5058</v>
      </c>
      <c r="I42" s="366" t="s">
        <v>5075</v>
      </c>
      <c r="J42" s="367"/>
      <c r="K42" s="367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67.5" customHeight="1">
      <c r="A43" s="210">
        <v>35</v>
      </c>
      <c r="B43" s="517" t="s">
        <v>193</v>
      </c>
      <c r="C43" s="518"/>
      <c r="D43" s="233">
        <v>1</v>
      </c>
      <c r="E43" s="234" t="s">
        <v>79</v>
      </c>
      <c r="F43" s="235" t="s">
        <v>78</v>
      </c>
      <c r="G43" s="209" t="s">
        <v>5058</v>
      </c>
      <c r="H43" s="209" t="s">
        <v>5058</v>
      </c>
      <c r="I43" s="366" t="s">
        <v>5328</v>
      </c>
      <c r="J43" s="367"/>
      <c r="K43" s="367"/>
      <c r="L43" s="196" t="str">
        <f ca="1">IFERROR(_xlfn.TEXTJOIN(CHAR(10), TRUE, OFFSET('&lt;별첨9&gt;전체코드'!E:E, MATCH(B43,'&lt;별첨9&gt;전체코드'!A:A,0)-1, 0, COUNTIF('&lt;별첨9&gt;전체코드'!A:A,B43), 1)), "")</f>
        <v>2 : 금융기관(연기금포함)
3 : 기타
4 : 기업
5 : 개인</v>
      </c>
    </row>
    <row r="44" spans="1:12" ht="229.5" customHeight="1">
      <c r="A44" s="210">
        <v>36</v>
      </c>
      <c r="B44" s="517" t="s">
        <v>194</v>
      </c>
      <c r="C44" s="518"/>
      <c r="D44" s="233">
        <v>2</v>
      </c>
      <c r="E44" s="234" t="s">
        <v>79</v>
      </c>
      <c r="F44" s="235" t="s">
        <v>78</v>
      </c>
      <c r="G44" s="209" t="s">
        <v>5058</v>
      </c>
      <c r="H44" s="209" t="s">
        <v>5058</v>
      </c>
      <c r="I44" s="366" t="s">
        <v>5265</v>
      </c>
      <c r="J44" s="367"/>
      <c r="K44" s="367"/>
      <c r="L44" s="196" t="str">
        <f ca="1">IFERROR(_xlfn.TEXTJOIN(CHAR(10), TRUE, OFFSET('&lt;별첨9&gt;전체코드'!E:E, MATCH(B44,'&lt;별첨9&gt;전체코드'!A:A,0)-1, 0, COUNTIF('&lt;별첨9&gt;전체코드'!A:A,B44),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5" spans="1:12" ht="15" customHeight="1" thickBot="1">
      <c r="A45" s="213">
        <v>37</v>
      </c>
      <c r="B45" s="422" t="s">
        <v>25</v>
      </c>
      <c r="C45" s="424"/>
      <c r="D45" s="238">
        <v>131</v>
      </c>
      <c r="E45" s="239" t="s">
        <v>26</v>
      </c>
      <c r="F45" s="240" t="s">
        <v>78</v>
      </c>
      <c r="G45" s="108" t="s">
        <v>4941</v>
      </c>
      <c r="H45" s="108" t="s">
        <v>4941</v>
      </c>
      <c r="I45" s="479" t="s">
        <v>252</v>
      </c>
      <c r="J45" s="480"/>
      <c r="K45" s="480"/>
      <c r="L45" s="198" t="str">
        <f ca="1">IFERROR(_xlfn.TEXTJOIN(CHAR(10), TRUE, OFFSET('&lt;별첨9&gt;전체코드'!E:E, MATCH(B45,'&lt;별첨9&gt;전체코드'!A:A,0)-1, 0, COUNTIF('&lt;별첨9&gt;전체코드'!A:A,B45), 1)), "")</f>
        <v/>
      </c>
    </row>
  </sheetData>
  <mergeCells count="89">
    <mergeCell ref="I35:K35"/>
    <mergeCell ref="I33:K33"/>
    <mergeCell ref="I31:K31"/>
    <mergeCell ref="A2:L2"/>
    <mergeCell ref="B43:C43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B31:C31"/>
    <mergeCell ref="B32:C32"/>
    <mergeCell ref="I15:K15"/>
    <mergeCell ref="I39:K39"/>
    <mergeCell ref="I37:K37"/>
    <mergeCell ref="B33:C33"/>
    <mergeCell ref="I32:K32"/>
    <mergeCell ref="B28:C28"/>
    <mergeCell ref="I29:K29"/>
    <mergeCell ref="I27:K27"/>
    <mergeCell ref="B44:C44"/>
    <mergeCell ref="B45:C45"/>
    <mergeCell ref="I44:K44"/>
    <mergeCell ref="B40:C40"/>
    <mergeCell ref="B41:C41"/>
    <mergeCell ref="B42:C42"/>
    <mergeCell ref="I40:K40"/>
    <mergeCell ref="I42:K42"/>
    <mergeCell ref="I45:K45"/>
    <mergeCell ref="I43:K43"/>
    <mergeCell ref="I41:K41"/>
    <mergeCell ref="B29:C29"/>
    <mergeCell ref="B30:C30"/>
    <mergeCell ref="I28:K28"/>
    <mergeCell ref="I30:K30"/>
    <mergeCell ref="B25:C25"/>
    <mergeCell ref="B26:C26"/>
    <mergeCell ref="B27:C27"/>
    <mergeCell ref="I26:K26"/>
    <mergeCell ref="I25:K25"/>
    <mergeCell ref="B22:C22"/>
    <mergeCell ref="B23:C23"/>
    <mergeCell ref="B24:C24"/>
    <mergeCell ref="I22:K22"/>
    <mergeCell ref="I24:K24"/>
    <mergeCell ref="I23:K23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21:K21"/>
    <mergeCell ref="I19:K19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3:K13"/>
    <mergeCell ref="I11:K11"/>
    <mergeCell ref="B7:C7"/>
    <mergeCell ref="B8:C8"/>
    <mergeCell ref="B9:C9"/>
    <mergeCell ref="I8:K8"/>
    <mergeCell ref="A5:B5"/>
    <mergeCell ref="D5:F5"/>
    <mergeCell ref="I9:K9"/>
    <mergeCell ref="I7:K7"/>
    <mergeCell ref="A3:B3"/>
    <mergeCell ref="A4:B4"/>
    <mergeCell ref="D4:F4"/>
    <mergeCell ref="G5:I5"/>
    <mergeCell ref="K5:L5"/>
    <mergeCell ref="C3:L3"/>
    <mergeCell ref="G4:I4"/>
    <mergeCell ref="K4:L4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9D64-EB1F-4004-9839-68022AE91A49}">
  <sheetPr codeName="Sheet65"/>
  <dimension ref="A1:L4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5257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7663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162</v>
      </c>
      <c r="H4" s="411"/>
      <c r="I4" s="412"/>
      <c r="J4" s="115" t="s">
        <v>5161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ZLP240104ZW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42" customHeight="1">
      <c r="A9" s="210">
        <v>1</v>
      </c>
      <c r="B9" s="374" t="s">
        <v>3</v>
      </c>
      <c r="C9" s="376"/>
      <c r="D9" s="233">
        <v>8</v>
      </c>
      <c r="E9" s="234" t="s">
        <v>4</v>
      </c>
      <c r="F9" s="235" t="s">
        <v>5</v>
      </c>
      <c r="G9" s="209" t="s">
        <v>5058</v>
      </c>
      <c r="H9" s="209" t="s">
        <v>5058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10">
        <v>2</v>
      </c>
      <c r="B10" s="374" t="s">
        <v>6</v>
      </c>
      <c r="C10" s="376"/>
      <c r="D10" s="233">
        <v>4</v>
      </c>
      <c r="E10" s="234" t="s">
        <v>4</v>
      </c>
      <c r="F10" s="235" t="s">
        <v>5</v>
      </c>
      <c r="G10" s="209" t="s">
        <v>5058</v>
      </c>
      <c r="H10" s="209" t="s">
        <v>5058</v>
      </c>
      <c r="I10" s="366" t="s">
        <v>5254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40.5" customHeight="1">
      <c r="A11" s="210">
        <v>3</v>
      </c>
      <c r="B11" s="374" t="s">
        <v>195</v>
      </c>
      <c r="C11" s="376"/>
      <c r="D11" s="233">
        <v>5</v>
      </c>
      <c r="E11" s="234" t="s">
        <v>4</v>
      </c>
      <c r="F11" s="235" t="s">
        <v>5</v>
      </c>
      <c r="G11" s="209" t="s">
        <v>5058</v>
      </c>
      <c r="H11" s="209" t="s">
        <v>5058</v>
      </c>
      <c r="I11" s="366" t="s">
        <v>5253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.75" customHeight="1">
      <c r="A12" s="210">
        <v>4</v>
      </c>
      <c r="B12" s="374" t="s">
        <v>7</v>
      </c>
      <c r="C12" s="376"/>
      <c r="D12" s="233">
        <v>5</v>
      </c>
      <c r="E12" s="234" t="s">
        <v>4</v>
      </c>
      <c r="F12" s="235" t="s">
        <v>5</v>
      </c>
      <c r="G12" s="209" t="s">
        <v>5058</v>
      </c>
      <c r="H12" s="209" t="s">
        <v>5058</v>
      </c>
      <c r="I12" s="366" t="s">
        <v>5253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0" customHeight="1">
      <c r="A13" s="210">
        <v>5</v>
      </c>
      <c r="B13" s="374" t="s">
        <v>8</v>
      </c>
      <c r="C13" s="376"/>
      <c r="D13" s="233">
        <v>4</v>
      </c>
      <c r="E13" s="234" t="s">
        <v>4</v>
      </c>
      <c r="F13" s="235" t="s">
        <v>5</v>
      </c>
      <c r="G13" s="209" t="s">
        <v>5058</v>
      </c>
      <c r="H13" s="209" t="s">
        <v>5058</v>
      </c>
      <c r="I13" s="366" t="s">
        <v>5252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10">
        <v>6</v>
      </c>
      <c r="B14" s="374" t="s">
        <v>10</v>
      </c>
      <c r="C14" s="376"/>
      <c r="D14" s="233">
        <v>18</v>
      </c>
      <c r="E14" s="234" t="s">
        <v>4</v>
      </c>
      <c r="F14" s="235" t="s">
        <v>5</v>
      </c>
      <c r="G14" s="209" t="s">
        <v>5058</v>
      </c>
      <c r="H14" s="209" t="s">
        <v>5058</v>
      </c>
      <c r="I14" s="366" t="s">
        <v>5235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40.5" customHeight="1">
      <c r="A15" s="210">
        <v>7</v>
      </c>
      <c r="B15" s="374" t="s">
        <v>51</v>
      </c>
      <c r="C15" s="376"/>
      <c r="D15" s="233">
        <v>1</v>
      </c>
      <c r="E15" s="234" t="s">
        <v>4</v>
      </c>
      <c r="F15" s="235" t="s">
        <v>5</v>
      </c>
      <c r="G15" s="209" t="s">
        <v>5058</v>
      </c>
      <c r="H15" s="209" t="s">
        <v>5058</v>
      </c>
      <c r="I15" s="366" t="s">
        <v>5251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s="1" customFormat="1" ht="29.25" customHeight="1">
      <c r="A16" s="210">
        <v>8</v>
      </c>
      <c r="B16" s="374" t="s">
        <v>184</v>
      </c>
      <c r="C16" s="376"/>
      <c r="D16" s="233">
        <v>20</v>
      </c>
      <c r="E16" s="234" t="s">
        <v>41</v>
      </c>
      <c r="F16" s="235" t="s">
        <v>5</v>
      </c>
      <c r="G16" s="209" t="s">
        <v>5058</v>
      </c>
      <c r="H16" s="209" t="s">
        <v>5058</v>
      </c>
      <c r="I16" s="366" t="s">
        <v>5250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30" customHeight="1">
      <c r="A17" s="210">
        <v>9</v>
      </c>
      <c r="B17" s="374" t="s">
        <v>185</v>
      </c>
      <c r="C17" s="376"/>
      <c r="D17" s="233">
        <v>20</v>
      </c>
      <c r="E17" s="234" t="s">
        <v>42</v>
      </c>
      <c r="F17" s="235" t="s">
        <v>5</v>
      </c>
      <c r="G17" s="209" t="s">
        <v>5058</v>
      </c>
      <c r="H17" s="209" t="s">
        <v>5058</v>
      </c>
      <c r="I17" s="366" t="s">
        <v>5249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30" customHeight="1">
      <c r="A18" s="210">
        <v>10</v>
      </c>
      <c r="B18" s="374" t="s">
        <v>186</v>
      </c>
      <c r="C18" s="376"/>
      <c r="D18" s="233">
        <v>20</v>
      </c>
      <c r="E18" s="234" t="s">
        <v>41</v>
      </c>
      <c r="F18" s="235" t="s">
        <v>5</v>
      </c>
      <c r="G18" s="209" t="s">
        <v>5058</v>
      </c>
      <c r="H18" s="209" t="s">
        <v>5058</v>
      </c>
      <c r="I18" s="366" t="s">
        <v>5237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28.5" customHeight="1">
      <c r="A19" s="210">
        <v>11</v>
      </c>
      <c r="B19" s="374" t="s">
        <v>187</v>
      </c>
      <c r="C19" s="376"/>
      <c r="D19" s="233">
        <v>20</v>
      </c>
      <c r="E19" s="234" t="s">
        <v>42</v>
      </c>
      <c r="F19" s="235" t="s">
        <v>5</v>
      </c>
      <c r="G19" s="209" t="s">
        <v>5058</v>
      </c>
      <c r="H19" s="209" t="s">
        <v>5058</v>
      </c>
      <c r="I19" s="366" t="s">
        <v>5220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67.5" customHeight="1">
      <c r="A20" s="210">
        <v>12</v>
      </c>
      <c r="B20" s="374" t="s">
        <v>188</v>
      </c>
      <c r="C20" s="376"/>
      <c r="D20" s="233">
        <v>1</v>
      </c>
      <c r="E20" s="234" t="s">
        <v>4</v>
      </c>
      <c r="F20" s="235" t="s">
        <v>5</v>
      </c>
      <c r="G20" s="209" t="s">
        <v>5058</v>
      </c>
      <c r="H20" s="209" t="s">
        <v>5058</v>
      </c>
      <c r="I20" s="366" t="s">
        <v>5326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2 : 금융기관(연기금포함)
3 : 기타
4 : 기업
5 : 개인</v>
      </c>
    </row>
    <row r="21" spans="1:12" s="1" customFormat="1" ht="229.5" customHeight="1">
      <c r="A21" s="210">
        <v>13</v>
      </c>
      <c r="B21" s="374" t="s">
        <v>189</v>
      </c>
      <c r="C21" s="376"/>
      <c r="D21" s="233">
        <v>2</v>
      </c>
      <c r="E21" s="234" t="s">
        <v>4</v>
      </c>
      <c r="F21" s="235" t="s">
        <v>5</v>
      </c>
      <c r="G21" s="209" t="s">
        <v>5058</v>
      </c>
      <c r="H21" s="209" t="s">
        <v>5058</v>
      </c>
      <c r="I21" s="366" t="s">
        <v>5264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2" spans="1:12" s="1" customFormat="1" ht="54">
      <c r="A22" s="210">
        <v>14</v>
      </c>
      <c r="B22" s="374" t="s">
        <v>190</v>
      </c>
      <c r="C22" s="376"/>
      <c r="D22" s="233">
        <v>1</v>
      </c>
      <c r="E22" s="234" t="s">
        <v>4</v>
      </c>
      <c r="F22" s="235" t="s">
        <v>5</v>
      </c>
      <c r="G22" s="209" t="s">
        <v>5058</v>
      </c>
      <c r="H22" s="209" t="s">
        <v>5058</v>
      </c>
      <c r="I22" s="366" t="s">
        <v>5325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>1 : CMS계좌 또는 CMS코드 사용
2 : 기타계좌 또는 CMS코드 미사용</v>
      </c>
    </row>
    <row r="23" spans="1:12" s="1" customFormat="1" ht="49.5" customHeight="1">
      <c r="A23" s="210">
        <v>15</v>
      </c>
      <c r="B23" s="374" t="s">
        <v>191</v>
      </c>
      <c r="C23" s="376"/>
      <c r="D23" s="233">
        <v>60</v>
      </c>
      <c r="E23" s="234" t="s">
        <v>42</v>
      </c>
      <c r="F23" s="235" t="s">
        <v>5</v>
      </c>
      <c r="G23" s="209" t="s">
        <v>5227</v>
      </c>
      <c r="H23" s="209" t="s">
        <v>5227</v>
      </c>
      <c r="I23" s="366" t="s">
        <v>5236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s="1" customFormat="1" ht="28.5" customHeight="1">
      <c r="A24" s="210">
        <v>16</v>
      </c>
      <c r="B24" s="374" t="s">
        <v>13</v>
      </c>
      <c r="C24" s="376"/>
      <c r="D24" s="233">
        <v>20</v>
      </c>
      <c r="E24" s="234" t="s">
        <v>41</v>
      </c>
      <c r="F24" s="235" t="s">
        <v>5</v>
      </c>
      <c r="G24" s="209" t="s">
        <v>5227</v>
      </c>
      <c r="H24" s="209" t="s">
        <v>5227</v>
      </c>
      <c r="I24" s="366" t="s">
        <v>5229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15" customHeight="1">
      <c r="A25" s="210">
        <v>17</v>
      </c>
      <c r="B25" s="374" t="s">
        <v>14</v>
      </c>
      <c r="C25" s="376"/>
      <c r="D25" s="233">
        <v>10</v>
      </c>
      <c r="E25" s="234" t="s">
        <v>42</v>
      </c>
      <c r="F25" s="235" t="s">
        <v>5</v>
      </c>
      <c r="G25" s="209" t="s">
        <v>5058</v>
      </c>
      <c r="H25" s="209" t="s">
        <v>5058</v>
      </c>
      <c r="I25" s="366" t="s">
        <v>5230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15" customHeight="1">
      <c r="A26" s="210">
        <v>18</v>
      </c>
      <c r="B26" s="374" t="s">
        <v>15</v>
      </c>
      <c r="C26" s="376"/>
      <c r="D26" s="233">
        <v>30</v>
      </c>
      <c r="E26" s="234" t="s">
        <v>41</v>
      </c>
      <c r="F26" s="235" t="s">
        <v>5</v>
      </c>
      <c r="G26" s="209" t="s">
        <v>5058</v>
      </c>
      <c r="H26" s="209" t="s">
        <v>5058</v>
      </c>
      <c r="I26" s="366" t="s">
        <v>5231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10">
        <v>19</v>
      </c>
      <c r="B27" s="374" t="s">
        <v>16</v>
      </c>
      <c r="C27" s="376"/>
      <c r="D27" s="233">
        <v>10</v>
      </c>
      <c r="E27" s="234" t="s">
        <v>42</v>
      </c>
      <c r="F27" s="235" t="s">
        <v>5</v>
      </c>
      <c r="G27" s="209" t="s">
        <v>5058</v>
      </c>
      <c r="H27" s="209" t="s">
        <v>5058</v>
      </c>
      <c r="I27" s="366" t="s">
        <v>5232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10">
        <v>20</v>
      </c>
      <c r="B28" s="374" t="s">
        <v>17</v>
      </c>
      <c r="C28" s="376"/>
      <c r="D28" s="233">
        <v>30</v>
      </c>
      <c r="E28" s="234" t="s">
        <v>41</v>
      </c>
      <c r="F28" s="235" t="s">
        <v>5</v>
      </c>
      <c r="G28" s="209" t="s">
        <v>5058</v>
      </c>
      <c r="H28" s="209" t="s">
        <v>5058</v>
      </c>
      <c r="I28" s="366" t="s">
        <v>5233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s="1" customFormat="1" ht="48" customHeight="1">
      <c r="A29" s="210">
        <v>21</v>
      </c>
      <c r="B29" s="374" t="s">
        <v>11</v>
      </c>
      <c r="C29" s="376"/>
      <c r="D29" s="233">
        <v>1</v>
      </c>
      <c r="E29" s="234" t="s">
        <v>4</v>
      </c>
      <c r="F29" s="235" t="s">
        <v>5</v>
      </c>
      <c r="G29" s="209" t="s">
        <v>5058</v>
      </c>
      <c r="H29" s="209" t="s">
        <v>5058</v>
      </c>
      <c r="I29" s="366" t="s">
        <v>5123</v>
      </c>
      <c r="J29" s="367"/>
      <c r="K29" s="367"/>
      <c r="L29" s="196" t="str">
        <f ca="1">IFERROR(_xlfn.TEXTJOIN(CHAR(10), TRUE, OFFSET('&lt;별첨9&gt;전체코드'!E:E, MATCH(B29,'&lt;별첨9&gt;전체코드'!A:A,0)-1, 0, COUNTIF('&lt;별첨9&gt;전체코드'!A:A,B29), 1)), "")</f>
        <v>1 : 즉시
2 : 예약</v>
      </c>
    </row>
    <row r="30" spans="1:12" s="1" customFormat="1" ht="87.75" customHeight="1">
      <c r="A30" s="210">
        <v>22</v>
      </c>
      <c r="B30" s="374" t="s">
        <v>18</v>
      </c>
      <c r="C30" s="376"/>
      <c r="D30" s="233">
        <v>1</v>
      </c>
      <c r="E30" s="234" t="s">
        <v>4</v>
      </c>
      <c r="F30" s="235" t="s">
        <v>5</v>
      </c>
      <c r="G30" s="209" t="s">
        <v>5058</v>
      </c>
      <c r="H30" s="209" t="s">
        <v>5058</v>
      </c>
      <c r="I30" s="366" t="s">
        <v>5238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>1 : 예약
2 : 대기
3 : 결제
4 : 취소
5 : 예약취소
6 : 실행오류</v>
      </c>
    </row>
    <row r="31" spans="1:12" s="1" customFormat="1" ht="48" customHeight="1">
      <c r="A31" s="210">
        <v>23</v>
      </c>
      <c r="B31" s="374" t="s">
        <v>20</v>
      </c>
      <c r="C31" s="376"/>
      <c r="D31" s="233">
        <v>5</v>
      </c>
      <c r="E31" s="234" t="s">
        <v>4</v>
      </c>
      <c r="F31" s="235" t="s">
        <v>5</v>
      </c>
      <c r="G31" s="209" t="s">
        <v>5227</v>
      </c>
      <c r="H31" s="209" t="s">
        <v>5227</v>
      </c>
      <c r="I31" s="366" t="s">
        <v>5240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s="1" customFormat="1" ht="43.5" customHeight="1">
      <c r="A32" s="210">
        <v>24</v>
      </c>
      <c r="B32" s="374" t="s">
        <v>53</v>
      </c>
      <c r="C32" s="376"/>
      <c r="D32" s="233">
        <v>16</v>
      </c>
      <c r="E32" s="234" t="s">
        <v>42</v>
      </c>
      <c r="F32" s="274" t="s">
        <v>43</v>
      </c>
      <c r="G32" s="209" t="s">
        <v>5227</v>
      </c>
      <c r="H32" s="209" t="s">
        <v>5227</v>
      </c>
      <c r="I32" s="366" t="s">
        <v>5241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s="1" customFormat="1" ht="49.5" customHeight="1">
      <c r="A33" s="210">
        <v>25</v>
      </c>
      <c r="B33" s="374" t="s">
        <v>21</v>
      </c>
      <c r="C33" s="376"/>
      <c r="D33" s="233">
        <v>9</v>
      </c>
      <c r="E33" s="234" t="s">
        <v>42</v>
      </c>
      <c r="F33" s="235" t="s">
        <v>5</v>
      </c>
      <c r="G33" s="209" t="s">
        <v>5058</v>
      </c>
      <c r="H33" s="209" t="s">
        <v>5227</v>
      </c>
      <c r="I33" s="366" t="s">
        <v>5242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s="1" customFormat="1" ht="48" customHeight="1">
      <c r="A34" s="210">
        <v>26</v>
      </c>
      <c r="B34" s="374" t="s">
        <v>22</v>
      </c>
      <c r="C34" s="376"/>
      <c r="D34" s="233">
        <v>6</v>
      </c>
      <c r="E34" s="234" t="s">
        <v>4</v>
      </c>
      <c r="F34" s="235" t="s">
        <v>5</v>
      </c>
      <c r="G34" s="209" t="s">
        <v>5058</v>
      </c>
      <c r="H34" s="209" t="s">
        <v>5058</v>
      </c>
      <c r="I34" s="366" t="s">
        <v>5243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s="1" customFormat="1" ht="49.5" customHeight="1">
      <c r="A35" s="210">
        <v>27</v>
      </c>
      <c r="B35" s="374" t="s">
        <v>23</v>
      </c>
      <c r="C35" s="376"/>
      <c r="D35" s="233">
        <v>6</v>
      </c>
      <c r="E35" s="234" t="s">
        <v>4</v>
      </c>
      <c r="F35" s="235" t="s">
        <v>5</v>
      </c>
      <c r="G35" s="209" t="s">
        <v>5058</v>
      </c>
      <c r="H35" s="209" t="s">
        <v>5058</v>
      </c>
      <c r="I35" s="366" t="s">
        <v>5244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s="1" customFormat="1" ht="75.75" customHeight="1">
      <c r="A36" s="210">
        <v>28</v>
      </c>
      <c r="B36" s="374" t="s">
        <v>54</v>
      </c>
      <c r="C36" s="376"/>
      <c r="D36" s="233">
        <v>1</v>
      </c>
      <c r="E36" s="234" t="s">
        <v>4</v>
      </c>
      <c r="F36" s="235" t="s">
        <v>5</v>
      </c>
      <c r="G36" s="209" t="s">
        <v>5058</v>
      </c>
      <c r="H36" s="209" t="s">
        <v>5058</v>
      </c>
      <c r="I36" s="366" t="s">
        <v>5255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1 : 총액결제
2 : 양자간 동시처리
3 : 다자간 동시처리
4 : 콜연결상환</v>
      </c>
    </row>
    <row r="37" spans="1:12" ht="32.25" customHeight="1">
      <c r="A37" s="210">
        <v>29</v>
      </c>
      <c r="B37" s="374" t="s">
        <v>55</v>
      </c>
      <c r="C37" s="376"/>
      <c r="D37" s="233">
        <v>2</v>
      </c>
      <c r="E37" s="234" t="s">
        <v>4</v>
      </c>
      <c r="F37" s="235" t="s">
        <v>5</v>
      </c>
      <c r="G37" s="209" t="s">
        <v>5058</v>
      </c>
      <c r="H37" s="209" t="s">
        <v>5058</v>
      </c>
      <c r="I37" s="366" t="s">
        <v>5234</v>
      </c>
      <c r="J37" s="367"/>
      <c r="K37" s="367"/>
      <c r="L37" s="196" t="str">
        <f ca="1">IFERROR(_xlfn.TEXTJOIN(CHAR(10), TRUE, OFFSET('&lt;별첨9&gt;전체코드'!E:E, MATCH(B37,'&lt;별첨9&gt;전체코드'!A:A,0)-1, 0, COUNTIF('&lt;별첨9&gt;전체코드'!A:A,B37), 1)), "")</f>
        <v>&lt;별첨6&gt; 참조</v>
      </c>
    </row>
    <row r="38" spans="1:12" ht="32.25" customHeight="1">
      <c r="A38" s="210">
        <v>30</v>
      </c>
      <c r="B38" s="374" t="s">
        <v>27</v>
      </c>
      <c r="C38" s="376"/>
      <c r="D38" s="233">
        <v>18</v>
      </c>
      <c r="E38" s="234" t="s">
        <v>4</v>
      </c>
      <c r="F38" s="235" t="s">
        <v>5</v>
      </c>
      <c r="G38" s="209" t="s">
        <v>5058</v>
      </c>
      <c r="H38" s="209" t="s">
        <v>5058</v>
      </c>
      <c r="I38" s="366" t="s">
        <v>5246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2.25" customHeight="1">
      <c r="A39" s="210">
        <v>31</v>
      </c>
      <c r="B39" s="374" t="s">
        <v>44</v>
      </c>
      <c r="C39" s="376"/>
      <c r="D39" s="233">
        <v>18</v>
      </c>
      <c r="E39" s="234" t="s">
        <v>4</v>
      </c>
      <c r="F39" s="235" t="s">
        <v>5</v>
      </c>
      <c r="G39" s="209" t="s">
        <v>5058</v>
      </c>
      <c r="H39" s="209" t="s">
        <v>5058</v>
      </c>
      <c r="I39" s="366" t="s">
        <v>5247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32.25" customHeight="1">
      <c r="A40" s="210">
        <v>32</v>
      </c>
      <c r="B40" s="374" t="s">
        <v>24</v>
      </c>
      <c r="C40" s="376"/>
      <c r="D40" s="233">
        <v>18</v>
      </c>
      <c r="E40" s="234" t="s">
        <v>4</v>
      </c>
      <c r="F40" s="235" t="s">
        <v>5</v>
      </c>
      <c r="G40" s="209" t="s">
        <v>5058</v>
      </c>
      <c r="H40" s="209" t="s">
        <v>5058</v>
      </c>
      <c r="I40" s="366" t="s">
        <v>5248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2.25" customHeight="1">
      <c r="A41" s="210">
        <v>33</v>
      </c>
      <c r="B41" s="374" t="s">
        <v>56</v>
      </c>
      <c r="C41" s="376"/>
      <c r="D41" s="233">
        <v>18</v>
      </c>
      <c r="E41" s="234" t="s">
        <v>4</v>
      </c>
      <c r="F41" s="235" t="s">
        <v>5</v>
      </c>
      <c r="G41" s="209" t="s">
        <v>5058</v>
      </c>
      <c r="H41" s="209" t="s">
        <v>5058</v>
      </c>
      <c r="I41" s="366" t="s">
        <v>5074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32.25" customHeight="1">
      <c r="A42" s="210">
        <v>34</v>
      </c>
      <c r="B42" s="374" t="s">
        <v>57</v>
      </c>
      <c r="C42" s="376"/>
      <c r="D42" s="233">
        <v>18</v>
      </c>
      <c r="E42" s="234" t="s">
        <v>4</v>
      </c>
      <c r="F42" s="235" t="s">
        <v>5</v>
      </c>
      <c r="G42" s="209" t="s">
        <v>5058</v>
      </c>
      <c r="H42" s="209" t="s">
        <v>5058</v>
      </c>
      <c r="I42" s="366" t="s">
        <v>5075</v>
      </c>
      <c r="J42" s="367"/>
      <c r="K42" s="367"/>
      <c r="L42" s="196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67.5" customHeight="1">
      <c r="A43" s="210">
        <v>35</v>
      </c>
      <c r="B43" s="366" t="s">
        <v>193</v>
      </c>
      <c r="C43" s="429"/>
      <c r="D43" s="233">
        <v>1</v>
      </c>
      <c r="E43" s="234" t="s">
        <v>79</v>
      </c>
      <c r="F43" s="235" t="s">
        <v>78</v>
      </c>
      <c r="G43" s="209" t="s">
        <v>5058</v>
      </c>
      <c r="H43" s="209" t="s">
        <v>5058</v>
      </c>
      <c r="I43" s="366" t="s">
        <v>5328</v>
      </c>
      <c r="J43" s="367"/>
      <c r="K43" s="367"/>
      <c r="L43" s="196" t="str">
        <f ca="1">IFERROR(_xlfn.TEXTJOIN(CHAR(10), TRUE, OFFSET('&lt;별첨9&gt;전체코드'!E:E, MATCH(B43,'&lt;별첨9&gt;전체코드'!A:A,0)-1, 0, COUNTIF('&lt;별첨9&gt;전체코드'!A:A,B43), 1)), "")</f>
        <v>2 : 금융기관(연기금포함)
3 : 기타
4 : 기업
5 : 개인</v>
      </c>
    </row>
    <row r="44" spans="1:12" ht="229.5" customHeight="1">
      <c r="A44" s="210">
        <v>36</v>
      </c>
      <c r="B44" s="366" t="s">
        <v>194</v>
      </c>
      <c r="C44" s="429"/>
      <c r="D44" s="233">
        <v>2</v>
      </c>
      <c r="E44" s="234" t="s">
        <v>79</v>
      </c>
      <c r="F44" s="235" t="s">
        <v>78</v>
      </c>
      <c r="G44" s="209" t="s">
        <v>5058</v>
      </c>
      <c r="H44" s="209" t="s">
        <v>5058</v>
      </c>
      <c r="I44" s="366" t="s">
        <v>5265</v>
      </c>
      <c r="J44" s="367"/>
      <c r="K44" s="367"/>
      <c r="L44" s="196" t="str">
        <f ca="1">IFERROR(_xlfn.TEXTJOIN(CHAR(10), TRUE, OFFSET('&lt;별첨9&gt;전체코드'!E:E, MATCH(B44,'&lt;별첨9&gt;전체코드'!A:A,0)-1, 0, COUNTIF('&lt;별첨9&gt;전체코드'!A:A,B44),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45" spans="1:12" ht="15" customHeight="1" thickBot="1">
      <c r="A45" s="213">
        <v>37</v>
      </c>
      <c r="B45" s="422" t="s">
        <v>25</v>
      </c>
      <c r="C45" s="424"/>
      <c r="D45" s="238">
        <v>131</v>
      </c>
      <c r="E45" s="239" t="s">
        <v>26</v>
      </c>
      <c r="F45" s="240" t="s">
        <v>78</v>
      </c>
      <c r="G45" s="108" t="s">
        <v>4941</v>
      </c>
      <c r="H45" s="108" t="s">
        <v>4941</v>
      </c>
      <c r="I45" s="479" t="s">
        <v>252</v>
      </c>
      <c r="J45" s="480"/>
      <c r="K45" s="480"/>
      <c r="L45" s="198" t="str">
        <f ca="1">IFERROR(_xlfn.TEXTJOIN(CHAR(10), TRUE, OFFSET('&lt;별첨9&gt;전체코드'!E:E, MATCH(B45,'&lt;별첨9&gt;전체코드'!A:A,0)-1, 0, COUNTIF('&lt;별첨9&gt;전체코드'!A:A,B45), 1)), "")</f>
        <v/>
      </c>
    </row>
  </sheetData>
  <mergeCells count="89">
    <mergeCell ref="I35:K35"/>
    <mergeCell ref="I33:K33"/>
    <mergeCell ref="I31:K31"/>
    <mergeCell ref="A2:L2"/>
    <mergeCell ref="B43:C43"/>
    <mergeCell ref="B37:C37"/>
    <mergeCell ref="B38:C38"/>
    <mergeCell ref="B39:C39"/>
    <mergeCell ref="I38:K38"/>
    <mergeCell ref="B34:C34"/>
    <mergeCell ref="B35:C35"/>
    <mergeCell ref="B36:C36"/>
    <mergeCell ref="I34:K34"/>
    <mergeCell ref="I36:K36"/>
    <mergeCell ref="B31:C31"/>
    <mergeCell ref="B32:C32"/>
    <mergeCell ref="I15:K15"/>
    <mergeCell ref="I39:K39"/>
    <mergeCell ref="I37:K37"/>
    <mergeCell ref="B33:C33"/>
    <mergeCell ref="I32:K32"/>
    <mergeCell ref="B28:C28"/>
    <mergeCell ref="I29:K29"/>
    <mergeCell ref="I27:K27"/>
    <mergeCell ref="B44:C44"/>
    <mergeCell ref="B45:C45"/>
    <mergeCell ref="I44:K44"/>
    <mergeCell ref="B40:C40"/>
    <mergeCell ref="B41:C41"/>
    <mergeCell ref="B42:C42"/>
    <mergeCell ref="I40:K40"/>
    <mergeCell ref="I42:K42"/>
    <mergeCell ref="I45:K45"/>
    <mergeCell ref="I43:K43"/>
    <mergeCell ref="I41:K41"/>
    <mergeCell ref="B29:C29"/>
    <mergeCell ref="B30:C30"/>
    <mergeCell ref="I28:K28"/>
    <mergeCell ref="I30:K30"/>
    <mergeCell ref="B25:C25"/>
    <mergeCell ref="B26:C26"/>
    <mergeCell ref="B27:C27"/>
    <mergeCell ref="I26:K26"/>
    <mergeCell ref="I25:K25"/>
    <mergeCell ref="B22:C22"/>
    <mergeCell ref="B23:C23"/>
    <mergeCell ref="B24:C24"/>
    <mergeCell ref="I22:K22"/>
    <mergeCell ref="I24:K24"/>
    <mergeCell ref="I23:K23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21:K21"/>
    <mergeCell ref="I19:K19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3:K13"/>
    <mergeCell ref="I11:K11"/>
    <mergeCell ref="B7:C7"/>
    <mergeCell ref="B8:C8"/>
    <mergeCell ref="B9:C9"/>
    <mergeCell ref="I8:K8"/>
    <mergeCell ref="A5:B5"/>
    <mergeCell ref="D5:F5"/>
    <mergeCell ref="I9:K9"/>
    <mergeCell ref="I7:K7"/>
    <mergeCell ref="A3:B3"/>
    <mergeCell ref="A4:B4"/>
    <mergeCell ref="D4:F4"/>
    <mergeCell ref="G5:I5"/>
    <mergeCell ref="K5:L5"/>
    <mergeCell ref="C3:L3"/>
    <mergeCell ref="G4:I4"/>
    <mergeCell ref="K4:L4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CBDA-2137-433D-AF80-207408BE7FC4}">
  <sheetPr codeName="Sheet66"/>
  <dimension ref="A1:L3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5191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7664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166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SLP220303SW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10">
        <v>1</v>
      </c>
      <c r="B9" s="521" t="s">
        <v>3</v>
      </c>
      <c r="C9" s="522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5.5" customHeight="1">
      <c r="A10" s="210">
        <v>2</v>
      </c>
      <c r="B10" s="521" t="s">
        <v>6</v>
      </c>
      <c r="C10" s="522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5091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25.5" customHeight="1">
      <c r="A11" s="210">
        <v>3</v>
      </c>
      <c r="B11" s="521" t="s">
        <v>8</v>
      </c>
      <c r="C11" s="522"/>
      <c r="D11" s="233">
        <v>4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5092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25.5" customHeight="1">
      <c r="A12" s="210">
        <v>4</v>
      </c>
      <c r="B12" s="521" t="s">
        <v>7</v>
      </c>
      <c r="C12" s="522"/>
      <c r="D12" s="233">
        <v>5</v>
      </c>
      <c r="E12" s="234" t="s">
        <v>4</v>
      </c>
      <c r="F12" s="235" t="s">
        <v>196</v>
      </c>
      <c r="G12" s="209" t="s">
        <v>446</v>
      </c>
      <c r="H12" s="209" t="s">
        <v>446</v>
      </c>
      <c r="I12" s="366" t="s">
        <v>5186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2.25" customHeight="1">
      <c r="A13" s="210">
        <v>5</v>
      </c>
      <c r="B13" s="521" t="s">
        <v>186</v>
      </c>
      <c r="C13" s="522"/>
      <c r="D13" s="233">
        <v>20</v>
      </c>
      <c r="E13" s="234" t="s">
        <v>41</v>
      </c>
      <c r="F13" s="235" t="s">
        <v>196</v>
      </c>
      <c r="G13" s="209" t="s">
        <v>446</v>
      </c>
      <c r="H13" s="209" t="s">
        <v>446</v>
      </c>
      <c r="I13" s="366" t="s">
        <v>5190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.75" customHeight="1">
      <c r="A14" s="210">
        <v>6</v>
      </c>
      <c r="B14" s="521" t="s">
        <v>187</v>
      </c>
      <c r="C14" s="522"/>
      <c r="D14" s="233">
        <v>20</v>
      </c>
      <c r="E14" s="234" t="s">
        <v>42</v>
      </c>
      <c r="F14" s="235" t="s">
        <v>196</v>
      </c>
      <c r="G14" s="209" t="s">
        <v>446</v>
      </c>
      <c r="H14" s="209" t="s">
        <v>446</v>
      </c>
      <c r="I14" s="366" t="s">
        <v>4985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67.5">
      <c r="A15" s="210">
        <v>7</v>
      </c>
      <c r="B15" s="521" t="s">
        <v>188</v>
      </c>
      <c r="C15" s="522"/>
      <c r="D15" s="233">
        <v>1</v>
      </c>
      <c r="E15" s="234" t="s">
        <v>4</v>
      </c>
      <c r="F15" s="235" t="s">
        <v>196</v>
      </c>
      <c r="G15" s="209" t="s">
        <v>446</v>
      </c>
      <c r="H15" s="209" t="s">
        <v>446</v>
      </c>
      <c r="I15" s="509" t="s">
        <v>5330</v>
      </c>
      <c r="J15" s="509"/>
      <c r="K15" s="509"/>
      <c r="L15" s="196" t="str">
        <f ca="1">IFERROR(_xlfn.TEXTJOIN(CHAR(10), TRUE, OFFSET('&lt;별첨9&gt;전체코드'!E:E, MATCH(B15,'&lt;별첨9&gt;전체코드'!A:A,0)-1, 0, COUNTIF('&lt;별첨9&gt;전체코드'!A:A,B15), 1)), "")</f>
        <v>2 : 금융기관(연기금포함)
3 : 기타
4 : 기업
5 : 개인</v>
      </c>
    </row>
    <row r="16" spans="1:12" s="1" customFormat="1" ht="229.5" customHeight="1">
      <c r="A16" s="210">
        <v>8</v>
      </c>
      <c r="B16" s="521" t="s">
        <v>5135</v>
      </c>
      <c r="C16" s="522"/>
      <c r="D16" s="233">
        <v>2</v>
      </c>
      <c r="E16" s="234" t="s">
        <v>4</v>
      </c>
      <c r="F16" s="235" t="s">
        <v>196</v>
      </c>
      <c r="G16" s="209" t="s">
        <v>446</v>
      </c>
      <c r="H16" s="209" t="s">
        <v>446</v>
      </c>
      <c r="I16" s="509" t="s">
        <v>5264</v>
      </c>
      <c r="J16" s="509"/>
      <c r="K16" s="509"/>
      <c r="L16" s="196" t="str">
        <f ca="1">IFERROR(_xlfn.TEXTJOIN(CHAR(10), TRUE, OFFSET('&lt;별첨9&gt;전체코드'!E:E, MATCH(B16,'&lt;별첨9&gt;전체코드'!A:A,0)-1, 0, COUNTIF('&lt;별첨9&gt;전체코드'!A:A,B16),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17" spans="1:12" s="1" customFormat="1" ht="54">
      <c r="A17" s="210">
        <v>9</v>
      </c>
      <c r="B17" s="521" t="s">
        <v>5313</v>
      </c>
      <c r="C17" s="522"/>
      <c r="D17" s="233">
        <v>1</v>
      </c>
      <c r="E17" s="234" t="s">
        <v>4</v>
      </c>
      <c r="F17" s="235" t="s">
        <v>196</v>
      </c>
      <c r="G17" s="209" t="s">
        <v>446</v>
      </c>
      <c r="H17" s="209" t="s">
        <v>446</v>
      </c>
      <c r="I17" s="366" t="s">
        <v>5325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CMS계좌 또는 CMS코드 사용
2 : 기타계좌 또는 CMS코드 미사용</v>
      </c>
    </row>
    <row r="18" spans="1:12" s="1" customFormat="1" ht="57" customHeight="1">
      <c r="A18" s="210">
        <v>10</v>
      </c>
      <c r="B18" s="521" t="s">
        <v>5103</v>
      </c>
      <c r="C18" s="522"/>
      <c r="D18" s="233">
        <v>60</v>
      </c>
      <c r="E18" s="234" t="s">
        <v>42</v>
      </c>
      <c r="F18" s="235" t="s">
        <v>196</v>
      </c>
      <c r="G18" s="209" t="s">
        <v>446</v>
      </c>
      <c r="H18" s="209" t="s">
        <v>446</v>
      </c>
      <c r="I18" s="366" t="s">
        <v>5164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8.75" customHeight="1">
      <c r="A19" s="210">
        <v>11</v>
      </c>
      <c r="B19" s="521" t="s">
        <v>185</v>
      </c>
      <c r="C19" s="522"/>
      <c r="D19" s="233">
        <v>20</v>
      </c>
      <c r="E19" s="234" t="s">
        <v>42</v>
      </c>
      <c r="F19" s="235" t="s">
        <v>196</v>
      </c>
      <c r="G19" s="209" t="s">
        <v>446</v>
      </c>
      <c r="H19" s="209" t="s">
        <v>446</v>
      </c>
      <c r="I19" s="366" t="s">
        <v>5101</v>
      </c>
      <c r="J19" s="367"/>
      <c r="K19" s="429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8.75" customHeight="1">
      <c r="A20" s="210">
        <v>12</v>
      </c>
      <c r="B20" s="521" t="s">
        <v>17</v>
      </c>
      <c r="C20" s="522"/>
      <c r="D20" s="233">
        <v>30</v>
      </c>
      <c r="E20" s="234" t="s">
        <v>41</v>
      </c>
      <c r="F20" s="235" t="s">
        <v>196</v>
      </c>
      <c r="G20" s="209" t="s">
        <v>446</v>
      </c>
      <c r="H20" s="209" t="s">
        <v>446</v>
      </c>
      <c r="I20" s="366" t="s">
        <v>5065</v>
      </c>
      <c r="J20" s="367"/>
      <c r="K20" s="429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8.75" customHeight="1">
      <c r="A21" s="210">
        <v>13</v>
      </c>
      <c r="B21" s="521" t="s">
        <v>184</v>
      </c>
      <c r="C21" s="522"/>
      <c r="D21" s="233">
        <v>20</v>
      </c>
      <c r="E21" s="234" t="s">
        <v>41</v>
      </c>
      <c r="F21" s="235" t="s">
        <v>196</v>
      </c>
      <c r="G21" s="209" t="s">
        <v>446</v>
      </c>
      <c r="H21" s="209" t="s">
        <v>446</v>
      </c>
      <c r="I21" s="366" t="s">
        <v>5181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8.75" customHeight="1">
      <c r="A22" s="210">
        <v>14</v>
      </c>
      <c r="B22" s="521" t="s">
        <v>10</v>
      </c>
      <c r="C22" s="522"/>
      <c r="D22" s="233">
        <v>18</v>
      </c>
      <c r="E22" s="234" t="s">
        <v>4</v>
      </c>
      <c r="F22" s="235" t="s">
        <v>196</v>
      </c>
      <c r="G22" s="209" t="s">
        <v>446</v>
      </c>
      <c r="H22" s="209" t="s">
        <v>446</v>
      </c>
      <c r="I22" s="366" t="s">
        <v>5188</v>
      </c>
      <c r="J22" s="367"/>
      <c r="K22" s="429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55.5" customHeight="1">
      <c r="A23" s="210">
        <v>15</v>
      </c>
      <c r="B23" s="521" t="s">
        <v>5189</v>
      </c>
      <c r="C23" s="522"/>
      <c r="D23" s="233">
        <v>1</v>
      </c>
      <c r="E23" s="234" t="s">
        <v>4</v>
      </c>
      <c r="F23" s="235" t="s">
        <v>196</v>
      </c>
      <c r="G23" s="209" t="s">
        <v>446</v>
      </c>
      <c r="H23" s="209" t="s">
        <v>446</v>
      </c>
      <c r="I23" s="366" t="s">
        <v>5338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>1 : 수취인지정자금 이체 입금결과 통보
2 : 수취인지정자금 이체 반환 입금결과 통보</v>
      </c>
    </row>
    <row r="24" spans="1:12" s="1" customFormat="1" ht="59.25" customHeight="1">
      <c r="A24" s="210">
        <v>16</v>
      </c>
      <c r="B24" s="519" t="s">
        <v>197</v>
      </c>
      <c r="C24" s="520"/>
      <c r="D24" s="233">
        <v>1</v>
      </c>
      <c r="E24" s="234" t="s">
        <v>4</v>
      </c>
      <c r="F24" s="235" t="s">
        <v>196</v>
      </c>
      <c r="G24" s="209" t="s">
        <v>446</v>
      </c>
      <c r="H24" s="209" t="s">
        <v>446</v>
      </c>
      <c r="I24" s="366" t="s">
        <v>5192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0 : 수취계좌 입금결과정보 없음
1 : 수취계좌 입금완료
2 : 수취계좌 입금실패</v>
      </c>
    </row>
    <row r="25" spans="1:12" s="1" customFormat="1" ht="30" customHeight="1">
      <c r="A25" s="210">
        <v>17</v>
      </c>
      <c r="B25" s="521" t="s">
        <v>198</v>
      </c>
      <c r="C25" s="522"/>
      <c r="D25" s="233">
        <v>6</v>
      </c>
      <c r="E25" s="234" t="s">
        <v>4</v>
      </c>
      <c r="F25" s="235" t="s">
        <v>196</v>
      </c>
      <c r="G25" s="209" t="s">
        <v>446</v>
      </c>
      <c r="H25" s="209" t="s">
        <v>446</v>
      </c>
      <c r="I25" s="366" t="s">
        <v>5258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67.5">
      <c r="A26" s="210">
        <v>18</v>
      </c>
      <c r="B26" s="523" t="s">
        <v>193</v>
      </c>
      <c r="C26" s="524"/>
      <c r="D26" s="233">
        <v>1</v>
      </c>
      <c r="E26" s="234" t="s">
        <v>79</v>
      </c>
      <c r="F26" s="235" t="s">
        <v>100</v>
      </c>
      <c r="G26" s="209" t="s">
        <v>446</v>
      </c>
      <c r="H26" s="209" t="s">
        <v>446</v>
      </c>
      <c r="I26" s="366" t="s">
        <v>5328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>2 : 금융기관(연기금포함)
3 : 기타
4 : 기업
5 : 개인</v>
      </c>
    </row>
    <row r="27" spans="1:12" s="1" customFormat="1" ht="229.5">
      <c r="A27" s="210">
        <v>19</v>
      </c>
      <c r="B27" s="523" t="s">
        <v>194</v>
      </c>
      <c r="C27" s="524"/>
      <c r="D27" s="233">
        <v>2</v>
      </c>
      <c r="E27" s="234" t="s">
        <v>79</v>
      </c>
      <c r="F27" s="235" t="s">
        <v>100</v>
      </c>
      <c r="G27" s="209" t="s">
        <v>446</v>
      </c>
      <c r="H27" s="209" t="s">
        <v>446</v>
      </c>
      <c r="I27" s="366" t="s">
        <v>5265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8" spans="1:12" s="1" customFormat="1" ht="18.75" customHeight="1">
      <c r="A28" s="210">
        <v>20</v>
      </c>
      <c r="B28" s="521" t="s">
        <v>25</v>
      </c>
      <c r="C28" s="522"/>
      <c r="D28" s="233">
        <v>336</v>
      </c>
      <c r="E28" s="234" t="s">
        <v>26</v>
      </c>
      <c r="F28" s="235" t="s">
        <v>196</v>
      </c>
      <c r="G28" s="209" t="s">
        <v>4690</v>
      </c>
      <c r="H28" s="209" t="s">
        <v>4690</v>
      </c>
      <c r="I28" s="366" t="s">
        <v>254</v>
      </c>
      <c r="J28" s="367"/>
      <c r="K28" s="367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264.75" customHeight="1" thickBot="1">
      <c r="A29" s="270" t="s">
        <v>225</v>
      </c>
      <c r="B29" s="479" t="s">
        <v>227</v>
      </c>
      <c r="C29" s="480"/>
      <c r="D29" s="480"/>
      <c r="E29" s="480"/>
      <c r="F29" s="480"/>
      <c r="G29" s="480"/>
      <c r="H29" s="480"/>
      <c r="I29" s="480"/>
      <c r="J29" s="480"/>
      <c r="K29" s="480"/>
      <c r="L29" s="516"/>
    </row>
    <row r="30" spans="1:12" ht="12.75" customHeight="1"/>
    <row r="31" spans="1:12" ht="12.75" customHeight="1"/>
    <row r="32" spans="1:12" ht="12.75" customHeight="1"/>
    <row r="33" ht="12.75" customHeight="1"/>
    <row r="34" ht="12.75" customHeight="1"/>
    <row r="35" ht="12.75" customHeight="1"/>
    <row r="36" ht="12.75" customHeight="1"/>
    <row r="37" ht="12.75" customHeight="1"/>
  </sheetData>
  <mergeCells count="56">
    <mergeCell ref="B29:L29"/>
    <mergeCell ref="A2:L2"/>
    <mergeCell ref="I27:K27"/>
    <mergeCell ref="I25:K25"/>
    <mergeCell ref="I23:K23"/>
    <mergeCell ref="I21:K21"/>
    <mergeCell ref="I19:K19"/>
    <mergeCell ref="I17:K17"/>
    <mergeCell ref="I15:K15"/>
    <mergeCell ref="I13:K13"/>
    <mergeCell ref="I11:K11"/>
    <mergeCell ref="I7:K7"/>
    <mergeCell ref="I8:K8"/>
    <mergeCell ref="G4:I4"/>
    <mergeCell ref="K4:L4"/>
    <mergeCell ref="A5:B5"/>
    <mergeCell ref="K5:L5"/>
    <mergeCell ref="B7:C7"/>
    <mergeCell ref="B8:C8"/>
    <mergeCell ref="C3:L3"/>
    <mergeCell ref="B9:C9"/>
    <mergeCell ref="I9:K9"/>
    <mergeCell ref="D5:F5"/>
    <mergeCell ref="A3:B3"/>
    <mergeCell ref="A4:B4"/>
    <mergeCell ref="D4:F4"/>
    <mergeCell ref="G5:I5"/>
    <mergeCell ref="B14:C14"/>
    <mergeCell ref="B15:C15"/>
    <mergeCell ref="I14:K14"/>
    <mergeCell ref="I10:K10"/>
    <mergeCell ref="B16:C16"/>
    <mergeCell ref="B10:C10"/>
    <mergeCell ref="B11:C11"/>
    <mergeCell ref="B12:C12"/>
    <mergeCell ref="I12:K12"/>
    <mergeCell ref="B13:C13"/>
    <mergeCell ref="B17:C17"/>
    <mergeCell ref="B18:C18"/>
    <mergeCell ref="I16:K16"/>
    <mergeCell ref="I18:K18"/>
    <mergeCell ref="B19:C19"/>
    <mergeCell ref="B20:C20"/>
    <mergeCell ref="B21:C21"/>
    <mergeCell ref="I20:K20"/>
    <mergeCell ref="B22:C22"/>
    <mergeCell ref="B23:C23"/>
    <mergeCell ref="B24:C24"/>
    <mergeCell ref="I22:K22"/>
    <mergeCell ref="I24:K24"/>
    <mergeCell ref="B28:C28"/>
    <mergeCell ref="B25:C25"/>
    <mergeCell ref="B26:C26"/>
    <mergeCell ref="B27:C27"/>
    <mergeCell ref="I26:K26"/>
    <mergeCell ref="I28:K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A5E-5DA9-4F98-A208-2C9D7F7AA45F}">
  <dimension ref="A1:J20"/>
  <sheetViews>
    <sheetView zoomScaleNormal="100" workbookViewId="0">
      <selection activeCell="L13" sqref="L13"/>
    </sheetView>
  </sheetViews>
  <sheetFormatPr defaultRowHeight="16.5"/>
  <cols>
    <col min="1" max="1" width="4.5" customWidth="1"/>
    <col min="2" max="2" width="3.875" bestFit="1" customWidth="1"/>
    <col min="3" max="3" width="25.75" customWidth="1"/>
    <col min="4" max="6" width="5" customWidth="1"/>
    <col min="7" max="7" width="5" style="10" customWidth="1"/>
    <col min="8" max="8" width="53.375" customWidth="1"/>
  </cols>
  <sheetData>
    <row r="1" spans="1:10" s="10" customFormat="1">
      <c r="A1" s="11" t="s">
        <v>4612</v>
      </c>
      <c r="B1" s="14"/>
      <c r="C1" s="14"/>
      <c r="D1" s="9"/>
      <c r="E1" s="9"/>
      <c r="F1" s="9"/>
      <c r="G1" s="9"/>
      <c r="H1" s="9"/>
      <c r="I1" s="9"/>
      <c r="J1" s="9"/>
    </row>
    <row r="2" spans="1:10" s="10" customFormat="1" ht="17.25" thickBot="1">
      <c r="A2" s="361" t="s">
        <v>4656</v>
      </c>
      <c r="B2" s="361"/>
      <c r="C2" s="361"/>
      <c r="D2" s="361"/>
      <c r="E2" s="361"/>
      <c r="F2" s="361"/>
      <c r="G2" s="361"/>
      <c r="H2" s="361"/>
      <c r="I2" s="9"/>
      <c r="J2" s="9"/>
    </row>
    <row r="3" spans="1:10">
      <c r="A3" s="90" t="s">
        <v>2</v>
      </c>
      <c r="B3" s="362" t="s">
        <v>4626</v>
      </c>
      <c r="C3" s="363"/>
      <c r="D3" s="90" t="s">
        <v>4627</v>
      </c>
      <c r="E3" s="90" t="s">
        <v>4628</v>
      </c>
      <c r="F3" s="90" t="s">
        <v>4629</v>
      </c>
      <c r="G3" s="90" t="s">
        <v>4660</v>
      </c>
      <c r="H3" s="90" t="s">
        <v>418</v>
      </c>
      <c r="I3" s="10"/>
    </row>
    <row r="4" spans="1:10" ht="16.5" customHeight="1">
      <c r="A4" s="91">
        <v>1</v>
      </c>
      <c r="B4" s="359" t="s">
        <v>4655</v>
      </c>
      <c r="C4" s="360"/>
      <c r="D4" s="92">
        <v>5</v>
      </c>
      <c r="E4" s="91" t="s">
        <v>4</v>
      </c>
      <c r="F4" s="91" t="s">
        <v>238</v>
      </c>
      <c r="G4" s="91" t="s">
        <v>446</v>
      </c>
      <c r="H4" s="93" t="s">
        <v>4649</v>
      </c>
      <c r="I4" s="10"/>
    </row>
    <row r="5" spans="1:10">
      <c r="A5" s="91">
        <v>2</v>
      </c>
      <c r="B5" s="359" t="s">
        <v>32</v>
      </c>
      <c r="C5" s="360"/>
      <c r="D5" s="92">
        <v>9</v>
      </c>
      <c r="E5" s="91" t="s">
        <v>42</v>
      </c>
      <c r="F5" s="91" t="s">
        <v>238</v>
      </c>
      <c r="G5" s="91" t="s">
        <v>446</v>
      </c>
      <c r="H5" s="93" t="s">
        <v>4650</v>
      </c>
      <c r="I5" s="10"/>
    </row>
    <row r="6" spans="1:10" ht="16.5" customHeight="1">
      <c r="A6" s="91">
        <v>3</v>
      </c>
      <c r="B6" s="359" t="s">
        <v>4630</v>
      </c>
      <c r="C6" s="360"/>
      <c r="D6" s="92">
        <v>3</v>
      </c>
      <c r="E6" s="91" t="s">
        <v>26</v>
      </c>
      <c r="F6" s="91" t="s">
        <v>238</v>
      </c>
      <c r="G6" s="91" t="s">
        <v>446</v>
      </c>
      <c r="H6" s="93" t="s">
        <v>4631</v>
      </c>
      <c r="I6" s="10"/>
    </row>
    <row r="7" spans="1:10" ht="40.5">
      <c r="A7" s="91">
        <v>4</v>
      </c>
      <c r="B7" s="359" t="s">
        <v>4632</v>
      </c>
      <c r="C7" s="360"/>
      <c r="D7" s="92">
        <v>4</v>
      </c>
      <c r="E7" s="91" t="s">
        <v>4</v>
      </c>
      <c r="F7" s="91" t="s">
        <v>238</v>
      </c>
      <c r="G7" s="91" t="s">
        <v>446</v>
      </c>
      <c r="H7" s="93" t="s">
        <v>4654</v>
      </c>
      <c r="I7" s="10"/>
    </row>
    <row r="8" spans="1:10" ht="28.5" customHeight="1">
      <c r="A8" s="91">
        <v>5</v>
      </c>
      <c r="B8" s="359" t="s">
        <v>4633</v>
      </c>
      <c r="C8" s="360"/>
      <c r="D8" s="92">
        <v>8</v>
      </c>
      <c r="E8" s="91" t="s">
        <v>4</v>
      </c>
      <c r="F8" s="91" t="s">
        <v>238</v>
      </c>
      <c r="G8" s="91" t="s">
        <v>446</v>
      </c>
      <c r="H8" s="93" t="s">
        <v>90</v>
      </c>
      <c r="I8" s="10"/>
    </row>
    <row r="9" spans="1:10" ht="16.5" customHeight="1">
      <c r="A9" s="91">
        <v>6</v>
      </c>
      <c r="B9" s="359" t="s">
        <v>4634</v>
      </c>
      <c r="C9" s="360"/>
      <c r="D9" s="92">
        <v>4</v>
      </c>
      <c r="E9" s="91" t="s">
        <v>4</v>
      </c>
      <c r="F9" s="91" t="s">
        <v>238</v>
      </c>
      <c r="G9" s="91" t="s">
        <v>446</v>
      </c>
      <c r="H9" s="93" t="s">
        <v>4651</v>
      </c>
      <c r="I9" s="10"/>
    </row>
    <row r="10" spans="1:10" ht="28.5" customHeight="1">
      <c r="A10" s="91">
        <v>7</v>
      </c>
      <c r="B10" s="359" t="s">
        <v>4635</v>
      </c>
      <c r="C10" s="360"/>
      <c r="D10" s="92">
        <v>4</v>
      </c>
      <c r="E10" s="91" t="s">
        <v>42</v>
      </c>
      <c r="F10" s="91" t="s">
        <v>238</v>
      </c>
      <c r="G10" s="91" t="s">
        <v>4661</v>
      </c>
      <c r="H10" s="93" t="s">
        <v>4657</v>
      </c>
      <c r="I10" s="10"/>
    </row>
    <row r="11" spans="1:10">
      <c r="A11" s="91">
        <v>8</v>
      </c>
      <c r="B11" s="359" t="s">
        <v>4636</v>
      </c>
      <c r="C11" s="360"/>
      <c r="D11" s="92">
        <v>20</v>
      </c>
      <c r="E11" s="91" t="s">
        <v>4</v>
      </c>
      <c r="F11" s="91" t="s">
        <v>238</v>
      </c>
      <c r="G11" s="91" t="s">
        <v>446</v>
      </c>
      <c r="H11" s="93" t="s">
        <v>4652</v>
      </c>
      <c r="I11" s="10"/>
    </row>
    <row r="12" spans="1:10" ht="28.5" customHeight="1">
      <c r="A12" s="91">
        <v>9</v>
      </c>
      <c r="B12" s="359" t="s">
        <v>4637</v>
      </c>
      <c r="C12" s="360"/>
      <c r="D12" s="92">
        <v>14</v>
      </c>
      <c r="E12" s="91" t="s">
        <v>4</v>
      </c>
      <c r="F12" s="91" t="s">
        <v>238</v>
      </c>
      <c r="G12" s="91" t="s">
        <v>446</v>
      </c>
      <c r="H12" s="93" t="s">
        <v>4638</v>
      </c>
      <c r="I12" s="10"/>
    </row>
    <row r="13" spans="1:10" ht="27">
      <c r="A13" s="91">
        <v>10</v>
      </c>
      <c r="B13" s="359" t="s">
        <v>4639</v>
      </c>
      <c r="C13" s="360"/>
      <c r="D13" s="92">
        <v>20</v>
      </c>
      <c r="E13" s="91" t="s">
        <v>4</v>
      </c>
      <c r="F13" s="91" t="s">
        <v>5</v>
      </c>
      <c r="G13" s="91" t="s">
        <v>4661</v>
      </c>
      <c r="H13" s="93" t="s">
        <v>4658</v>
      </c>
      <c r="I13" s="10"/>
    </row>
    <row r="14" spans="1:10" ht="28.5" customHeight="1">
      <c r="A14" s="91">
        <v>11</v>
      </c>
      <c r="B14" s="359" t="s">
        <v>4640</v>
      </c>
      <c r="C14" s="360"/>
      <c r="D14" s="92">
        <v>4</v>
      </c>
      <c r="E14" s="91" t="s">
        <v>4</v>
      </c>
      <c r="F14" s="91" t="s">
        <v>238</v>
      </c>
      <c r="G14" s="91" t="s">
        <v>446</v>
      </c>
      <c r="H14" s="93" t="s">
        <v>46</v>
      </c>
      <c r="I14" s="10"/>
    </row>
    <row r="15" spans="1:10" ht="28.5" customHeight="1">
      <c r="A15" s="91">
        <v>12</v>
      </c>
      <c r="B15" s="359" t="s">
        <v>4641</v>
      </c>
      <c r="C15" s="360"/>
      <c r="D15" s="92">
        <v>4</v>
      </c>
      <c r="E15" s="91" t="s">
        <v>4</v>
      </c>
      <c r="F15" s="91" t="s">
        <v>238</v>
      </c>
      <c r="G15" s="91" t="s">
        <v>446</v>
      </c>
      <c r="H15" s="93" t="s">
        <v>46</v>
      </c>
      <c r="I15" s="10"/>
    </row>
    <row r="16" spans="1:10">
      <c r="A16" s="91">
        <v>13</v>
      </c>
      <c r="B16" s="359" t="s">
        <v>4642</v>
      </c>
      <c r="C16" s="360"/>
      <c r="D16" s="92">
        <v>1</v>
      </c>
      <c r="E16" s="91" t="s">
        <v>26</v>
      </c>
      <c r="F16" s="91" t="s">
        <v>238</v>
      </c>
      <c r="G16" s="91" t="s">
        <v>446</v>
      </c>
      <c r="H16" s="93" t="s">
        <v>4643</v>
      </c>
      <c r="I16" s="10"/>
    </row>
    <row r="17" spans="1:9" ht="16.5" customHeight="1">
      <c r="A17" s="91">
        <v>14</v>
      </c>
      <c r="B17" s="359" t="s">
        <v>4644</v>
      </c>
      <c r="C17" s="360"/>
      <c r="D17" s="92">
        <v>3</v>
      </c>
      <c r="E17" s="91" t="s">
        <v>4</v>
      </c>
      <c r="F17" s="91" t="s">
        <v>238</v>
      </c>
      <c r="G17" s="91" t="s">
        <v>446</v>
      </c>
      <c r="H17" s="93" t="s">
        <v>4653</v>
      </c>
      <c r="I17" s="10"/>
    </row>
    <row r="18" spans="1:9" ht="16.5" customHeight="1">
      <c r="A18" s="91">
        <v>15</v>
      </c>
      <c r="B18" s="359" t="s">
        <v>25</v>
      </c>
      <c r="C18" s="360"/>
      <c r="D18" s="92">
        <v>65</v>
      </c>
      <c r="E18" s="91" t="s">
        <v>26</v>
      </c>
      <c r="F18" s="91" t="s">
        <v>238</v>
      </c>
      <c r="G18" s="91" t="s">
        <v>446</v>
      </c>
      <c r="H18" s="93" t="s">
        <v>254</v>
      </c>
      <c r="I18" s="10"/>
    </row>
    <row r="19" spans="1:9" ht="16.5" customHeight="1">
      <c r="A19" s="91">
        <v>16</v>
      </c>
      <c r="B19" s="359" t="s">
        <v>4645</v>
      </c>
      <c r="C19" s="360"/>
      <c r="D19" s="92">
        <v>16</v>
      </c>
      <c r="E19" s="91" t="s">
        <v>42</v>
      </c>
      <c r="F19" s="91" t="s">
        <v>431</v>
      </c>
      <c r="G19" s="91" t="s">
        <v>4661</v>
      </c>
      <c r="H19" s="93" t="s">
        <v>4646</v>
      </c>
      <c r="I19" s="10"/>
    </row>
    <row r="20" spans="1:9">
      <c r="A20" s="91">
        <v>17</v>
      </c>
      <c r="B20" s="359" t="s">
        <v>4647</v>
      </c>
      <c r="C20" s="360"/>
      <c r="D20" s="92">
        <v>16</v>
      </c>
      <c r="E20" s="91" t="s">
        <v>42</v>
      </c>
      <c r="F20" s="91" t="s">
        <v>431</v>
      </c>
      <c r="G20" s="91" t="s">
        <v>4661</v>
      </c>
      <c r="H20" s="93" t="s">
        <v>4648</v>
      </c>
      <c r="I20" s="10"/>
    </row>
  </sheetData>
  <mergeCells count="19">
    <mergeCell ref="A2:H2"/>
    <mergeCell ref="B20:C20"/>
    <mergeCell ref="B12:C12"/>
    <mergeCell ref="B13:C13"/>
    <mergeCell ref="B14:C14"/>
    <mergeCell ref="B15:C15"/>
    <mergeCell ref="B16:C16"/>
    <mergeCell ref="B17:C17"/>
    <mergeCell ref="B3:C3"/>
    <mergeCell ref="B4:C4"/>
    <mergeCell ref="B5:C5"/>
    <mergeCell ref="B6:C6"/>
    <mergeCell ref="B7:C7"/>
    <mergeCell ref="B18:C18"/>
    <mergeCell ref="B19:C19"/>
    <mergeCell ref="B8:C8"/>
    <mergeCell ref="B9:C9"/>
    <mergeCell ref="B10:C10"/>
    <mergeCell ref="B11:C11"/>
  </mergeCells>
  <phoneticPr fontId="1" type="noConversion"/>
  <hyperlinks>
    <hyperlink ref="A1" location="개요" display="목록으로 이동" xr:uid="{C5491347-DD10-44B0-ADDD-4D6636A46EE7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DA1D-22B1-4A70-B793-9D2D2BB72FF9}">
  <sheetPr codeName="Sheet67"/>
  <dimension ref="A1:L36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5" width="4.625" style="28" customWidth="1"/>
    <col min="6" max="6" width="4.625" style="50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8"/>
      <c r="G1" s="2"/>
      <c r="H1" s="2"/>
      <c r="I1" s="2"/>
      <c r="J1" s="2"/>
      <c r="K1" s="2"/>
      <c r="L1" s="2"/>
    </row>
    <row r="2" spans="1:12" s="10" customFormat="1" ht="19.5" thickBot="1">
      <c r="A2" s="481" t="s">
        <v>5260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7665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168</v>
      </c>
      <c r="H4" s="411"/>
      <c r="I4" s="412"/>
      <c r="J4" s="115" t="s">
        <v>33</v>
      </c>
      <c r="K4" s="410" t="s">
        <v>5259</v>
      </c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SLP220303SW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10">
        <v>1</v>
      </c>
      <c r="B9" s="427" t="s">
        <v>3</v>
      </c>
      <c r="C9" s="428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5.5" customHeight="1">
      <c r="A10" s="210">
        <v>2</v>
      </c>
      <c r="B10" s="427" t="s">
        <v>6</v>
      </c>
      <c r="C10" s="428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66" t="s">
        <v>5091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25.5" customHeight="1">
      <c r="A11" s="210">
        <v>3</v>
      </c>
      <c r="B11" s="427" t="s">
        <v>8</v>
      </c>
      <c r="C11" s="428"/>
      <c r="D11" s="233">
        <v>4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66" t="s">
        <v>5092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25.5" customHeight="1">
      <c r="A12" s="210">
        <v>4</v>
      </c>
      <c r="B12" s="427" t="s">
        <v>7</v>
      </c>
      <c r="C12" s="428"/>
      <c r="D12" s="233">
        <v>5</v>
      </c>
      <c r="E12" s="234" t="s">
        <v>4</v>
      </c>
      <c r="F12" s="235" t="s">
        <v>5</v>
      </c>
      <c r="G12" s="209" t="s">
        <v>446</v>
      </c>
      <c r="H12" s="209" t="s">
        <v>446</v>
      </c>
      <c r="I12" s="366" t="s">
        <v>5186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32.25" customHeight="1">
      <c r="A13" s="210">
        <v>5</v>
      </c>
      <c r="B13" s="427" t="s">
        <v>186</v>
      </c>
      <c r="C13" s="428"/>
      <c r="D13" s="233">
        <v>20</v>
      </c>
      <c r="E13" s="234" t="s">
        <v>41</v>
      </c>
      <c r="F13" s="235" t="s">
        <v>5</v>
      </c>
      <c r="G13" s="209" t="s">
        <v>446</v>
      </c>
      <c r="H13" s="209" t="s">
        <v>446</v>
      </c>
      <c r="I13" s="366" t="s">
        <v>5190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27.75" customHeight="1">
      <c r="A14" s="210">
        <v>6</v>
      </c>
      <c r="B14" s="427" t="s">
        <v>187</v>
      </c>
      <c r="C14" s="428"/>
      <c r="D14" s="233">
        <v>20</v>
      </c>
      <c r="E14" s="234" t="s">
        <v>42</v>
      </c>
      <c r="F14" s="235" t="s">
        <v>5</v>
      </c>
      <c r="G14" s="209" t="s">
        <v>446</v>
      </c>
      <c r="H14" s="209" t="s">
        <v>446</v>
      </c>
      <c r="I14" s="366" t="s">
        <v>4985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67.5">
      <c r="A15" s="210">
        <v>7</v>
      </c>
      <c r="B15" s="427" t="s">
        <v>188</v>
      </c>
      <c r="C15" s="428"/>
      <c r="D15" s="233">
        <v>1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509" t="s">
        <v>5330</v>
      </c>
      <c r="J15" s="509"/>
      <c r="K15" s="509"/>
      <c r="L15" s="196" t="str">
        <f ca="1">IFERROR(_xlfn.TEXTJOIN(CHAR(10), TRUE, OFFSET('&lt;별첨9&gt;전체코드'!E:E, MATCH(B15,'&lt;별첨9&gt;전체코드'!A:A,0)-1, 0, COUNTIF('&lt;별첨9&gt;전체코드'!A:A,B15), 1)), "")</f>
        <v>2 : 금융기관(연기금포함)
3 : 기타
4 : 기업
5 : 개인</v>
      </c>
    </row>
    <row r="16" spans="1:12" s="1" customFormat="1" ht="229.5" customHeight="1">
      <c r="A16" s="210">
        <v>8</v>
      </c>
      <c r="B16" s="427" t="s">
        <v>189</v>
      </c>
      <c r="C16" s="428"/>
      <c r="D16" s="233">
        <v>2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509" t="s">
        <v>5264</v>
      </c>
      <c r="J16" s="509"/>
      <c r="K16" s="509"/>
      <c r="L16" s="196" t="str">
        <f ca="1">IFERROR(_xlfn.TEXTJOIN(CHAR(10), TRUE, OFFSET('&lt;별첨9&gt;전체코드'!E:E, MATCH(B16,'&lt;별첨9&gt;전체코드'!A:A,0)-1, 0, COUNTIF('&lt;별첨9&gt;전체코드'!A:A,B16),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17" spans="1:12" s="1" customFormat="1" ht="54">
      <c r="A17" s="210">
        <v>9</v>
      </c>
      <c r="B17" s="427" t="s">
        <v>190</v>
      </c>
      <c r="C17" s="428"/>
      <c r="D17" s="233">
        <v>1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66" t="s">
        <v>5325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CMS계좌 또는 CMS코드 사용
2 : 기타계좌 또는 CMS코드 미사용</v>
      </c>
    </row>
    <row r="18" spans="1:12" s="1" customFormat="1" ht="57" customHeight="1">
      <c r="A18" s="210">
        <v>10</v>
      </c>
      <c r="B18" s="427" t="s">
        <v>191</v>
      </c>
      <c r="C18" s="428"/>
      <c r="D18" s="233">
        <v>60</v>
      </c>
      <c r="E18" s="234" t="s">
        <v>42</v>
      </c>
      <c r="F18" s="235" t="s">
        <v>5</v>
      </c>
      <c r="G18" s="209" t="s">
        <v>446</v>
      </c>
      <c r="H18" s="209" t="s">
        <v>446</v>
      </c>
      <c r="I18" s="366" t="s">
        <v>5236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8.75" customHeight="1">
      <c r="A19" s="210">
        <v>11</v>
      </c>
      <c r="B19" s="427" t="s">
        <v>185</v>
      </c>
      <c r="C19" s="428"/>
      <c r="D19" s="233">
        <v>20</v>
      </c>
      <c r="E19" s="234" t="s">
        <v>42</v>
      </c>
      <c r="F19" s="235" t="s">
        <v>5</v>
      </c>
      <c r="G19" s="209" t="s">
        <v>446</v>
      </c>
      <c r="H19" s="209" t="s">
        <v>446</v>
      </c>
      <c r="I19" s="366" t="s">
        <v>5101</v>
      </c>
      <c r="J19" s="367"/>
      <c r="K19" s="429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8.75" customHeight="1">
      <c r="A20" s="210">
        <v>12</v>
      </c>
      <c r="B20" s="427" t="s">
        <v>17</v>
      </c>
      <c r="C20" s="428"/>
      <c r="D20" s="233">
        <v>30</v>
      </c>
      <c r="E20" s="234" t="s">
        <v>41</v>
      </c>
      <c r="F20" s="235" t="s">
        <v>5</v>
      </c>
      <c r="G20" s="209" t="s">
        <v>446</v>
      </c>
      <c r="H20" s="209" t="s">
        <v>446</v>
      </c>
      <c r="I20" s="366" t="s">
        <v>5065</v>
      </c>
      <c r="J20" s="367"/>
      <c r="K20" s="429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8.75" customHeight="1">
      <c r="A21" s="210">
        <v>13</v>
      </c>
      <c r="B21" s="427" t="s">
        <v>184</v>
      </c>
      <c r="C21" s="428"/>
      <c r="D21" s="233">
        <v>20</v>
      </c>
      <c r="E21" s="234" t="s">
        <v>41</v>
      </c>
      <c r="F21" s="235" t="s">
        <v>5</v>
      </c>
      <c r="G21" s="209" t="s">
        <v>446</v>
      </c>
      <c r="H21" s="209" t="s">
        <v>446</v>
      </c>
      <c r="I21" s="366" t="s">
        <v>5181</v>
      </c>
      <c r="J21" s="367"/>
      <c r="K21" s="429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8.75" customHeight="1">
      <c r="A22" s="210">
        <v>14</v>
      </c>
      <c r="B22" s="427" t="s">
        <v>10</v>
      </c>
      <c r="C22" s="428"/>
      <c r="D22" s="233">
        <v>18</v>
      </c>
      <c r="E22" s="234" t="s">
        <v>4</v>
      </c>
      <c r="F22" s="235" t="s">
        <v>5</v>
      </c>
      <c r="G22" s="209" t="s">
        <v>446</v>
      </c>
      <c r="H22" s="209" t="s">
        <v>446</v>
      </c>
      <c r="I22" s="366" t="s">
        <v>5188</v>
      </c>
      <c r="J22" s="367"/>
      <c r="K22" s="429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55.5" customHeight="1">
      <c r="A23" s="210">
        <v>15</v>
      </c>
      <c r="B23" s="427" t="s">
        <v>5189</v>
      </c>
      <c r="C23" s="428"/>
      <c r="D23" s="233">
        <v>1</v>
      </c>
      <c r="E23" s="234" t="s">
        <v>4</v>
      </c>
      <c r="F23" s="235" t="s">
        <v>5</v>
      </c>
      <c r="G23" s="209" t="s">
        <v>446</v>
      </c>
      <c r="H23" s="209" t="s">
        <v>446</v>
      </c>
      <c r="I23" s="366" t="s">
        <v>5338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>1 : 수취인지정자금 이체 입금결과 통보
2 : 수취인지정자금 이체 반환 입금결과 통보</v>
      </c>
    </row>
    <row r="24" spans="1:12" s="1" customFormat="1" ht="59.25" customHeight="1">
      <c r="A24" s="210">
        <v>16</v>
      </c>
      <c r="B24" s="519" t="s">
        <v>197</v>
      </c>
      <c r="C24" s="520"/>
      <c r="D24" s="233">
        <v>1</v>
      </c>
      <c r="E24" s="234" t="s">
        <v>4</v>
      </c>
      <c r="F24" s="235" t="s">
        <v>5</v>
      </c>
      <c r="G24" s="209" t="s">
        <v>446</v>
      </c>
      <c r="H24" s="209" t="s">
        <v>446</v>
      </c>
      <c r="I24" s="366" t="s">
        <v>5192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>0 : 수취계좌 입금결과정보 없음
1 : 수취계좌 입금완료
2 : 수취계좌 입금실패</v>
      </c>
    </row>
    <row r="25" spans="1:12" s="1" customFormat="1" ht="30" customHeight="1">
      <c r="A25" s="210">
        <v>17</v>
      </c>
      <c r="B25" s="519" t="s">
        <v>5193</v>
      </c>
      <c r="C25" s="520"/>
      <c r="D25" s="233">
        <v>6</v>
      </c>
      <c r="E25" s="234" t="s">
        <v>4</v>
      </c>
      <c r="F25" s="235" t="s">
        <v>5</v>
      </c>
      <c r="G25" s="209" t="s">
        <v>446</v>
      </c>
      <c r="H25" s="209" t="s">
        <v>446</v>
      </c>
      <c r="I25" s="366" t="s">
        <v>5258</v>
      </c>
      <c r="J25" s="367"/>
      <c r="K25" s="429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81" customHeight="1">
      <c r="A26" s="210">
        <v>18</v>
      </c>
      <c r="B26" s="517" t="s">
        <v>193</v>
      </c>
      <c r="C26" s="518"/>
      <c r="D26" s="233">
        <v>1</v>
      </c>
      <c r="E26" s="234" t="s">
        <v>79</v>
      </c>
      <c r="F26" s="235" t="s">
        <v>78</v>
      </c>
      <c r="G26" s="209" t="s">
        <v>446</v>
      </c>
      <c r="H26" s="209" t="s">
        <v>446</v>
      </c>
      <c r="I26" s="366" t="s">
        <v>5328</v>
      </c>
      <c r="J26" s="367"/>
      <c r="K26" s="367"/>
      <c r="L26" s="196" t="str">
        <f ca="1">IFERROR(_xlfn.TEXTJOIN(CHAR(10), TRUE, OFFSET('&lt;별첨9&gt;전체코드'!E:E, MATCH(B26,'&lt;별첨9&gt;전체코드'!A:A,0)-1, 0, COUNTIF('&lt;별첨9&gt;전체코드'!A:A,B26), 1)), "")</f>
        <v>2 : 금융기관(연기금포함)
3 : 기타
4 : 기업
5 : 개인</v>
      </c>
    </row>
    <row r="27" spans="1:12" s="1" customFormat="1" ht="229.5">
      <c r="A27" s="210">
        <v>19</v>
      </c>
      <c r="B27" s="517" t="s">
        <v>194</v>
      </c>
      <c r="C27" s="518"/>
      <c r="D27" s="233">
        <v>2</v>
      </c>
      <c r="E27" s="234" t="s">
        <v>79</v>
      </c>
      <c r="F27" s="235" t="s">
        <v>78</v>
      </c>
      <c r="G27" s="209" t="s">
        <v>446</v>
      </c>
      <c r="H27" s="209" t="s">
        <v>446</v>
      </c>
      <c r="I27" s="366" t="s">
        <v>5265</v>
      </c>
      <c r="J27" s="367"/>
      <c r="K27" s="367"/>
      <c r="L27" s="196" t="str">
        <f ca="1">IFERROR(_xlfn.TEXTJOIN(CHAR(10), TRUE, OFFSET('&lt;별첨9&gt;전체코드'!E:E, MATCH(B27,'&lt;별첨9&gt;전체코드'!A:A,0)-1, 0, COUNTIF('&lt;별첨9&gt;전체코드'!A:A,B27),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8" spans="1:12" s="1" customFormat="1" ht="18.75" customHeight="1" thickBot="1">
      <c r="A28" s="213">
        <v>20</v>
      </c>
      <c r="B28" s="422" t="s">
        <v>25</v>
      </c>
      <c r="C28" s="424"/>
      <c r="D28" s="238">
        <v>336</v>
      </c>
      <c r="E28" s="239" t="s">
        <v>26</v>
      </c>
      <c r="F28" s="240" t="s">
        <v>78</v>
      </c>
      <c r="G28" s="108" t="s">
        <v>4690</v>
      </c>
      <c r="H28" s="108" t="s">
        <v>4690</v>
      </c>
      <c r="I28" s="479" t="s">
        <v>254</v>
      </c>
      <c r="J28" s="480"/>
      <c r="K28" s="480"/>
      <c r="L28" s="198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12.75" customHeight="1"/>
    <row r="30" spans="1:12" ht="12.75" customHeight="1"/>
    <row r="31" spans="1:12" ht="12.75" customHeight="1"/>
    <row r="32" spans="1:12" ht="12.75" customHeight="1"/>
    <row r="33" ht="12.75" customHeight="1"/>
    <row r="34" ht="12.75" customHeight="1"/>
    <row r="35" ht="12.75" customHeight="1"/>
    <row r="36" ht="12.75" customHeight="1"/>
  </sheetData>
  <mergeCells count="55">
    <mergeCell ref="I9:K9"/>
    <mergeCell ref="I27:K27"/>
    <mergeCell ref="I25:K25"/>
    <mergeCell ref="I23:K23"/>
    <mergeCell ref="I21:K21"/>
    <mergeCell ref="I19:K19"/>
    <mergeCell ref="B28:C28"/>
    <mergeCell ref="B25:C25"/>
    <mergeCell ref="B26:C26"/>
    <mergeCell ref="B27:C27"/>
    <mergeCell ref="I26:K26"/>
    <mergeCell ref="I28:K28"/>
    <mergeCell ref="B22:C22"/>
    <mergeCell ref="B23:C23"/>
    <mergeCell ref="B24:C24"/>
    <mergeCell ref="I22:K22"/>
    <mergeCell ref="I24:K24"/>
    <mergeCell ref="B19:C19"/>
    <mergeCell ref="B20:C20"/>
    <mergeCell ref="B21:C21"/>
    <mergeCell ref="I20:K20"/>
    <mergeCell ref="B16:C16"/>
    <mergeCell ref="B17:C17"/>
    <mergeCell ref="B18:C18"/>
    <mergeCell ref="I16:K16"/>
    <mergeCell ref="I18:K18"/>
    <mergeCell ref="I17:K17"/>
    <mergeCell ref="B13:C13"/>
    <mergeCell ref="B14:C14"/>
    <mergeCell ref="B15:C15"/>
    <mergeCell ref="I14:K14"/>
    <mergeCell ref="B10:C10"/>
    <mergeCell ref="B11:C11"/>
    <mergeCell ref="B12:C12"/>
    <mergeCell ref="I10:K10"/>
    <mergeCell ref="I12:K12"/>
    <mergeCell ref="I15:K15"/>
    <mergeCell ref="I13:K13"/>
    <mergeCell ref="I11:K11"/>
    <mergeCell ref="A2:L2"/>
    <mergeCell ref="G5:I5"/>
    <mergeCell ref="K5:L5"/>
    <mergeCell ref="B8:C8"/>
    <mergeCell ref="B9:C9"/>
    <mergeCell ref="I8:K8"/>
    <mergeCell ref="A5:B5"/>
    <mergeCell ref="D5:F5"/>
    <mergeCell ref="I7:K7"/>
    <mergeCell ref="C3:L3"/>
    <mergeCell ref="G4:I4"/>
    <mergeCell ref="K4:L4"/>
    <mergeCell ref="B7:C7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690A-E6D1-4AF9-8515-854607D4BF9F}">
  <sheetPr codeName="Sheet68"/>
  <dimension ref="A1:L23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7.25" thickBot="1">
      <c r="A2" s="525" t="s">
        <v>5194</v>
      </c>
      <c r="B2" s="525"/>
      <c r="C2" s="526"/>
      <c r="D2" s="526"/>
      <c r="E2" s="526"/>
      <c r="F2" s="526"/>
      <c r="G2" s="526"/>
      <c r="H2" s="526"/>
      <c r="I2" s="526"/>
      <c r="J2" s="526"/>
      <c r="K2" s="526"/>
      <c r="L2" s="201"/>
    </row>
    <row r="3" spans="1:12" s="1" customFormat="1" ht="15" customHeight="1">
      <c r="A3" s="400" t="s">
        <v>0</v>
      </c>
      <c r="B3" s="435"/>
      <c r="C3" s="434" t="s">
        <v>7667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169</v>
      </c>
      <c r="H4" s="411"/>
      <c r="I4" s="412"/>
      <c r="J4" s="115" t="s">
        <v>5263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SLP220304SR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10">
        <v>1</v>
      </c>
      <c r="B9" s="374" t="s">
        <v>3</v>
      </c>
      <c r="C9" s="376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8.75" customHeight="1">
      <c r="A10" s="210">
        <v>2</v>
      </c>
      <c r="B10" s="374" t="s">
        <v>6</v>
      </c>
      <c r="C10" s="376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5091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8.75" customHeight="1">
      <c r="A11" s="210">
        <v>3</v>
      </c>
      <c r="B11" s="374" t="s">
        <v>8</v>
      </c>
      <c r="C11" s="376"/>
      <c r="D11" s="233">
        <v>4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5092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18.75" customHeight="1">
      <c r="A12" s="210">
        <v>4</v>
      </c>
      <c r="B12" s="374" t="s">
        <v>7</v>
      </c>
      <c r="C12" s="376"/>
      <c r="D12" s="233">
        <v>5</v>
      </c>
      <c r="E12" s="234" t="s">
        <v>4</v>
      </c>
      <c r="F12" s="235" t="s">
        <v>196</v>
      </c>
      <c r="G12" s="209" t="s">
        <v>446</v>
      </c>
      <c r="H12" s="209" t="s">
        <v>446</v>
      </c>
      <c r="I12" s="366" t="s">
        <v>5186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54">
      <c r="A13" s="210">
        <v>5</v>
      </c>
      <c r="B13" s="374" t="s">
        <v>5342</v>
      </c>
      <c r="C13" s="376"/>
      <c r="D13" s="233">
        <v>1</v>
      </c>
      <c r="E13" s="234" t="s">
        <v>4</v>
      </c>
      <c r="F13" s="235" t="s">
        <v>196</v>
      </c>
      <c r="G13" s="209" t="s">
        <v>446</v>
      </c>
      <c r="H13" s="209" t="s">
        <v>446</v>
      </c>
      <c r="I13" s="366" t="s">
        <v>5341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1 : 수취인지정자금 이체 입금결과 조회
2 : 수취인지정자금 이체 반환 입금결과 조회</v>
      </c>
    </row>
    <row r="14" spans="1:12" s="1" customFormat="1" ht="18.75" customHeight="1">
      <c r="A14" s="210">
        <v>6</v>
      </c>
      <c r="B14" s="374" t="s">
        <v>185</v>
      </c>
      <c r="C14" s="376"/>
      <c r="D14" s="233">
        <v>20</v>
      </c>
      <c r="E14" s="234" t="s">
        <v>42</v>
      </c>
      <c r="F14" s="235" t="s">
        <v>5</v>
      </c>
      <c r="G14" s="209" t="s">
        <v>4690</v>
      </c>
      <c r="H14" s="209" t="s">
        <v>446</v>
      </c>
      <c r="I14" s="366" t="s">
        <v>5101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18.75" customHeight="1">
      <c r="A15" s="210">
        <v>7</v>
      </c>
      <c r="B15" s="374" t="s">
        <v>17</v>
      </c>
      <c r="C15" s="376"/>
      <c r="D15" s="233">
        <v>30</v>
      </c>
      <c r="E15" s="234" t="s">
        <v>41</v>
      </c>
      <c r="F15" s="235" t="s">
        <v>5</v>
      </c>
      <c r="G15" s="209" t="s">
        <v>4690</v>
      </c>
      <c r="H15" s="209" t="s">
        <v>446</v>
      </c>
      <c r="I15" s="366" t="s">
        <v>5065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8.75" customHeight="1">
      <c r="A16" s="210">
        <v>8</v>
      </c>
      <c r="B16" s="374" t="s">
        <v>184</v>
      </c>
      <c r="C16" s="376"/>
      <c r="D16" s="233">
        <v>20</v>
      </c>
      <c r="E16" s="234" t="s">
        <v>41</v>
      </c>
      <c r="F16" s="235" t="s">
        <v>5</v>
      </c>
      <c r="G16" s="209" t="s">
        <v>4690</v>
      </c>
      <c r="H16" s="209" t="s">
        <v>446</v>
      </c>
      <c r="I16" s="366" t="s">
        <v>5181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18.75" customHeight="1">
      <c r="A17" s="210">
        <v>9</v>
      </c>
      <c r="B17" s="374" t="s">
        <v>10</v>
      </c>
      <c r="C17" s="376"/>
      <c r="D17" s="233">
        <v>18</v>
      </c>
      <c r="E17" s="234" t="s">
        <v>4</v>
      </c>
      <c r="F17" s="235" t="s">
        <v>5</v>
      </c>
      <c r="G17" s="209" t="s">
        <v>4690</v>
      </c>
      <c r="H17" s="209" t="s">
        <v>446</v>
      </c>
      <c r="I17" s="366" t="s">
        <v>4944</v>
      </c>
      <c r="J17" s="367"/>
      <c r="K17" s="429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64.5" customHeight="1">
      <c r="A18" s="210">
        <v>10</v>
      </c>
      <c r="B18" s="519" t="s">
        <v>197</v>
      </c>
      <c r="C18" s="520"/>
      <c r="D18" s="233">
        <v>1</v>
      </c>
      <c r="E18" s="234" t="s">
        <v>42</v>
      </c>
      <c r="F18" s="235" t="s">
        <v>5</v>
      </c>
      <c r="G18" s="209" t="s">
        <v>4690</v>
      </c>
      <c r="H18" s="209" t="s">
        <v>446</v>
      </c>
      <c r="I18" s="366" t="s">
        <v>5192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>0 : 수취계좌 입금결과정보 없음
1 : 수취계좌 입금완료
2 : 수취계좌 입금실패</v>
      </c>
    </row>
    <row r="19" spans="1:12" s="1" customFormat="1" ht="41.25" customHeight="1">
      <c r="A19" s="210">
        <v>11</v>
      </c>
      <c r="B19" s="374" t="s">
        <v>198</v>
      </c>
      <c r="C19" s="376"/>
      <c r="D19" s="233">
        <v>6</v>
      </c>
      <c r="E19" s="234" t="s">
        <v>4</v>
      </c>
      <c r="F19" s="235" t="s">
        <v>5</v>
      </c>
      <c r="G19" s="209" t="s">
        <v>4690</v>
      </c>
      <c r="H19" s="209" t="s">
        <v>446</v>
      </c>
      <c r="I19" s="366" t="s">
        <v>7666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81" customHeight="1">
      <c r="A20" s="210">
        <v>12</v>
      </c>
      <c r="B20" s="366" t="s">
        <v>193</v>
      </c>
      <c r="C20" s="429"/>
      <c r="D20" s="233">
        <v>1</v>
      </c>
      <c r="E20" s="234" t="s">
        <v>79</v>
      </c>
      <c r="F20" s="235" t="s">
        <v>100</v>
      </c>
      <c r="G20" s="209" t="s">
        <v>446</v>
      </c>
      <c r="H20" s="209" t="s">
        <v>446</v>
      </c>
      <c r="I20" s="366" t="s">
        <v>5328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>2 : 금융기관(연기금포함)
3 : 기타
4 : 기업
5 : 개인</v>
      </c>
    </row>
    <row r="21" spans="1:12" s="1" customFormat="1" ht="229.5" customHeight="1">
      <c r="A21" s="210">
        <v>13</v>
      </c>
      <c r="B21" s="366" t="s">
        <v>194</v>
      </c>
      <c r="C21" s="429"/>
      <c r="D21" s="233">
        <v>2</v>
      </c>
      <c r="E21" s="234" t="s">
        <v>79</v>
      </c>
      <c r="F21" s="235" t="s">
        <v>100</v>
      </c>
      <c r="G21" s="209" t="s">
        <v>446</v>
      </c>
      <c r="H21" s="209" t="s">
        <v>446</v>
      </c>
      <c r="I21" s="366" t="s">
        <v>5265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22" spans="1:12" s="1" customFormat="1" ht="18.75" customHeight="1">
      <c r="A22" s="210">
        <v>14</v>
      </c>
      <c r="B22" s="374" t="s">
        <v>25</v>
      </c>
      <c r="C22" s="376"/>
      <c r="D22" s="233">
        <v>440</v>
      </c>
      <c r="E22" s="234" t="s">
        <v>26</v>
      </c>
      <c r="F22" s="235" t="s">
        <v>196</v>
      </c>
      <c r="G22" s="209" t="s">
        <v>4690</v>
      </c>
      <c r="H22" s="209" t="s">
        <v>4690</v>
      </c>
      <c r="I22" s="366"/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281.25" customHeight="1" thickBot="1">
      <c r="A23" s="105" t="s">
        <v>229</v>
      </c>
      <c r="B23" s="479" t="s">
        <v>228</v>
      </c>
      <c r="C23" s="480"/>
      <c r="D23" s="480"/>
      <c r="E23" s="480"/>
      <c r="F23" s="480"/>
      <c r="G23" s="480"/>
      <c r="H23" s="480"/>
      <c r="I23" s="480"/>
      <c r="J23" s="480"/>
      <c r="K23" s="480"/>
      <c r="L23" s="516"/>
    </row>
  </sheetData>
  <mergeCells count="44">
    <mergeCell ref="B23:L23"/>
    <mergeCell ref="I21:K21"/>
    <mergeCell ref="I19:K19"/>
    <mergeCell ref="I17:K17"/>
    <mergeCell ref="I15:K15"/>
    <mergeCell ref="B18:C18"/>
    <mergeCell ref="I18:K18"/>
    <mergeCell ref="B22:C22"/>
    <mergeCell ref="B19:C19"/>
    <mergeCell ref="B20:C20"/>
    <mergeCell ref="B21:C21"/>
    <mergeCell ref="I20:K20"/>
    <mergeCell ref="I22:K22"/>
    <mergeCell ref="C3:L3"/>
    <mergeCell ref="G4:I4"/>
    <mergeCell ref="K4:L4"/>
    <mergeCell ref="A2:K2"/>
    <mergeCell ref="A5:B5"/>
    <mergeCell ref="D5:F5"/>
    <mergeCell ref="A3:B3"/>
    <mergeCell ref="A4:B4"/>
    <mergeCell ref="D4:F4"/>
    <mergeCell ref="G5:I5"/>
    <mergeCell ref="K5:L5"/>
    <mergeCell ref="B7:C7"/>
    <mergeCell ref="B8:C8"/>
    <mergeCell ref="B9:C9"/>
    <mergeCell ref="I9:K9"/>
    <mergeCell ref="B10:C10"/>
    <mergeCell ref="I7:K7"/>
    <mergeCell ref="I8:K8"/>
    <mergeCell ref="B11:C11"/>
    <mergeCell ref="B12:C12"/>
    <mergeCell ref="I10:K10"/>
    <mergeCell ref="I11:K11"/>
    <mergeCell ref="B13:C13"/>
    <mergeCell ref="I12:K12"/>
    <mergeCell ref="I13:K13"/>
    <mergeCell ref="B14:C14"/>
    <mergeCell ref="B15:C15"/>
    <mergeCell ref="I14:K14"/>
    <mergeCell ref="B16:C16"/>
    <mergeCell ref="B17:C17"/>
    <mergeCell ref="I16:K16"/>
  </mergeCells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D840-7456-4E29-A6CC-DB6D4D5AB8C7}">
  <sheetPr codeName="Sheet69"/>
  <dimension ref="A1:L107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37.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4787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57" t="s">
        <v>7668</v>
      </c>
      <c r="D3" s="458"/>
      <c r="E3" s="458"/>
      <c r="F3" s="458"/>
      <c r="G3" s="458"/>
      <c r="H3" s="458"/>
      <c r="I3" s="458"/>
      <c r="J3" s="458"/>
      <c r="K3" s="458"/>
      <c r="L3" s="459"/>
    </row>
    <row r="4" spans="1:12" s="1" customFormat="1" ht="15" customHeight="1">
      <c r="A4" s="402" t="s">
        <v>31</v>
      </c>
      <c r="B4" s="438"/>
      <c r="C4" s="114" t="s">
        <v>7627</v>
      </c>
      <c r="D4" s="404" t="s">
        <v>32</v>
      </c>
      <c r="E4" s="405"/>
      <c r="F4" s="406"/>
      <c r="G4" s="471" t="s">
        <v>175</v>
      </c>
      <c r="H4" s="472"/>
      <c r="I4" s="473"/>
      <c r="J4" s="115" t="s">
        <v>5263</v>
      </c>
      <c r="K4" s="460" t="s">
        <v>340</v>
      </c>
      <c r="L4" s="461"/>
    </row>
    <row r="5" spans="1:12" s="1" customFormat="1" ht="15" customHeight="1" thickBot="1">
      <c r="A5" s="395" t="s">
        <v>34</v>
      </c>
      <c r="B5" s="439"/>
      <c r="C5" s="205" t="s">
        <v>4788</v>
      </c>
      <c r="D5" s="397" t="s">
        <v>35</v>
      </c>
      <c r="E5" s="398"/>
      <c r="F5" s="399"/>
      <c r="G5" s="474" t="s">
        <v>84</v>
      </c>
      <c r="H5" s="475"/>
      <c r="I5" s="476"/>
      <c r="J5" s="118" t="s">
        <v>36</v>
      </c>
      <c r="K5" s="462" t="str">
        <f>VLOOKUP(G4,목록!E13:$G$82,3,FALSE)</f>
        <v>SLP120301SW</v>
      </c>
      <c r="L5" s="463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3.5">
      <c r="A8" s="39">
        <v>0</v>
      </c>
      <c r="B8" s="373" t="s">
        <v>29</v>
      </c>
      <c r="C8" s="373"/>
      <c r="D8" s="206">
        <v>200</v>
      </c>
      <c r="E8" s="41" t="s">
        <v>30</v>
      </c>
      <c r="F8" s="40" t="s">
        <v>30</v>
      </c>
      <c r="G8" s="209"/>
      <c r="H8" s="209"/>
      <c r="I8" s="464" t="s">
        <v>4665</v>
      </c>
      <c r="J8" s="465"/>
      <c r="K8" s="378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07">
        <v>1</v>
      </c>
      <c r="B9" s="373" t="s">
        <v>3</v>
      </c>
      <c r="C9" s="373"/>
      <c r="D9" s="206">
        <v>8</v>
      </c>
      <c r="E9" s="208" t="s">
        <v>4</v>
      </c>
      <c r="F9" s="209" t="s">
        <v>196</v>
      </c>
      <c r="G9" s="209" t="s">
        <v>446</v>
      </c>
      <c r="H9" s="209" t="s">
        <v>446</v>
      </c>
      <c r="I9" s="374" t="s">
        <v>7611</v>
      </c>
      <c r="J9" s="375"/>
      <c r="K9" s="376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9.25" customHeight="1">
      <c r="A10" s="207">
        <v>2</v>
      </c>
      <c r="B10" s="373" t="s">
        <v>102</v>
      </c>
      <c r="C10" s="373"/>
      <c r="D10" s="206">
        <v>4</v>
      </c>
      <c r="E10" s="208" t="s">
        <v>4</v>
      </c>
      <c r="F10" s="209" t="s">
        <v>196</v>
      </c>
      <c r="G10" s="209" t="s">
        <v>446</v>
      </c>
      <c r="H10" s="209" t="s">
        <v>446</v>
      </c>
      <c r="I10" s="374" t="s">
        <v>4789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3.5" customHeight="1">
      <c r="A11" s="207">
        <v>3</v>
      </c>
      <c r="B11" s="373" t="s">
        <v>20</v>
      </c>
      <c r="C11" s="373"/>
      <c r="D11" s="206">
        <v>5</v>
      </c>
      <c r="E11" s="208" t="s">
        <v>4</v>
      </c>
      <c r="F11" s="209" t="s">
        <v>196</v>
      </c>
      <c r="G11" s="209" t="s">
        <v>446</v>
      </c>
      <c r="H11" s="209" t="s">
        <v>446</v>
      </c>
      <c r="I11" s="374" t="s">
        <v>4790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27" customHeight="1">
      <c r="A12" s="207">
        <v>4</v>
      </c>
      <c r="B12" s="373" t="s">
        <v>230</v>
      </c>
      <c r="C12" s="373"/>
      <c r="D12" s="206">
        <v>1</v>
      </c>
      <c r="E12" s="208" t="s">
        <v>4</v>
      </c>
      <c r="F12" s="209" t="s">
        <v>196</v>
      </c>
      <c r="G12" s="209" t="s">
        <v>446</v>
      </c>
      <c r="H12" s="209" t="s">
        <v>446</v>
      </c>
      <c r="I12" s="374" t="s">
        <v>4791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1 : 지급지시유형조정
2 : 대기순위조정</v>
      </c>
    </row>
    <row r="13" spans="1:12" s="1" customFormat="1" ht="45" customHeight="1">
      <c r="A13" s="207">
        <v>5</v>
      </c>
      <c r="B13" s="373" t="s">
        <v>4792</v>
      </c>
      <c r="C13" s="373"/>
      <c r="D13" s="206">
        <v>1</v>
      </c>
      <c r="E13" s="208" t="s">
        <v>4</v>
      </c>
      <c r="F13" s="209" t="s">
        <v>196</v>
      </c>
      <c r="G13" s="209" t="s">
        <v>446</v>
      </c>
      <c r="H13" s="209" t="s">
        <v>446</v>
      </c>
      <c r="I13" s="374" t="s">
        <v>4793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>1 : 신속
2 : 보통</v>
      </c>
    </row>
    <row r="14" spans="1:12" s="1" customFormat="1" ht="139.5" customHeight="1">
      <c r="A14" s="207">
        <v>6</v>
      </c>
      <c r="B14" s="373" t="s">
        <v>4794</v>
      </c>
      <c r="C14" s="373"/>
      <c r="D14" s="206">
        <v>1</v>
      </c>
      <c r="E14" s="208" t="s">
        <v>4</v>
      </c>
      <c r="F14" s="209" t="s">
        <v>196</v>
      </c>
      <c r="G14" s="209" t="s">
        <v>446</v>
      </c>
      <c r="H14" s="209" t="s">
        <v>446</v>
      </c>
      <c r="I14" s="374" t="s">
        <v>4795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>1 : 신속
2 : 보통</v>
      </c>
    </row>
    <row r="15" spans="1:12" s="1" customFormat="1" ht="13.5" customHeight="1">
      <c r="A15" s="207">
        <v>7</v>
      </c>
      <c r="B15" s="373" t="s">
        <v>233</v>
      </c>
      <c r="C15" s="373"/>
      <c r="D15" s="206">
        <v>16</v>
      </c>
      <c r="E15" s="208" t="s">
        <v>234</v>
      </c>
      <c r="F15" s="209" t="s">
        <v>196</v>
      </c>
      <c r="G15" s="209" t="s">
        <v>446</v>
      </c>
      <c r="H15" s="209" t="s">
        <v>446</v>
      </c>
      <c r="I15" s="366" t="s">
        <v>4796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s="1" customFormat="1" ht="167.25" customHeight="1">
      <c r="A16" s="207">
        <v>8</v>
      </c>
      <c r="B16" s="373" t="s">
        <v>235</v>
      </c>
      <c r="C16" s="373"/>
      <c r="D16" s="206">
        <v>16</v>
      </c>
      <c r="E16" s="208" t="s">
        <v>234</v>
      </c>
      <c r="F16" s="209" t="s">
        <v>196</v>
      </c>
      <c r="G16" s="209" t="s">
        <v>446</v>
      </c>
      <c r="H16" s="209" t="s">
        <v>446</v>
      </c>
      <c r="I16" s="374" t="s">
        <v>4797</v>
      </c>
      <c r="J16" s="375"/>
      <c r="K16" s="376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s="1" customFormat="1" ht="32.25" customHeight="1">
      <c r="A17" s="207">
        <v>9</v>
      </c>
      <c r="B17" s="373" t="s">
        <v>111</v>
      </c>
      <c r="C17" s="373"/>
      <c r="D17" s="206">
        <v>6</v>
      </c>
      <c r="E17" s="208" t="s">
        <v>79</v>
      </c>
      <c r="F17" s="209" t="s">
        <v>78</v>
      </c>
      <c r="G17" s="209" t="s">
        <v>4690</v>
      </c>
      <c r="H17" s="209" t="s">
        <v>446</v>
      </c>
      <c r="I17" s="374" t="s">
        <v>4798</v>
      </c>
      <c r="J17" s="375"/>
      <c r="K17" s="376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4.25" thickBot="1">
      <c r="A18" s="105">
        <v>10</v>
      </c>
      <c r="B18" s="420" t="s">
        <v>25</v>
      </c>
      <c r="C18" s="420"/>
      <c r="D18" s="223">
        <v>22</v>
      </c>
      <c r="E18" s="107" t="s">
        <v>80</v>
      </c>
      <c r="F18" s="108" t="s">
        <v>196</v>
      </c>
      <c r="G18" s="108" t="s">
        <v>4690</v>
      </c>
      <c r="H18" s="108" t="s">
        <v>4690</v>
      </c>
      <c r="I18" s="422" t="s">
        <v>254</v>
      </c>
      <c r="J18" s="423"/>
      <c r="K18" s="424"/>
      <c r="L18" s="198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45" customHeight="1"/>
    <row r="21" spans="1:12" ht="30" customHeight="1"/>
    <row r="32" spans="1:12" ht="30" customHeight="1"/>
    <row r="60" ht="30" customHeight="1"/>
    <row r="62" ht="15" customHeight="1"/>
    <row r="107" ht="30" customHeight="1"/>
  </sheetData>
  <mergeCells count="35">
    <mergeCell ref="I18:K18"/>
    <mergeCell ref="I17:K17"/>
    <mergeCell ref="I16:K16"/>
    <mergeCell ref="I15:K15"/>
    <mergeCell ref="I14:K14"/>
    <mergeCell ref="I13:K13"/>
    <mergeCell ref="I7:K7"/>
    <mergeCell ref="I8:K8"/>
    <mergeCell ref="K4:L4"/>
    <mergeCell ref="A2:L2"/>
    <mergeCell ref="A5:B5"/>
    <mergeCell ref="D5:F5"/>
    <mergeCell ref="A3:B3"/>
    <mergeCell ref="A4:B4"/>
    <mergeCell ref="D4:F4"/>
    <mergeCell ref="G5:I5"/>
    <mergeCell ref="K5:L5"/>
    <mergeCell ref="C3:L3"/>
    <mergeCell ref="G4:I4"/>
    <mergeCell ref="B7:C7"/>
    <mergeCell ref="B8:C8"/>
    <mergeCell ref="B9:C9"/>
    <mergeCell ref="I9:K9"/>
    <mergeCell ref="B10:C10"/>
    <mergeCell ref="B11:C11"/>
    <mergeCell ref="B12:C12"/>
    <mergeCell ref="I10:K10"/>
    <mergeCell ref="I11:K11"/>
    <mergeCell ref="I12:K12"/>
    <mergeCell ref="B13:C13"/>
    <mergeCell ref="B14:C14"/>
    <mergeCell ref="B18:C18"/>
    <mergeCell ref="B15:C15"/>
    <mergeCell ref="B16:C16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B364-BA42-4945-9C81-2F492062DD36}">
  <sheetPr codeName="Sheet70"/>
  <dimension ref="A1:L24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16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24.25" style="10" customWidth="1"/>
    <col min="12" max="12" width="18.6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4937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7669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176</v>
      </c>
      <c r="H4" s="411"/>
      <c r="I4" s="412"/>
      <c r="J4" s="115" t="s">
        <v>33</v>
      </c>
      <c r="K4" s="410"/>
      <c r="L4" s="413"/>
    </row>
    <row r="5" spans="1:12" ht="15" customHeight="1" thickBot="1">
      <c r="A5" s="395" t="s">
        <v>34</v>
      </c>
      <c r="B5" s="396"/>
      <c r="C5" s="120">
        <v>280</v>
      </c>
      <c r="D5" s="397" t="s">
        <v>35</v>
      </c>
      <c r="E5" s="398"/>
      <c r="F5" s="399"/>
      <c r="G5" s="441">
        <v>0.71180555555555547</v>
      </c>
      <c r="H5" s="442"/>
      <c r="I5" s="443"/>
      <c r="J5" s="118" t="s">
        <v>36</v>
      </c>
      <c r="K5" s="417" t="str">
        <f>VLOOKUP(G4,목록!E13:$G$82,3,FALSE)</f>
        <v>SLP120105ZW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30" customHeight="1">
      <c r="A10" s="210">
        <v>2</v>
      </c>
      <c r="B10" s="373" t="s">
        <v>6</v>
      </c>
      <c r="C10" s="373"/>
      <c r="D10" s="206">
        <v>4</v>
      </c>
      <c r="E10" s="228" t="s">
        <v>4</v>
      </c>
      <c r="F10" s="209" t="s">
        <v>5</v>
      </c>
      <c r="G10" s="209" t="s">
        <v>446</v>
      </c>
      <c r="H10" s="209" t="s">
        <v>446</v>
      </c>
      <c r="I10" s="366" t="s">
        <v>4923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30" customHeight="1">
      <c r="A11" s="210">
        <v>3</v>
      </c>
      <c r="B11" s="373" t="s">
        <v>8</v>
      </c>
      <c r="C11" s="373"/>
      <c r="D11" s="206">
        <v>4</v>
      </c>
      <c r="E11" s="228" t="s">
        <v>4</v>
      </c>
      <c r="F11" s="209" t="s">
        <v>5</v>
      </c>
      <c r="G11" s="209" t="s">
        <v>446</v>
      </c>
      <c r="H11" s="209" t="s">
        <v>446</v>
      </c>
      <c r="I11" s="366" t="s">
        <v>4925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373" t="s">
        <v>10</v>
      </c>
      <c r="C12" s="373"/>
      <c r="D12" s="206">
        <v>18</v>
      </c>
      <c r="E12" s="208" t="s">
        <v>4</v>
      </c>
      <c r="F12" s="209" t="s">
        <v>5</v>
      </c>
      <c r="G12" s="209" t="s">
        <v>446</v>
      </c>
      <c r="H12" s="209" t="s">
        <v>446</v>
      </c>
      <c r="I12" s="366" t="s">
        <v>4932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53.25" customHeight="1">
      <c r="A13" s="210">
        <v>5</v>
      </c>
      <c r="B13" s="449" t="s">
        <v>5347</v>
      </c>
      <c r="C13" s="450"/>
      <c r="D13" s="206">
        <v>2</v>
      </c>
      <c r="E13" s="208" t="s">
        <v>4</v>
      </c>
      <c r="F13" s="209" t="s">
        <v>5</v>
      </c>
      <c r="G13" s="209" t="s">
        <v>446</v>
      </c>
      <c r="H13" s="209" t="s">
        <v>446</v>
      </c>
      <c r="I13" s="366" t="s">
        <v>4924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61 : 일반자금이체
62 : 수취인지정자금이체</v>
      </c>
    </row>
    <row r="14" spans="1:12" ht="15" customHeight="1">
      <c r="A14" s="210">
        <v>7</v>
      </c>
      <c r="B14" s="373" t="s">
        <v>20</v>
      </c>
      <c r="C14" s="373"/>
      <c r="D14" s="206">
        <v>5</v>
      </c>
      <c r="E14" s="208" t="s">
        <v>4</v>
      </c>
      <c r="F14" s="209" t="s">
        <v>5</v>
      </c>
      <c r="G14" s="209" t="s">
        <v>446</v>
      </c>
      <c r="H14" s="209" t="s">
        <v>446</v>
      </c>
      <c r="I14" s="374" t="s">
        <v>4790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27">
      <c r="A15" s="210">
        <v>8</v>
      </c>
      <c r="B15" s="373" t="s">
        <v>4814</v>
      </c>
      <c r="C15" s="373"/>
      <c r="D15" s="206">
        <v>1</v>
      </c>
      <c r="E15" s="208" t="s">
        <v>4</v>
      </c>
      <c r="F15" s="209" t="s">
        <v>5</v>
      </c>
      <c r="G15" s="209" t="s">
        <v>446</v>
      </c>
      <c r="H15" s="209" t="s">
        <v>446</v>
      </c>
      <c r="I15" s="374" t="s">
        <v>5343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ht="27">
      <c r="A16" s="210">
        <v>9</v>
      </c>
      <c r="B16" s="373" t="s">
        <v>5344</v>
      </c>
      <c r="C16" s="373"/>
      <c r="D16" s="206">
        <v>1</v>
      </c>
      <c r="E16" s="208" t="s">
        <v>4</v>
      </c>
      <c r="F16" s="209" t="s">
        <v>5</v>
      </c>
      <c r="G16" s="209" t="s">
        <v>446</v>
      </c>
      <c r="H16" s="209" t="s">
        <v>446</v>
      </c>
      <c r="I16" s="374" t="s">
        <v>5345</v>
      </c>
      <c r="J16" s="375"/>
      <c r="K16" s="376"/>
      <c r="L16" s="196" t="str">
        <f ca="1">IFERROR(_xlfn.TEXTJOIN(CHAR(10), TRUE, OFFSET('&lt;별첨9&gt;전체코드'!E:E, MATCH(B16,'&lt;별첨9&gt;전체코드'!A:A,0)-1, 0, COUNTIF('&lt;별첨9&gt;전체코드'!A:A,B16), 1)), "")</f>
        <v>1 : 신속
2 : 보통</v>
      </c>
    </row>
    <row r="17" spans="1:12" ht="13.5" customHeight="1">
      <c r="A17" s="210">
        <v>10</v>
      </c>
      <c r="B17" s="373" t="s">
        <v>200</v>
      </c>
      <c r="C17" s="373"/>
      <c r="D17" s="206">
        <v>16</v>
      </c>
      <c r="E17" s="228" t="s">
        <v>42</v>
      </c>
      <c r="F17" s="209" t="s">
        <v>5</v>
      </c>
      <c r="G17" s="209" t="s">
        <v>446</v>
      </c>
      <c r="H17" s="209" t="s">
        <v>446</v>
      </c>
      <c r="I17" s="374" t="s">
        <v>4935</v>
      </c>
      <c r="J17" s="375"/>
      <c r="K17" s="376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13.5" customHeight="1">
      <c r="A18" s="210">
        <v>11</v>
      </c>
      <c r="B18" s="373" t="s">
        <v>201</v>
      </c>
      <c r="C18" s="373"/>
      <c r="D18" s="206">
        <v>16</v>
      </c>
      <c r="E18" s="228" t="s">
        <v>42</v>
      </c>
      <c r="F18" s="209" t="s">
        <v>5</v>
      </c>
      <c r="G18" s="209" t="s">
        <v>446</v>
      </c>
      <c r="H18" s="209" t="s">
        <v>446</v>
      </c>
      <c r="I18" s="374" t="s">
        <v>4936</v>
      </c>
      <c r="J18" s="375"/>
      <c r="K18" s="376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3.5" customHeight="1" thickBot="1">
      <c r="A19" s="213">
        <v>12</v>
      </c>
      <c r="B19" s="420" t="s">
        <v>25</v>
      </c>
      <c r="C19" s="420"/>
      <c r="D19" s="223">
        <v>5</v>
      </c>
      <c r="E19" s="229" t="s">
        <v>26</v>
      </c>
      <c r="F19" s="108" t="s">
        <v>5</v>
      </c>
      <c r="G19" s="108" t="s">
        <v>4690</v>
      </c>
      <c r="H19" s="108" t="s">
        <v>4690</v>
      </c>
      <c r="I19" s="422" t="s">
        <v>254</v>
      </c>
      <c r="J19" s="423"/>
      <c r="K19" s="424"/>
      <c r="L19" s="198" t="str">
        <f ca="1">IFERROR(_xlfn.TEXTJOIN(CHAR(10), TRUE, OFFSET('&lt;별첨9&gt;전체코드'!E:E, MATCH(B19,'&lt;별첨9&gt;전체코드'!A:A,0)-1, 0, COUNTIF('&lt;별첨9&gt;전체코드'!A:A,B19), 1)), "")</f>
        <v/>
      </c>
    </row>
    <row r="21" spans="1:12" ht="12" customHeight="1"/>
    <row r="22" spans="1:12" ht="12" customHeight="1"/>
    <row r="23" spans="1:12" ht="12" customHeight="1"/>
    <row r="24" spans="1:12" ht="12" customHeight="1"/>
  </sheetData>
  <mergeCells count="37">
    <mergeCell ref="I18:K18"/>
    <mergeCell ref="I19:K19"/>
    <mergeCell ref="I16:K16"/>
    <mergeCell ref="I17:K17"/>
    <mergeCell ref="I15:K15"/>
    <mergeCell ref="I11:K11"/>
    <mergeCell ref="I9:K9"/>
    <mergeCell ref="I7:K7"/>
    <mergeCell ref="B8:C8"/>
    <mergeCell ref="B9:C9"/>
    <mergeCell ref="I8:K8"/>
    <mergeCell ref="A2:L2"/>
    <mergeCell ref="B18:C18"/>
    <mergeCell ref="B19:C19"/>
    <mergeCell ref="B16:C16"/>
    <mergeCell ref="B17:C17"/>
    <mergeCell ref="B15:C15"/>
    <mergeCell ref="B10:C10"/>
    <mergeCell ref="B11:C11"/>
    <mergeCell ref="B12:C12"/>
    <mergeCell ref="I10:K10"/>
    <mergeCell ref="I12:K12"/>
    <mergeCell ref="B14:C14"/>
    <mergeCell ref="I14:K14"/>
    <mergeCell ref="B7:C7"/>
    <mergeCell ref="B13:C13"/>
    <mergeCell ref="I13:K13"/>
    <mergeCell ref="G5:I5"/>
    <mergeCell ref="K5:L5"/>
    <mergeCell ref="C3:L3"/>
    <mergeCell ref="A5:B5"/>
    <mergeCell ref="D5:F5"/>
    <mergeCell ref="A3:B3"/>
    <mergeCell ref="A4:B4"/>
    <mergeCell ref="D4:F4"/>
    <mergeCell ref="G4:I4"/>
    <mergeCell ref="K4:L4"/>
  </mergeCells>
  <phoneticPr fontId="1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B3F-BA47-4616-85E3-4EACCB1A7E66}">
  <sheetPr codeName="Sheet71"/>
  <dimension ref="A1:L18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5183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7670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181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SLP220305SR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237</v>
      </c>
      <c r="C10" s="376"/>
      <c r="D10" s="233">
        <v>4</v>
      </c>
      <c r="E10" s="234" t="s">
        <v>26</v>
      </c>
      <c r="F10" s="235" t="s">
        <v>196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8</v>
      </c>
      <c r="C11" s="376"/>
      <c r="D11" s="233">
        <v>4</v>
      </c>
      <c r="E11" s="234" t="s">
        <v>26</v>
      </c>
      <c r="F11" s="235" t="s">
        <v>196</v>
      </c>
      <c r="G11" s="209" t="s">
        <v>446</v>
      </c>
      <c r="H11" s="209" t="s">
        <v>446</v>
      </c>
      <c r="I11" s="366" t="s">
        <v>5176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15" customHeight="1">
      <c r="A12" s="210">
        <v>4</v>
      </c>
      <c r="B12" s="374" t="s">
        <v>5159</v>
      </c>
      <c r="C12" s="376"/>
      <c r="D12" s="233">
        <v>20</v>
      </c>
      <c r="E12" s="234" t="s">
        <v>42</v>
      </c>
      <c r="F12" s="235" t="s">
        <v>196</v>
      </c>
      <c r="G12" s="209" t="s">
        <v>446</v>
      </c>
      <c r="H12" s="209" t="s">
        <v>446</v>
      </c>
      <c r="I12" s="366" t="s">
        <v>5101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15" customHeight="1">
      <c r="A13" s="210">
        <v>5</v>
      </c>
      <c r="B13" s="374" t="s">
        <v>5177</v>
      </c>
      <c r="C13" s="376"/>
      <c r="D13" s="233">
        <v>20</v>
      </c>
      <c r="E13" s="234" t="s">
        <v>41</v>
      </c>
      <c r="F13" s="235" t="s">
        <v>5178</v>
      </c>
      <c r="G13" s="209" t="s">
        <v>4690</v>
      </c>
      <c r="H13" s="209" t="s">
        <v>446</v>
      </c>
      <c r="I13" s="366" t="s">
        <v>5179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5" customHeight="1">
      <c r="A14" s="210">
        <v>6</v>
      </c>
      <c r="B14" s="374" t="s">
        <v>5180</v>
      </c>
      <c r="C14" s="376"/>
      <c r="D14" s="233">
        <v>20</v>
      </c>
      <c r="E14" s="234" t="s">
        <v>41</v>
      </c>
      <c r="F14" s="235" t="s">
        <v>5178</v>
      </c>
      <c r="G14" s="209" t="s">
        <v>4690</v>
      </c>
      <c r="H14" s="209" t="s">
        <v>446</v>
      </c>
      <c r="I14" s="366" t="s">
        <v>5181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27">
      <c r="A15" s="210">
        <v>7</v>
      </c>
      <c r="B15" s="374" t="s">
        <v>5182</v>
      </c>
      <c r="C15" s="376"/>
      <c r="D15" s="233">
        <v>1</v>
      </c>
      <c r="E15" s="234" t="s">
        <v>26</v>
      </c>
      <c r="F15" s="235" t="s">
        <v>5178</v>
      </c>
      <c r="G15" s="209" t="s">
        <v>4690</v>
      </c>
      <c r="H15" s="209" t="s">
        <v>446</v>
      </c>
      <c r="I15" s="366" t="s">
        <v>5350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>1 : 있음
2 : 없음</v>
      </c>
    </row>
    <row r="16" spans="1:12" s="1" customFormat="1" ht="67.5">
      <c r="A16" s="210">
        <v>8</v>
      </c>
      <c r="B16" s="366" t="s">
        <v>193</v>
      </c>
      <c r="C16" s="429"/>
      <c r="D16" s="233">
        <v>1</v>
      </c>
      <c r="E16" s="234" t="s">
        <v>79</v>
      </c>
      <c r="F16" s="235" t="s">
        <v>100</v>
      </c>
      <c r="G16" s="209" t="s">
        <v>446</v>
      </c>
      <c r="H16" s="209" t="s">
        <v>446</v>
      </c>
      <c r="I16" s="509" t="s">
        <v>5328</v>
      </c>
      <c r="J16" s="509"/>
      <c r="K16" s="509"/>
      <c r="L16" s="196" t="str">
        <f ca="1">IFERROR(_xlfn.TEXTJOIN(CHAR(10), TRUE, OFFSET('&lt;별첨9&gt;전체코드'!E:E, MATCH(B16,'&lt;별첨9&gt;전체코드'!A:A,0)-1, 0, COUNTIF('&lt;별첨9&gt;전체코드'!A:A,B16), 1)), "")</f>
        <v>2 : 금융기관(연기금포함)
3 : 기타
4 : 기업
5 : 개인</v>
      </c>
    </row>
    <row r="17" spans="1:12" s="1" customFormat="1" ht="229.5" customHeight="1">
      <c r="A17" s="210">
        <v>9</v>
      </c>
      <c r="B17" s="366" t="s">
        <v>194</v>
      </c>
      <c r="C17" s="429"/>
      <c r="D17" s="233">
        <v>2</v>
      </c>
      <c r="E17" s="234" t="s">
        <v>79</v>
      </c>
      <c r="F17" s="235" t="s">
        <v>100</v>
      </c>
      <c r="G17" s="209" t="s">
        <v>446</v>
      </c>
      <c r="H17" s="209" t="s">
        <v>446</v>
      </c>
      <c r="I17" s="509" t="s">
        <v>5265</v>
      </c>
      <c r="J17" s="509"/>
      <c r="K17" s="509"/>
      <c r="L17" s="196" t="str">
        <f ca="1">IFERROR(_xlfn.TEXTJOIN(CHAR(10), TRUE, OFFSET('&lt;별첨9&gt;전체코드'!E:E, MATCH(B17,'&lt;별첨9&gt;전체코드'!A:A,0)-1, 0, COUNTIF('&lt;별첨9&gt;전체코드'!A:A,B17),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18" spans="1:12" ht="15" customHeight="1" thickBot="1">
      <c r="A18" s="213">
        <v>10</v>
      </c>
      <c r="B18" s="422" t="s">
        <v>25</v>
      </c>
      <c r="C18" s="424"/>
      <c r="D18" s="238">
        <v>480</v>
      </c>
      <c r="E18" s="239" t="s">
        <v>26</v>
      </c>
      <c r="F18" s="240" t="s">
        <v>196</v>
      </c>
      <c r="G18" s="108" t="s">
        <v>4690</v>
      </c>
      <c r="H18" s="108" t="s">
        <v>4690</v>
      </c>
      <c r="I18" s="479" t="s">
        <v>254</v>
      </c>
      <c r="J18" s="480"/>
      <c r="K18" s="515"/>
      <c r="L18" s="198" t="str">
        <f ca="1">IFERROR(_xlfn.TEXTJOIN(CHAR(10), TRUE, OFFSET('&lt;별첨9&gt;전체코드'!E:E, MATCH(B18,'&lt;별첨9&gt;전체코드'!A:A,0)-1, 0, COUNTIF('&lt;별첨9&gt;전체코드'!A:A,B18), 1)), "")</f>
        <v/>
      </c>
    </row>
  </sheetData>
  <mergeCells count="35">
    <mergeCell ref="A2:L2"/>
    <mergeCell ref="I17:K17"/>
    <mergeCell ref="I15:K15"/>
    <mergeCell ref="I11:K11"/>
    <mergeCell ref="I9:K9"/>
    <mergeCell ref="I7:K7"/>
    <mergeCell ref="G5:I5"/>
    <mergeCell ref="K5:L5"/>
    <mergeCell ref="G4:I4"/>
    <mergeCell ref="K4:L4"/>
    <mergeCell ref="A5:B5"/>
    <mergeCell ref="D5:F5"/>
    <mergeCell ref="A3:B3"/>
    <mergeCell ref="A4:B4"/>
    <mergeCell ref="D4:F4"/>
    <mergeCell ref="C3:L3"/>
    <mergeCell ref="B7:C7"/>
    <mergeCell ref="B8:C8"/>
    <mergeCell ref="B9:C9"/>
    <mergeCell ref="I8:K8"/>
    <mergeCell ref="B10:C10"/>
    <mergeCell ref="B11:C11"/>
    <mergeCell ref="B12:C12"/>
    <mergeCell ref="I10:K10"/>
    <mergeCell ref="I12:K12"/>
    <mergeCell ref="B13:C13"/>
    <mergeCell ref="I13:K13"/>
    <mergeCell ref="B18:C18"/>
    <mergeCell ref="I16:K16"/>
    <mergeCell ref="I18:K18"/>
    <mergeCell ref="B14:C14"/>
    <mergeCell ref="B15:C15"/>
    <mergeCell ref="I14:K14"/>
    <mergeCell ref="B16:C16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D3C4-8431-417B-A9F3-DB94865AB882}">
  <sheetPr codeName="Sheet72"/>
  <dimension ref="A1:L18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6" width="4.625" style="28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481" t="s">
        <v>5185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1" customFormat="1" ht="15" customHeight="1">
      <c r="A3" s="400" t="s">
        <v>0</v>
      </c>
      <c r="B3" s="435"/>
      <c r="C3" s="434" t="s">
        <v>7671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177</v>
      </c>
      <c r="H4" s="411"/>
      <c r="I4" s="412"/>
      <c r="J4" s="115" t="s">
        <v>33</v>
      </c>
      <c r="K4" s="410" t="s">
        <v>5184</v>
      </c>
      <c r="L4" s="413"/>
    </row>
    <row r="5" spans="1:12" s="1" customFormat="1" ht="15" customHeight="1" thickBot="1">
      <c r="A5" s="395" t="s">
        <v>34</v>
      </c>
      <c r="B5" s="439"/>
      <c r="C5" s="117">
        <f>SUM(D:D)</f>
        <v>760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VLOOKUP(G4,목록!E10:$G$83,3,FALSE)</f>
        <v>SLP220301SW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62">
        <v>0</v>
      </c>
      <c r="B8" s="377" t="s">
        <v>29</v>
      </c>
      <c r="C8" s="378"/>
      <c r="D8" s="40">
        <v>200</v>
      </c>
      <c r="E8" s="47" t="s">
        <v>30</v>
      </c>
      <c r="F8" s="204" t="s">
        <v>30</v>
      </c>
      <c r="G8" s="42"/>
      <c r="H8" s="42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4" t="s">
        <v>3</v>
      </c>
      <c r="C9" s="376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15" customHeight="1">
      <c r="A10" s="210">
        <v>2</v>
      </c>
      <c r="B10" s="374" t="s">
        <v>237</v>
      </c>
      <c r="C10" s="376"/>
      <c r="D10" s="233">
        <v>4</v>
      </c>
      <c r="E10" s="234" t="s">
        <v>26</v>
      </c>
      <c r="F10" s="235" t="s">
        <v>196</v>
      </c>
      <c r="G10" s="209" t="s">
        <v>446</v>
      </c>
      <c r="H10" s="209" t="s">
        <v>446</v>
      </c>
      <c r="I10" s="366" t="s">
        <v>5176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4" t="s">
        <v>8</v>
      </c>
      <c r="C11" s="376"/>
      <c r="D11" s="233">
        <v>4</v>
      </c>
      <c r="E11" s="234" t="s">
        <v>26</v>
      </c>
      <c r="F11" s="235" t="s">
        <v>196</v>
      </c>
      <c r="G11" s="209" t="s">
        <v>446</v>
      </c>
      <c r="H11" s="209" t="s">
        <v>446</v>
      </c>
      <c r="I11" s="366" t="s">
        <v>5176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s="1" customFormat="1" ht="15" customHeight="1">
      <c r="A12" s="210">
        <v>4</v>
      </c>
      <c r="B12" s="374" t="s">
        <v>5159</v>
      </c>
      <c r="C12" s="376"/>
      <c r="D12" s="233">
        <v>20</v>
      </c>
      <c r="E12" s="234" t="s">
        <v>42</v>
      </c>
      <c r="F12" s="235" t="s">
        <v>196</v>
      </c>
      <c r="G12" s="209" t="s">
        <v>446</v>
      </c>
      <c r="H12" s="209" t="s">
        <v>446</v>
      </c>
      <c r="I12" s="366" t="s">
        <v>5101</v>
      </c>
      <c r="J12" s="367"/>
      <c r="K12" s="429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15" customHeight="1">
      <c r="A13" s="210">
        <v>5</v>
      </c>
      <c r="B13" s="374" t="s">
        <v>5177</v>
      </c>
      <c r="C13" s="376"/>
      <c r="D13" s="233">
        <v>20</v>
      </c>
      <c r="E13" s="234" t="s">
        <v>41</v>
      </c>
      <c r="F13" s="235" t="s">
        <v>5178</v>
      </c>
      <c r="G13" s="209" t="s">
        <v>4690</v>
      </c>
      <c r="H13" s="209" t="s">
        <v>446</v>
      </c>
      <c r="I13" s="366" t="s">
        <v>5179</v>
      </c>
      <c r="J13" s="367"/>
      <c r="K13" s="429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5" customHeight="1">
      <c r="A14" s="210">
        <v>6</v>
      </c>
      <c r="B14" s="374" t="s">
        <v>5180</v>
      </c>
      <c r="C14" s="376"/>
      <c r="D14" s="233">
        <v>20</v>
      </c>
      <c r="E14" s="234" t="s">
        <v>41</v>
      </c>
      <c r="F14" s="235" t="s">
        <v>5178</v>
      </c>
      <c r="G14" s="209" t="s">
        <v>4690</v>
      </c>
      <c r="H14" s="209" t="s">
        <v>446</v>
      </c>
      <c r="I14" s="366" t="s">
        <v>5181</v>
      </c>
      <c r="J14" s="367"/>
      <c r="K14" s="429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27">
      <c r="A15" s="210">
        <v>7</v>
      </c>
      <c r="B15" s="374" t="s">
        <v>5182</v>
      </c>
      <c r="C15" s="376"/>
      <c r="D15" s="233">
        <v>1</v>
      </c>
      <c r="E15" s="234" t="s">
        <v>26</v>
      </c>
      <c r="F15" s="235" t="s">
        <v>5178</v>
      </c>
      <c r="G15" s="209" t="s">
        <v>4690</v>
      </c>
      <c r="H15" s="209" t="s">
        <v>446</v>
      </c>
      <c r="I15" s="366" t="s">
        <v>5350</v>
      </c>
      <c r="J15" s="367"/>
      <c r="K15" s="429"/>
      <c r="L15" s="196" t="str">
        <f ca="1">IFERROR(_xlfn.TEXTJOIN(CHAR(10), TRUE, OFFSET('&lt;별첨9&gt;전체코드'!E:E, MATCH(B15,'&lt;별첨9&gt;전체코드'!A:A,0)-1, 0, COUNTIF('&lt;별첨9&gt;전체코드'!A:A,B15), 1)), "")</f>
        <v>1 : 있음
2 : 없음</v>
      </c>
    </row>
    <row r="16" spans="1:12" s="1" customFormat="1" ht="67.5">
      <c r="A16" s="210">
        <v>8</v>
      </c>
      <c r="B16" s="366" t="s">
        <v>193</v>
      </c>
      <c r="C16" s="429"/>
      <c r="D16" s="233">
        <v>1</v>
      </c>
      <c r="E16" s="234" t="s">
        <v>79</v>
      </c>
      <c r="F16" s="235" t="s">
        <v>100</v>
      </c>
      <c r="G16" s="209" t="s">
        <v>446</v>
      </c>
      <c r="H16" s="209" t="s">
        <v>446</v>
      </c>
      <c r="I16" s="509" t="s">
        <v>5328</v>
      </c>
      <c r="J16" s="509"/>
      <c r="K16" s="509"/>
      <c r="L16" s="196" t="str">
        <f ca="1">IFERROR(_xlfn.TEXTJOIN(CHAR(10), TRUE, OFFSET('&lt;별첨9&gt;전체코드'!E:E, MATCH(B16,'&lt;별첨9&gt;전체코드'!A:A,0)-1, 0, COUNTIF('&lt;별첨9&gt;전체코드'!A:A,B16), 1)), "")</f>
        <v>2 : 금융기관(연기금포함)
3 : 기타
4 : 기업
5 : 개인</v>
      </c>
    </row>
    <row r="17" spans="1:12" s="1" customFormat="1" ht="229.5" customHeight="1">
      <c r="A17" s="210">
        <v>9</v>
      </c>
      <c r="B17" s="366" t="s">
        <v>194</v>
      </c>
      <c r="C17" s="429"/>
      <c r="D17" s="233">
        <v>2</v>
      </c>
      <c r="E17" s="234" t="s">
        <v>79</v>
      </c>
      <c r="F17" s="235" t="s">
        <v>100</v>
      </c>
      <c r="G17" s="209" t="s">
        <v>446</v>
      </c>
      <c r="H17" s="209" t="s">
        <v>446</v>
      </c>
      <c r="I17" s="509" t="s">
        <v>5265</v>
      </c>
      <c r="J17" s="509"/>
      <c r="K17" s="509"/>
      <c r="L17" s="196" t="str">
        <f ca="1">IFERROR(_xlfn.TEXTJOIN(CHAR(10), TRUE, OFFSET('&lt;별첨9&gt;전체코드'!E:E, MATCH(B17,'&lt;별첨9&gt;전체코드'!A:A,0)-1, 0, COUNTIF('&lt;별첨9&gt;전체코드'!A:A,B17), 1)), "")</f>
        <v>01 : 서울특별시
02 : 부산광역시
03 : 대구광역시
04 : 인천광역시
05 : 광주광역시
06 : 대전광역시
07 : 울산광역시
08 : 경기도
09 : 강원도
10 : 충청남도
11 : 충청북도
12 : 전라남도
13 : 전라북도
14 : 경상남도
15 : 경상북도
16 : 제주도
17 : 해외</v>
      </c>
    </row>
    <row r="18" spans="1:12" ht="15" customHeight="1" thickBot="1">
      <c r="A18" s="213">
        <v>10</v>
      </c>
      <c r="B18" s="422" t="s">
        <v>25</v>
      </c>
      <c r="C18" s="424"/>
      <c r="D18" s="238">
        <v>480</v>
      </c>
      <c r="E18" s="239" t="s">
        <v>26</v>
      </c>
      <c r="F18" s="240" t="s">
        <v>196</v>
      </c>
      <c r="G18" s="108" t="s">
        <v>4690</v>
      </c>
      <c r="H18" s="108" t="s">
        <v>4690</v>
      </c>
      <c r="I18" s="479" t="s">
        <v>254</v>
      </c>
      <c r="J18" s="480"/>
      <c r="K18" s="515"/>
      <c r="L18" s="198" t="str">
        <f ca="1">IFERROR(_xlfn.TEXTJOIN(CHAR(10), TRUE, OFFSET('&lt;별첨9&gt;전체코드'!E:E, MATCH(B18,'&lt;별첨9&gt;전체코드'!A:A,0)-1, 0, COUNTIF('&lt;별첨9&gt;전체코드'!A:A,B18), 1)), "")</f>
        <v/>
      </c>
    </row>
  </sheetData>
  <mergeCells count="35">
    <mergeCell ref="I17:K17"/>
    <mergeCell ref="I16:K16"/>
    <mergeCell ref="I18:K18"/>
    <mergeCell ref="I15:K15"/>
    <mergeCell ref="I14:K14"/>
    <mergeCell ref="I13:K13"/>
    <mergeCell ref="I11:K11"/>
    <mergeCell ref="I9:K9"/>
    <mergeCell ref="I7:K7"/>
    <mergeCell ref="C3:L3"/>
    <mergeCell ref="G4:I4"/>
    <mergeCell ref="K4:L4"/>
    <mergeCell ref="B13:C13"/>
    <mergeCell ref="B10:C10"/>
    <mergeCell ref="B11:C11"/>
    <mergeCell ref="B12:C12"/>
    <mergeCell ref="I10:K10"/>
    <mergeCell ref="I12:K12"/>
    <mergeCell ref="B7:C7"/>
    <mergeCell ref="B8:C8"/>
    <mergeCell ref="B9:C9"/>
    <mergeCell ref="B14:C14"/>
    <mergeCell ref="B18:C18"/>
    <mergeCell ref="B15:C15"/>
    <mergeCell ref="B16:C16"/>
    <mergeCell ref="B17:C17"/>
    <mergeCell ref="A2:L2"/>
    <mergeCell ref="G5:I5"/>
    <mergeCell ref="K5:L5"/>
    <mergeCell ref="I8:K8"/>
    <mergeCell ref="A5:B5"/>
    <mergeCell ref="D5:F5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8B77-94E5-44FC-B248-D9E4B9FA93A0}">
  <sheetPr codeName="Sheet76"/>
  <dimension ref="A1:L118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5" width="4.625" style="28" customWidth="1"/>
    <col min="6" max="6" width="4.625" style="50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8"/>
      <c r="G1" s="2"/>
      <c r="H1" s="2"/>
      <c r="I1" s="2"/>
      <c r="J1" s="2"/>
      <c r="K1" s="2"/>
      <c r="L1" s="2"/>
    </row>
    <row r="2" spans="1:12" s="10" customFormat="1" ht="19.5" thickBot="1">
      <c r="A2" s="383" t="s">
        <v>5068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57" t="s">
        <v>203</v>
      </c>
      <c r="D3" s="458"/>
      <c r="E3" s="458"/>
      <c r="F3" s="458"/>
      <c r="G3" s="458"/>
      <c r="H3" s="458"/>
      <c r="I3" s="458"/>
      <c r="J3" s="458"/>
      <c r="K3" s="458"/>
      <c r="L3" s="459"/>
    </row>
    <row r="4" spans="1:12" s="1" customFormat="1" ht="15" customHeight="1">
      <c r="A4" s="402" t="s">
        <v>31</v>
      </c>
      <c r="B4" s="438"/>
      <c r="C4" s="114" t="s">
        <v>7627</v>
      </c>
      <c r="D4" s="404" t="s">
        <v>32</v>
      </c>
      <c r="E4" s="405"/>
      <c r="F4" s="406"/>
      <c r="G4" s="471" t="s">
        <v>180</v>
      </c>
      <c r="H4" s="472"/>
      <c r="I4" s="473"/>
      <c r="J4" s="115" t="s">
        <v>5263</v>
      </c>
      <c r="K4" s="460"/>
      <c r="L4" s="461"/>
    </row>
    <row r="5" spans="1:12" s="1" customFormat="1" ht="15" customHeight="1" thickBot="1">
      <c r="A5" s="395" t="s">
        <v>34</v>
      </c>
      <c r="B5" s="439"/>
      <c r="C5" s="205" t="s">
        <v>4659</v>
      </c>
      <c r="D5" s="397" t="s">
        <v>35</v>
      </c>
      <c r="E5" s="398"/>
      <c r="F5" s="399"/>
      <c r="G5" s="474" t="s">
        <v>84</v>
      </c>
      <c r="H5" s="475"/>
      <c r="I5" s="476"/>
      <c r="J5" s="118" t="s">
        <v>36</v>
      </c>
      <c r="K5" s="462" t="str">
        <f>VLOOKUP(G4,목록!E10:$G$83,3,FALSE)</f>
        <v>SLP210103BW</v>
      </c>
      <c r="L5" s="463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9">
        <v>0</v>
      </c>
      <c r="B8" s="377" t="s">
        <v>29</v>
      </c>
      <c r="C8" s="378"/>
      <c r="D8" s="40">
        <v>200</v>
      </c>
      <c r="E8" s="41" t="s">
        <v>30</v>
      </c>
      <c r="F8" s="42" t="s">
        <v>30</v>
      </c>
      <c r="G8" s="42"/>
      <c r="H8" s="42"/>
      <c r="I8" s="464" t="s">
        <v>4665</v>
      </c>
      <c r="J8" s="465"/>
      <c r="K8" s="378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07">
        <v>1</v>
      </c>
      <c r="B9" s="374" t="s">
        <v>3</v>
      </c>
      <c r="C9" s="376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74" t="s">
        <v>7611</v>
      </c>
      <c r="J9" s="375"/>
      <c r="K9" s="376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07">
        <v>2</v>
      </c>
      <c r="B10" s="374" t="s">
        <v>6</v>
      </c>
      <c r="C10" s="376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74" t="s">
        <v>5091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07">
        <v>3</v>
      </c>
      <c r="B11" s="374" t="s">
        <v>7</v>
      </c>
      <c r="C11" s="376"/>
      <c r="D11" s="233">
        <v>5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74" t="s">
        <v>4675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" customHeight="1">
      <c r="A12" s="207">
        <v>4</v>
      </c>
      <c r="B12" s="374" t="s">
        <v>8</v>
      </c>
      <c r="C12" s="376"/>
      <c r="D12" s="233">
        <v>4</v>
      </c>
      <c r="E12" s="234" t="s">
        <v>4</v>
      </c>
      <c r="F12" s="235" t="s">
        <v>5</v>
      </c>
      <c r="G12" s="209" t="s">
        <v>446</v>
      </c>
      <c r="H12" s="209" t="s">
        <v>446</v>
      </c>
      <c r="I12" s="374" t="s">
        <v>5092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07">
        <v>5</v>
      </c>
      <c r="B13" s="374" t="s">
        <v>21</v>
      </c>
      <c r="C13" s="376"/>
      <c r="D13" s="233">
        <v>9</v>
      </c>
      <c r="E13" s="234" t="s">
        <v>42</v>
      </c>
      <c r="F13" s="235" t="s">
        <v>5</v>
      </c>
      <c r="G13" s="209" t="s">
        <v>446</v>
      </c>
      <c r="H13" s="209" t="s">
        <v>446</v>
      </c>
      <c r="I13" s="374" t="s">
        <v>5093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5" customHeight="1">
      <c r="A14" s="207">
        <v>6</v>
      </c>
      <c r="B14" s="374" t="s">
        <v>10</v>
      </c>
      <c r="C14" s="376"/>
      <c r="D14" s="233">
        <v>18</v>
      </c>
      <c r="E14" s="234" t="s">
        <v>4</v>
      </c>
      <c r="F14" s="235" t="s">
        <v>5</v>
      </c>
      <c r="G14" s="209" t="s">
        <v>446</v>
      </c>
      <c r="H14" s="209" t="s">
        <v>446</v>
      </c>
      <c r="I14" s="374" t="s">
        <v>4666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30" customHeight="1">
      <c r="A15" s="207">
        <v>7</v>
      </c>
      <c r="B15" s="374" t="s">
        <v>4703</v>
      </c>
      <c r="C15" s="376"/>
      <c r="D15" s="233">
        <v>4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374" t="s">
        <v>5098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>&lt;별첨4&gt; 참조</v>
      </c>
    </row>
    <row r="16" spans="1:12" s="1" customFormat="1" ht="54" customHeight="1">
      <c r="A16" s="207">
        <v>8</v>
      </c>
      <c r="B16" s="374" t="s">
        <v>5061</v>
      </c>
      <c r="C16" s="376"/>
      <c r="D16" s="233">
        <v>1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74" t="s">
        <v>5089</v>
      </c>
      <c r="J16" s="375"/>
      <c r="K16" s="376"/>
      <c r="L16" s="196" t="str">
        <f ca="1">IFERROR(_xlfn.TEXTJOIN(CHAR(10), TRUE, OFFSET('&lt;별첨9&gt;전체코드'!E:E, MATCH(B16,'&lt;별첨9&gt;전체코드'!A:A,0)-1, 0, COUNTIF('&lt;별첨9&gt;전체코드'!A:A,B16), 1)), "")</f>
        <v>1 : 원화자금이체시스템
2 : CLS거래시스템
3 : 증권대금이체시스템
4 : 콜거래시스템</v>
      </c>
    </row>
    <row r="17" spans="1:12" s="1" customFormat="1" ht="81">
      <c r="A17" s="207">
        <v>9</v>
      </c>
      <c r="B17" s="374" t="s">
        <v>18</v>
      </c>
      <c r="C17" s="376"/>
      <c r="D17" s="233">
        <v>1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74" t="s">
        <v>5090</v>
      </c>
      <c r="J17" s="375"/>
      <c r="K17" s="376"/>
      <c r="L17" s="196" t="str">
        <f ca="1">IFERROR(_xlfn.TEXTJOIN(CHAR(10), TRUE, OFFSET('&lt;별첨9&gt;전체코드'!E:E, MATCH(B17,'&lt;별첨9&gt;전체코드'!A:A,0)-1, 0, COUNTIF('&lt;별첨9&gt;전체코드'!A:A,B17), 1)), "")</f>
        <v>1 : 예약
2 : 대기
3 : 결제
4 : 취소
5 : 예약취소
6 : 실행오류</v>
      </c>
    </row>
    <row r="18" spans="1:12" s="1" customFormat="1" ht="15" customHeight="1">
      <c r="A18" s="207">
        <v>10</v>
      </c>
      <c r="B18" s="374" t="s">
        <v>14</v>
      </c>
      <c r="C18" s="376"/>
      <c r="D18" s="233">
        <v>10</v>
      </c>
      <c r="E18" s="234" t="s">
        <v>42</v>
      </c>
      <c r="F18" s="235" t="s">
        <v>43</v>
      </c>
      <c r="G18" s="209" t="s">
        <v>4661</v>
      </c>
      <c r="H18" s="209" t="s">
        <v>4661</v>
      </c>
      <c r="I18" s="374" t="s">
        <v>5062</v>
      </c>
      <c r="J18" s="375"/>
      <c r="K18" s="376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207">
        <v>11</v>
      </c>
      <c r="B19" s="374" t="s">
        <v>15</v>
      </c>
      <c r="C19" s="376"/>
      <c r="D19" s="233">
        <v>30</v>
      </c>
      <c r="E19" s="234" t="s">
        <v>41</v>
      </c>
      <c r="F19" s="235" t="s">
        <v>43</v>
      </c>
      <c r="G19" s="209" t="s">
        <v>4661</v>
      </c>
      <c r="H19" s="209" t="s">
        <v>4661</v>
      </c>
      <c r="I19" s="374" t="s">
        <v>5063</v>
      </c>
      <c r="J19" s="375"/>
      <c r="K19" s="376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207">
        <v>12</v>
      </c>
      <c r="B20" s="374" t="s">
        <v>16</v>
      </c>
      <c r="C20" s="376"/>
      <c r="D20" s="233">
        <v>10</v>
      </c>
      <c r="E20" s="234" t="s">
        <v>42</v>
      </c>
      <c r="F20" s="235" t="s">
        <v>43</v>
      </c>
      <c r="G20" s="209" t="s">
        <v>4661</v>
      </c>
      <c r="H20" s="209" t="s">
        <v>4661</v>
      </c>
      <c r="I20" s="374" t="s">
        <v>5064</v>
      </c>
      <c r="J20" s="375"/>
      <c r="K20" s="376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207">
        <v>13</v>
      </c>
      <c r="B21" s="374" t="s">
        <v>17</v>
      </c>
      <c r="C21" s="376"/>
      <c r="D21" s="233">
        <v>30</v>
      </c>
      <c r="E21" s="234" t="s">
        <v>41</v>
      </c>
      <c r="F21" s="235" t="s">
        <v>43</v>
      </c>
      <c r="G21" s="209" t="s">
        <v>4661</v>
      </c>
      <c r="H21" s="209" t="s">
        <v>4661</v>
      </c>
      <c r="I21" s="374" t="s">
        <v>5065</v>
      </c>
      <c r="J21" s="375"/>
      <c r="K21" s="376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54">
      <c r="A22" s="207">
        <v>14</v>
      </c>
      <c r="B22" s="374" t="s">
        <v>54</v>
      </c>
      <c r="C22" s="376"/>
      <c r="D22" s="233">
        <v>1</v>
      </c>
      <c r="E22" s="234" t="s">
        <v>4</v>
      </c>
      <c r="F22" s="235" t="s">
        <v>5</v>
      </c>
      <c r="G22" s="209" t="s">
        <v>446</v>
      </c>
      <c r="H22" s="209" t="s">
        <v>446</v>
      </c>
      <c r="I22" s="374" t="s">
        <v>5272</v>
      </c>
      <c r="J22" s="375"/>
      <c r="K22" s="376"/>
      <c r="L22" s="196" t="str">
        <f ca="1">IFERROR(_xlfn.TEXTJOIN(CHAR(10), TRUE, OFFSET('&lt;별첨9&gt;전체코드'!E:E, MATCH(B22,'&lt;별첨9&gt;전체코드'!A:A,0)-1, 0, COUNTIF('&lt;별첨9&gt;전체코드'!A:A,B22), 1)), "")</f>
        <v>1 : 총액결제
2 : 양자간 동시처리
3 : 다자간 동시처리
4 : 콜연결상환</v>
      </c>
    </row>
    <row r="23" spans="1:12" s="1" customFormat="1" ht="30" customHeight="1">
      <c r="A23" s="207">
        <v>15</v>
      </c>
      <c r="B23" s="374" t="s">
        <v>331</v>
      </c>
      <c r="C23" s="376"/>
      <c r="D23" s="233">
        <v>2</v>
      </c>
      <c r="E23" s="234" t="s">
        <v>4</v>
      </c>
      <c r="F23" s="235" t="s">
        <v>43</v>
      </c>
      <c r="G23" s="209" t="s">
        <v>4661</v>
      </c>
      <c r="H23" s="209" t="s">
        <v>4661</v>
      </c>
      <c r="I23" s="366" t="s">
        <v>5273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>&lt;별첨6&gt; 참조</v>
      </c>
    </row>
    <row r="24" spans="1:12" s="1" customFormat="1" ht="30" customHeight="1">
      <c r="A24" s="207">
        <v>16</v>
      </c>
      <c r="B24" s="374" t="s">
        <v>27</v>
      </c>
      <c r="C24" s="376"/>
      <c r="D24" s="233">
        <v>18</v>
      </c>
      <c r="E24" s="234" t="s">
        <v>4</v>
      </c>
      <c r="F24" s="235" t="s">
        <v>5</v>
      </c>
      <c r="G24" s="209" t="s">
        <v>446</v>
      </c>
      <c r="H24" s="209" t="s">
        <v>446</v>
      </c>
      <c r="I24" s="374" t="s">
        <v>5124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30" customHeight="1">
      <c r="A25" s="207">
        <v>17</v>
      </c>
      <c r="B25" s="374" t="s">
        <v>236</v>
      </c>
      <c r="C25" s="376"/>
      <c r="D25" s="233">
        <v>18</v>
      </c>
      <c r="E25" s="234" t="s">
        <v>4</v>
      </c>
      <c r="F25" s="235" t="s">
        <v>5</v>
      </c>
      <c r="G25" s="209" t="s">
        <v>446</v>
      </c>
      <c r="H25" s="209" t="s">
        <v>446</v>
      </c>
      <c r="I25" s="374" t="s">
        <v>5125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30" customHeight="1">
      <c r="A26" s="207">
        <v>18</v>
      </c>
      <c r="B26" s="374" t="s">
        <v>216</v>
      </c>
      <c r="C26" s="376"/>
      <c r="D26" s="233">
        <v>18</v>
      </c>
      <c r="E26" s="234" t="s">
        <v>4</v>
      </c>
      <c r="F26" s="235" t="s">
        <v>5</v>
      </c>
      <c r="G26" s="209" t="s">
        <v>446</v>
      </c>
      <c r="H26" s="209" t="s">
        <v>446</v>
      </c>
      <c r="I26" s="374" t="s">
        <v>5126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07">
        <v>19</v>
      </c>
      <c r="B27" s="374" t="s">
        <v>5066</v>
      </c>
      <c r="C27" s="376"/>
      <c r="D27" s="233">
        <v>18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5018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07">
        <v>20</v>
      </c>
      <c r="B28" s="374" t="s">
        <v>5067</v>
      </c>
      <c r="C28" s="376"/>
      <c r="D28" s="233">
        <v>18</v>
      </c>
      <c r="E28" s="234" t="s">
        <v>4</v>
      </c>
      <c r="F28" s="235" t="s">
        <v>5</v>
      </c>
      <c r="G28" s="209" t="s">
        <v>446</v>
      </c>
      <c r="H28" s="209" t="s">
        <v>446</v>
      </c>
      <c r="I28" s="374" t="s">
        <v>5019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15" customHeight="1" thickBot="1">
      <c r="A29" s="105">
        <v>21</v>
      </c>
      <c r="B29" s="422" t="s">
        <v>77</v>
      </c>
      <c r="C29" s="424"/>
      <c r="D29" s="238">
        <v>157</v>
      </c>
      <c r="E29" s="239" t="s">
        <v>26</v>
      </c>
      <c r="F29" s="240" t="s">
        <v>5</v>
      </c>
      <c r="G29" s="108" t="s">
        <v>4690</v>
      </c>
      <c r="H29" s="108" t="s">
        <v>4690</v>
      </c>
      <c r="I29" s="422" t="s">
        <v>254</v>
      </c>
      <c r="J29" s="423"/>
      <c r="K29" s="424"/>
      <c r="L29" s="198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45" customHeight="1"/>
    <row r="32" spans="1:12" ht="30" customHeight="1"/>
    <row r="43" ht="30" customHeight="1"/>
    <row r="71" ht="30" customHeight="1"/>
    <row r="73" ht="15" customHeight="1"/>
    <row r="118" ht="30" customHeight="1"/>
  </sheetData>
  <mergeCells count="57">
    <mergeCell ref="I17:K17"/>
    <mergeCell ref="I15:K15"/>
    <mergeCell ref="B13:C13"/>
    <mergeCell ref="B14:C14"/>
    <mergeCell ref="I29:K29"/>
    <mergeCell ref="I27:K27"/>
    <mergeCell ref="I25:K25"/>
    <mergeCell ref="I22:K22"/>
    <mergeCell ref="I23:K23"/>
    <mergeCell ref="A2:L2"/>
    <mergeCell ref="B24:C24"/>
    <mergeCell ref="I24:K24"/>
    <mergeCell ref="B7:C7"/>
    <mergeCell ref="B8:C8"/>
    <mergeCell ref="B9:C9"/>
    <mergeCell ref="I8:K8"/>
    <mergeCell ref="I7:K7"/>
    <mergeCell ref="G4:I4"/>
    <mergeCell ref="K4:L4"/>
    <mergeCell ref="G5:I5"/>
    <mergeCell ref="K5:L5"/>
    <mergeCell ref="I9:K9"/>
    <mergeCell ref="A5:B5"/>
    <mergeCell ref="D5:F5"/>
    <mergeCell ref="I14:K14"/>
    <mergeCell ref="B29:C29"/>
    <mergeCell ref="I28:K28"/>
    <mergeCell ref="B23:C23"/>
    <mergeCell ref="B16:C16"/>
    <mergeCell ref="B17:C17"/>
    <mergeCell ref="B18:C18"/>
    <mergeCell ref="B19:C19"/>
    <mergeCell ref="B20:C20"/>
    <mergeCell ref="B21:C21"/>
    <mergeCell ref="B22:C22"/>
    <mergeCell ref="I16:K16"/>
    <mergeCell ref="I20:K20"/>
    <mergeCell ref="B26:C26"/>
    <mergeCell ref="I21:K21"/>
    <mergeCell ref="I18:K18"/>
    <mergeCell ref="I19:K19"/>
    <mergeCell ref="B27:C27"/>
    <mergeCell ref="B28:C28"/>
    <mergeCell ref="I26:K26"/>
    <mergeCell ref="B25:C25"/>
    <mergeCell ref="A3:B3"/>
    <mergeCell ref="A4:B4"/>
    <mergeCell ref="D4:F4"/>
    <mergeCell ref="C3:L3"/>
    <mergeCell ref="B15:C15"/>
    <mergeCell ref="B10:C10"/>
    <mergeCell ref="B11:C11"/>
    <mergeCell ref="B12:C12"/>
    <mergeCell ref="I10:K10"/>
    <mergeCell ref="I12:K12"/>
    <mergeCell ref="I13:K13"/>
    <mergeCell ref="I11:K11"/>
  </mergeCells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9D96-2647-4B93-A3BA-298C8A2CFC7A}">
  <sheetPr codeName="Sheet77"/>
  <dimension ref="A1:L118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6.125" style="28" customWidth="1"/>
    <col min="4" max="5" width="4.625" style="28" customWidth="1"/>
    <col min="6" max="6" width="4.625" style="50" customWidth="1"/>
    <col min="7" max="8" width="8.25" style="28" bestFit="1" customWidth="1"/>
    <col min="9" max="9" width="15" style="28" customWidth="1"/>
    <col min="10" max="10" width="12.5" style="28" customWidth="1"/>
    <col min="11" max="11" width="29.625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8"/>
      <c r="G1" s="2"/>
      <c r="H1" s="2"/>
      <c r="I1" s="2"/>
      <c r="J1" s="2"/>
      <c r="K1" s="2"/>
      <c r="L1" s="2"/>
    </row>
    <row r="2" spans="1:12" s="10" customFormat="1" ht="19.5" thickBot="1">
      <c r="A2" s="383" t="s">
        <v>5351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57" t="s">
        <v>204</v>
      </c>
      <c r="D3" s="458"/>
      <c r="E3" s="458"/>
      <c r="F3" s="458"/>
      <c r="G3" s="458"/>
      <c r="H3" s="458"/>
      <c r="I3" s="458"/>
      <c r="J3" s="458"/>
      <c r="K3" s="458"/>
      <c r="L3" s="459"/>
    </row>
    <row r="4" spans="1:12" s="1" customFormat="1" ht="15" customHeight="1">
      <c r="A4" s="402" t="s">
        <v>31</v>
      </c>
      <c r="B4" s="438"/>
      <c r="C4" s="114" t="s">
        <v>7627</v>
      </c>
      <c r="D4" s="404" t="s">
        <v>32</v>
      </c>
      <c r="E4" s="405"/>
      <c r="F4" s="406"/>
      <c r="G4" s="471" t="s">
        <v>179</v>
      </c>
      <c r="H4" s="472"/>
      <c r="I4" s="473"/>
      <c r="J4" s="115" t="s">
        <v>5263</v>
      </c>
      <c r="K4" s="460"/>
      <c r="L4" s="461"/>
    </row>
    <row r="5" spans="1:12" s="1" customFormat="1" ht="15" customHeight="1" thickBot="1">
      <c r="A5" s="395" t="s">
        <v>34</v>
      </c>
      <c r="B5" s="439"/>
      <c r="C5" s="205" t="s">
        <v>4659</v>
      </c>
      <c r="D5" s="397" t="s">
        <v>35</v>
      </c>
      <c r="E5" s="398"/>
      <c r="F5" s="399"/>
      <c r="G5" s="474" t="s">
        <v>84</v>
      </c>
      <c r="H5" s="475"/>
      <c r="I5" s="476"/>
      <c r="J5" s="118" t="s">
        <v>36</v>
      </c>
      <c r="K5" s="462" t="str">
        <f>VLOOKUP(G4,목록!$E14:L$83,3,FALSE)</f>
        <v>SLP210103BW</v>
      </c>
      <c r="L5" s="463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39">
        <v>0</v>
      </c>
      <c r="B8" s="377" t="s">
        <v>29</v>
      </c>
      <c r="C8" s="378"/>
      <c r="D8" s="40">
        <v>200</v>
      </c>
      <c r="E8" s="41" t="s">
        <v>30</v>
      </c>
      <c r="F8" s="42" t="s">
        <v>30</v>
      </c>
      <c r="G8" s="42"/>
      <c r="H8" s="42"/>
      <c r="I8" s="464" t="s">
        <v>4665</v>
      </c>
      <c r="J8" s="465"/>
      <c r="K8" s="378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07">
        <v>1</v>
      </c>
      <c r="B9" s="374" t="s">
        <v>3</v>
      </c>
      <c r="C9" s="376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74" t="s">
        <v>7611</v>
      </c>
      <c r="J9" s="375"/>
      <c r="K9" s="376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07">
        <v>2</v>
      </c>
      <c r="B10" s="374" t="s">
        <v>6</v>
      </c>
      <c r="C10" s="376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74" t="s">
        <v>5091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07">
        <v>3</v>
      </c>
      <c r="B11" s="374" t="s">
        <v>7</v>
      </c>
      <c r="C11" s="376"/>
      <c r="D11" s="233">
        <v>5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74" t="s">
        <v>4675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30" customHeight="1">
      <c r="A12" s="207">
        <v>4</v>
      </c>
      <c r="B12" s="374" t="s">
        <v>8</v>
      </c>
      <c r="C12" s="376"/>
      <c r="D12" s="233">
        <v>4</v>
      </c>
      <c r="E12" s="234" t="s">
        <v>4</v>
      </c>
      <c r="F12" s="235" t="s">
        <v>5</v>
      </c>
      <c r="G12" s="209" t="s">
        <v>446</v>
      </c>
      <c r="H12" s="209" t="s">
        <v>446</v>
      </c>
      <c r="I12" s="374" t="s">
        <v>5092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&lt;별첨3&gt; 참조</v>
      </c>
    </row>
    <row r="13" spans="1:12" s="1" customFormat="1" ht="15" customHeight="1">
      <c r="A13" s="207">
        <v>5</v>
      </c>
      <c r="B13" s="374" t="s">
        <v>21</v>
      </c>
      <c r="C13" s="376"/>
      <c r="D13" s="233">
        <v>9</v>
      </c>
      <c r="E13" s="234" t="s">
        <v>42</v>
      </c>
      <c r="F13" s="235" t="s">
        <v>5</v>
      </c>
      <c r="G13" s="209" t="s">
        <v>446</v>
      </c>
      <c r="H13" s="209" t="s">
        <v>446</v>
      </c>
      <c r="I13" s="374" t="s">
        <v>5093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5" customHeight="1">
      <c r="A14" s="207">
        <v>6</v>
      </c>
      <c r="B14" s="374" t="s">
        <v>10</v>
      </c>
      <c r="C14" s="376"/>
      <c r="D14" s="233">
        <v>18</v>
      </c>
      <c r="E14" s="234" t="s">
        <v>4</v>
      </c>
      <c r="F14" s="235" t="s">
        <v>5</v>
      </c>
      <c r="G14" s="209" t="s">
        <v>446</v>
      </c>
      <c r="H14" s="209" t="s">
        <v>446</v>
      </c>
      <c r="I14" s="374" t="s">
        <v>4666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30" customHeight="1" thickBot="1">
      <c r="A15" s="207">
        <v>7</v>
      </c>
      <c r="B15" s="374" t="s">
        <v>9</v>
      </c>
      <c r="C15" s="376"/>
      <c r="D15" s="233">
        <v>4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374" t="s">
        <v>5098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>&lt;별첨4&gt; 참조</v>
      </c>
    </row>
    <row r="16" spans="1:12" s="1" customFormat="1" ht="54">
      <c r="A16" s="39">
        <v>8</v>
      </c>
      <c r="B16" s="374" t="s">
        <v>85</v>
      </c>
      <c r="C16" s="376"/>
      <c r="D16" s="233">
        <v>1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74" t="s">
        <v>5089</v>
      </c>
      <c r="J16" s="375"/>
      <c r="K16" s="376"/>
      <c r="L16" s="196" t="str">
        <f ca="1">IFERROR(_xlfn.TEXTJOIN(CHAR(10), TRUE, OFFSET('&lt;별첨9&gt;전체코드'!E:E, MATCH(B16,'&lt;별첨9&gt;전체코드'!A:A,0)-1, 0, COUNTIF('&lt;별첨9&gt;전체코드'!A:A,B16), 1)), "")</f>
        <v>1 : 원화자금이체시스템
2 : CLS거래시스템
3 : 증권대금이체시스템
4 : 콜거래시스템</v>
      </c>
    </row>
    <row r="17" spans="1:12" s="1" customFormat="1" ht="81">
      <c r="A17" s="207">
        <v>9</v>
      </c>
      <c r="B17" s="374" t="s">
        <v>18</v>
      </c>
      <c r="C17" s="376"/>
      <c r="D17" s="233">
        <v>1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74" t="s">
        <v>5090</v>
      </c>
      <c r="J17" s="375"/>
      <c r="K17" s="376"/>
      <c r="L17" s="196" t="str">
        <f ca="1">IFERROR(_xlfn.TEXTJOIN(CHAR(10), TRUE, OFFSET('&lt;별첨9&gt;전체코드'!E:E, MATCH(B17,'&lt;별첨9&gt;전체코드'!A:A,0)-1, 0, COUNTIF('&lt;별첨9&gt;전체코드'!A:A,B17), 1)), "")</f>
        <v>1 : 예약
2 : 대기
3 : 결제
4 : 취소
5 : 예약취소
6 : 실행오류</v>
      </c>
    </row>
    <row r="18" spans="1:12" s="1" customFormat="1" ht="15" customHeight="1">
      <c r="A18" s="207">
        <v>10</v>
      </c>
      <c r="B18" s="374" t="s">
        <v>14</v>
      </c>
      <c r="C18" s="376"/>
      <c r="D18" s="233">
        <v>10</v>
      </c>
      <c r="E18" s="234" t="s">
        <v>42</v>
      </c>
      <c r="F18" s="235" t="s">
        <v>43</v>
      </c>
      <c r="G18" s="209" t="s">
        <v>4661</v>
      </c>
      <c r="H18" s="209" t="s">
        <v>446</v>
      </c>
      <c r="I18" s="374" t="s">
        <v>5062</v>
      </c>
      <c r="J18" s="375"/>
      <c r="K18" s="376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207">
        <v>11</v>
      </c>
      <c r="B19" s="374" t="s">
        <v>15</v>
      </c>
      <c r="C19" s="376"/>
      <c r="D19" s="233">
        <v>30</v>
      </c>
      <c r="E19" s="234" t="s">
        <v>41</v>
      </c>
      <c r="F19" s="235" t="s">
        <v>43</v>
      </c>
      <c r="G19" s="209" t="s">
        <v>4661</v>
      </c>
      <c r="H19" s="209" t="s">
        <v>446</v>
      </c>
      <c r="I19" s="374" t="s">
        <v>5063</v>
      </c>
      <c r="J19" s="375"/>
      <c r="K19" s="376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207">
        <v>12</v>
      </c>
      <c r="B20" s="374" t="s">
        <v>16</v>
      </c>
      <c r="C20" s="376"/>
      <c r="D20" s="233">
        <v>10</v>
      </c>
      <c r="E20" s="234" t="s">
        <v>42</v>
      </c>
      <c r="F20" s="235" t="s">
        <v>43</v>
      </c>
      <c r="G20" s="209" t="s">
        <v>4661</v>
      </c>
      <c r="H20" s="209" t="s">
        <v>446</v>
      </c>
      <c r="I20" s="374" t="s">
        <v>5064</v>
      </c>
      <c r="J20" s="375"/>
      <c r="K20" s="376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207">
        <v>13</v>
      </c>
      <c r="B21" s="374" t="s">
        <v>17</v>
      </c>
      <c r="C21" s="376"/>
      <c r="D21" s="233">
        <v>30</v>
      </c>
      <c r="E21" s="234" t="s">
        <v>41</v>
      </c>
      <c r="F21" s="235" t="s">
        <v>43</v>
      </c>
      <c r="G21" s="209" t="s">
        <v>4661</v>
      </c>
      <c r="H21" s="209" t="s">
        <v>446</v>
      </c>
      <c r="I21" s="374" t="s">
        <v>5065</v>
      </c>
      <c r="J21" s="375"/>
      <c r="K21" s="376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54">
      <c r="A22" s="207">
        <v>14</v>
      </c>
      <c r="B22" s="374" t="s">
        <v>54</v>
      </c>
      <c r="C22" s="376"/>
      <c r="D22" s="233">
        <v>1</v>
      </c>
      <c r="E22" s="234" t="s">
        <v>4</v>
      </c>
      <c r="F22" s="235" t="s">
        <v>5</v>
      </c>
      <c r="G22" s="209" t="s">
        <v>446</v>
      </c>
      <c r="H22" s="209" t="s">
        <v>446</v>
      </c>
      <c r="I22" s="374" t="s">
        <v>5272</v>
      </c>
      <c r="J22" s="375"/>
      <c r="K22" s="376"/>
      <c r="L22" s="196" t="str">
        <f ca="1">IFERROR(_xlfn.TEXTJOIN(CHAR(10), TRUE, OFFSET('&lt;별첨9&gt;전체코드'!E:E, MATCH(B22,'&lt;별첨9&gt;전체코드'!A:A,0)-1, 0, COUNTIF('&lt;별첨9&gt;전체코드'!A:A,B22), 1)), "")</f>
        <v>1 : 총액결제
2 : 양자간 동시처리
3 : 다자간 동시처리
4 : 콜연결상환</v>
      </c>
    </row>
    <row r="23" spans="1:12" s="1" customFormat="1" ht="30" customHeight="1" thickBot="1">
      <c r="A23" s="207">
        <v>15</v>
      </c>
      <c r="B23" s="374" t="s">
        <v>55</v>
      </c>
      <c r="C23" s="376"/>
      <c r="D23" s="233">
        <v>2</v>
      </c>
      <c r="E23" s="234" t="s">
        <v>4</v>
      </c>
      <c r="F23" s="235" t="s">
        <v>43</v>
      </c>
      <c r="G23" s="209" t="s">
        <v>4661</v>
      </c>
      <c r="H23" s="209" t="s">
        <v>4661</v>
      </c>
      <c r="I23" s="366" t="s">
        <v>5273</v>
      </c>
      <c r="J23" s="367"/>
      <c r="K23" s="429"/>
      <c r="L23" s="196" t="str">
        <f ca="1">IFERROR(_xlfn.TEXTJOIN(CHAR(10), TRUE, OFFSET('&lt;별첨9&gt;전체코드'!E:E, MATCH(B23,'&lt;별첨9&gt;전체코드'!A:A,0)-1, 0, COUNTIF('&lt;별첨9&gt;전체코드'!A:A,B23), 1)), "")</f>
        <v>&lt;별첨6&gt; 참조</v>
      </c>
    </row>
    <row r="24" spans="1:12" s="1" customFormat="1" ht="30" customHeight="1">
      <c r="A24" s="39">
        <v>16</v>
      </c>
      <c r="B24" s="374" t="s">
        <v>27</v>
      </c>
      <c r="C24" s="376"/>
      <c r="D24" s="233">
        <v>18</v>
      </c>
      <c r="E24" s="234" t="s">
        <v>4</v>
      </c>
      <c r="F24" s="235" t="s">
        <v>5</v>
      </c>
      <c r="G24" s="209" t="s">
        <v>446</v>
      </c>
      <c r="H24" s="209" t="s">
        <v>446</v>
      </c>
      <c r="I24" s="374" t="s">
        <v>5124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s="1" customFormat="1" ht="30" customHeight="1">
      <c r="A25" s="207">
        <v>17</v>
      </c>
      <c r="B25" s="374" t="s">
        <v>236</v>
      </c>
      <c r="C25" s="376"/>
      <c r="D25" s="233">
        <v>18</v>
      </c>
      <c r="E25" s="234" t="s">
        <v>4</v>
      </c>
      <c r="F25" s="235" t="s">
        <v>5</v>
      </c>
      <c r="G25" s="209" t="s">
        <v>446</v>
      </c>
      <c r="H25" s="209" t="s">
        <v>446</v>
      </c>
      <c r="I25" s="374" t="s">
        <v>5125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s="1" customFormat="1" ht="30" customHeight="1">
      <c r="A26" s="207">
        <v>18</v>
      </c>
      <c r="B26" s="374" t="s">
        <v>24</v>
      </c>
      <c r="C26" s="376"/>
      <c r="D26" s="233">
        <v>18</v>
      </c>
      <c r="E26" s="234" t="s">
        <v>4</v>
      </c>
      <c r="F26" s="235" t="s">
        <v>5</v>
      </c>
      <c r="G26" s="209" t="s">
        <v>446</v>
      </c>
      <c r="H26" s="209" t="s">
        <v>446</v>
      </c>
      <c r="I26" s="374" t="s">
        <v>5126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s="1" customFormat="1" ht="15" customHeight="1">
      <c r="A27" s="207">
        <v>19</v>
      </c>
      <c r="B27" s="374" t="s">
        <v>56</v>
      </c>
      <c r="C27" s="376"/>
      <c r="D27" s="233">
        <v>18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5018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/>
      </c>
    </row>
    <row r="28" spans="1:12" s="1" customFormat="1" ht="15" customHeight="1">
      <c r="A28" s="207">
        <v>20</v>
      </c>
      <c r="B28" s="374" t="s">
        <v>57</v>
      </c>
      <c r="C28" s="376"/>
      <c r="D28" s="233">
        <v>18</v>
      </c>
      <c r="E28" s="234" t="s">
        <v>4</v>
      </c>
      <c r="F28" s="235" t="s">
        <v>5</v>
      </c>
      <c r="G28" s="209" t="s">
        <v>446</v>
      </c>
      <c r="H28" s="209" t="s">
        <v>446</v>
      </c>
      <c r="I28" s="374" t="s">
        <v>5019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15" customHeight="1" thickBot="1">
      <c r="A29" s="105">
        <v>21</v>
      </c>
      <c r="B29" s="422" t="s">
        <v>25</v>
      </c>
      <c r="C29" s="424"/>
      <c r="D29" s="238">
        <v>157</v>
      </c>
      <c r="E29" s="239" t="s">
        <v>26</v>
      </c>
      <c r="F29" s="240" t="s">
        <v>5</v>
      </c>
      <c r="G29" s="108" t="s">
        <v>4690</v>
      </c>
      <c r="H29" s="108" t="s">
        <v>4690</v>
      </c>
      <c r="I29" s="422" t="s">
        <v>254</v>
      </c>
      <c r="J29" s="423"/>
      <c r="K29" s="424"/>
      <c r="L29" s="198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45" customHeight="1"/>
    <row r="32" spans="1:12" ht="30" customHeight="1"/>
    <row r="43" ht="30" customHeight="1"/>
    <row r="71" ht="30" customHeight="1"/>
    <row r="73" ht="15" customHeight="1"/>
    <row r="118" ht="30" customHeight="1"/>
  </sheetData>
  <mergeCells count="57">
    <mergeCell ref="I17:K17"/>
    <mergeCell ref="I15:K15"/>
    <mergeCell ref="B13:C13"/>
    <mergeCell ref="B14:C14"/>
    <mergeCell ref="I29:K29"/>
    <mergeCell ref="I27:K27"/>
    <mergeCell ref="I25:K25"/>
    <mergeCell ref="I22:K22"/>
    <mergeCell ref="I23:K23"/>
    <mergeCell ref="A2:L2"/>
    <mergeCell ref="B24:C24"/>
    <mergeCell ref="I24:K24"/>
    <mergeCell ref="B7:C7"/>
    <mergeCell ref="B8:C8"/>
    <mergeCell ref="B9:C9"/>
    <mergeCell ref="I8:K8"/>
    <mergeCell ref="I7:K7"/>
    <mergeCell ref="G4:I4"/>
    <mergeCell ref="K4:L4"/>
    <mergeCell ref="G5:I5"/>
    <mergeCell ref="K5:L5"/>
    <mergeCell ref="I9:K9"/>
    <mergeCell ref="A5:B5"/>
    <mergeCell ref="D5:F5"/>
    <mergeCell ref="I14:K14"/>
    <mergeCell ref="B29:C29"/>
    <mergeCell ref="I28:K28"/>
    <mergeCell ref="B23:C23"/>
    <mergeCell ref="B16:C16"/>
    <mergeCell ref="B17:C17"/>
    <mergeCell ref="B18:C18"/>
    <mergeCell ref="B19:C19"/>
    <mergeCell ref="B20:C20"/>
    <mergeCell ref="B21:C21"/>
    <mergeCell ref="B22:C22"/>
    <mergeCell ref="I16:K16"/>
    <mergeCell ref="I20:K20"/>
    <mergeCell ref="B26:C26"/>
    <mergeCell ref="I21:K21"/>
    <mergeCell ref="I18:K18"/>
    <mergeCell ref="I19:K19"/>
    <mergeCell ref="B27:C27"/>
    <mergeCell ref="B28:C28"/>
    <mergeCell ref="I26:K26"/>
    <mergeCell ref="B25:C25"/>
    <mergeCell ref="A3:B3"/>
    <mergeCell ref="A4:B4"/>
    <mergeCell ref="D4:F4"/>
    <mergeCell ref="C3:L3"/>
    <mergeCell ref="B15:C15"/>
    <mergeCell ref="B10:C10"/>
    <mergeCell ref="B11:C11"/>
    <mergeCell ref="B12:C12"/>
    <mergeCell ref="I10:K10"/>
    <mergeCell ref="I12:K12"/>
    <mergeCell ref="I13:K13"/>
    <mergeCell ref="I11:K11"/>
  </mergeCells>
  <phoneticPr fontId="1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571C-D187-44BB-A2DD-B0F93962620A}">
  <sheetPr codeName="Sheet78"/>
  <dimension ref="A1:L17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12.7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4942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7672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172</v>
      </c>
      <c r="H4" s="411"/>
      <c r="I4" s="412"/>
      <c r="J4" s="115" t="s">
        <v>33</v>
      </c>
      <c r="K4" s="410"/>
      <c r="L4" s="413"/>
    </row>
    <row r="5" spans="1:12" ht="15" customHeight="1" thickBot="1">
      <c r="A5" s="395" t="s">
        <v>34</v>
      </c>
      <c r="B5" s="396"/>
      <c r="C5" s="120">
        <v>392</v>
      </c>
      <c r="D5" s="397" t="s">
        <v>35</v>
      </c>
      <c r="E5" s="398"/>
      <c r="F5" s="399"/>
      <c r="G5" s="441" t="s">
        <v>84</v>
      </c>
      <c r="H5" s="442"/>
      <c r="I5" s="443"/>
      <c r="J5" s="118" t="s">
        <v>36</v>
      </c>
      <c r="K5" s="417" t="str">
        <f>VLOOKUP(G4,목록!E13:$G$82,3,FALSE)</f>
        <v>SLP210404BW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109</v>
      </c>
      <c r="C10" s="373"/>
      <c r="D10" s="206">
        <v>4</v>
      </c>
      <c r="E10" s="228" t="s">
        <v>4</v>
      </c>
      <c r="F10" s="209" t="s">
        <v>5</v>
      </c>
      <c r="G10" s="209" t="s">
        <v>446</v>
      </c>
      <c r="H10" s="209" t="s">
        <v>446</v>
      </c>
      <c r="I10" s="366" t="s">
        <v>4915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373" t="s">
        <v>102</v>
      </c>
      <c r="C11" s="373"/>
      <c r="D11" s="206">
        <v>4</v>
      </c>
      <c r="E11" s="228" t="s">
        <v>4</v>
      </c>
      <c r="F11" s="209" t="s">
        <v>5</v>
      </c>
      <c r="G11" s="209" t="s">
        <v>446</v>
      </c>
      <c r="H11" s="209" t="s">
        <v>446</v>
      </c>
      <c r="I11" s="366" t="s">
        <v>4916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81">
      <c r="A12" s="210">
        <v>4</v>
      </c>
      <c r="B12" s="449" t="s">
        <v>110</v>
      </c>
      <c r="C12" s="450"/>
      <c r="D12" s="230">
        <v>2</v>
      </c>
      <c r="E12" s="208" t="s">
        <v>4</v>
      </c>
      <c r="F12" s="209" t="s">
        <v>5</v>
      </c>
      <c r="G12" s="209" t="s">
        <v>446</v>
      </c>
      <c r="H12" s="209" t="s">
        <v>446</v>
      </c>
      <c r="I12" s="366" t="s">
        <v>5277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11 : 지정시점예약자금이체
21 : 일반자금이체
22 : 수취인지정자금이체
23 : 콜공급-직거래
24 : 콜공급-중개거래
25 : 콜상환</v>
      </c>
    </row>
    <row r="13" spans="1:12" ht="15" customHeight="1">
      <c r="A13" s="210">
        <v>5</v>
      </c>
      <c r="B13" s="373" t="s">
        <v>19</v>
      </c>
      <c r="C13" s="373"/>
      <c r="D13" s="206">
        <v>5</v>
      </c>
      <c r="E13" s="208" t="s">
        <v>4</v>
      </c>
      <c r="F13" s="209" t="s">
        <v>5</v>
      </c>
      <c r="G13" s="209" t="s">
        <v>446</v>
      </c>
      <c r="H13" s="209" t="s">
        <v>446</v>
      </c>
      <c r="I13" s="366" t="s">
        <v>4918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15" customHeight="1">
      <c r="A14" s="210">
        <v>7</v>
      </c>
      <c r="B14" s="373" t="s">
        <v>10</v>
      </c>
      <c r="C14" s="373"/>
      <c r="D14" s="206">
        <v>18</v>
      </c>
      <c r="E14" s="208" t="s">
        <v>4</v>
      </c>
      <c r="F14" s="209" t="s">
        <v>5</v>
      </c>
      <c r="G14" s="209" t="s">
        <v>446</v>
      </c>
      <c r="H14" s="209" t="s">
        <v>446</v>
      </c>
      <c r="I14" s="366" t="s">
        <v>4919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15" customHeight="1">
      <c r="A15" s="210">
        <v>8</v>
      </c>
      <c r="B15" s="372" t="s">
        <v>111</v>
      </c>
      <c r="C15" s="372"/>
      <c r="D15" s="211">
        <v>6</v>
      </c>
      <c r="E15" s="208" t="s">
        <v>4</v>
      </c>
      <c r="F15" s="209" t="s">
        <v>5</v>
      </c>
      <c r="G15" s="209" t="s">
        <v>446</v>
      </c>
      <c r="H15" s="209" t="s">
        <v>446</v>
      </c>
      <c r="I15" s="374" t="s">
        <v>4940</v>
      </c>
      <c r="J15" s="375"/>
      <c r="K15" s="376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5" customHeight="1">
      <c r="A16" s="210">
        <v>9</v>
      </c>
      <c r="B16" s="364" t="s">
        <v>99</v>
      </c>
      <c r="C16" s="365"/>
      <c r="D16" s="212">
        <v>4</v>
      </c>
      <c r="E16" s="208" t="s">
        <v>4</v>
      </c>
      <c r="F16" s="209" t="s">
        <v>5</v>
      </c>
      <c r="G16" s="209" t="s">
        <v>446</v>
      </c>
      <c r="H16" s="209" t="s">
        <v>446</v>
      </c>
      <c r="I16" s="366" t="s">
        <v>4801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3.5" customHeight="1" thickBot="1">
      <c r="A17" s="213">
        <v>10</v>
      </c>
      <c r="B17" s="420" t="s">
        <v>25</v>
      </c>
      <c r="C17" s="420"/>
      <c r="D17" s="223">
        <v>141</v>
      </c>
      <c r="E17" s="229" t="s">
        <v>80</v>
      </c>
      <c r="F17" s="108" t="s">
        <v>5</v>
      </c>
      <c r="G17" s="108" t="s">
        <v>4690</v>
      </c>
      <c r="H17" s="108" t="s">
        <v>4690</v>
      </c>
      <c r="I17" s="422" t="s">
        <v>254</v>
      </c>
      <c r="J17" s="423"/>
      <c r="K17" s="424"/>
      <c r="L17" s="198" t="str">
        <f ca="1">IFERROR(_xlfn.TEXTJOIN(CHAR(10), TRUE, OFFSET('&lt;별첨9&gt;전체코드'!E:E, MATCH(B17,'&lt;별첨9&gt;전체코드'!A:A,0)-1, 0, COUNTIF('&lt;별첨9&gt;전체코드'!A:A,B17), 1)), "")</f>
        <v/>
      </c>
    </row>
  </sheetData>
  <mergeCells count="33">
    <mergeCell ref="K5:L5"/>
    <mergeCell ref="A2:L2"/>
    <mergeCell ref="B16:C16"/>
    <mergeCell ref="B10:C10"/>
    <mergeCell ref="B11:C11"/>
    <mergeCell ref="B12:C12"/>
    <mergeCell ref="I10:K10"/>
    <mergeCell ref="I12:K12"/>
    <mergeCell ref="B7:C7"/>
    <mergeCell ref="B8:C8"/>
    <mergeCell ref="B9:C9"/>
    <mergeCell ref="I8:K8"/>
    <mergeCell ref="A5:B5"/>
    <mergeCell ref="D5:F5"/>
    <mergeCell ref="A3:B3"/>
    <mergeCell ref="A4:B4"/>
    <mergeCell ref="D4:F4"/>
    <mergeCell ref="C3:L3"/>
    <mergeCell ref="B17:C17"/>
    <mergeCell ref="B13:C13"/>
    <mergeCell ref="B14:C14"/>
    <mergeCell ref="B15:C15"/>
    <mergeCell ref="I14:K14"/>
    <mergeCell ref="I16:K16"/>
    <mergeCell ref="I17:K17"/>
    <mergeCell ref="I15:K15"/>
    <mergeCell ref="I13:K13"/>
    <mergeCell ref="I11:K11"/>
    <mergeCell ref="I9:K9"/>
    <mergeCell ref="I7:K7"/>
    <mergeCell ref="G4:I4"/>
    <mergeCell ref="K4:L4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7324-DADD-4584-BF76-65C1485706C3}">
  <sheetPr codeName="Sheet164"/>
  <dimension ref="A1:L38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5030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7673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3.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240</v>
      </c>
      <c r="H4" s="411"/>
      <c r="I4" s="412"/>
      <c r="J4" s="115" t="s">
        <v>5263</v>
      </c>
      <c r="K4" s="410"/>
      <c r="L4" s="413"/>
    </row>
    <row r="5" spans="1:12" ht="14.25" customHeight="1" thickBot="1">
      <c r="A5" s="395" t="s">
        <v>34</v>
      </c>
      <c r="B5" s="396"/>
      <c r="C5" s="120">
        <v>344</v>
      </c>
      <c r="D5" s="397" t="s">
        <v>35</v>
      </c>
      <c r="E5" s="398"/>
      <c r="F5" s="399"/>
      <c r="G5" s="441" t="s">
        <v>84</v>
      </c>
      <c r="H5" s="442"/>
      <c r="I5" s="443"/>
      <c r="J5" s="118" t="s">
        <v>36</v>
      </c>
      <c r="K5" s="417" t="str">
        <f>VLOOKUP(G4,목록!E13:$G$82,3,FALSE)</f>
        <v>SLP240403SR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427" t="s">
        <v>3</v>
      </c>
      <c r="C9" s="428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427" t="s">
        <v>102</v>
      </c>
      <c r="C10" s="428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4916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15" customHeight="1">
      <c r="A11" s="210">
        <v>3</v>
      </c>
      <c r="B11" s="527" t="s">
        <v>223</v>
      </c>
      <c r="C11" s="528"/>
      <c r="D11" s="233">
        <v>4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5026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>&lt;별첨2&gt; 참조</v>
      </c>
    </row>
    <row r="12" spans="1:12" ht="30" customHeight="1">
      <c r="A12" s="210">
        <v>4</v>
      </c>
      <c r="B12" s="527" t="s">
        <v>27</v>
      </c>
      <c r="C12" s="528"/>
      <c r="D12" s="233">
        <v>18</v>
      </c>
      <c r="E12" s="234" t="s">
        <v>4</v>
      </c>
      <c r="F12" s="235" t="s">
        <v>5</v>
      </c>
      <c r="G12" s="209" t="s">
        <v>4690</v>
      </c>
      <c r="H12" s="209" t="s">
        <v>446</v>
      </c>
      <c r="I12" s="374" t="s">
        <v>5015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30" customHeight="1">
      <c r="A13" s="210">
        <v>5</v>
      </c>
      <c r="B13" s="527" t="s">
        <v>44</v>
      </c>
      <c r="C13" s="528"/>
      <c r="D13" s="233">
        <v>18</v>
      </c>
      <c r="E13" s="234" t="s">
        <v>4</v>
      </c>
      <c r="F13" s="235" t="s">
        <v>5</v>
      </c>
      <c r="G13" s="209" t="s">
        <v>4690</v>
      </c>
      <c r="H13" s="209" t="s">
        <v>446</v>
      </c>
      <c r="I13" s="374" t="s">
        <v>5016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30" customHeight="1">
      <c r="A14" s="210">
        <v>6</v>
      </c>
      <c r="B14" s="527" t="s">
        <v>248</v>
      </c>
      <c r="C14" s="528"/>
      <c r="D14" s="233">
        <v>18</v>
      </c>
      <c r="E14" s="234" t="s">
        <v>4</v>
      </c>
      <c r="F14" s="235" t="s">
        <v>5</v>
      </c>
      <c r="G14" s="209" t="s">
        <v>4690</v>
      </c>
      <c r="H14" s="209" t="s">
        <v>446</v>
      </c>
      <c r="I14" s="374" t="s">
        <v>5017</v>
      </c>
      <c r="J14" s="375"/>
      <c r="K14" s="376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30" customHeight="1">
      <c r="A15" s="210">
        <v>7</v>
      </c>
      <c r="B15" s="527" t="s">
        <v>249</v>
      </c>
      <c r="C15" s="528"/>
      <c r="D15" s="233">
        <v>18</v>
      </c>
      <c r="E15" s="234" t="s">
        <v>4</v>
      </c>
      <c r="F15" s="235" t="s">
        <v>5</v>
      </c>
      <c r="G15" s="209" t="s">
        <v>4690</v>
      </c>
      <c r="H15" s="209" t="s">
        <v>446</v>
      </c>
      <c r="I15" s="366" t="s">
        <v>5027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30" customHeight="1">
      <c r="A16" s="210">
        <v>8</v>
      </c>
      <c r="B16" s="427" t="s">
        <v>250</v>
      </c>
      <c r="C16" s="428"/>
      <c r="D16" s="233">
        <v>18</v>
      </c>
      <c r="E16" s="234" t="s">
        <v>4</v>
      </c>
      <c r="F16" s="235" t="s">
        <v>5</v>
      </c>
      <c r="G16" s="209" t="s">
        <v>4690</v>
      </c>
      <c r="H16" s="209" t="s">
        <v>446</v>
      </c>
      <c r="I16" s="366" t="s">
        <v>5028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30" customHeight="1">
      <c r="A17" s="210">
        <v>9</v>
      </c>
      <c r="B17" s="427" t="s">
        <v>251</v>
      </c>
      <c r="C17" s="428"/>
      <c r="D17" s="233">
        <v>18</v>
      </c>
      <c r="E17" s="234" t="s">
        <v>4</v>
      </c>
      <c r="F17" s="235" t="s">
        <v>5</v>
      </c>
      <c r="G17" s="209" t="s">
        <v>4690</v>
      </c>
      <c r="H17" s="209" t="s">
        <v>446</v>
      </c>
      <c r="I17" s="366" t="s">
        <v>5029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30" customHeight="1">
      <c r="A18" s="210">
        <v>10</v>
      </c>
      <c r="B18" s="427" t="s">
        <v>111</v>
      </c>
      <c r="C18" s="428"/>
      <c r="D18" s="233">
        <v>6</v>
      </c>
      <c r="E18" s="234" t="s">
        <v>4</v>
      </c>
      <c r="F18" s="235" t="s">
        <v>5</v>
      </c>
      <c r="G18" s="209" t="s">
        <v>4690</v>
      </c>
      <c r="H18" s="209" t="s">
        <v>446</v>
      </c>
      <c r="I18" s="366" t="s">
        <v>4967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 thickBot="1">
      <c r="A19" s="213">
        <v>11</v>
      </c>
      <c r="B19" s="425" t="s">
        <v>25</v>
      </c>
      <c r="C19" s="426"/>
      <c r="D19" s="238">
        <v>14</v>
      </c>
      <c r="E19" s="239" t="s">
        <v>80</v>
      </c>
      <c r="F19" s="240" t="s">
        <v>196</v>
      </c>
      <c r="G19" s="108" t="s">
        <v>4690</v>
      </c>
      <c r="H19" s="108" t="s">
        <v>4690</v>
      </c>
      <c r="I19" s="422" t="s">
        <v>254</v>
      </c>
      <c r="J19" s="423"/>
      <c r="K19" s="424"/>
      <c r="L19" s="198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30" customHeight="1"/>
    <row r="38" ht="13.5" customHeight="1"/>
  </sheetData>
  <mergeCells count="37">
    <mergeCell ref="A2:L2"/>
    <mergeCell ref="I18:K18"/>
    <mergeCell ref="I16:K16"/>
    <mergeCell ref="I13:K13"/>
    <mergeCell ref="I14:K14"/>
    <mergeCell ref="I7:K7"/>
    <mergeCell ref="I8:K8"/>
    <mergeCell ref="G4:I4"/>
    <mergeCell ref="K4:L4"/>
    <mergeCell ref="B13:C13"/>
    <mergeCell ref="B14:C14"/>
    <mergeCell ref="B15:C15"/>
    <mergeCell ref="I15:K15"/>
    <mergeCell ref="B10:C10"/>
    <mergeCell ref="B11:C11"/>
    <mergeCell ref="B12:C12"/>
    <mergeCell ref="B19:C19"/>
    <mergeCell ref="B16:C16"/>
    <mergeCell ref="B17:C17"/>
    <mergeCell ref="B18:C18"/>
    <mergeCell ref="I17:K17"/>
    <mergeCell ref="I19:K19"/>
    <mergeCell ref="I10:K10"/>
    <mergeCell ref="I11:K11"/>
    <mergeCell ref="I12:K12"/>
    <mergeCell ref="B7:C7"/>
    <mergeCell ref="B8:C8"/>
    <mergeCell ref="B9:C9"/>
    <mergeCell ref="I9:K9"/>
    <mergeCell ref="G5:I5"/>
    <mergeCell ref="K5:L5"/>
    <mergeCell ref="C3:L3"/>
    <mergeCell ref="A5:B5"/>
    <mergeCell ref="D5:F5"/>
    <mergeCell ref="A3:B3"/>
    <mergeCell ref="A4:B4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C6F0-1C12-4F82-978D-8C82AF943EB5}">
  <sheetPr codeName="Sheet7"/>
  <dimension ref="A1:L29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5041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7619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7628</v>
      </c>
      <c r="D4" s="404" t="s">
        <v>32</v>
      </c>
      <c r="E4" s="405"/>
      <c r="F4" s="406"/>
      <c r="G4" s="410" t="s">
        <v>127</v>
      </c>
      <c r="H4" s="411"/>
      <c r="I4" s="412"/>
      <c r="J4" s="115" t="s">
        <v>5263</v>
      </c>
      <c r="K4" s="410"/>
      <c r="L4" s="413"/>
    </row>
    <row r="5" spans="1:12" ht="14.25" customHeight="1" thickBot="1">
      <c r="A5" s="395" t="s">
        <v>34</v>
      </c>
      <c r="B5" s="396"/>
      <c r="C5" s="120">
        <v>1208</v>
      </c>
      <c r="D5" s="397" t="s">
        <v>35</v>
      </c>
      <c r="E5" s="398"/>
      <c r="F5" s="399"/>
      <c r="G5" s="414">
        <v>0.72916666666666663</v>
      </c>
      <c r="H5" s="415"/>
      <c r="I5" s="416"/>
      <c r="J5" s="118" t="s">
        <v>36</v>
      </c>
      <c r="K5" s="417" t="str">
        <f>VLOOKUP(G4,목록!E13:$G$82,3,FALSE)</f>
        <v>SLP870503BW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30" customHeight="1">
      <c r="A10" s="210">
        <v>2</v>
      </c>
      <c r="B10" s="373" t="s">
        <v>271</v>
      </c>
      <c r="C10" s="373"/>
      <c r="D10" s="206">
        <v>4</v>
      </c>
      <c r="E10" s="228" t="s">
        <v>4</v>
      </c>
      <c r="F10" s="235" t="s">
        <v>5</v>
      </c>
      <c r="G10" s="209" t="s">
        <v>446</v>
      </c>
      <c r="H10" s="209" t="s">
        <v>446</v>
      </c>
      <c r="I10" s="366" t="s">
        <v>5275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373" t="s">
        <v>272</v>
      </c>
      <c r="C11" s="373"/>
      <c r="D11" s="206">
        <v>4</v>
      </c>
      <c r="E11" s="228" t="s">
        <v>4</v>
      </c>
      <c r="F11" s="235" t="s">
        <v>5</v>
      </c>
      <c r="G11" s="209" t="s">
        <v>446</v>
      </c>
      <c r="H11" s="209" t="s">
        <v>446</v>
      </c>
      <c r="I11" s="366" t="s">
        <v>4916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27">
      <c r="A12" s="210">
        <v>4</v>
      </c>
      <c r="B12" s="364" t="s">
        <v>5034</v>
      </c>
      <c r="C12" s="365"/>
      <c r="D12" s="211">
        <v>1</v>
      </c>
      <c r="E12" s="224" t="s">
        <v>4</v>
      </c>
      <c r="F12" s="235" t="s">
        <v>5</v>
      </c>
      <c r="G12" s="209" t="s">
        <v>446</v>
      </c>
      <c r="H12" s="209" t="s">
        <v>446</v>
      </c>
      <c r="I12" s="374" t="s">
        <v>5035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1 : 집계
2 : 집계취소</v>
      </c>
    </row>
    <row r="13" spans="1:12" ht="45" customHeight="1">
      <c r="A13" s="210">
        <v>5</v>
      </c>
      <c r="B13" s="364" t="s">
        <v>274</v>
      </c>
      <c r="C13" s="365"/>
      <c r="D13" s="211">
        <v>1</v>
      </c>
      <c r="E13" s="224" t="s">
        <v>4</v>
      </c>
      <c r="F13" s="235" t="s">
        <v>5</v>
      </c>
      <c r="G13" s="209" t="s">
        <v>446</v>
      </c>
      <c r="H13" s="209" t="s">
        <v>446</v>
      </c>
      <c r="I13" s="374" t="s">
        <v>7680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>1 : 한국은행작성
2 : 참가기관작성</v>
      </c>
    </row>
    <row r="14" spans="1:12" ht="15" customHeight="1">
      <c r="A14" s="210">
        <v>6</v>
      </c>
      <c r="B14" s="372" t="s">
        <v>276</v>
      </c>
      <c r="C14" s="372"/>
      <c r="D14" s="211">
        <v>960</v>
      </c>
      <c r="E14" s="224"/>
      <c r="F14" s="235" t="s">
        <v>5</v>
      </c>
      <c r="G14" s="209" t="s">
        <v>446</v>
      </c>
      <c r="H14" s="209" t="s">
        <v>446</v>
      </c>
      <c r="I14" s="366" t="s">
        <v>5036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152.25" customHeight="1">
      <c r="A15" s="210">
        <v>7</v>
      </c>
      <c r="B15" s="364" t="s">
        <v>277</v>
      </c>
      <c r="C15" s="365"/>
      <c r="D15" s="211">
        <v>2</v>
      </c>
      <c r="E15" s="224" t="s">
        <v>234</v>
      </c>
      <c r="F15" s="235" t="s">
        <v>5</v>
      </c>
      <c r="G15" s="209" t="s">
        <v>446</v>
      </c>
      <c r="H15" s="209" t="s">
        <v>446</v>
      </c>
      <c r="I15" s="366" t="s">
        <v>5040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00 : 해당없음
01 : 일반자금이체
02 : 수취인지정자금이체
03 : 콜직거래
04 : 콜중개거래
05 : 증권대금이체
06 : 당좌예금차기
07 : 콜상환(반환)
08 : 연계결제</v>
      </c>
    </row>
    <row r="16" spans="1:12" ht="15" customHeight="1">
      <c r="A16" s="210">
        <v>8</v>
      </c>
      <c r="B16" s="364" t="s">
        <v>278</v>
      </c>
      <c r="C16" s="365"/>
      <c r="D16" s="211">
        <v>5</v>
      </c>
      <c r="E16" s="224" t="s">
        <v>4</v>
      </c>
      <c r="F16" s="235" t="s">
        <v>5</v>
      </c>
      <c r="G16" s="209" t="s">
        <v>446</v>
      </c>
      <c r="H16" s="209" t="s">
        <v>446</v>
      </c>
      <c r="I16" s="366" t="s">
        <v>5037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5" customHeight="1">
      <c r="A17" s="210">
        <v>9</v>
      </c>
      <c r="B17" s="364" t="s">
        <v>279</v>
      </c>
      <c r="C17" s="365"/>
      <c r="D17" s="206">
        <v>18</v>
      </c>
      <c r="E17" s="228" t="s">
        <v>4</v>
      </c>
      <c r="F17" s="235" t="s">
        <v>5</v>
      </c>
      <c r="G17" s="209" t="s">
        <v>446</v>
      </c>
      <c r="H17" s="209" t="s">
        <v>446</v>
      </c>
      <c r="I17" s="366" t="s">
        <v>4932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15" customHeight="1">
      <c r="A18" s="210">
        <v>10</v>
      </c>
      <c r="B18" s="364" t="s">
        <v>280</v>
      </c>
      <c r="C18" s="365"/>
      <c r="D18" s="206">
        <v>5</v>
      </c>
      <c r="E18" s="228" t="s">
        <v>4</v>
      </c>
      <c r="F18" s="235" t="s">
        <v>5</v>
      </c>
      <c r="G18" s="209" t="s">
        <v>446</v>
      </c>
      <c r="H18" s="209" t="s">
        <v>446</v>
      </c>
      <c r="I18" s="366" t="s">
        <v>5038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364" t="s">
        <v>281</v>
      </c>
      <c r="C19" s="365"/>
      <c r="D19" s="206">
        <v>18</v>
      </c>
      <c r="E19" s="228" t="s">
        <v>4</v>
      </c>
      <c r="F19" s="235" t="s">
        <v>5</v>
      </c>
      <c r="G19" s="209" t="s">
        <v>446</v>
      </c>
      <c r="H19" s="209" t="s">
        <v>446</v>
      </c>
      <c r="I19" s="366" t="s">
        <v>5039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77">
        <v>12</v>
      </c>
      <c r="B20" s="368" t="s">
        <v>25</v>
      </c>
      <c r="C20" s="368"/>
      <c r="D20" s="278">
        <v>30</v>
      </c>
      <c r="E20" s="279" t="s">
        <v>26</v>
      </c>
      <c r="F20" s="280" t="s">
        <v>5</v>
      </c>
      <c r="G20" s="281" t="s">
        <v>4690</v>
      </c>
      <c r="H20" s="281" t="s">
        <v>4690</v>
      </c>
      <c r="I20" s="369" t="s">
        <v>254</v>
      </c>
      <c r="J20" s="370"/>
      <c r="K20" s="371"/>
      <c r="L20" s="282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2" customHeight="1">
      <c r="A21" s="384" t="s">
        <v>225</v>
      </c>
      <c r="B21" s="386" t="s">
        <v>5276</v>
      </c>
      <c r="C21" s="387"/>
      <c r="D21" s="387"/>
      <c r="E21" s="387"/>
      <c r="F21" s="387"/>
      <c r="G21" s="387"/>
      <c r="H21" s="387"/>
      <c r="I21" s="387"/>
      <c r="J21" s="387"/>
      <c r="K21" s="387"/>
      <c r="L21" s="388"/>
    </row>
    <row r="22" spans="1:12" ht="12" customHeight="1">
      <c r="A22" s="384"/>
      <c r="B22" s="389"/>
      <c r="C22" s="390"/>
      <c r="D22" s="390"/>
      <c r="E22" s="390"/>
      <c r="F22" s="390"/>
      <c r="G22" s="390"/>
      <c r="H22" s="390"/>
      <c r="I22" s="390"/>
      <c r="J22" s="390"/>
      <c r="K22" s="390"/>
      <c r="L22" s="391"/>
    </row>
    <row r="23" spans="1:12" ht="12" customHeight="1">
      <c r="A23" s="384"/>
      <c r="B23" s="389"/>
      <c r="C23" s="390"/>
      <c r="D23" s="390"/>
      <c r="E23" s="390"/>
      <c r="F23" s="390"/>
      <c r="G23" s="390"/>
      <c r="H23" s="390"/>
      <c r="I23" s="390"/>
      <c r="J23" s="390"/>
      <c r="K23" s="390"/>
      <c r="L23" s="391"/>
    </row>
    <row r="24" spans="1:12" ht="12" customHeight="1">
      <c r="A24" s="384"/>
      <c r="B24" s="389"/>
      <c r="C24" s="390"/>
      <c r="D24" s="390"/>
      <c r="E24" s="390"/>
      <c r="F24" s="390"/>
      <c r="G24" s="390"/>
      <c r="H24" s="390"/>
      <c r="I24" s="390"/>
      <c r="J24" s="390"/>
      <c r="K24" s="390"/>
      <c r="L24" s="391"/>
    </row>
    <row r="25" spans="1:12" ht="12" customHeight="1">
      <c r="A25" s="384"/>
      <c r="B25" s="389"/>
      <c r="C25" s="390"/>
      <c r="D25" s="390"/>
      <c r="E25" s="390"/>
      <c r="F25" s="390"/>
      <c r="G25" s="390"/>
      <c r="H25" s="390"/>
      <c r="I25" s="390"/>
      <c r="J25" s="390"/>
      <c r="K25" s="390"/>
      <c r="L25" s="391"/>
    </row>
    <row r="26" spans="1:12" ht="12" customHeight="1">
      <c r="A26" s="384"/>
      <c r="B26" s="389"/>
      <c r="C26" s="390"/>
      <c r="D26" s="390"/>
      <c r="E26" s="390"/>
      <c r="F26" s="390"/>
      <c r="G26" s="390"/>
      <c r="H26" s="390"/>
      <c r="I26" s="390"/>
      <c r="J26" s="390"/>
      <c r="K26" s="390"/>
      <c r="L26" s="391"/>
    </row>
    <row r="27" spans="1:12" ht="12" customHeight="1">
      <c r="A27" s="384"/>
      <c r="B27" s="389"/>
      <c r="C27" s="390"/>
      <c r="D27" s="390"/>
      <c r="E27" s="390"/>
      <c r="F27" s="390"/>
      <c r="G27" s="390"/>
      <c r="H27" s="390"/>
      <c r="I27" s="390"/>
      <c r="J27" s="390"/>
      <c r="K27" s="390"/>
      <c r="L27" s="391"/>
    </row>
    <row r="28" spans="1:12" ht="12" customHeight="1">
      <c r="A28" s="384"/>
      <c r="B28" s="389"/>
      <c r="C28" s="390"/>
      <c r="D28" s="390"/>
      <c r="E28" s="390"/>
      <c r="F28" s="390"/>
      <c r="G28" s="390"/>
      <c r="H28" s="390"/>
      <c r="I28" s="390"/>
      <c r="J28" s="390"/>
      <c r="K28" s="390"/>
      <c r="L28" s="391"/>
    </row>
    <row r="29" spans="1:12" ht="28.5" customHeight="1" thickBot="1">
      <c r="A29" s="385"/>
      <c r="B29" s="392"/>
      <c r="C29" s="393"/>
      <c r="D29" s="393"/>
      <c r="E29" s="393"/>
      <c r="F29" s="393"/>
      <c r="G29" s="393"/>
      <c r="H29" s="393"/>
      <c r="I29" s="393"/>
      <c r="J29" s="393"/>
      <c r="K29" s="393"/>
      <c r="L29" s="394"/>
    </row>
  </sheetData>
  <mergeCells count="41">
    <mergeCell ref="A2:L2"/>
    <mergeCell ref="I19:K19"/>
    <mergeCell ref="I17:K17"/>
    <mergeCell ref="A21:A29"/>
    <mergeCell ref="B21:L29"/>
    <mergeCell ref="A5:B5"/>
    <mergeCell ref="D5:F5"/>
    <mergeCell ref="A3:B3"/>
    <mergeCell ref="A4:B4"/>
    <mergeCell ref="D4:F4"/>
    <mergeCell ref="C3:L3"/>
    <mergeCell ref="G4:I4"/>
    <mergeCell ref="K4:L4"/>
    <mergeCell ref="G5:I5"/>
    <mergeCell ref="K5:L5"/>
    <mergeCell ref="B7:C7"/>
    <mergeCell ref="B8:C8"/>
    <mergeCell ref="B9:C9"/>
    <mergeCell ref="I8:K8"/>
    <mergeCell ref="B10:C10"/>
    <mergeCell ref="I7:K7"/>
    <mergeCell ref="I9:K9"/>
    <mergeCell ref="B11:C11"/>
    <mergeCell ref="B12:C12"/>
    <mergeCell ref="I10:K10"/>
    <mergeCell ref="I12:K12"/>
    <mergeCell ref="B13:C13"/>
    <mergeCell ref="I11:K11"/>
    <mergeCell ref="I13:K13"/>
    <mergeCell ref="B14:C14"/>
    <mergeCell ref="B15:C15"/>
    <mergeCell ref="I14:K14"/>
    <mergeCell ref="B16:C16"/>
    <mergeCell ref="B17:C17"/>
    <mergeCell ref="I15:K15"/>
    <mergeCell ref="B18:C18"/>
    <mergeCell ref="I16:K16"/>
    <mergeCell ref="I18:K18"/>
    <mergeCell ref="B19:C19"/>
    <mergeCell ref="B20:C20"/>
    <mergeCell ref="I20:K20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4A3-10BA-4A58-BB14-CC80A0DD1633}">
  <sheetPr codeName="Sheet213"/>
  <dimension ref="A1:L40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16.87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268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>
      <c r="A3" s="400" t="s">
        <v>0</v>
      </c>
      <c r="B3" s="401"/>
      <c r="C3" s="407" t="s">
        <v>7674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32.2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242</v>
      </c>
      <c r="H4" s="411"/>
      <c r="I4" s="412"/>
      <c r="J4" s="115" t="s">
        <v>5263</v>
      </c>
      <c r="K4" s="410" t="s">
        <v>4976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SLP230301SW</v>
      </c>
      <c r="L5" s="418"/>
    </row>
    <row r="6" spans="1:12" ht="17.25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6.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28.5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27.75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4923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527" t="s">
        <v>256</v>
      </c>
      <c r="C12" s="528"/>
      <c r="D12" s="233">
        <v>13</v>
      </c>
      <c r="E12" s="234" t="s">
        <v>42</v>
      </c>
      <c r="F12" s="235" t="s">
        <v>196</v>
      </c>
      <c r="G12" s="209" t="s">
        <v>446</v>
      </c>
      <c r="H12" s="209" t="s">
        <v>446</v>
      </c>
      <c r="I12" s="427" t="s">
        <v>4978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30.75" customHeight="1">
      <c r="A13" s="210">
        <v>5</v>
      </c>
      <c r="B13" s="527" t="s">
        <v>7</v>
      </c>
      <c r="C13" s="528"/>
      <c r="D13" s="233">
        <v>5</v>
      </c>
      <c r="E13" s="234" t="s">
        <v>4</v>
      </c>
      <c r="F13" s="235" t="s">
        <v>5</v>
      </c>
      <c r="G13" s="209" t="s">
        <v>4690</v>
      </c>
      <c r="H13" s="209" t="s">
        <v>446</v>
      </c>
      <c r="I13" s="427" t="s">
        <v>4979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27" customHeight="1">
      <c r="A14" s="210">
        <v>6</v>
      </c>
      <c r="B14" s="527" t="s">
        <v>10</v>
      </c>
      <c r="C14" s="528"/>
      <c r="D14" s="233">
        <v>14</v>
      </c>
      <c r="E14" s="234" t="s">
        <v>4</v>
      </c>
      <c r="F14" s="235" t="s">
        <v>196</v>
      </c>
      <c r="G14" s="209" t="s">
        <v>446</v>
      </c>
      <c r="H14" s="209" t="s">
        <v>446</v>
      </c>
      <c r="I14" s="366" t="s">
        <v>4981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27">
      <c r="A15" s="210">
        <v>7</v>
      </c>
      <c r="B15" s="527" t="s">
        <v>51</v>
      </c>
      <c r="C15" s="528"/>
      <c r="D15" s="233">
        <v>1</v>
      </c>
      <c r="E15" s="234" t="s">
        <v>4</v>
      </c>
      <c r="F15" s="235" t="s">
        <v>196</v>
      </c>
      <c r="G15" s="209" t="s">
        <v>446</v>
      </c>
      <c r="H15" s="209" t="s">
        <v>446</v>
      </c>
      <c r="I15" s="366" t="s">
        <v>4982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ht="15" customHeight="1">
      <c r="A16" s="210">
        <v>8</v>
      </c>
      <c r="B16" s="527" t="s">
        <v>82</v>
      </c>
      <c r="C16" s="528"/>
      <c r="D16" s="233">
        <v>4</v>
      </c>
      <c r="E16" s="234" t="s">
        <v>4</v>
      </c>
      <c r="F16" s="235" t="s">
        <v>196</v>
      </c>
      <c r="G16" s="209" t="s">
        <v>446</v>
      </c>
      <c r="H16" s="209" t="s">
        <v>446</v>
      </c>
      <c r="I16" s="366" t="s">
        <v>4983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>&lt;별첨2&gt; 참조</v>
      </c>
    </row>
    <row r="17" spans="1:12" ht="30.75" customHeight="1">
      <c r="A17" s="210">
        <v>9</v>
      </c>
      <c r="B17" s="527" t="s">
        <v>8</v>
      </c>
      <c r="C17" s="528"/>
      <c r="D17" s="233">
        <v>4</v>
      </c>
      <c r="E17" s="234" t="s">
        <v>4</v>
      </c>
      <c r="F17" s="235" t="s">
        <v>196</v>
      </c>
      <c r="G17" s="209" t="s">
        <v>446</v>
      </c>
      <c r="H17" s="209" t="s">
        <v>446</v>
      </c>
      <c r="I17" s="366" t="s">
        <v>4925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&lt;별첨3&gt; 참조</v>
      </c>
    </row>
    <row r="18" spans="1:12" ht="15" customHeight="1">
      <c r="A18" s="210">
        <v>10</v>
      </c>
      <c r="B18" s="527" t="s">
        <v>257</v>
      </c>
      <c r="C18" s="528"/>
      <c r="D18" s="233">
        <v>7</v>
      </c>
      <c r="E18" s="234" t="s">
        <v>4</v>
      </c>
      <c r="F18" s="235" t="s">
        <v>196</v>
      </c>
      <c r="G18" s="209" t="s">
        <v>446</v>
      </c>
      <c r="H18" s="209" t="s">
        <v>446</v>
      </c>
      <c r="I18" s="366" t="s">
        <v>4984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527" t="s">
        <v>187</v>
      </c>
      <c r="C19" s="528"/>
      <c r="D19" s="233">
        <v>16</v>
      </c>
      <c r="E19" s="234" t="s">
        <v>42</v>
      </c>
      <c r="F19" s="235" t="s">
        <v>196</v>
      </c>
      <c r="G19" s="209" t="s">
        <v>446</v>
      </c>
      <c r="H19" s="209" t="s">
        <v>446</v>
      </c>
      <c r="I19" s="366" t="s">
        <v>4985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527" t="s">
        <v>185</v>
      </c>
      <c r="C20" s="528"/>
      <c r="D20" s="233">
        <v>16</v>
      </c>
      <c r="E20" s="234" t="s">
        <v>42</v>
      </c>
      <c r="F20" s="235" t="s">
        <v>196</v>
      </c>
      <c r="G20" s="209" t="s">
        <v>446</v>
      </c>
      <c r="H20" s="209" t="s">
        <v>446</v>
      </c>
      <c r="I20" s="366" t="s">
        <v>4986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210">
        <v>13</v>
      </c>
      <c r="B21" s="527" t="s">
        <v>258</v>
      </c>
      <c r="C21" s="528"/>
      <c r="D21" s="233">
        <v>32</v>
      </c>
      <c r="E21" s="234" t="s">
        <v>41</v>
      </c>
      <c r="F21" s="235" t="s">
        <v>196</v>
      </c>
      <c r="G21" s="209" t="s">
        <v>446</v>
      </c>
      <c r="H21" s="209" t="s">
        <v>446</v>
      </c>
      <c r="I21" s="366" t="s">
        <v>4987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>
      <c r="A22" s="210">
        <v>14</v>
      </c>
      <c r="B22" s="527" t="s">
        <v>259</v>
      </c>
      <c r="C22" s="528"/>
      <c r="D22" s="233">
        <v>32</v>
      </c>
      <c r="E22" s="234" t="s">
        <v>41</v>
      </c>
      <c r="F22" s="235" t="s">
        <v>196</v>
      </c>
      <c r="G22" s="209" t="s">
        <v>4661</v>
      </c>
      <c r="H22" s="209" t="s">
        <v>4661</v>
      </c>
      <c r="I22" s="366" t="s">
        <v>4988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527" t="s">
        <v>58</v>
      </c>
      <c r="C23" s="528"/>
      <c r="D23" s="233">
        <v>32</v>
      </c>
      <c r="E23" s="234" t="s">
        <v>41</v>
      </c>
      <c r="F23" s="235" t="s">
        <v>196</v>
      </c>
      <c r="G23" s="209" t="s">
        <v>4661</v>
      </c>
      <c r="H23" s="209" t="s">
        <v>4661</v>
      </c>
      <c r="I23" s="366" t="s">
        <v>4674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08">
      <c r="A24" s="210">
        <v>16</v>
      </c>
      <c r="B24" s="527" t="s">
        <v>260</v>
      </c>
      <c r="C24" s="528"/>
      <c r="D24" s="233">
        <v>2</v>
      </c>
      <c r="E24" s="234" t="s">
        <v>4</v>
      </c>
      <c r="F24" s="235" t="s">
        <v>196</v>
      </c>
      <c r="G24" s="209" t="s">
        <v>446</v>
      </c>
      <c r="H24" s="209" t="s">
        <v>446</v>
      </c>
      <c r="I24" s="374" t="s">
        <v>4989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>01 : PC뱅킹
02 : 인터넷벵킹
03 : 전화
04 : 휴대전화
05 : 건별이체
06 : 기타
07 : 대량이체
08 : TV</v>
      </c>
    </row>
    <row r="25" spans="1:12" ht="162">
      <c r="A25" s="210">
        <v>17</v>
      </c>
      <c r="B25" s="527" t="s">
        <v>261</v>
      </c>
      <c r="C25" s="528"/>
      <c r="D25" s="233">
        <v>2</v>
      </c>
      <c r="E25" s="234" t="s">
        <v>4</v>
      </c>
      <c r="F25" s="235" t="s">
        <v>196</v>
      </c>
      <c r="G25" s="209" t="s">
        <v>446</v>
      </c>
      <c r="H25" s="209" t="s">
        <v>446</v>
      </c>
      <c r="I25" s="374" t="s">
        <v>4990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6" spans="1:12" ht="15" customHeight="1">
      <c r="A26" s="210">
        <v>18</v>
      </c>
      <c r="B26" s="527" t="s">
        <v>262</v>
      </c>
      <c r="C26" s="528"/>
      <c r="D26" s="233">
        <v>32</v>
      </c>
      <c r="E26" s="234" t="s">
        <v>42</v>
      </c>
      <c r="F26" s="235" t="s">
        <v>196</v>
      </c>
      <c r="G26" s="209" t="s">
        <v>4661</v>
      </c>
      <c r="H26" s="209" t="s">
        <v>4661</v>
      </c>
      <c r="I26" s="374" t="s">
        <v>4991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27" customHeight="1">
      <c r="A27" s="210">
        <v>19</v>
      </c>
      <c r="B27" s="527" t="s">
        <v>5009</v>
      </c>
      <c r="C27" s="528"/>
      <c r="D27" s="233">
        <v>1</v>
      </c>
      <c r="E27" s="234" t="s">
        <v>4</v>
      </c>
      <c r="F27" s="235" t="s">
        <v>5</v>
      </c>
      <c r="G27" s="209" t="s">
        <v>4690</v>
      </c>
      <c r="H27" s="209" t="s">
        <v>446</v>
      </c>
      <c r="I27" s="374" t="s">
        <v>4993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 : 해당사항없음
1 : 결제</v>
      </c>
    </row>
    <row r="28" spans="1:12" ht="43.5" customHeight="1">
      <c r="A28" s="210">
        <v>20</v>
      </c>
      <c r="B28" s="527" t="s">
        <v>25</v>
      </c>
      <c r="C28" s="528"/>
      <c r="D28" s="233">
        <v>5</v>
      </c>
      <c r="E28" s="234" t="s">
        <v>4</v>
      </c>
      <c r="F28" s="235" t="s">
        <v>5</v>
      </c>
      <c r="G28" s="209" t="s">
        <v>4690</v>
      </c>
      <c r="H28" s="209" t="s">
        <v>4690</v>
      </c>
      <c r="I28" s="427" t="s">
        <v>4994</v>
      </c>
      <c r="J28" s="529"/>
      <c r="K28" s="428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42.75" customHeight="1">
      <c r="A29" s="210">
        <v>21</v>
      </c>
      <c r="B29" s="527" t="s">
        <v>25</v>
      </c>
      <c r="C29" s="528"/>
      <c r="D29" s="233">
        <v>16</v>
      </c>
      <c r="E29" s="234" t="s">
        <v>42</v>
      </c>
      <c r="F29" s="235" t="s">
        <v>5</v>
      </c>
      <c r="G29" s="209" t="s">
        <v>4690</v>
      </c>
      <c r="H29" s="209" t="s">
        <v>4690</v>
      </c>
      <c r="I29" s="427" t="s">
        <v>4995</v>
      </c>
      <c r="J29" s="529"/>
      <c r="K29" s="428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5" customHeight="1">
      <c r="A30" s="210">
        <v>22</v>
      </c>
      <c r="B30" s="527" t="s">
        <v>21</v>
      </c>
      <c r="C30" s="528"/>
      <c r="D30" s="233">
        <v>9</v>
      </c>
      <c r="E30" s="234" t="s">
        <v>42</v>
      </c>
      <c r="F30" s="235" t="s">
        <v>5</v>
      </c>
      <c r="G30" s="209" t="s">
        <v>4690</v>
      </c>
      <c r="H30" s="209" t="s">
        <v>446</v>
      </c>
      <c r="I30" s="366" t="s">
        <v>4950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27" customHeight="1">
      <c r="A31" s="210">
        <v>23</v>
      </c>
      <c r="B31" s="527" t="s">
        <v>263</v>
      </c>
      <c r="C31" s="528"/>
      <c r="D31" s="233">
        <v>6</v>
      </c>
      <c r="E31" s="234" t="s">
        <v>4</v>
      </c>
      <c r="F31" s="235" t="s">
        <v>5</v>
      </c>
      <c r="G31" s="209" t="s">
        <v>4690</v>
      </c>
      <c r="H31" s="209" t="s">
        <v>446</v>
      </c>
      <c r="I31" s="366" t="s">
        <v>4996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27" customHeight="1">
      <c r="A32" s="210">
        <v>24</v>
      </c>
      <c r="B32" s="527" t="s">
        <v>264</v>
      </c>
      <c r="C32" s="528"/>
      <c r="D32" s="233">
        <v>6</v>
      </c>
      <c r="E32" s="234" t="s">
        <v>4</v>
      </c>
      <c r="F32" s="235" t="s">
        <v>5</v>
      </c>
      <c r="G32" s="209" t="s">
        <v>4690</v>
      </c>
      <c r="H32" s="209" t="s">
        <v>446</v>
      </c>
      <c r="I32" s="366" t="s">
        <v>4997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ht="54" customHeight="1">
      <c r="A33" s="210">
        <v>25</v>
      </c>
      <c r="B33" s="527" t="s">
        <v>54</v>
      </c>
      <c r="C33" s="528"/>
      <c r="D33" s="233">
        <v>1</v>
      </c>
      <c r="E33" s="234" t="s">
        <v>4</v>
      </c>
      <c r="F33" s="235" t="s">
        <v>5</v>
      </c>
      <c r="G33" s="209" t="s">
        <v>4690</v>
      </c>
      <c r="H33" s="209" t="s">
        <v>446</v>
      </c>
      <c r="I33" s="366" t="s">
        <v>4998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>1 : 총액결제
2 : 양자간 동시처리
3 : 다자간 동시처리
4 : 콜연결상환</v>
      </c>
    </row>
    <row r="34" spans="1:12" ht="27" customHeight="1">
      <c r="A34" s="210">
        <v>26</v>
      </c>
      <c r="B34" s="527" t="s">
        <v>55</v>
      </c>
      <c r="C34" s="528"/>
      <c r="D34" s="233">
        <v>2</v>
      </c>
      <c r="E34" s="234" t="s">
        <v>4</v>
      </c>
      <c r="F34" s="235" t="s">
        <v>5</v>
      </c>
      <c r="G34" s="209" t="s">
        <v>4690</v>
      </c>
      <c r="H34" s="209" t="s">
        <v>4690</v>
      </c>
      <c r="I34" s="366" t="s">
        <v>4999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>&lt;별첨6&gt; 참조</v>
      </c>
    </row>
    <row r="35" spans="1:12" ht="27" customHeight="1">
      <c r="A35" s="210">
        <v>27</v>
      </c>
      <c r="B35" s="527" t="s">
        <v>27</v>
      </c>
      <c r="C35" s="528"/>
      <c r="D35" s="236">
        <v>18</v>
      </c>
      <c r="E35" s="237" t="s">
        <v>4</v>
      </c>
      <c r="F35" s="235" t="s">
        <v>5</v>
      </c>
      <c r="G35" s="209" t="s">
        <v>4690</v>
      </c>
      <c r="H35" s="209" t="s">
        <v>4690</v>
      </c>
      <c r="I35" s="374" t="s">
        <v>5000</v>
      </c>
      <c r="J35" s="375"/>
      <c r="K35" s="376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ht="27" customHeight="1">
      <c r="A36" s="210">
        <v>28</v>
      </c>
      <c r="B36" s="527" t="s">
        <v>44</v>
      </c>
      <c r="C36" s="528"/>
      <c r="D36" s="233">
        <v>18</v>
      </c>
      <c r="E36" s="234" t="s">
        <v>4</v>
      </c>
      <c r="F36" s="235" t="s">
        <v>5</v>
      </c>
      <c r="G36" s="209" t="s">
        <v>4690</v>
      </c>
      <c r="H36" s="209" t="s">
        <v>4690</v>
      </c>
      <c r="I36" s="374" t="s">
        <v>5001</v>
      </c>
      <c r="J36" s="375"/>
      <c r="K36" s="376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27" customHeight="1">
      <c r="A37" s="210">
        <v>29</v>
      </c>
      <c r="B37" s="527" t="s">
        <v>24</v>
      </c>
      <c r="C37" s="528"/>
      <c r="D37" s="233">
        <v>18</v>
      </c>
      <c r="E37" s="234" t="s">
        <v>4</v>
      </c>
      <c r="F37" s="235" t="s">
        <v>5</v>
      </c>
      <c r="G37" s="209" t="s">
        <v>4690</v>
      </c>
      <c r="H37" s="209" t="s">
        <v>4690</v>
      </c>
      <c r="I37" s="374" t="s">
        <v>5002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27" customHeight="1">
      <c r="A38" s="210">
        <v>30</v>
      </c>
      <c r="B38" s="527" t="s">
        <v>56</v>
      </c>
      <c r="C38" s="528"/>
      <c r="D38" s="233">
        <v>18</v>
      </c>
      <c r="E38" s="234" t="s">
        <v>4</v>
      </c>
      <c r="F38" s="235" t="s">
        <v>5</v>
      </c>
      <c r="G38" s="209" t="s">
        <v>4690</v>
      </c>
      <c r="H38" s="209" t="s">
        <v>4690</v>
      </c>
      <c r="I38" s="366" t="s">
        <v>5003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210">
        <v>31</v>
      </c>
      <c r="B39" s="527" t="s">
        <v>57</v>
      </c>
      <c r="C39" s="528"/>
      <c r="D39" s="233">
        <v>18</v>
      </c>
      <c r="E39" s="234" t="s">
        <v>4</v>
      </c>
      <c r="F39" s="235" t="s">
        <v>5</v>
      </c>
      <c r="G39" s="209" t="s">
        <v>4690</v>
      </c>
      <c r="H39" s="209" t="s">
        <v>4690</v>
      </c>
      <c r="I39" s="366" t="s">
        <v>5004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15" customHeight="1" thickBot="1">
      <c r="A40" s="213">
        <v>32</v>
      </c>
      <c r="B40" s="530" t="s">
        <v>25</v>
      </c>
      <c r="C40" s="531"/>
      <c r="D40" s="238">
        <v>452</v>
      </c>
      <c r="E40" s="239" t="s">
        <v>26</v>
      </c>
      <c r="F40" s="240" t="s">
        <v>196</v>
      </c>
      <c r="G40" s="108" t="s">
        <v>4690</v>
      </c>
      <c r="H40" s="108" t="s">
        <v>4690</v>
      </c>
      <c r="I40" s="422" t="s">
        <v>254</v>
      </c>
      <c r="J40" s="423"/>
      <c r="K40" s="424"/>
      <c r="L40" s="198" t="str">
        <f ca="1">IFERROR(_xlfn.TEXTJOIN(CHAR(10), TRUE, OFFSET('&lt;별첨9&gt;전체코드'!E:E, MATCH(B40,'&lt;별첨9&gt;전체코드'!A:A,0)-1, 0, COUNTIF('&lt;별첨9&gt;전체코드'!A:A,B40), 1)), "")</f>
        <v/>
      </c>
    </row>
  </sheetData>
  <mergeCells count="79">
    <mergeCell ref="I12:K12"/>
    <mergeCell ref="I9:K9"/>
    <mergeCell ref="I10:K10"/>
    <mergeCell ref="A2:L2"/>
    <mergeCell ref="B10:C10"/>
    <mergeCell ref="B11:C11"/>
    <mergeCell ref="B12:C12"/>
    <mergeCell ref="I11:K11"/>
    <mergeCell ref="B7:C7"/>
    <mergeCell ref="B8:C8"/>
    <mergeCell ref="B9:C9"/>
    <mergeCell ref="I7:K7"/>
    <mergeCell ref="I8:K8"/>
    <mergeCell ref="A3:B3"/>
    <mergeCell ref="A4:B4"/>
    <mergeCell ref="C3:L3"/>
    <mergeCell ref="B40:C40"/>
    <mergeCell ref="B37:C37"/>
    <mergeCell ref="B38:C38"/>
    <mergeCell ref="B39:C39"/>
    <mergeCell ref="I37:K37"/>
    <mergeCell ref="I39:K39"/>
    <mergeCell ref="I40:K40"/>
    <mergeCell ref="I38:K38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I36:K36"/>
    <mergeCell ref="I34:K34"/>
    <mergeCell ref="I32:K32"/>
    <mergeCell ref="B28:C28"/>
    <mergeCell ref="B29:C29"/>
    <mergeCell ref="B30:C30"/>
    <mergeCell ref="I29:K29"/>
    <mergeCell ref="B25:C25"/>
    <mergeCell ref="B26:C26"/>
    <mergeCell ref="B27:C27"/>
    <mergeCell ref="I30:K30"/>
    <mergeCell ref="I28:K28"/>
    <mergeCell ref="I26:K26"/>
    <mergeCell ref="I25:K25"/>
    <mergeCell ref="I27:K27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I24:K24"/>
    <mergeCell ref="I22:K22"/>
    <mergeCell ref="I20:K20"/>
    <mergeCell ref="B16:C16"/>
    <mergeCell ref="B17:C17"/>
    <mergeCell ref="B18:C18"/>
    <mergeCell ref="I17:K17"/>
    <mergeCell ref="B13:C13"/>
    <mergeCell ref="B14:C14"/>
    <mergeCell ref="B15:C15"/>
    <mergeCell ref="I13:K13"/>
    <mergeCell ref="I15:K15"/>
    <mergeCell ref="I14:K14"/>
    <mergeCell ref="I18:K18"/>
    <mergeCell ref="I16:K16"/>
    <mergeCell ref="D4:F4"/>
    <mergeCell ref="A5:B5"/>
    <mergeCell ref="D5:F5"/>
    <mergeCell ref="G4:I4"/>
    <mergeCell ref="K4:L4"/>
    <mergeCell ref="G5:I5"/>
    <mergeCell ref="K5:L5"/>
  </mergeCells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53B-00F7-4050-B92D-FFDA9BC9BDBD}">
  <sheetPr codeName="Sheet214"/>
  <dimension ref="A1:L41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324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3.5" customHeight="1">
      <c r="A3" s="400" t="s">
        <v>0</v>
      </c>
      <c r="B3" s="401"/>
      <c r="C3" s="407" t="s">
        <v>7675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3.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243</v>
      </c>
      <c r="H4" s="411"/>
      <c r="I4" s="412"/>
      <c r="J4" s="115" t="s">
        <v>33</v>
      </c>
      <c r="K4" s="410" t="s">
        <v>242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SLP230301SW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66" t="s">
        <v>4916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527" t="s">
        <v>256</v>
      </c>
      <c r="C12" s="528"/>
      <c r="D12" s="233">
        <v>13</v>
      </c>
      <c r="E12" s="234" t="s">
        <v>42</v>
      </c>
      <c r="F12" s="235" t="s">
        <v>5</v>
      </c>
      <c r="G12" s="209" t="s">
        <v>446</v>
      </c>
      <c r="H12" s="209" t="s">
        <v>446</v>
      </c>
      <c r="I12" s="427" t="s">
        <v>4978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5" customHeight="1">
      <c r="A13" s="210">
        <v>5</v>
      </c>
      <c r="B13" s="527" t="s">
        <v>7</v>
      </c>
      <c r="C13" s="528"/>
      <c r="D13" s="233">
        <v>5</v>
      </c>
      <c r="E13" s="234" t="s">
        <v>4</v>
      </c>
      <c r="F13" s="235" t="s">
        <v>5</v>
      </c>
      <c r="G13" s="209" t="s">
        <v>446</v>
      </c>
      <c r="H13" s="209" t="s">
        <v>446</v>
      </c>
      <c r="I13" s="427" t="s">
        <v>4980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30" customHeight="1">
      <c r="A14" s="210">
        <v>6</v>
      </c>
      <c r="B14" s="527" t="s">
        <v>10</v>
      </c>
      <c r="C14" s="528"/>
      <c r="D14" s="233">
        <v>14</v>
      </c>
      <c r="E14" s="234" t="s">
        <v>4</v>
      </c>
      <c r="F14" s="235" t="s">
        <v>5</v>
      </c>
      <c r="G14" s="209" t="s">
        <v>446</v>
      </c>
      <c r="H14" s="209" t="s">
        <v>446</v>
      </c>
      <c r="I14" s="366" t="s">
        <v>4981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27">
      <c r="A15" s="210">
        <v>7</v>
      </c>
      <c r="B15" s="527" t="s">
        <v>51</v>
      </c>
      <c r="C15" s="528"/>
      <c r="D15" s="233">
        <v>1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366" t="s">
        <v>4982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ht="15" customHeight="1">
      <c r="A16" s="210">
        <v>8</v>
      </c>
      <c r="B16" s="527" t="s">
        <v>82</v>
      </c>
      <c r="C16" s="528"/>
      <c r="D16" s="233">
        <v>4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66" t="s">
        <v>4983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>&lt;별첨2&gt; 참조</v>
      </c>
    </row>
    <row r="17" spans="1:12" ht="15" customHeight="1">
      <c r="A17" s="210">
        <v>9</v>
      </c>
      <c r="B17" s="527" t="s">
        <v>8</v>
      </c>
      <c r="C17" s="528"/>
      <c r="D17" s="233">
        <v>4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66" t="s">
        <v>4916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&lt;별첨3&gt; 참조</v>
      </c>
    </row>
    <row r="18" spans="1:12" ht="15" customHeight="1">
      <c r="A18" s="210">
        <v>10</v>
      </c>
      <c r="B18" s="527" t="s">
        <v>257</v>
      </c>
      <c r="C18" s="528"/>
      <c r="D18" s="233">
        <v>7</v>
      </c>
      <c r="E18" s="234" t="s">
        <v>4</v>
      </c>
      <c r="F18" s="235" t="s">
        <v>5</v>
      </c>
      <c r="G18" s="209" t="s">
        <v>446</v>
      </c>
      <c r="H18" s="209" t="s">
        <v>446</v>
      </c>
      <c r="I18" s="366" t="s">
        <v>4984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527" t="s">
        <v>187</v>
      </c>
      <c r="C19" s="528"/>
      <c r="D19" s="233">
        <v>16</v>
      </c>
      <c r="E19" s="234" t="s">
        <v>42</v>
      </c>
      <c r="F19" s="235" t="s">
        <v>5</v>
      </c>
      <c r="G19" s="209" t="s">
        <v>446</v>
      </c>
      <c r="H19" s="209" t="s">
        <v>446</v>
      </c>
      <c r="I19" s="366" t="s">
        <v>4985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527" t="s">
        <v>185</v>
      </c>
      <c r="C20" s="528"/>
      <c r="D20" s="233">
        <v>16</v>
      </c>
      <c r="E20" s="234" t="s">
        <v>42</v>
      </c>
      <c r="F20" s="235" t="s">
        <v>5</v>
      </c>
      <c r="G20" s="209" t="s">
        <v>446</v>
      </c>
      <c r="H20" s="209" t="s">
        <v>446</v>
      </c>
      <c r="I20" s="366" t="s">
        <v>4986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210">
        <v>13</v>
      </c>
      <c r="B21" s="527" t="s">
        <v>258</v>
      </c>
      <c r="C21" s="528"/>
      <c r="D21" s="233">
        <v>32</v>
      </c>
      <c r="E21" s="234" t="s">
        <v>41</v>
      </c>
      <c r="F21" s="235" t="s">
        <v>5</v>
      </c>
      <c r="G21" s="209" t="s">
        <v>446</v>
      </c>
      <c r="H21" s="209" t="s">
        <v>446</v>
      </c>
      <c r="I21" s="366" t="s">
        <v>4987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>
      <c r="A22" s="210">
        <v>14</v>
      </c>
      <c r="B22" s="527" t="s">
        <v>259</v>
      </c>
      <c r="C22" s="528"/>
      <c r="D22" s="233">
        <v>32</v>
      </c>
      <c r="E22" s="234" t="s">
        <v>41</v>
      </c>
      <c r="F22" s="235" t="s">
        <v>5</v>
      </c>
      <c r="G22" s="209" t="s">
        <v>4661</v>
      </c>
      <c r="H22" s="209" t="s">
        <v>4661</v>
      </c>
      <c r="I22" s="366" t="s">
        <v>4988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527" t="s">
        <v>58</v>
      </c>
      <c r="C23" s="528"/>
      <c r="D23" s="233">
        <v>32</v>
      </c>
      <c r="E23" s="234" t="s">
        <v>41</v>
      </c>
      <c r="F23" s="235" t="s">
        <v>5</v>
      </c>
      <c r="G23" s="209" t="s">
        <v>4661</v>
      </c>
      <c r="H23" s="209" t="s">
        <v>4661</v>
      </c>
      <c r="I23" s="366" t="s">
        <v>4674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08">
      <c r="A24" s="210">
        <v>16</v>
      </c>
      <c r="B24" s="527" t="s">
        <v>260</v>
      </c>
      <c r="C24" s="528"/>
      <c r="D24" s="233">
        <v>2</v>
      </c>
      <c r="E24" s="234" t="s">
        <v>4</v>
      </c>
      <c r="F24" s="235" t="s">
        <v>5</v>
      </c>
      <c r="G24" s="209" t="s">
        <v>446</v>
      </c>
      <c r="H24" s="209" t="s">
        <v>446</v>
      </c>
      <c r="I24" s="374" t="s">
        <v>4989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>01 : PC뱅킹
02 : 인터넷벵킹
03 : 전화
04 : 휴대전화
05 : 건별이체
06 : 기타
07 : 대량이체
08 : TV</v>
      </c>
    </row>
    <row r="25" spans="1:12" ht="162">
      <c r="A25" s="210">
        <v>17</v>
      </c>
      <c r="B25" s="527" t="s">
        <v>261</v>
      </c>
      <c r="C25" s="528"/>
      <c r="D25" s="233">
        <v>2</v>
      </c>
      <c r="E25" s="234" t="s">
        <v>4</v>
      </c>
      <c r="F25" s="235" t="s">
        <v>5</v>
      </c>
      <c r="G25" s="209" t="s">
        <v>446</v>
      </c>
      <c r="H25" s="209" t="s">
        <v>446</v>
      </c>
      <c r="I25" s="374" t="s">
        <v>4990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6" spans="1:12" ht="15" customHeight="1">
      <c r="A26" s="210">
        <v>18</v>
      </c>
      <c r="B26" s="527" t="s">
        <v>262</v>
      </c>
      <c r="C26" s="528"/>
      <c r="D26" s="233">
        <v>32</v>
      </c>
      <c r="E26" s="234" t="s">
        <v>42</v>
      </c>
      <c r="F26" s="235" t="s">
        <v>5</v>
      </c>
      <c r="G26" s="209" t="s">
        <v>4661</v>
      </c>
      <c r="H26" s="209" t="s">
        <v>4661</v>
      </c>
      <c r="I26" s="374" t="s">
        <v>4991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27">
      <c r="A27" s="210">
        <v>19</v>
      </c>
      <c r="B27" s="527" t="s">
        <v>5009</v>
      </c>
      <c r="C27" s="528"/>
      <c r="D27" s="233">
        <v>1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5010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 : 해당사항없음
1 : 결제</v>
      </c>
    </row>
    <row r="28" spans="1:12" ht="41.25" customHeight="1">
      <c r="A28" s="210">
        <v>20</v>
      </c>
      <c r="B28" s="527" t="s">
        <v>25</v>
      </c>
      <c r="C28" s="528"/>
      <c r="D28" s="233">
        <v>5</v>
      </c>
      <c r="E28" s="234" t="s">
        <v>4</v>
      </c>
      <c r="F28" s="235" t="s">
        <v>5</v>
      </c>
      <c r="G28" s="209" t="s">
        <v>4690</v>
      </c>
      <c r="H28" s="209" t="s">
        <v>4690</v>
      </c>
      <c r="I28" s="427" t="s">
        <v>5011</v>
      </c>
      <c r="J28" s="529"/>
      <c r="K28" s="428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41.25" customHeight="1">
      <c r="A29" s="210">
        <v>21</v>
      </c>
      <c r="B29" s="527" t="s">
        <v>25</v>
      </c>
      <c r="C29" s="528"/>
      <c r="D29" s="233">
        <v>16</v>
      </c>
      <c r="E29" s="234" t="s">
        <v>42</v>
      </c>
      <c r="F29" s="235" t="s">
        <v>5</v>
      </c>
      <c r="G29" s="209" t="s">
        <v>4690</v>
      </c>
      <c r="H29" s="209" t="s">
        <v>4690</v>
      </c>
      <c r="I29" s="427" t="s">
        <v>5012</v>
      </c>
      <c r="J29" s="529"/>
      <c r="K29" s="428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5" customHeight="1">
      <c r="A30" s="210">
        <v>22</v>
      </c>
      <c r="B30" s="527" t="s">
        <v>21</v>
      </c>
      <c r="C30" s="528"/>
      <c r="D30" s="233">
        <v>9</v>
      </c>
      <c r="E30" s="234" t="s">
        <v>42</v>
      </c>
      <c r="F30" s="235" t="s">
        <v>5</v>
      </c>
      <c r="G30" s="209" t="s">
        <v>446</v>
      </c>
      <c r="H30" s="209" t="s">
        <v>446</v>
      </c>
      <c r="I30" s="366" t="s">
        <v>4950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15" customHeight="1">
      <c r="A31" s="210">
        <v>23</v>
      </c>
      <c r="B31" s="527" t="s">
        <v>263</v>
      </c>
      <c r="C31" s="528"/>
      <c r="D31" s="233">
        <v>6</v>
      </c>
      <c r="E31" s="234" t="s">
        <v>4</v>
      </c>
      <c r="F31" s="235" t="s">
        <v>5</v>
      </c>
      <c r="G31" s="209" t="s">
        <v>446</v>
      </c>
      <c r="H31" s="209" t="s">
        <v>446</v>
      </c>
      <c r="I31" s="366" t="s">
        <v>4996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5" customHeight="1">
      <c r="A32" s="210">
        <v>24</v>
      </c>
      <c r="B32" s="527" t="s">
        <v>264</v>
      </c>
      <c r="C32" s="528"/>
      <c r="D32" s="233">
        <v>6</v>
      </c>
      <c r="E32" s="234" t="s">
        <v>4</v>
      </c>
      <c r="F32" s="235" t="s">
        <v>5</v>
      </c>
      <c r="G32" s="209" t="s">
        <v>446</v>
      </c>
      <c r="H32" s="209" t="s">
        <v>446</v>
      </c>
      <c r="I32" s="366" t="s">
        <v>4997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ht="54">
      <c r="A33" s="210">
        <v>25</v>
      </c>
      <c r="B33" s="527" t="s">
        <v>54</v>
      </c>
      <c r="C33" s="528"/>
      <c r="D33" s="233">
        <v>1</v>
      </c>
      <c r="E33" s="234" t="s">
        <v>4</v>
      </c>
      <c r="F33" s="235" t="s">
        <v>5</v>
      </c>
      <c r="G33" s="209" t="s">
        <v>446</v>
      </c>
      <c r="H33" s="209" t="s">
        <v>446</v>
      </c>
      <c r="I33" s="366" t="s">
        <v>5013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>1 : 총액결제
2 : 양자간 동시처리
3 : 다자간 동시처리
4 : 콜연결상환</v>
      </c>
    </row>
    <row r="34" spans="1:12" ht="30" customHeight="1">
      <c r="A34" s="210">
        <v>26</v>
      </c>
      <c r="B34" s="527" t="s">
        <v>55</v>
      </c>
      <c r="C34" s="528"/>
      <c r="D34" s="233">
        <v>2</v>
      </c>
      <c r="E34" s="234" t="s">
        <v>4</v>
      </c>
      <c r="F34" s="235" t="s">
        <v>5</v>
      </c>
      <c r="G34" s="209" t="s">
        <v>4690</v>
      </c>
      <c r="H34" s="209" t="s">
        <v>4690</v>
      </c>
      <c r="I34" s="366" t="s">
        <v>5014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>&lt;별첨6&gt; 참조</v>
      </c>
    </row>
    <row r="35" spans="1:12" ht="30" customHeight="1">
      <c r="A35" s="210">
        <v>27</v>
      </c>
      <c r="B35" s="527" t="s">
        <v>27</v>
      </c>
      <c r="C35" s="528"/>
      <c r="D35" s="236">
        <v>18</v>
      </c>
      <c r="E35" s="237" t="s">
        <v>4</v>
      </c>
      <c r="F35" s="235" t="s">
        <v>5</v>
      </c>
      <c r="G35" s="209" t="s">
        <v>446</v>
      </c>
      <c r="H35" s="209" t="s">
        <v>446</v>
      </c>
      <c r="I35" s="374" t="s">
        <v>5015</v>
      </c>
      <c r="J35" s="375"/>
      <c r="K35" s="376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ht="30" customHeight="1">
      <c r="A36" s="210">
        <v>28</v>
      </c>
      <c r="B36" s="527" t="s">
        <v>44</v>
      </c>
      <c r="C36" s="528"/>
      <c r="D36" s="233">
        <v>18</v>
      </c>
      <c r="E36" s="234" t="s">
        <v>4</v>
      </c>
      <c r="F36" s="235" t="s">
        <v>5</v>
      </c>
      <c r="G36" s="209" t="s">
        <v>446</v>
      </c>
      <c r="H36" s="209" t="s">
        <v>446</v>
      </c>
      <c r="I36" s="374" t="s">
        <v>5016</v>
      </c>
      <c r="J36" s="375"/>
      <c r="K36" s="376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30" customHeight="1">
      <c r="A37" s="210">
        <v>29</v>
      </c>
      <c r="B37" s="527" t="s">
        <v>24</v>
      </c>
      <c r="C37" s="528"/>
      <c r="D37" s="233">
        <v>18</v>
      </c>
      <c r="E37" s="234" t="s">
        <v>4</v>
      </c>
      <c r="F37" s="235" t="s">
        <v>5</v>
      </c>
      <c r="G37" s="209" t="s">
        <v>446</v>
      </c>
      <c r="H37" s="209" t="s">
        <v>446</v>
      </c>
      <c r="I37" s="374" t="s">
        <v>5017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210">
        <v>30</v>
      </c>
      <c r="B38" s="527" t="s">
        <v>56</v>
      </c>
      <c r="C38" s="528"/>
      <c r="D38" s="233">
        <v>18</v>
      </c>
      <c r="E38" s="234" t="s">
        <v>4</v>
      </c>
      <c r="F38" s="235" t="s">
        <v>5</v>
      </c>
      <c r="G38" s="209" t="s">
        <v>446</v>
      </c>
      <c r="H38" s="209" t="s">
        <v>446</v>
      </c>
      <c r="I38" s="366" t="s">
        <v>5018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15" customHeight="1">
      <c r="A39" s="210">
        <v>31</v>
      </c>
      <c r="B39" s="527" t="s">
        <v>57</v>
      </c>
      <c r="C39" s="528"/>
      <c r="D39" s="233">
        <v>18</v>
      </c>
      <c r="E39" s="234" t="s">
        <v>4</v>
      </c>
      <c r="F39" s="235" t="s">
        <v>5</v>
      </c>
      <c r="G39" s="209" t="s">
        <v>446</v>
      </c>
      <c r="H39" s="209" t="s">
        <v>446</v>
      </c>
      <c r="I39" s="366" t="s">
        <v>5019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15" customHeight="1" thickBot="1">
      <c r="A40" s="213">
        <v>32</v>
      </c>
      <c r="B40" s="530" t="s">
        <v>25</v>
      </c>
      <c r="C40" s="531"/>
      <c r="D40" s="238">
        <v>452</v>
      </c>
      <c r="E40" s="239" t="s">
        <v>26</v>
      </c>
      <c r="F40" s="240" t="s">
        <v>5</v>
      </c>
      <c r="G40" s="108" t="s">
        <v>4690</v>
      </c>
      <c r="H40" s="108" t="s">
        <v>4690</v>
      </c>
      <c r="I40" s="422" t="s">
        <v>254</v>
      </c>
      <c r="J40" s="423"/>
      <c r="K40" s="424"/>
      <c r="L40" s="198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8.25" customHeight="1"/>
  </sheetData>
  <mergeCells count="79">
    <mergeCell ref="K5:L5"/>
    <mergeCell ref="C3:L3"/>
    <mergeCell ref="A2:L2"/>
    <mergeCell ref="B10:C10"/>
    <mergeCell ref="A3:B3"/>
    <mergeCell ref="A4:B4"/>
    <mergeCell ref="D4:F4"/>
    <mergeCell ref="A5:B5"/>
    <mergeCell ref="D5:F5"/>
    <mergeCell ref="G4:I4"/>
    <mergeCell ref="G5:I5"/>
    <mergeCell ref="K4:L4"/>
    <mergeCell ref="B40:C40"/>
    <mergeCell ref="B37:C37"/>
    <mergeCell ref="B38:C38"/>
    <mergeCell ref="B39:C39"/>
    <mergeCell ref="I37:K37"/>
    <mergeCell ref="I39:K39"/>
    <mergeCell ref="I40:K40"/>
    <mergeCell ref="I38:K38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I36:K36"/>
    <mergeCell ref="I34:K34"/>
    <mergeCell ref="I32:K32"/>
    <mergeCell ref="B28:C28"/>
    <mergeCell ref="B29:C29"/>
    <mergeCell ref="B30:C30"/>
    <mergeCell ref="I29:K29"/>
    <mergeCell ref="B25:C25"/>
    <mergeCell ref="B26:C26"/>
    <mergeCell ref="B27:C27"/>
    <mergeCell ref="I25:K25"/>
    <mergeCell ref="I27:K27"/>
    <mergeCell ref="I30:K30"/>
    <mergeCell ref="I28:K28"/>
    <mergeCell ref="I26:K26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I20:K20"/>
    <mergeCell ref="I24:K24"/>
    <mergeCell ref="I22:K22"/>
    <mergeCell ref="B16:C16"/>
    <mergeCell ref="B17:C17"/>
    <mergeCell ref="B18:C18"/>
    <mergeCell ref="I17:K17"/>
    <mergeCell ref="B13:C13"/>
    <mergeCell ref="B14:C14"/>
    <mergeCell ref="B15:C15"/>
    <mergeCell ref="I13:K13"/>
    <mergeCell ref="I15:K15"/>
    <mergeCell ref="I18:K18"/>
    <mergeCell ref="I16:K16"/>
    <mergeCell ref="I14:K14"/>
    <mergeCell ref="B11:C11"/>
    <mergeCell ref="B12:C12"/>
    <mergeCell ref="I11:K11"/>
    <mergeCell ref="B7:C7"/>
    <mergeCell ref="B8:C8"/>
    <mergeCell ref="B9:C9"/>
    <mergeCell ref="I7:K7"/>
    <mergeCell ref="I9:K9"/>
    <mergeCell ref="I10:K10"/>
    <mergeCell ref="I8:K8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5BC3-AF60-4B45-B47A-2EF72D952CFD}">
  <sheetPr codeName="Sheet215"/>
  <dimension ref="A1:L41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325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3.5" customHeight="1">
      <c r="A3" s="400" t="s">
        <v>0</v>
      </c>
      <c r="B3" s="401"/>
      <c r="C3" s="407" t="s">
        <v>7676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3.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244</v>
      </c>
      <c r="H4" s="411"/>
      <c r="I4" s="412"/>
      <c r="J4" s="115" t="s">
        <v>33</v>
      </c>
      <c r="K4" s="410" t="s">
        <v>242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SLP230301SW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66" t="s">
        <v>4916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527" t="s">
        <v>256</v>
      </c>
      <c r="C12" s="528"/>
      <c r="D12" s="233">
        <v>13</v>
      </c>
      <c r="E12" s="234" t="s">
        <v>42</v>
      </c>
      <c r="F12" s="235" t="s">
        <v>5</v>
      </c>
      <c r="G12" s="209" t="s">
        <v>446</v>
      </c>
      <c r="H12" s="209" t="s">
        <v>446</v>
      </c>
      <c r="I12" s="427" t="s">
        <v>4978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5" customHeight="1">
      <c r="A13" s="210">
        <v>5</v>
      </c>
      <c r="B13" s="527" t="s">
        <v>7</v>
      </c>
      <c r="C13" s="528"/>
      <c r="D13" s="233">
        <v>5</v>
      </c>
      <c r="E13" s="234" t="s">
        <v>4</v>
      </c>
      <c r="F13" s="235" t="s">
        <v>5</v>
      </c>
      <c r="G13" s="209" t="s">
        <v>446</v>
      </c>
      <c r="H13" s="209" t="s">
        <v>446</v>
      </c>
      <c r="I13" s="427" t="s">
        <v>4980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30" customHeight="1">
      <c r="A14" s="210">
        <v>6</v>
      </c>
      <c r="B14" s="527" t="s">
        <v>10</v>
      </c>
      <c r="C14" s="528"/>
      <c r="D14" s="233">
        <v>14</v>
      </c>
      <c r="E14" s="234" t="s">
        <v>4</v>
      </c>
      <c r="F14" s="235" t="s">
        <v>5</v>
      </c>
      <c r="G14" s="209" t="s">
        <v>446</v>
      </c>
      <c r="H14" s="209" t="s">
        <v>446</v>
      </c>
      <c r="I14" s="366" t="s">
        <v>4981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27">
      <c r="A15" s="210">
        <v>7</v>
      </c>
      <c r="B15" s="527" t="s">
        <v>51</v>
      </c>
      <c r="C15" s="528"/>
      <c r="D15" s="233">
        <v>1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366" t="s">
        <v>4982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1 : 신속
2 : 보통</v>
      </c>
    </row>
    <row r="16" spans="1:12" ht="15" customHeight="1">
      <c r="A16" s="210">
        <v>8</v>
      </c>
      <c r="B16" s="527" t="s">
        <v>82</v>
      </c>
      <c r="C16" s="528"/>
      <c r="D16" s="233">
        <v>4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66" t="s">
        <v>4983</v>
      </c>
      <c r="J16" s="367"/>
      <c r="K16" s="429"/>
      <c r="L16" s="196" t="str">
        <f ca="1">IFERROR(_xlfn.TEXTJOIN(CHAR(10), TRUE, OFFSET('&lt;별첨9&gt;전체코드'!E:E, MATCH(B16,'&lt;별첨9&gt;전체코드'!A:A,0)-1, 0, COUNTIF('&lt;별첨9&gt;전체코드'!A:A,B16), 1)), "")</f>
        <v>&lt;별첨2&gt; 참조</v>
      </c>
    </row>
    <row r="17" spans="1:12" ht="15" customHeight="1">
      <c r="A17" s="210">
        <v>9</v>
      </c>
      <c r="B17" s="527" t="s">
        <v>8</v>
      </c>
      <c r="C17" s="528"/>
      <c r="D17" s="233">
        <v>4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66" t="s">
        <v>4916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&lt;별첨3&gt; 참조</v>
      </c>
    </row>
    <row r="18" spans="1:12" ht="15" customHeight="1">
      <c r="A18" s="210">
        <v>10</v>
      </c>
      <c r="B18" s="527" t="s">
        <v>257</v>
      </c>
      <c r="C18" s="528"/>
      <c r="D18" s="233">
        <v>7</v>
      </c>
      <c r="E18" s="234" t="s">
        <v>4</v>
      </c>
      <c r="F18" s="235" t="s">
        <v>5</v>
      </c>
      <c r="G18" s="209" t="s">
        <v>446</v>
      </c>
      <c r="H18" s="209" t="s">
        <v>446</v>
      </c>
      <c r="I18" s="366" t="s">
        <v>4984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527" t="s">
        <v>187</v>
      </c>
      <c r="C19" s="528"/>
      <c r="D19" s="233">
        <v>16</v>
      </c>
      <c r="E19" s="234" t="s">
        <v>42</v>
      </c>
      <c r="F19" s="235" t="s">
        <v>5</v>
      </c>
      <c r="G19" s="209" t="s">
        <v>446</v>
      </c>
      <c r="H19" s="209" t="s">
        <v>446</v>
      </c>
      <c r="I19" s="366" t="s">
        <v>4985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527" t="s">
        <v>185</v>
      </c>
      <c r="C20" s="528"/>
      <c r="D20" s="233">
        <v>16</v>
      </c>
      <c r="E20" s="234" t="s">
        <v>42</v>
      </c>
      <c r="F20" s="235" t="s">
        <v>5</v>
      </c>
      <c r="G20" s="209" t="s">
        <v>446</v>
      </c>
      <c r="H20" s="209" t="s">
        <v>446</v>
      </c>
      <c r="I20" s="366" t="s">
        <v>4986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210">
        <v>13</v>
      </c>
      <c r="B21" s="527" t="s">
        <v>258</v>
      </c>
      <c r="C21" s="528"/>
      <c r="D21" s="233">
        <v>32</v>
      </c>
      <c r="E21" s="234" t="s">
        <v>41</v>
      </c>
      <c r="F21" s="235" t="s">
        <v>5</v>
      </c>
      <c r="G21" s="209" t="s">
        <v>446</v>
      </c>
      <c r="H21" s="209" t="s">
        <v>446</v>
      </c>
      <c r="I21" s="366" t="s">
        <v>4987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>
      <c r="A22" s="210">
        <v>14</v>
      </c>
      <c r="B22" s="527" t="s">
        <v>259</v>
      </c>
      <c r="C22" s="528"/>
      <c r="D22" s="233">
        <v>32</v>
      </c>
      <c r="E22" s="234" t="s">
        <v>41</v>
      </c>
      <c r="F22" s="235" t="s">
        <v>5</v>
      </c>
      <c r="G22" s="209" t="s">
        <v>4661</v>
      </c>
      <c r="H22" s="209" t="s">
        <v>4661</v>
      </c>
      <c r="I22" s="366" t="s">
        <v>4988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527" t="s">
        <v>58</v>
      </c>
      <c r="C23" s="528"/>
      <c r="D23" s="233">
        <v>32</v>
      </c>
      <c r="E23" s="234" t="s">
        <v>41</v>
      </c>
      <c r="F23" s="235" t="s">
        <v>5</v>
      </c>
      <c r="G23" s="209" t="s">
        <v>4661</v>
      </c>
      <c r="H23" s="209" t="s">
        <v>4661</v>
      </c>
      <c r="I23" s="366" t="s">
        <v>4674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08">
      <c r="A24" s="210">
        <v>16</v>
      </c>
      <c r="B24" s="527" t="s">
        <v>260</v>
      </c>
      <c r="C24" s="528"/>
      <c r="D24" s="233">
        <v>2</v>
      </c>
      <c r="E24" s="234" t="s">
        <v>4</v>
      </c>
      <c r="F24" s="235" t="s">
        <v>5</v>
      </c>
      <c r="G24" s="209" t="s">
        <v>446</v>
      </c>
      <c r="H24" s="209" t="s">
        <v>446</v>
      </c>
      <c r="I24" s="374" t="s">
        <v>4989</v>
      </c>
      <c r="J24" s="375"/>
      <c r="K24" s="376"/>
      <c r="L24" s="196" t="str">
        <f ca="1">IFERROR(_xlfn.TEXTJOIN(CHAR(10), TRUE, OFFSET('&lt;별첨9&gt;전체코드'!E:E, MATCH(B24,'&lt;별첨9&gt;전체코드'!A:A,0)-1, 0, COUNTIF('&lt;별첨9&gt;전체코드'!A:A,B24), 1)), "")</f>
        <v>01 : PC뱅킹
02 : 인터넷벵킹
03 : 전화
04 : 휴대전화
05 : 건별이체
06 : 기타
07 : 대량이체
08 : TV</v>
      </c>
    </row>
    <row r="25" spans="1:12" ht="162">
      <c r="A25" s="210">
        <v>17</v>
      </c>
      <c r="B25" s="527" t="s">
        <v>261</v>
      </c>
      <c r="C25" s="528"/>
      <c r="D25" s="233">
        <v>2</v>
      </c>
      <c r="E25" s="234" t="s">
        <v>4</v>
      </c>
      <c r="F25" s="235" t="s">
        <v>5</v>
      </c>
      <c r="G25" s="209" t="s">
        <v>446</v>
      </c>
      <c r="H25" s="209" t="s">
        <v>446</v>
      </c>
      <c r="I25" s="374" t="s">
        <v>4990</v>
      </c>
      <c r="J25" s="375"/>
      <c r="K25" s="376"/>
      <c r="L25" s="196" t="str">
        <f ca="1">IFERROR(_xlfn.TEXTJOIN(CHAR(10), TRUE, OFFSET('&lt;별첨9&gt;전체코드'!E:E, MATCH(B25,'&lt;별첨9&gt;전체코드'!A:A,0)-1, 0, COUNTIF('&lt;별첨9&gt;전체코드'!A:A,B25),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6" spans="1:12" ht="15" customHeight="1">
      <c r="A26" s="210">
        <v>18</v>
      </c>
      <c r="B26" s="527" t="s">
        <v>262</v>
      </c>
      <c r="C26" s="528"/>
      <c r="D26" s="233">
        <v>32</v>
      </c>
      <c r="E26" s="234" t="s">
        <v>42</v>
      </c>
      <c r="F26" s="235" t="s">
        <v>5</v>
      </c>
      <c r="G26" s="209" t="s">
        <v>4661</v>
      </c>
      <c r="H26" s="209" t="s">
        <v>4661</v>
      </c>
      <c r="I26" s="374" t="s">
        <v>4991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/>
      </c>
    </row>
    <row r="27" spans="1:12" ht="27">
      <c r="A27" s="210">
        <v>19</v>
      </c>
      <c r="B27" s="527" t="s">
        <v>5009</v>
      </c>
      <c r="C27" s="528"/>
      <c r="D27" s="233">
        <v>1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5010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 : 해당사항없음
1 : 결제</v>
      </c>
    </row>
    <row r="28" spans="1:12" ht="43.5" customHeight="1">
      <c r="A28" s="210">
        <v>20</v>
      </c>
      <c r="B28" s="527" t="s">
        <v>25</v>
      </c>
      <c r="C28" s="528"/>
      <c r="D28" s="233">
        <v>5</v>
      </c>
      <c r="E28" s="234" t="s">
        <v>4</v>
      </c>
      <c r="F28" s="235" t="s">
        <v>5</v>
      </c>
      <c r="G28" s="209" t="s">
        <v>4690</v>
      </c>
      <c r="H28" s="209" t="s">
        <v>4690</v>
      </c>
      <c r="I28" s="427" t="s">
        <v>5011</v>
      </c>
      <c r="J28" s="529"/>
      <c r="K28" s="428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43.5" customHeight="1">
      <c r="A29" s="210">
        <v>21</v>
      </c>
      <c r="B29" s="527" t="s">
        <v>25</v>
      </c>
      <c r="C29" s="528"/>
      <c r="D29" s="233">
        <v>16</v>
      </c>
      <c r="E29" s="234" t="s">
        <v>42</v>
      </c>
      <c r="F29" s="235" t="s">
        <v>5</v>
      </c>
      <c r="G29" s="209" t="s">
        <v>4690</v>
      </c>
      <c r="H29" s="209" t="s">
        <v>4690</v>
      </c>
      <c r="I29" s="427" t="s">
        <v>5012</v>
      </c>
      <c r="J29" s="529"/>
      <c r="K29" s="428"/>
      <c r="L29" s="196" t="str">
        <f ca="1">IFERROR(_xlfn.TEXTJOIN(CHAR(10), TRUE, OFFSET('&lt;별첨9&gt;전체코드'!E:E, MATCH(B29,'&lt;별첨9&gt;전체코드'!A:A,0)-1, 0, COUNTIF('&lt;별첨9&gt;전체코드'!A:A,B29), 1)), "")</f>
        <v/>
      </c>
    </row>
    <row r="30" spans="1:12" ht="15" customHeight="1">
      <c r="A30" s="210">
        <v>22</v>
      </c>
      <c r="B30" s="527" t="s">
        <v>21</v>
      </c>
      <c r="C30" s="528"/>
      <c r="D30" s="233">
        <v>9</v>
      </c>
      <c r="E30" s="234" t="s">
        <v>42</v>
      </c>
      <c r="F30" s="235" t="s">
        <v>5</v>
      </c>
      <c r="G30" s="209" t="s">
        <v>446</v>
      </c>
      <c r="H30" s="209" t="s">
        <v>446</v>
      </c>
      <c r="I30" s="366" t="s">
        <v>4950</v>
      </c>
      <c r="J30" s="367"/>
      <c r="K30" s="367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15" customHeight="1">
      <c r="A31" s="210">
        <v>23</v>
      </c>
      <c r="B31" s="527" t="s">
        <v>263</v>
      </c>
      <c r="C31" s="528"/>
      <c r="D31" s="233">
        <v>6</v>
      </c>
      <c r="E31" s="234" t="s">
        <v>4</v>
      </c>
      <c r="F31" s="235" t="s">
        <v>5</v>
      </c>
      <c r="G31" s="209" t="s">
        <v>446</v>
      </c>
      <c r="H31" s="209" t="s">
        <v>446</v>
      </c>
      <c r="I31" s="366" t="s">
        <v>4996</v>
      </c>
      <c r="J31" s="367"/>
      <c r="K31" s="367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5" customHeight="1">
      <c r="A32" s="210">
        <v>24</v>
      </c>
      <c r="B32" s="527" t="s">
        <v>264</v>
      </c>
      <c r="C32" s="528"/>
      <c r="D32" s="233">
        <v>6</v>
      </c>
      <c r="E32" s="234" t="s">
        <v>4</v>
      </c>
      <c r="F32" s="235" t="s">
        <v>5</v>
      </c>
      <c r="G32" s="209" t="s">
        <v>446</v>
      </c>
      <c r="H32" s="209" t="s">
        <v>446</v>
      </c>
      <c r="I32" s="366" t="s">
        <v>4997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ht="54">
      <c r="A33" s="210">
        <v>25</v>
      </c>
      <c r="B33" s="527" t="s">
        <v>54</v>
      </c>
      <c r="C33" s="528"/>
      <c r="D33" s="233">
        <v>1</v>
      </c>
      <c r="E33" s="234" t="s">
        <v>4</v>
      </c>
      <c r="F33" s="235" t="s">
        <v>5</v>
      </c>
      <c r="G33" s="209" t="s">
        <v>446</v>
      </c>
      <c r="H33" s="209" t="s">
        <v>446</v>
      </c>
      <c r="I33" s="366" t="s">
        <v>5020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>1 : 총액결제
2 : 양자간 동시처리
3 : 다자간 동시처리
4 : 콜연결상환</v>
      </c>
    </row>
    <row r="34" spans="1:12" ht="30" customHeight="1">
      <c r="A34" s="210">
        <v>26</v>
      </c>
      <c r="B34" s="527" t="s">
        <v>55</v>
      </c>
      <c r="C34" s="528"/>
      <c r="D34" s="233">
        <v>2</v>
      </c>
      <c r="E34" s="234" t="s">
        <v>4</v>
      </c>
      <c r="F34" s="235" t="s">
        <v>5</v>
      </c>
      <c r="G34" s="209" t="s">
        <v>4690</v>
      </c>
      <c r="H34" s="209" t="s">
        <v>4690</v>
      </c>
      <c r="I34" s="366" t="s">
        <v>5014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>&lt;별첨6&gt; 참조</v>
      </c>
    </row>
    <row r="35" spans="1:12" ht="30" customHeight="1">
      <c r="A35" s="210">
        <v>27</v>
      </c>
      <c r="B35" s="527" t="s">
        <v>27</v>
      </c>
      <c r="C35" s="528"/>
      <c r="D35" s="236">
        <v>18</v>
      </c>
      <c r="E35" s="237" t="s">
        <v>4</v>
      </c>
      <c r="F35" s="235" t="s">
        <v>5</v>
      </c>
      <c r="G35" s="209" t="s">
        <v>446</v>
      </c>
      <c r="H35" s="209" t="s">
        <v>446</v>
      </c>
      <c r="I35" s="374" t="s">
        <v>5015</v>
      </c>
      <c r="J35" s="375"/>
      <c r="K35" s="376"/>
      <c r="L35" s="196" t="str">
        <f ca="1">IFERROR(_xlfn.TEXTJOIN(CHAR(10), TRUE, OFFSET('&lt;별첨9&gt;전체코드'!E:E, MATCH(B35,'&lt;별첨9&gt;전체코드'!A:A,0)-1, 0, COUNTIF('&lt;별첨9&gt;전체코드'!A:A,B35), 1)), "")</f>
        <v/>
      </c>
    </row>
    <row r="36" spans="1:12" ht="30" customHeight="1">
      <c r="A36" s="210">
        <v>28</v>
      </c>
      <c r="B36" s="527" t="s">
        <v>44</v>
      </c>
      <c r="C36" s="528"/>
      <c r="D36" s="233">
        <v>18</v>
      </c>
      <c r="E36" s="234" t="s">
        <v>4</v>
      </c>
      <c r="F36" s="235" t="s">
        <v>5</v>
      </c>
      <c r="G36" s="209" t="s">
        <v>446</v>
      </c>
      <c r="H36" s="209" t="s">
        <v>446</v>
      </c>
      <c r="I36" s="374" t="s">
        <v>5016</v>
      </c>
      <c r="J36" s="375"/>
      <c r="K36" s="376"/>
      <c r="L36" s="196" t="str">
        <f ca="1">IFERROR(_xlfn.TEXTJOIN(CHAR(10), TRUE, OFFSET('&lt;별첨9&gt;전체코드'!E:E, MATCH(B36,'&lt;별첨9&gt;전체코드'!A:A,0)-1, 0, COUNTIF('&lt;별첨9&gt;전체코드'!A:A,B36), 1)), "")</f>
        <v/>
      </c>
    </row>
    <row r="37" spans="1:12" ht="30" customHeight="1">
      <c r="A37" s="210">
        <v>29</v>
      </c>
      <c r="B37" s="527" t="s">
        <v>24</v>
      </c>
      <c r="C37" s="528"/>
      <c r="D37" s="233">
        <v>18</v>
      </c>
      <c r="E37" s="234" t="s">
        <v>4</v>
      </c>
      <c r="F37" s="235" t="s">
        <v>5</v>
      </c>
      <c r="G37" s="209" t="s">
        <v>446</v>
      </c>
      <c r="H37" s="209" t="s">
        <v>446</v>
      </c>
      <c r="I37" s="374" t="s">
        <v>5017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15" customHeight="1">
      <c r="A38" s="210">
        <v>30</v>
      </c>
      <c r="B38" s="527" t="s">
        <v>56</v>
      </c>
      <c r="C38" s="528"/>
      <c r="D38" s="233">
        <v>18</v>
      </c>
      <c r="E38" s="234" t="s">
        <v>4</v>
      </c>
      <c r="F38" s="235" t="s">
        <v>5</v>
      </c>
      <c r="G38" s="209" t="s">
        <v>446</v>
      </c>
      <c r="H38" s="209" t="s">
        <v>446</v>
      </c>
      <c r="I38" s="366" t="s">
        <v>5018</v>
      </c>
      <c r="J38" s="367"/>
      <c r="K38" s="367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15" customHeight="1">
      <c r="A39" s="210">
        <v>31</v>
      </c>
      <c r="B39" s="527" t="s">
        <v>57</v>
      </c>
      <c r="C39" s="528"/>
      <c r="D39" s="233">
        <v>18</v>
      </c>
      <c r="E39" s="234" t="s">
        <v>4</v>
      </c>
      <c r="F39" s="235" t="s">
        <v>5</v>
      </c>
      <c r="G39" s="209" t="s">
        <v>446</v>
      </c>
      <c r="H39" s="209" t="s">
        <v>446</v>
      </c>
      <c r="I39" s="366" t="s">
        <v>5019</v>
      </c>
      <c r="J39" s="367"/>
      <c r="K39" s="367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15" customHeight="1" thickBot="1">
      <c r="A40" s="213">
        <v>32</v>
      </c>
      <c r="B40" s="530" t="s">
        <v>25</v>
      </c>
      <c r="C40" s="531"/>
      <c r="D40" s="238">
        <v>452</v>
      </c>
      <c r="E40" s="239" t="s">
        <v>26</v>
      </c>
      <c r="F40" s="240" t="s">
        <v>5</v>
      </c>
      <c r="G40" s="108" t="s">
        <v>4690</v>
      </c>
      <c r="H40" s="108" t="s">
        <v>4690</v>
      </c>
      <c r="I40" s="422" t="s">
        <v>254</v>
      </c>
      <c r="J40" s="423"/>
      <c r="K40" s="424"/>
      <c r="L40" s="198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38.25" customHeight="1"/>
  </sheetData>
  <mergeCells count="79">
    <mergeCell ref="K5:L5"/>
    <mergeCell ref="C3:L3"/>
    <mergeCell ref="A2:L2"/>
    <mergeCell ref="B10:C10"/>
    <mergeCell ref="A3:B3"/>
    <mergeCell ref="A4:B4"/>
    <mergeCell ref="D4:F4"/>
    <mergeCell ref="A5:B5"/>
    <mergeCell ref="D5:F5"/>
    <mergeCell ref="G4:I4"/>
    <mergeCell ref="G5:I5"/>
    <mergeCell ref="K4:L4"/>
    <mergeCell ref="B40:C40"/>
    <mergeCell ref="B37:C37"/>
    <mergeCell ref="B38:C38"/>
    <mergeCell ref="B39:C39"/>
    <mergeCell ref="I37:K37"/>
    <mergeCell ref="I39:K39"/>
    <mergeCell ref="I40:K40"/>
    <mergeCell ref="I38:K38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I36:K36"/>
    <mergeCell ref="I34:K34"/>
    <mergeCell ref="I32:K32"/>
    <mergeCell ref="B28:C28"/>
    <mergeCell ref="B29:C29"/>
    <mergeCell ref="B30:C30"/>
    <mergeCell ref="I29:K29"/>
    <mergeCell ref="B25:C25"/>
    <mergeCell ref="B26:C26"/>
    <mergeCell ref="B27:C27"/>
    <mergeCell ref="I25:K25"/>
    <mergeCell ref="I27:K27"/>
    <mergeCell ref="I30:K30"/>
    <mergeCell ref="I28:K28"/>
    <mergeCell ref="I26:K26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I20:K20"/>
    <mergeCell ref="I24:K24"/>
    <mergeCell ref="I22:K22"/>
    <mergeCell ref="B16:C16"/>
    <mergeCell ref="B17:C17"/>
    <mergeCell ref="B18:C18"/>
    <mergeCell ref="I17:K17"/>
    <mergeCell ref="B13:C13"/>
    <mergeCell ref="B14:C14"/>
    <mergeCell ref="B15:C15"/>
    <mergeCell ref="I13:K13"/>
    <mergeCell ref="I15:K15"/>
    <mergeCell ref="I18:K18"/>
    <mergeCell ref="I16:K16"/>
    <mergeCell ref="I14:K14"/>
    <mergeCell ref="B11:C11"/>
    <mergeCell ref="B12:C12"/>
    <mergeCell ref="I11:K11"/>
    <mergeCell ref="B7:C7"/>
    <mergeCell ref="B8:C8"/>
    <mergeCell ref="B9:C9"/>
    <mergeCell ref="I7:K7"/>
    <mergeCell ref="I9:K9"/>
    <mergeCell ref="I10:K10"/>
    <mergeCell ref="I8:K8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7D7B-3888-4B8F-8E00-0BCD62302ACC}">
  <sheetPr codeName="Sheet216"/>
  <dimension ref="A1:L42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269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>
      <c r="A3" s="400" t="s">
        <v>0</v>
      </c>
      <c r="B3" s="401"/>
      <c r="C3" s="407" t="s">
        <v>7677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32.2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247</v>
      </c>
      <c r="H4" s="411"/>
      <c r="I4" s="412"/>
      <c r="J4" s="115" t="s">
        <v>5263</v>
      </c>
      <c r="K4" s="410" t="s">
        <v>4976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SLP230302SW</v>
      </c>
      <c r="L5" s="418"/>
    </row>
    <row r="6" spans="1:12" ht="17.25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6.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28.5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27.75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5005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427" t="s">
        <v>266</v>
      </c>
      <c r="C12" s="428"/>
      <c r="D12" s="233">
        <v>13</v>
      </c>
      <c r="E12" s="234" t="s">
        <v>42</v>
      </c>
      <c r="F12" s="235" t="s">
        <v>196</v>
      </c>
      <c r="G12" s="209" t="s">
        <v>446</v>
      </c>
      <c r="H12" s="209" t="s">
        <v>446</v>
      </c>
      <c r="I12" s="427" t="s">
        <v>5008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5" customHeight="1">
      <c r="A13" s="210">
        <v>5</v>
      </c>
      <c r="B13" s="427" t="s">
        <v>267</v>
      </c>
      <c r="C13" s="428"/>
      <c r="D13" s="233">
        <v>5</v>
      </c>
      <c r="E13" s="234" t="s">
        <v>4</v>
      </c>
      <c r="F13" s="235" t="s">
        <v>196</v>
      </c>
      <c r="G13" s="209" t="s">
        <v>446</v>
      </c>
      <c r="H13" s="209" t="s">
        <v>446</v>
      </c>
      <c r="I13" s="427" t="s">
        <v>5007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ht="16.5" customHeight="1">
      <c r="A14" s="210">
        <v>6</v>
      </c>
      <c r="B14" s="527" t="s">
        <v>256</v>
      </c>
      <c r="C14" s="528"/>
      <c r="D14" s="233">
        <v>13</v>
      </c>
      <c r="E14" s="234" t="s">
        <v>42</v>
      </c>
      <c r="F14" s="235" t="s">
        <v>196</v>
      </c>
      <c r="G14" s="209" t="s">
        <v>446</v>
      </c>
      <c r="H14" s="209" t="s">
        <v>446</v>
      </c>
      <c r="I14" s="427" t="s">
        <v>4978</v>
      </c>
      <c r="J14" s="529"/>
      <c r="K14" s="428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30.75" customHeight="1">
      <c r="A15" s="210">
        <v>7</v>
      </c>
      <c r="B15" s="527" t="s">
        <v>7</v>
      </c>
      <c r="C15" s="528"/>
      <c r="D15" s="233">
        <v>5</v>
      </c>
      <c r="E15" s="234" t="s">
        <v>4</v>
      </c>
      <c r="F15" s="235" t="s">
        <v>5</v>
      </c>
      <c r="G15" s="209" t="s">
        <v>4690</v>
      </c>
      <c r="H15" s="209" t="s">
        <v>446</v>
      </c>
      <c r="I15" s="427" t="s">
        <v>4979</v>
      </c>
      <c r="J15" s="529"/>
      <c r="K15" s="428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27" customHeight="1">
      <c r="A16" s="210">
        <v>8</v>
      </c>
      <c r="B16" s="527" t="s">
        <v>10</v>
      </c>
      <c r="C16" s="528"/>
      <c r="D16" s="233">
        <v>14</v>
      </c>
      <c r="E16" s="234" t="s">
        <v>4</v>
      </c>
      <c r="F16" s="235" t="s">
        <v>196</v>
      </c>
      <c r="G16" s="209" t="s">
        <v>446</v>
      </c>
      <c r="H16" s="209" t="s">
        <v>446</v>
      </c>
      <c r="I16" s="366" t="s">
        <v>4981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27">
      <c r="A17" s="210">
        <v>9</v>
      </c>
      <c r="B17" s="527" t="s">
        <v>51</v>
      </c>
      <c r="C17" s="528"/>
      <c r="D17" s="233">
        <v>1</v>
      </c>
      <c r="E17" s="234" t="s">
        <v>4</v>
      </c>
      <c r="F17" s="235" t="s">
        <v>196</v>
      </c>
      <c r="G17" s="209" t="s">
        <v>446</v>
      </c>
      <c r="H17" s="209" t="s">
        <v>446</v>
      </c>
      <c r="I17" s="366" t="s">
        <v>4982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신속
2 : 보통</v>
      </c>
    </row>
    <row r="18" spans="1:12" ht="15" customHeight="1">
      <c r="A18" s="210">
        <v>10</v>
      </c>
      <c r="B18" s="527" t="s">
        <v>82</v>
      </c>
      <c r="C18" s="528"/>
      <c r="D18" s="233">
        <v>4</v>
      </c>
      <c r="E18" s="234" t="s">
        <v>4</v>
      </c>
      <c r="F18" s="235" t="s">
        <v>196</v>
      </c>
      <c r="G18" s="209" t="s">
        <v>446</v>
      </c>
      <c r="H18" s="209" t="s">
        <v>446</v>
      </c>
      <c r="I18" s="366" t="s">
        <v>4983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>&lt;별첨2&gt; 참조</v>
      </c>
    </row>
    <row r="19" spans="1:12" ht="30.75" customHeight="1">
      <c r="A19" s="210">
        <v>11</v>
      </c>
      <c r="B19" s="527" t="s">
        <v>8</v>
      </c>
      <c r="C19" s="528"/>
      <c r="D19" s="233">
        <v>4</v>
      </c>
      <c r="E19" s="234" t="s">
        <v>4</v>
      </c>
      <c r="F19" s="235" t="s">
        <v>196</v>
      </c>
      <c r="G19" s="209" t="s">
        <v>446</v>
      </c>
      <c r="H19" s="209" t="s">
        <v>446</v>
      </c>
      <c r="I19" s="366" t="s">
        <v>5006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>&lt;별첨3&gt; 참조</v>
      </c>
    </row>
    <row r="20" spans="1:12" ht="15" customHeight="1">
      <c r="A20" s="210">
        <v>12</v>
      </c>
      <c r="B20" s="527" t="s">
        <v>257</v>
      </c>
      <c r="C20" s="528"/>
      <c r="D20" s="233">
        <v>7</v>
      </c>
      <c r="E20" s="234" t="s">
        <v>4</v>
      </c>
      <c r="F20" s="235" t="s">
        <v>196</v>
      </c>
      <c r="G20" s="209" t="s">
        <v>446</v>
      </c>
      <c r="H20" s="209" t="s">
        <v>446</v>
      </c>
      <c r="I20" s="366" t="s">
        <v>4984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210">
        <v>13</v>
      </c>
      <c r="B21" s="527" t="s">
        <v>187</v>
      </c>
      <c r="C21" s="528"/>
      <c r="D21" s="233">
        <v>16</v>
      </c>
      <c r="E21" s="234" t="s">
        <v>42</v>
      </c>
      <c r="F21" s="235" t="s">
        <v>196</v>
      </c>
      <c r="G21" s="209" t="s">
        <v>446</v>
      </c>
      <c r="H21" s="209" t="s">
        <v>446</v>
      </c>
      <c r="I21" s="366" t="s">
        <v>4985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15" customHeight="1">
      <c r="A22" s="210">
        <v>14</v>
      </c>
      <c r="B22" s="527" t="s">
        <v>185</v>
      </c>
      <c r="C22" s="528"/>
      <c r="D22" s="233">
        <v>16</v>
      </c>
      <c r="E22" s="234" t="s">
        <v>42</v>
      </c>
      <c r="F22" s="235" t="s">
        <v>196</v>
      </c>
      <c r="G22" s="209" t="s">
        <v>446</v>
      </c>
      <c r="H22" s="209" t="s">
        <v>446</v>
      </c>
      <c r="I22" s="366" t="s">
        <v>4986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ht="15" customHeight="1">
      <c r="A23" s="210">
        <v>15</v>
      </c>
      <c r="B23" s="527" t="s">
        <v>258</v>
      </c>
      <c r="C23" s="528"/>
      <c r="D23" s="233">
        <v>32</v>
      </c>
      <c r="E23" s="234" t="s">
        <v>41</v>
      </c>
      <c r="F23" s="235" t="s">
        <v>196</v>
      </c>
      <c r="G23" s="209" t="s">
        <v>446</v>
      </c>
      <c r="H23" s="209" t="s">
        <v>446</v>
      </c>
      <c r="I23" s="366" t="s">
        <v>4987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5" customHeight="1">
      <c r="A24" s="210">
        <v>16</v>
      </c>
      <c r="B24" s="527" t="s">
        <v>259</v>
      </c>
      <c r="C24" s="528"/>
      <c r="D24" s="233">
        <v>32</v>
      </c>
      <c r="E24" s="234" t="s">
        <v>41</v>
      </c>
      <c r="F24" s="235" t="s">
        <v>196</v>
      </c>
      <c r="G24" s="209" t="s">
        <v>4661</v>
      </c>
      <c r="H24" s="209" t="s">
        <v>4661</v>
      </c>
      <c r="I24" s="366" t="s">
        <v>4988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 ht="15" customHeight="1">
      <c r="A25" s="210">
        <v>17</v>
      </c>
      <c r="B25" s="527" t="s">
        <v>58</v>
      </c>
      <c r="C25" s="528"/>
      <c r="D25" s="233">
        <v>32</v>
      </c>
      <c r="E25" s="234" t="s">
        <v>41</v>
      </c>
      <c r="F25" s="235" t="s">
        <v>196</v>
      </c>
      <c r="G25" s="209" t="s">
        <v>4661</v>
      </c>
      <c r="H25" s="209" t="s">
        <v>4661</v>
      </c>
      <c r="I25" s="366" t="s">
        <v>4674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108">
      <c r="A26" s="210">
        <v>18</v>
      </c>
      <c r="B26" s="527" t="s">
        <v>260</v>
      </c>
      <c r="C26" s="528"/>
      <c r="D26" s="233">
        <v>2</v>
      </c>
      <c r="E26" s="234" t="s">
        <v>4</v>
      </c>
      <c r="F26" s="235" t="s">
        <v>196</v>
      </c>
      <c r="G26" s="209" t="s">
        <v>446</v>
      </c>
      <c r="H26" s="209" t="s">
        <v>446</v>
      </c>
      <c r="I26" s="374" t="s">
        <v>4989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>01 : PC뱅킹
02 : 인터넷벵킹
03 : 전화
04 : 휴대전화
05 : 건별이체
06 : 기타
07 : 대량이체
08 : TV</v>
      </c>
    </row>
    <row r="27" spans="1:12" ht="162">
      <c r="A27" s="210">
        <v>19</v>
      </c>
      <c r="B27" s="527" t="s">
        <v>261</v>
      </c>
      <c r="C27" s="528"/>
      <c r="D27" s="233">
        <v>2</v>
      </c>
      <c r="E27" s="234" t="s">
        <v>4</v>
      </c>
      <c r="F27" s="235" t="s">
        <v>196</v>
      </c>
      <c r="G27" s="209" t="s">
        <v>446</v>
      </c>
      <c r="H27" s="209" t="s">
        <v>446</v>
      </c>
      <c r="I27" s="374" t="s">
        <v>4990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8" spans="1:12" ht="15" customHeight="1">
      <c r="A28" s="210">
        <v>20</v>
      </c>
      <c r="B28" s="527" t="s">
        <v>262</v>
      </c>
      <c r="C28" s="528"/>
      <c r="D28" s="233">
        <v>32</v>
      </c>
      <c r="E28" s="234" t="s">
        <v>42</v>
      </c>
      <c r="F28" s="235" t="s">
        <v>196</v>
      </c>
      <c r="G28" s="209" t="s">
        <v>4661</v>
      </c>
      <c r="H28" s="209" t="s">
        <v>4661</v>
      </c>
      <c r="I28" s="374" t="s">
        <v>4991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27" customHeight="1">
      <c r="A29" s="210">
        <v>21</v>
      </c>
      <c r="B29" s="527" t="s">
        <v>5009</v>
      </c>
      <c r="C29" s="528"/>
      <c r="D29" s="233">
        <v>1</v>
      </c>
      <c r="E29" s="234" t="s">
        <v>4</v>
      </c>
      <c r="F29" s="235" t="s">
        <v>5</v>
      </c>
      <c r="G29" s="209" t="s">
        <v>4690</v>
      </c>
      <c r="H29" s="209" t="s">
        <v>446</v>
      </c>
      <c r="I29" s="374" t="s">
        <v>4993</v>
      </c>
      <c r="J29" s="375"/>
      <c r="K29" s="376"/>
      <c r="L29" s="196" t="str">
        <f ca="1">IFERROR(_xlfn.TEXTJOIN(CHAR(10), TRUE, OFFSET('&lt;별첨9&gt;전체코드'!E:E, MATCH(B29,'&lt;별첨9&gt;전체코드'!A:A,0)-1, 0, COUNTIF('&lt;별첨9&gt;전체코드'!A:A,B29), 1)), "")</f>
        <v>0 : 해당사항없음
1 : 결제</v>
      </c>
    </row>
    <row r="30" spans="1:12" ht="43.5" customHeight="1">
      <c r="A30" s="210">
        <v>22</v>
      </c>
      <c r="B30" s="527" t="s">
        <v>25</v>
      </c>
      <c r="C30" s="528"/>
      <c r="D30" s="233">
        <v>5</v>
      </c>
      <c r="E30" s="234" t="s">
        <v>4</v>
      </c>
      <c r="F30" s="235" t="s">
        <v>5</v>
      </c>
      <c r="G30" s="209" t="s">
        <v>4690</v>
      </c>
      <c r="H30" s="209" t="s">
        <v>4690</v>
      </c>
      <c r="I30" s="427" t="s">
        <v>4994</v>
      </c>
      <c r="J30" s="529"/>
      <c r="K30" s="428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42.75" customHeight="1">
      <c r="A31" s="210">
        <v>23</v>
      </c>
      <c r="B31" s="527" t="s">
        <v>25</v>
      </c>
      <c r="C31" s="528"/>
      <c r="D31" s="233">
        <v>16</v>
      </c>
      <c r="E31" s="234" t="s">
        <v>42</v>
      </c>
      <c r="F31" s="235" t="s">
        <v>5</v>
      </c>
      <c r="G31" s="209" t="s">
        <v>4690</v>
      </c>
      <c r="H31" s="209" t="s">
        <v>4690</v>
      </c>
      <c r="I31" s="427" t="s">
        <v>4995</v>
      </c>
      <c r="J31" s="529"/>
      <c r="K31" s="428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 ht="15" customHeight="1">
      <c r="A32" s="210">
        <v>24</v>
      </c>
      <c r="B32" s="527" t="s">
        <v>21</v>
      </c>
      <c r="C32" s="528"/>
      <c r="D32" s="233">
        <v>9</v>
      </c>
      <c r="E32" s="234" t="s">
        <v>42</v>
      </c>
      <c r="F32" s="235" t="s">
        <v>5</v>
      </c>
      <c r="G32" s="209" t="s">
        <v>4690</v>
      </c>
      <c r="H32" s="209" t="s">
        <v>446</v>
      </c>
      <c r="I32" s="366" t="s">
        <v>4950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 ht="27" customHeight="1">
      <c r="A33" s="210">
        <v>25</v>
      </c>
      <c r="B33" s="527" t="s">
        <v>263</v>
      </c>
      <c r="C33" s="528"/>
      <c r="D33" s="233">
        <v>6</v>
      </c>
      <c r="E33" s="234" t="s">
        <v>4</v>
      </c>
      <c r="F33" s="235" t="s">
        <v>5</v>
      </c>
      <c r="G33" s="209" t="s">
        <v>4690</v>
      </c>
      <c r="H33" s="209" t="s">
        <v>446</v>
      </c>
      <c r="I33" s="366" t="s">
        <v>4996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 ht="27" customHeight="1">
      <c r="A34" s="210">
        <v>26</v>
      </c>
      <c r="B34" s="527" t="s">
        <v>264</v>
      </c>
      <c r="C34" s="528"/>
      <c r="D34" s="233">
        <v>6</v>
      </c>
      <c r="E34" s="234" t="s">
        <v>4</v>
      </c>
      <c r="F34" s="235" t="s">
        <v>5</v>
      </c>
      <c r="G34" s="209" t="s">
        <v>4690</v>
      </c>
      <c r="H34" s="209" t="s">
        <v>446</v>
      </c>
      <c r="I34" s="366" t="s">
        <v>4997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ht="54" customHeight="1">
      <c r="A35" s="210">
        <v>27</v>
      </c>
      <c r="B35" s="527" t="s">
        <v>54</v>
      </c>
      <c r="C35" s="528"/>
      <c r="D35" s="233">
        <v>1</v>
      </c>
      <c r="E35" s="234" t="s">
        <v>4</v>
      </c>
      <c r="F35" s="235" t="s">
        <v>5</v>
      </c>
      <c r="G35" s="209" t="s">
        <v>4690</v>
      </c>
      <c r="H35" s="209" t="s">
        <v>446</v>
      </c>
      <c r="I35" s="366" t="s">
        <v>4998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>1 : 총액결제
2 : 양자간 동시처리
3 : 다자간 동시처리
4 : 콜연결상환</v>
      </c>
    </row>
    <row r="36" spans="1:12" ht="27" customHeight="1">
      <c r="A36" s="210">
        <v>28</v>
      </c>
      <c r="B36" s="527" t="s">
        <v>55</v>
      </c>
      <c r="C36" s="528"/>
      <c r="D36" s="233">
        <v>2</v>
      </c>
      <c r="E36" s="234" t="s">
        <v>4</v>
      </c>
      <c r="F36" s="235" t="s">
        <v>5</v>
      </c>
      <c r="G36" s="209" t="s">
        <v>4690</v>
      </c>
      <c r="H36" s="209" t="s">
        <v>4690</v>
      </c>
      <c r="I36" s="366" t="s">
        <v>4999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&lt;별첨6&gt; 참조</v>
      </c>
    </row>
    <row r="37" spans="1:12" ht="27" customHeight="1">
      <c r="A37" s="210">
        <v>29</v>
      </c>
      <c r="B37" s="527" t="s">
        <v>27</v>
      </c>
      <c r="C37" s="528"/>
      <c r="D37" s="236">
        <v>18</v>
      </c>
      <c r="E37" s="237" t="s">
        <v>4</v>
      </c>
      <c r="F37" s="235" t="s">
        <v>5</v>
      </c>
      <c r="G37" s="209" t="s">
        <v>4690</v>
      </c>
      <c r="H37" s="209" t="s">
        <v>4690</v>
      </c>
      <c r="I37" s="374" t="s">
        <v>5000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27" customHeight="1">
      <c r="A38" s="210">
        <v>30</v>
      </c>
      <c r="B38" s="527" t="s">
        <v>44</v>
      </c>
      <c r="C38" s="528"/>
      <c r="D38" s="233">
        <v>18</v>
      </c>
      <c r="E38" s="234" t="s">
        <v>4</v>
      </c>
      <c r="F38" s="235" t="s">
        <v>5</v>
      </c>
      <c r="G38" s="209" t="s">
        <v>4690</v>
      </c>
      <c r="H38" s="209" t="s">
        <v>4690</v>
      </c>
      <c r="I38" s="374" t="s">
        <v>5001</v>
      </c>
      <c r="J38" s="375"/>
      <c r="K38" s="376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27" customHeight="1">
      <c r="A39" s="210">
        <v>31</v>
      </c>
      <c r="B39" s="527" t="s">
        <v>24</v>
      </c>
      <c r="C39" s="528"/>
      <c r="D39" s="233">
        <v>18</v>
      </c>
      <c r="E39" s="234" t="s">
        <v>4</v>
      </c>
      <c r="F39" s="235" t="s">
        <v>5</v>
      </c>
      <c r="G39" s="209" t="s">
        <v>4690</v>
      </c>
      <c r="H39" s="209" t="s">
        <v>4690</v>
      </c>
      <c r="I39" s="374" t="s">
        <v>5002</v>
      </c>
      <c r="J39" s="375"/>
      <c r="K39" s="376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 ht="27" customHeight="1">
      <c r="A40" s="210">
        <v>32</v>
      </c>
      <c r="B40" s="527" t="s">
        <v>56</v>
      </c>
      <c r="C40" s="528"/>
      <c r="D40" s="233">
        <v>18</v>
      </c>
      <c r="E40" s="234" t="s">
        <v>4</v>
      </c>
      <c r="F40" s="235" t="s">
        <v>5</v>
      </c>
      <c r="G40" s="209" t="s">
        <v>4690</v>
      </c>
      <c r="H40" s="209" t="s">
        <v>4690</v>
      </c>
      <c r="I40" s="366" t="s">
        <v>5003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 ht="27" customHeight="1">
      <c r="A41" s="210">
        <v>33</v>
      </c>
      <c r="B41" s="527" t="s">
        <v>57</v>
      </c>
      <c r="C41" s="528"/>
      <c r="D41" s="233">
        <v>18</v>
      </c>
      <c r="E41" s="234" t="s">
        <v>4</v>
      </c>
      <c r="F41" s="235" t="s">
        <v>5</v>
      </c>
      <c r="G41" s="209" t="s">
        <v>4690</v>
      </c>
      <c r="H41" s="209" t="s">
        <v>4690</v>
      </c>
      <c r="I41" s="366" t="s">
        <v>5004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15" customHeight="1" thickBot="1">
      <c r="A42" s="213">
        <v>34</v>
      </c>
      <c r="B42" s="530" t="s">
        <v>25</v>
      </c>
      <c r="C42" s="531"/>
      <c r="D42" s="238">
        <v>434</v>
      </c>
      <c r="E42" s="239" t="s">
        <v>26</v>
      </c>
      <c r="F42" s="240" t="s">
        <v>196</v>
      </c>
      <c r="G42" s="108" t="s">
        <v>4690</v>
      </c>
      <c r="H42" s="108" t="s">
        <v>4690</v>
      </c>
      <c r="I42" s="422" t="s">
        <v>254</v>
      </c>
      <c r="J42" s="423"/>
      <c r="K42" s="424"/>
      <c r="L42" s="198" t="str">
        <f ca="1">IFERROR(_xlfn.TEXTJOIN(CHAR(10), TRUE, OFFSET('&lt;별첨9&gt;전체코드'!E:E, MATCH(B42,'&lt;별첨9&gt;전체코드'!A:A,0)-1, 0, COUNTIF('&lt;별첨9&gt;전체코드'!A:A,B42), 1)), "")</f>
        <v/>
      </c>
    </row>
  </sheetData>
  <mergeCells count="83">
    <mergeCell ref="I24:K24"/>
    <mergeCell ref="I42:K42"/>
    <mergeCell ref="I40:K40"/>
    <mergeCell ref="I38:K38"/>
    <mergeCell ref="I36:K36"/>
    <mergeCell ref="I34:K34"/>
    <mergeCell ref="I25:K25"/>
    <mergeCell ref="I27:K27"/>
    <mergeCell ref="I26:K26"/>
    <mergeCell ref="K4:L4"/>
    <mergeCell ref="I22:K22"/>
    <mergeCell ref="I20:K20"/>
    <mergeCell ref="I18:K18"/>
    <mergeCell ref="I16:K16"/>
    <mergeCell ref="I14:K14"/>
    <mergeCell ref="I19:K19"/>
    <mergeCell ref="A2:L2"/>
    <mergeCell ref="B40:C40"/>
    <mergeCell ref="B41:C41"/>
    <mergeCell ref="B42:C42"/>
    <mergeCell ref="I41:K41"/>
    <mergeCell ref="B37:C37"/>
    <mergeCell ref="B38:C38"/>
    <mergeCell ref="B39:C39"/>
    <mergeCell ref="I37:K37"/>
    <mergeCell ref="I39:K39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B28:C28"/>
    <mergeCell ref="B30:C30"/>
    <mergeCell ref="I29:K29"/>
    <mergeCell ref="I32:K32"/>
    <mergeCell ref="I30:K30"/>
    <mergeCell ref="I28:K28"/>
    <mergeCell ref="B16:C16"/>
    <mergeCell ref="B17:C17"/>
    <mergeCell ref="B18:C18"/>
    <mergeCell ref="I17:K17"/>
    <mergeCell ref="B29:C29"/>
    <mergeCell ref="B19:C19"/>
    <mergeCell ref="B22:C22"/>
    <mergeCell ref="B23:C23"/>
    <mergeCell ref="B24:C24"/>
    <mergeCell ref="I23:K23"/>
    <mergeCell ref="B20:C20"/>
    <mergeCell ref="B21:C21"/>
    <mergeCell ref="I21:K21"/>
    <mergeCell ref="B25:C25"/>
    <mergeCell ref="B26:C26"/>
    <mergeCell ref="B27:C27"/>
    <mergeCell ref="B14:C14"/>
    <mergeCell ref="B15:C15"/>
    <mergeCell ref="I13:K13"/>
    <mergeCell ref="I15:K15"/>
    <mergeCell ref="B10:C10"/>
    <mergeCell ref="B11:C11"/>
    <mergeCell ref="B12:C12"/>
    <mergeCell ref="I11:K11"/>
    <mergeCell ref="I12:K12"/>
    <mergeCell ref="I10:K10"/>
    <mergeCell ref="B7:C7"/>
    <mergeCell ref="B8:C8"/>
    <mergeCell ref="B9:C9"/>
    <mergeCell ref="B13:C13"/>
    <mergeCell ref="C3:L3"/>
    <mergeCell ref="G5:I5"/>
    <mergeCell ref="K5:L5"/>
    <mergeCell ref="I9:K9"/>
    <mergeCell ref="A3:B3"/>
    <mergeCell ref="A4:B4"/>
    <mergeCell ref="D4:F4"/>
    <mergeCell ref="A5:B5"/>
    <mergeCell ref="D5:F5"/>
    <mergeCell ref="I7:K7"/>
    <mergeCell ref="I8:K8"/>
    <mergeCell ref="G4:I4"/>
  </mergeCells>
  <phoneticPr fontId="1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F599-50BC-4678-A0D2-BBBBED10BB28}">
  <sheetPr codeName="Sheet217"/>
  <dimension ref="A1:L43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5021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3.5" customHeight="1">
      <c r="A3" s="400" t="s">
        <v>0</v>
      </c>
      <c r="B3" s="401"/>
      <c r="C3" s="407" t="s">
        <v>7678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3.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245</v>
      </c>
      <c r="H4" s="411"/>
      <c r="I4" s="412"/>
      <c r="J4" s="115" t="s">
        <v>33</v>
      </c>
      <c r="K4" s="410" t="s">
        <v>5060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SLP230302SW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30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66" t="s">
        <v>5005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>
      <c r="A12" s="210">
        <v>4</v>
      </c>
      <c r="B12" s="427" t="s">
        <v>266</v>
      </c>
      <c r="C12" s="428"/>
      <c r="D12" s="233">
        <v>13</v>
      </c>
      <c r="E12" s="234" t="s">
        <v>42</v>
      </c>
      <c r="F12" s="235" t="s">
        <v>5</v>
      </c>
      <c r="G12" s="209" t="s">
        <v>446</v>
      </c>
      <c r="H12" s="209" t="s">
        <v>446</v>
      </c>
      <c r="I12" s="427" t="s">
        <v>5008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>
      <c r="A13" s="210">
        <v>5</v>
      </c>
      <c r="B13" s="427" t="s">
        <v>267</v>
      </c>
      <c r="C13" s="428"/>
      <c r="D13" s="233">
        <v>5</v>
      </c>
      <c r="E13" s="234" t="s">
        <v>4</v>
      </c>
      <c r="F13" s="235" t="s">
        <v>5</v>
      </c>
      <c r="G13" s="209" t="s">
        <v>446</v>
      </c>
      <c r="H13" s="209" t="s">
        <v>446</v>
      </c>
      <c r="I13" s="427" t="s">
        <v>5007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>
      <c r="A14" s="210">
        <v>6</v>
      </c>
      <c r="B14" s="527" t="s">
        <v>256</v>
      </c>
      <c r="C14" s="528"/>
      <c r="D14" s="233">
        <v>13</v>
      </c>
      <c r="E14" s="234" t="s">
        <v>42</v>
      </c>
      <c r="F14" s="235" t="s">
        <v>5</v>
      </c>
      <c r="G14" s="209" t="s">
        <v>446</v>
      </c>
      <c r="H14" s="209" t="s">
        <v>446</v>
      </c>
      <c r="I14" s="427" t="s">
        <v>4978</v>
      </c>
      <c r="J14" s="529"/>
      <c r="K14" s="428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>
      <c r="A15" s="210">
        <v>7</v>
      </c>
      <c r="B15" s="527" t="s">
        <v>7</v>
      </c>
      <c r="C15" s="528"/>
      <c r="D15" s="233">
        <v>5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427" t="s">
        <v>4980</v>
      </c>
      <c r="J15" s="529"/>
      <c r="K15" s="428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30" customHeight="1">
      <c r="A16" s="210">
        <v>8</v>
      </c>
      <c r="B16" s="527" t="s">
        <v>10</v>
      </c>
      <c r="C16" s="528"/>
      <c r="D16" s="233">
        <v>14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66" t="s">
        <v>4981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27">
      <c r="A17" s="210">
        <v>9</v>
      </c>
      <c r="B17" s="527" t="s">
        <v>51</v>
      </c>
      <c r="C17" s="528"/>
      <c r="D17" s="233">
        <v>1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66" t="s">
        <v>4982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신속
2 : 보통</v>
      </c>
    </row>
    <row r="18" spans="1:12">
      <c r="A18" s="210">
        <v>10</v>
      </c>
      <c r="B18" s="527" t="s">
        <v>82</v>
      </c>
      <c r="C18" s="528"/>
      <c r="D18" s="233">
        <v>4</v>
      </c>
      <c r="E18" s="234" t="s">
        <v>4</v>
      </c>
      <c r="F18" s="235" t="s">
        <v>5</v>
      </c>
      <c r="G18" s="209" t="s">
        <v>446</v>
      </c>
      <c r="H18" s="209" t="s">
        <v>446</v>
      </c>
      <c r="I18" s="366" t="s">
        <v>4983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>&lt;별첨2&gt; 참조</v>
      </c>
    </row>
    <row r="19" spans="1:12" ht="30" customHeight="1">
      <c r="A19" s="210">
        <v>11</v>
      </c>
      <c r="B19" s="527" t="s">
        <v>8</v>
      </c>
      <c r="C19" s="528"/>
      <c r="D19" s="233">
        <v>4</v>
      </c>
      <c r="E19" s="234" t="s">
        <v>4</v>
      </c>
      <c r="F19" s="235" t="s">
        <v>5</v>
      </c>
      <c r="G19" s="209" t="s">
        <v>446</v>
      </c>
      <c r="H19" s="209" t="s">
        <v>446</v>
      </c>
      <c r="I19" s="366" t="s">
        <v>5006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>&lt;별첨3&gt; 참조</v>
      </c>
    </row>
    <row r="20" spans="1:12">
      <c r="A20" s="210">
        <v>12</v>
      </c>
      <c r="B20" s="527" t="s">
        <v>257</v>
      </c>
      <c r="C20" s="528"/>
      <c r="D20" s="233">
        <v>7</v>
      </c>
      <c r="E20" s="234" t="s">
        <v>4</v>
      </c>
      <c r="F20" s="235" t="s">
        <v>5</v>
      </c>
      <c r="G20" s="209" t="s">
        <v>446</v>
      </c>
      <c r="H20" s="209" t="s">
        <v>446</v>
      </c>
      <c r="I20" s="366" t="s">
        <v>4984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>
      <c r="A21" s="210">
        <v>13</v>
      </c>
      <c r="B21" s="527" t="s">
        <v>187</v>
      </c>
      <c r="C21" s="528"/>
      <c r="D21" s="233">
        <v>16</v>
      </c>
      <c r="E21" s="234" t="s">
        <v>42</v>
      </c>
      <c r="F21" s="235" t="s">
        <v>5</v>
      </c>
      <c r="G21" s="209" t="s">
        <v>446</v>
      </c>
      <c r="H21" s="209" t="s">
        <v>446</v>
      </c>
      <c r="I21" s="366" t="s">
        <v>4985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>
      <c r="A22" s="210">
        <v>14</v>
      </c>
      <c r="B22" s="527" t="s">
        <v>185</v>
      </c>
      <c r="C22" s="528"/>
      <c r="D22" s="233">
        <v>16</v>
      </c>
      <c r="E22" s="234" t="s">
        <v>42</v>
      </c>
      <c r="F22" s="235" t="s">
        <v>5</v>
      </c>
      <c r="G22" s="209" t="s">
        <v>446</v>
      </c>
      <c r="H22" s="209" t="s">
        <v>446</v>
      </c>
      <c r="I22" s="366" t="s">
        <v>4986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>
      <c r="A23" s="210">
        <v>15</v>
      </c>
      <c r="B23" s="527" t="s">
        <v>258</v>
      </c>
      <c r="C23" s="528"/>
      <c r="D23" s="233">
        <v>32</v>
      </c>
      <c r="E23" s="234" t="s">
        <v>41</v>
      </c>
      <c r="F23" s="235" t="s">
        <v>5</v>
      </c>
      <c r="G23" s="209" t="s">
        <v>446</v>
      </c>
      <c r="H23" s="209" t="s">
        <v>446</v>
      </c>
      <c r="I23" s="366" t="s">
        <v>4987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>
      <c r="A24" s="210">
        <v>16</v>
      </c>
      <c r="B24" s="527" t="s">
        <v>259</v>
      </c>
      <c r="C24" s="528"/>
      <c r="D24" s="233">
        <v>32</v>
      </c>
      <c r="E24" s="234" t="s">
        <v>41</v>
      </c>
      <c r="F24" s="235" t="s">
        <v>5</v>
      </c>
      <c r="G24" s="209" t="s">
        <v>4661</v>
      </c>
      <c r="H24" s="209" t="s">
        <v>4661</v>
      </c>
      <c r="I24" s="366" t="s">
        <v>4988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>
      <c r="A25" s="210">
        <v>17</v>
      </c>
      <c r="B25" s="527" t="s">
        <v>58</v>
      </c>
      <c r="C25" s="528"/>
      <c r="D25" s="233">
        <v>32</v>
      </c>
      <c r="E25" s="234" t="s">
        <v>41</v>
      </c>
      <c r="F25" s="235" t="s">
        <v>5</v>
      </c>
      <c r="G25" s="209" t="s">
        <v>4661</v>
      </c>
      <c r="H25" s="209" t="s">
        <v>4661</v>
      </c>
      <c r="I25" s="366" t="s">
        <v>4674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108">
      <c r="A26" s="210">
        <v>18</v>
      </c>
      <c r="B26" s="527" t="s">
        <v>260</v>
      </c>
      <c r="C26" s="528"/>
      <c r="D26" s="233">
        <v>2</v>
      </c>
      <c r="E26" s="234" t="s">
        <v>4</v>
      </c>
      <c r="F26" s="235" t="s">
        <v>5</v>
      </c>
      <c r="G26" s="209" t="s">
        <v>446</v>
      </c>
      <c r="H26" s="209" t="s">
        <v>446</v>
      </c>
      <c r="I26" s="374" t="s">
        <v>4989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>01 : PC뱅킹
02 : 인터넷벵킹
03 : 전화
04 : 휴대전화
05 : 건별이체
06 : 기타
07 : 대량이체
08 : TV</v>
      </c>
    </row>
    <row r="27" spans="1:12" ht="162">
      <c r="A27" s="210">
        <v>19</v>
      </c>
      <c r="B27" s="527" t="s">
        <v>261</v>
      </c>
      <c r="C27" s="528"/>
      <c r="D27" s="233">
        <v>2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4990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8" spans="1:12">
      <c r="A28" s="210">
        <v>20</v>
      </c>
      <c r="B28" s="527" t="s">
        <v>262</v>
      </c>
      <c r="C28" s="528"/>
      <c r="D28" s="233">
        <v>32</v>
      </c>
      <c r="E28" s="234" t="s">
        <v>42</v>
      </c>
      <c r="F28" s="235" t="s">
        <v>5</v>
      </c>
      <c r="G28" s="209" t="s">
        <v>4661</v>
      </c>
      <c r="H28" s="209" t="s">
        <v>4661</v>
      </c>
      <c r="I28" s="374" t="s">
        <v>4991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27">
      <c r="A29" s="210">
        <v>21</v>
      </c>
      <c r="B29" s="527" t="s">
        <v>5009</v>
      </c>
      <c r="C29" s="528"/>
      <c r="D29" s="233">
        <v>1</v>
      </c>
      <c r="E29" s="234" t="s">
        <v>4</v>
      </c>
      <c r="F29" s="235" t="s">
        <v>5</v>
      </c>
      <c r="G29" s="209" t="s">
        <v>446</v>
      </c>
      <c r="H29" s="209" t="s">
        <v>446</v>
      </c>
      <c r="I29" s="374" t="s">
        <v>4992</v>
      </c>
      <c r="J29" s="375"/>
      <c r="K29" s="376"/>
      <c r="L29" s="196" t="str">
        <f ca="1">IFERROR(_xlfn.TEXTJOIN(CHAR(10), TRUE, OFFSET('&lt;별첨9&gt;전체코드'!E:E, MATCH(B29,'&lt;별첨9&gt;전체코드'!A:A,0)-1, 0, COUNTIF('&lt;별첨9&gt;전체코드'!A:A,B29), 1)), "")</f>
        <v>0 : 해당사항없음
1 : 결제</v>
      </c>
    </row>
    <row r="30" spans="1:12" ht="42" customHeight="1">
      <c r="A30" s="210">
        <v>22</v>
      </c>
      <c r="B30" s="527" t="s">
        <v>25</v>
      </c>
      <c r="C30" s="528"/>
      <c r="D30" s="233">
        <v>5</v>
      </c>
      <c r="E30" s="234" t="s">
        <v>4</v>
      </c>
      <c r="F30" s="235" t="s">
        <v>5</v>
      </c>
      <c r="G30" s="209" t="s">
        <v>4690</v>
      </c>
      <c r="H30" s="209" t="s">
        <v>4690</v>
      </c>
      <c r="I30" s="427" t="s">
        <v>5011</v>
      </c>
      <c r="J30" s="529"/>
      <c r="K30" s="428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42" customHeight="1">
      <c r="A31" s="210">
        <v>23</v>
      </c>
      <c r="B31" s="527" t="s">
        <v>25</v>
      </c>
      <c r="C31" s="528"/>
      <c r="D31" s="233">
        <v>16</v>
      </c>
      <c r="E31" s="234" t="s">
        <v>42</v>
      </c>
      <c r="F31" s="235" t="s">
        <v>5</v>
      </c>
      <c r="G31" s="209" t="s">
        <v>4690</v>
      </c>
      <c r="H31" s="209" t="s">
        <v>4690</v>
      </c>
      <c r="I31" s="427" t="s">
        <v>5012</v>
      </c>
      <c r="J31" s="529"/>
      <c r="K31" s="428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>
      <c r="A32" s="210">
        <v>24</v>
      </c>
      <c r="B32" s="527" t="s">
        <v>21</v>
      </c>
      <c r="C32" s="528"/>
      <c r="D32" s="233">
        <v>9</v>
      </c>
      <c r="E32" s="234" t="s">
        <v>42</v>
      </c>
      <c r="F32" s="235" t="s">
        <v>5</v>
      </c>
      <c r="G32" s="209" t="s">
        <v>446</v>
      </c>
      <c r="H32" s="209" t="s">
        <v>446</v>
      </c>
      <c r="I32" s="366" t="s">
        <v>4950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>
      <c r="A33" s="210">
        <v>25</v>
      </c>
      <c r="B33" s="527" t="s">
        <v>263</v>
      </c>
      <c r="C33" s="528"/>
      <c r="D33" s="233">
        <v>6</v>
      </c>
      <c r="E33" s="234" t="s">
        <v>4</v>
      </c>
      <c r="F33" s="235" t="s">
        <v>5</v>
      </c>
      <c r="G33" s="209" t="s">
        <v>446</v>
      </c>
      <c r="H33" s="209" t="s">
        <v>446</v>
      </c>
      <c r="I33" s="366" t="s">
        <v>4996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>
      <c r="A34" s="210">
        <v>26</v>
      </c>
      <c r="B34" s="527" t="s">
        <v>264</v>
      </c>
      <c r="C34" s="528"/>
      <c r="D34" s="233">
        <v>6</v>
      </c>
      <c r="E34" s="234" t="s">
        <v>4</v>
      </c>
      <c r="F34" s="235" t="s">
        <v>5</v>
      </c>
      <c r="G34" s="209" t="s">
        <v>446</v>
      </c>
      <c r="H34" s="209" t="s">
        <v>446</v>
      </c>
      <c r="I34" s="366" t="s">
        <v>4997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ht="54">
      <c r="A35" s="210">
        <v>27</v>
      </c>
      <c r="B35" s="527" t="s">
        <v>54</v>
      </c>
      <c r="C35" s="528"/>
      <c r="D35" s="233">
        <v>1</v>
      </c>
      <c r="E35" s="234" t="s">
        <v>4</v>
      </c>
      <c r="F35" s="235" t="s">
        <v>5</v>
      </c>
      <c r="G35" s="209" t="s">
        <v>446</v>
      </c>
      <c r="H35" s="209" t="s">
        <v>446</v>
      </c>
      <c r="I35" s="366" t="s">
        <v>5013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>1 : 총액결제
2 : 양자간 동시처리
3 : 다자간 동시처리
4 : 콜연결상환</v>
      </c>
    </row>
    <row r="36" spans="1:12" ht="30" customHeight="1">
      <c r="A36" s="210">
        <v>28</v>
      </c>
      <c r="B36" s="527" t="s">
        <v>55</v>
      </c>
      <c r="C36" s="528"/>
      <c r="D36" s="233">
        <v>2</v>
      </c>
      <c r="E36" s="234" t="s">
        <v>4</v>
      </c>
      <c r="F36" s="235" t="s">
        <v>5</v>
      </c>
      <c r="G36" s="209" t="s">
        <v>446</v>
      </c>
      <c r="H36" s="209" t="s">
        <v>446</v>
      </c>
      <c r="I36" s="366" t="s">
        <v>5014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&lt;별첨6&gt; 참조</v>
      </c>
    </row>
    <row r="37" spans="1:12" ht="30" customHeight="1">
      <c r="A37" s="210">
        <v>29</v>
      </c>
      <c r="B37" s="527" t="s">
        <v>27</v>
      </c>
      <c r="C37" s="528"/>
      <c r="D37" s="236">
        <v>18</v>
      </c>
      <c r="E37" s="237" t="s">
        <v>4</v>
      </c>
      <c r="F37" s="235" t="s">
        <v>5</v>
      </c>
      <c r="G37" s="209" t="s">
        <v>446</v>
      </c>
      <c r="H37" s="209" t="s">
        <v>446</v>
      </c>
      <c r="I37" s="374" t="s">
        <v>5015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30" customHeight="1">
      <c r="A38" s="210">
        <v>30</v>
      </c>
      <c r="B38" s="527" t="s">
        <v>44</v>
      </c>
      <c r="C38" s="528"/>
      <c r="D38" s="233">
        <v>18</v>
      </c>
      <c r="E38" s="234" t="s">
        <v>4</v>
      </c>
      <c r="F38" s="235" t="s">
        <v>5</v>
      </c>
      <c r="G38" s="209" t="s">
        <v>446</v>
      </c>
      <c r="H38" s="209" t="s">
        <v>446</v>
      </c>
      <c r="I38" s="374" t="s">
        <v>5016</v>
      </c>
      <c r="J38" s="375"/>
      <c r="K38" s="376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0" customHeight="1">
      <c r="A39" s="210">
        <v>31</v>
      </c>
      <c r="B39" s="527" t="s">
        <v>24</v>
      </c>
      <c r="C39" s="528"/>
      <c r="D39" s="233">
        <v>18</v>
      </c>
      <c r="E39" s="234" t="s">
        <v>4</v>
      </c>
      <c r="F39" s="235" t="s">
        <v>5</v>
      </c>
      <c r="G39" s="209" t="s">
        <v>446</v>
      </c>
      <c r="H39" s="209" t="s">
        <v>446</v>
      </c>
      <c r="I39" s="374" t="s">
        <v>5017</v>
      </c>
      <c r="J39" s="375"/>
      <c r="K39" s="376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>
      <c r="A40" s="210">
        <v>32</v>
      </c>
      <c r="B40" s="527" t="s">
        <v>56</v>
      </c>
      <c r="C40" s="528"/>
      <c r="D40" s="233">
        <v>18</v>
      </c>
      <c r="E40" s="234" t="s">
        <v>4</v>
      </c>
      <c r="F40" s="235" t="s">
        <v>5</v>
      </c>
      <c r="G40" s="209" t="s">
        <v>446</v>
      </c>
      <c r="H40" s="209" t="s">
        <v>446</v>
      </c>
      <c r="I40" s="366" t="s">
        <v>5018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>
      <c r="A41" s="210">
        <v>33</v>
      </c>
      <c r="B41" s="527" t="s">
        <v>57</v>
      </c>
      <c r="C41" s="528"/>
      <c r="D41" s="233">
        <v>18</v>
      </c>
      <c r="E41" s="234" t="s">
        <v>4</v>
      </c>
      <c r="F41" s="235" t="s">
        <v>5</v>
      </c>
      <c r="G41" s="209" t="s">
        <v>446</v>
      </c>
      <c r="H41" s="209" t="s">
        <v>446</v>
      </c>
      <c r="I41" s="366" t="s">
        <v>5019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17.25" thickBot="1">
      <c r="A42" s="213">
        <v>34</v>
      </c>
      <c r="B42" s="530" t="s">
        <v>25</v>
      </c>
      <c r="C42" s="531"/>
      <c r="D42" s="238">
        <v>434</v>
      </c>
      <c r="E42" s="239" t="s">
        <v>26</v>
      </c>
      <c r="F42" s="240" t="s">
        <v>5</v>
      </c>
      <c r="G42" s="108" t="s">
        <v>4690</v>
      </c>
      <c r="H42" s="108" t="s">
        <v>4690</v>
      </c>
      <c r="I42" s="422" t="s">
        <v>254</v>
      </c>
      <c r="J42" s="423"/>
      <c r="K42" s="424"/>
      <c r="L42" s="198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40.5" customHeight="1"/>
  </sheetData>
  <mergeCells count="83">
    <mergeCell ref="I30:K30"/>
    <mergeCell ref="I28:K28"/>
    <mergeCell ref="I26:K26"/>
    <mergeCell ref="I24:K24"/>
    <mergeCell ref="I42:K42"/>
    <mergeCell ref="I40:K40"/>
    <mergeCell ref="I38:K38"/>
    <mergeCell ref="I36:K36"/>
    <mergeCell ref="I34:K34"/>
    <mergeCell ref="I22:K22"/>
    <mergeCell ref="I20:K20"/>
    <mergeCell ref="I18:K18"/>
    <mergeCell ref="I16:K16"/>
    <mergeCell ref="I14:K14"/>
    <mergeCell ref="I12:K12"/>
    <mergeCell ref="I10:K10"/>
    <mergeCell ref="I8:K8"/>
    <mergeCell ref="K4:L4"/>
    <mergeCell ref="A2:L2"/>
    <mergeCell ref="B10:C10"/>
    <mergeCell ref="B11:C11"/>
    <mergeCell ref="B12:C12"/>
    <mergeCell ref="I11:K11"/>
    <mergeCell ref="B7:C7"/>
    <mergeCell ref="B8:C8"/>
    <mergeCell ref="B9:C9"/>
    <mergeCell ref="I7:K7"/>
    <mergeCell ref="I9:K9"/>
    <mergeCell ref="A3:B3"/>
    <mergeCell ref="A4:B4"/>
    <mergeCell ref="B40:C40"/>
    <mergeCell ref="B41:C41"/>
    <mergeCell ref="B42:C42"/>
    <mergeCell ref="I41:K41"/>
    <mergeCell ref="B37:C37"/>
    <mergeCell ref="B38:C38"/>
    <mergeCell ref="B39:C39"/>
    <mergeCell ref="I37:K37"/>
    <mergeCell ref="I39:K39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I32:K32"/>
    <mergeCell ref="B28:C28"/>
    <mergeCell ref="K5:L5"/>
    <mergeCell ref="B29:C29"/>
    <mergeCell ref="B30:C30"/>
    <mergeCell ref="I29:K29"/>
    <mergeCell ref="B25:C25"/>
    <mergeCell ref="B26:C26"/>
    <mergeCell ref="B27:C27"/>
    <mergeCell ref="I25:K25"/>
    <mergeCell ref="I27:K27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B16:C16"/>
    <mergeCell ref="B17:C17"/>
    <mergeCell ref="B18:C18"/>
    <mergeCell ref="I17:K17"/>
    <mergeCell ref="B13:C13"/>
    <mergeCell ref="B14:C14"/>
    <mergeCell ref="B15:C15"/>
    <mergeCell ref="I13:K13"/>
    <mergeCell ref="I15:K15"/>
    <mergeCell ref="C3:L3"/>
    <mergeCell ref="D4:F4"/>
    <mergeCell ref="A5:B5"/>
    <mergeCell ref="D5:F5"/>
    <mergeCell ref="G4:I4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1A90-2FF0-4332-927F-17CA307D0BEC}">
  <sheetPr codeName="Sheet218"/>
  <dimension ref="A1:L43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326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3.5" customHeight="1">
      <c r="A3" s="400" t="s">
        <v>0</v>
      </c>
      <c r="B3" s="401"/>
      <c r="C3" s="407" t="s">
        <v>7679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3.5" customHeight="1">
      <c r="A4" s="402" t="s">
        <v>31</v>
      </c>
      <c r="B4" s="403"/>
      <c r="C4" s="119" t="s">
        <v>7627</v>
      </c>
      <c r="D4" s="404" t="s">
        <v>32</v>
      </c>
      <c r="E4" s="405"/>
      <c r="F4" s="406"/>
      <c r="G4" s="410" t="s">
        <v>246</v>
      </c>
      <c r="H4" s="411"/>
      <c r="I4" s="412"/>
      <c r="J4" s="115" t="s">
        <v>33</v>
      </c>
      <c r="K4" s="410" t="s">
        <v>5060</v>
      </c>
      <c r="L4" s="413"/>
    </row>
    <row r="5" spans="1:12" ht="17.25" thickBot="1">
      <c r="A5" s="395" t="s">
        <v>34</v>
      </c>
      <c r="B5" s="396"/>
      <c r="C5" s="120">
        <v>1016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VLOOKUP(G4,목록!E13:$G$83,3,FALSE)</f>
        <v>SLP230302SW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5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6" t="s">
        <v>7622</v>
      </c>
      <c r="I7" s="381" t="s">
        <v>40</v>
      </c>
      <c r="J7" s="382"/>
      <c r="K7" s="382"/>
      <c r="L7" s="109" t="s">
        <v>4708</v>
      </c>
    </row>
    <row r="8" spans="1:12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527" t="s">
        <v>3</v>
      </c>
      <c r="C9" s="528"/>
      <c r="D9" s="233">
        <v>8</v>
      </c>
      <c r="E9" s="234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>
      <c r="A10" s="210">
        <v>2</v>
      </c>
      <c r="B10" s="527" t="s">
        <v>81</v>
      </c>
      <c r="C10" s="528"/>
      <c r="D10" s="233">
        <v>4</v>
      </c>
      <c r="E10" s="234" t="s">
        <v>4</v>
      </c>
      <c r="F10" s="235" t="s">
        <v>5</v>
      </c>
      <c r="G10" s="209" t="s">
        <v>446</v>
      </c>
      <c r="H10" s="209" t="s">
        <v>446</v>
      </c>
      <c r="I10" s="366" t="s">
        <v>4977</v>
      </c>
      <c r="J10" s="367"/>
      <c r="K10" s="429"/>
      <c r="L10" s="19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30" customHeight="1">
      <c r="A11" s="210">
        <v>3</v>
      </c>
      <c r="B11" s="527" t="s">
        <v>6</v>
      </c>
      <c r="C11" s="528"/>
      <c r="D11" s="233">
        <v>4</v>
      </c>
      <c r="E11" s="234" t="s">
        <v>4</v>
      </c>
      <c r="F11" s="235" t="s">
        <v>5</v>
      </c>
      <c r="G11" s="209" t="s">
        <v>446</v>
      </c>
      <c r="H11" s="209" t="s">
        <v>446</v>
      </c>
      <c r="I11" s="366" t="s">
        <v>5005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>
      <c r="A12" s="210">
        <v>4</v>
      </c>
      <c r="B12" s="427" t="s">
        <v>266</v>
      </c>
      <c r="C12" s="428"/>
      <c r="D12" s="233">
        <v>13</v>
      </c>
      <c r="E12" s="234" t="s">
        <v>42</v>
      </c>
      <c r="F12" s="235" t="s">
        <v>5</v>
      </c>
      <c r="G12" s="209" t="s">
        <v>446</v>
      </c>
      <c r="H12" s="209" t="s">
        <v>446</v>
      </c>
      <c r="I12" s="427" t="s">
        <v>5008</v>
      </c>
      <c r="J12" s="529"/>
      <c r="K12" s="428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>
      <c r="A13" s="210">
        <v>5</v>
      </c>
      <c r="B13" s="427" t="s">
        <v>267</v>
      </c>
      <c r="C13" s="428"/>
      <c r="D13" s="233">
        <v>5</v>
      </c>
      <c r="E13" s="234" t="s">
        <v>4</v>
      </c>
      <c r="F13" s="235" t="s">
        <v>5</v>
      </c>
      <c r="G13" s="209" t="s">
        <v>446</v>
      </c>
      <c r="H13" s="209" t="s">
        <v>446</v>
      </c>
      <c r="I13" s="427" t="s">
        <v>5007</v>
      </c>
      <c r="J13" s="529"/>
      <c r="K13" s="428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>
      <c r="A14" s="210">
        <v>6</v>
      </c>
      <c r="B14" s="527" t="s">
        <v>256</v>
      </c>
      <c r="C14" s="528"/>
      <c r="D14" s="233">
        <v>13</v>
      </c>
      <c r="E14" s="234" t="s">
        <v>42</v>
      </c>
      <c r="F14" s="235" t="s">
        <v>5</v>
      </c>
      <c r="G14" s="209" t="s">
        <v>446</v>
      </c>
      <c r="H14" s="209" t="s">
        <v>446</v>
      </c>
      <c r="I14" s="427" t="s">
        <v>4978</v>
      </c>
      <c r="J14" s="529"/>
      <c r="K14" s="428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>
      <c r="A15" s="210">
        <v>7</v>
      </c>
      <c r="B15" s="527" t="s">
        <v>7</v>
      </c>
      <c r="C15" s="528"/>
      <c r="D15" s="233">
        <v>5</v>
      </c>
      <c r="E15" s="234" t="s">
        <v>4</v>
      </c>
      <c r="F15" s="235" t="s">
        <v>5</v>
      </c>
      <c r="G15" s="209" t="s">
        <v>446</v>
      </c>
      <c r="H15" s="209" t="s">
        <v>446</v>
      </c>
      <c r="I15" s="427" t="s">
        <v>4980</v>
      </c>
      <c r="J15" s="529"/>
      <c r="K15" s="428"/>
      <c r="L15" s="19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30" customHeight="1">
      <c r="A16" s="210">
        <v>8</v>
      </c>
      <c r="B16" s="527" t="s">
        <v>10</v>
      </c>
      <c r="C16" s="528"/>
      <c r="D16" s="233">
        <v>14</v>
      </c>
      <c r="E16" s="234" t="s">
        <v>4</v>
      </c>
      <c r="F16" s="235" t="s">
        <v>5</v>
      </c>
      <c r="G16" s="209" t="s">
        <v>446</v>
      </c>
      <c r="H16" s="209" t="s">
        <v>446</v>
      </c>
      <c r="I16" s="366" t="s">
        <v>4981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27">
      <c r="A17" s="210">
        <v>9</v>
      </c>
      <c r="B17" s="527" t="s">
        <v>51</v>
      </c>
      <c r="C17" s="528"/>
      <c r="D17" s="233">
        <v>1</v>
      </c>
      <c r="E17" s="234" t="s">
        <v>4</v>
      </c>
      <c r="F17" s="235" t="s">
        <v>5</v>
      </c>
      <c r="G17" s="209" t="s">
        <v>446</v>
      </c>
      <c r="H17" s="209" t="s">
        <v>446</v>
      </c>
      <c r="I17" s="366" t="s">
        <v>4982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>1 : 신속
2 : 보통</v>
      </c>
    </row>
    <row r="18" spans="1:12">
      <c r="A18" s="210">
        <v>10</v>
      </c>
      <c r="B18" s="527" t="s">
        <v>82</v>
      </c>
      <c r="C18" s="528"/>
      <c r="D18" s="233">
        <v>4</v>
      </c>
      <c r="E18" s="234" t="s">
        <v>4</v>
      </c>
      <c r="F18" s="235" t="s">
        <v>5</v>
      </c>
      <c r="G18" s="209" t="s">
        <v>446</v>
      </c>
      <c r="H18" s="209" t="s">
        <v>446</v>
      </c>
      <c r="I18" s="366" t="s">
        <v>4983</v>
      </c>
      <c r="J18" s="367"/>
      <c r="K18" s="429"/>
      <c r="L18" s="196" t="str">
        <f ca="1">IFERROR(_xlfn.TEXTJOIN(CHAR(10), TRUE, OFFSET('&lt;별첨9&gt;전체코드'!E:E, MATCH(B18,'&lt;별첨9&gt;전체코드'!A:A,0)-1, 0, COUNTIF('&lt;별첨9&gt;전체코드'!A:A,B18), 1)), "")</f>
        <v>&lt;별첨2&gt; 참조</v>
      </c>
    </row>
    <row r="19" spans="1:12" ht="30" customHeight="1">
      <c r="A19" s="210">
        <v>11</v>
      </c>
      <c r="B19" s="527" t="s">
        <v>8</v>
      </c>
      <c r="C19" s="528"/>
      <c r="D19" s="233">
        <v>4</v>
      </c>
      <c r="E19" s="234" t="s">
        <v>4</v>
      </c>
      <c r="F19" s="235" t="s">
        <v>5</v>
      </c>
      <c r="G19" s="209" t="s">
        <v>446</v>
      </c>
      <c r="H19" s="209" t="s">
        <v>446</v>
      </c>
      <c r="I19" s="366" t="s">
        <v>5006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>&lt;별첨3&gt; 참조</v>
      </c>
    </row>
    <row r="20" spans="1:12">
      <c r="A20" s="210">
        <v>12</v>
      </c>
      <c r="B20" s="527" t="s">
        <v>257</v>
      </c>
      <c r="C20" s="528"/>
      <c r="D20" s="233">
        <v>7</v>
      </c>
      <c r="E20" s="234" t="s">
        <v>4</v>
      </c>
      <c r="F20" s="235" t="s">
        <v>5</v>
      </c>
      <c r="G20" s="209" t="s">
        <v>446</v>
      </c>
      <c r="H20" s="209" t="s">
        <v>446</v>
      </c>
      <c r="I20" s="366" t="s">
        <v>4984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>
      <c r="A21" s="210">
        <v>13</v>
      </c>
      <c r="B21" s="527" t="s">
        <v>187</v>
      </c>
      <c r="C21" s="528"/>
      <c r="D21" s="233">
        <v>16</v>
      </c>
      <c r="E21" s="234" t="s">
        <v>42</v>
      </c>
      <c r="F21" s="235" t="s">
        <v>5</v>
      </c>
      <c r="G21" s="209" t="s">
        <v>446</v>
      </c>
      <c r="H21" s="209" t="s">
        <v>446</v>
      </c>
      <c r="I21" s="366" t="s">
        <v>4985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>
      <c r="A22" s="210">
        <v>14</v>
      </c>
      <c r="B22" s="527" t="s">
        <v>185</v>
      </c>
      <c r="C22" s="528"/>
      <c r="D22" s="233">
        <v>16</v>
      </c>
      <c r="E22" s="234" t="s">
        <v>42</v>
      </c>
      <c r="F22" s="235" t="s">
        <v>5</v>
      </c>
      <c r="G22" s="209" t="s">
        <v>446</v>
      </c>
      <c r="H22" s="209" t="s">
        <v>446</v>
      </c>
      <c r="I22" s="366" t="s">
        <v>4986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>
      <c r="A23" s="210">
        <v>15</v>
      </c>
      <c r="B23" s="527" t="s">
        <v>258</v>
      </c>
      <c r="C23" s="528"/>
      <c r="D23" s="233">
        <v>32</v>
      </c>
      <c r="E23" s="234" t="s">
        <v>41</v>
      </c>
      <c r="F23" s="235" t="s">
        <v>5</v>
      </c>
      <c r="G23" s="209" t="s">
        <v>446</v>
      </c>
      <c r="H23" s="209" t="s">
        <v>446</v>
      </c>
      <c r="I23" s="366" t="s">
        <v>4987</v>
      </c>
      <c r="J23" s="367"/>
      <c r="K23" s="367"/>
      <c r="L23" s="196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>
      <c r="A24" s="210">
        <v>16</v>
      </c>
      <c r="B24" s="527" t="s">
        <v>259</v>
      </c>
      <c r="C24" s="528"/>
      <c r="D24" s="233">
        <v>32</v>
      </c>
      <c r="E24" s="234" t="s">
        <v>41</v>
      </c>
      <c r="F24" s="235" t="s">
        <v>5</v>
      </c>
      <c r="G24" s="209" t="s">
        <v>4661</v>
      </c>
      <c r="H24" s="209" t="s">
        <v>4661</v>
      </c>
      <c r="I24" s="366" t="s">
        <v>4988</v>
      </c>
      <c r="J24" s="367"/>
      <c r="K24" s="367"/>
      <c r="L24" s="196" t="str">
        <f ca="1">IFERROR(_xlfn.TEXTJOIN(CHAR(10), TRUE, OFFSET('&lt;별첨9&gt;전체코드'!E:E, MATCH(B24,'&lt;별첨9&gt;전체코드'!A:A,0)-1, 0, COUNTIF('&lt;별첨9&gt;전체코드'!A:A,B24), 1)), "")</f>
        <v/>
      </c>
    </row>
    <row r="25" spans="1:12">
      <c r="A25" s="210">
        <v>17</v>
      </c>
      <c r="B25" s="527" t="s">
        <v>58</v>
      </c>
      <c r="C25" s="528"/>
      <c r="D25" s="233">
        <v>32</v>
      </c>
      <c r="E25" s="234" t="s">
        <v>41</v>
      </c>
      <c r="F25" s="235" t="s">
        <v>5</v>
      </c>
      <c r="G25" s="209" t="s">
        <v>4661</v>
      </c>
      <c r="H25" s="209" t="s">
        <v>4661</v>
      </c>
      <c r="I25" s="366" t="s">
        <v>4674</v>
      </c>
      <c r="J25" s="367"/>
      <c r="K25" s="367"/>
      <c r="L25" s="196" t="str">
        <f ca="1">IFERROR(_xlfn.TEXTJOIN(CHAR(10), TRUE, OFFSET('&lt;별첨9&gt;전체코드'!E:E, MATCH(B25,'&lt;별첨9&gt;전체코드'!A:A,0)-1, 0, COUNTIF('&lt;별첨9&gt;전체코드'!A:A,B25), 1)), "")</f>
        <v/>
      </c>
    </row>
    <row r="26" spans="1:12" ht="108">
      <c r="A26" s="210">
        <v>18</v>
      </c>
      <c r="B26" s="527" t="s">
        <v>260</v>
      </c>
      <c r="C26" s="528"/>
      <c r="D26" s="233">
        <v>2</v>
      </c>
      <c r="E26" s="234" t="s">
        <v>4</v>
      </c>
      <c r="F26" s="235" t="s">
        <v>5</v>
      </c>
      <c r="G26" s="209" t="s">
        <v>446</v>
      </c>
      <c r="H26" s="209" t="s">
        <v>446</v>
      </c>
      <c r="I26" s="374" t="s">
        <v>4989</v>
      </c>
      <c r="J26" s="375"/>
      <c r="K26" s="376"/>
      <c r="L26" s="196" t="str">
        <f ca="1">IFERROR(_xlfn.TEXTJOIN(CHAR(10), TRUE, OFFSET('&lt;별첨9&gt;전체코드'!E:E, MATCH(B26,'&lt;별첨9&gt;전체코드'!A:A,0)-1, 0, COUNTIF('&lt;별첨9&gt;전체코드'!A:A,B26), 1)), "")</f>
        <v>01 : PC뱅킹
02 : 인터넷벵킹
03 : 전화
04 : 휴대전화
05 : 건별이체
06 : 기타
07 : 대량이체
08 : TV</v>
      </c>
    </row>
    <row r="27" spans="1:12" ht="162">
      <c r="A27" s="210">
        <v>19</v>
      </c>
      <c r="B27" s="527" t="s">
        <v>261</v>
      </c>
      <c r="C27" s="528"/>
      <c r="D27" s="233">
        <v>2</v>
      </c>
      <c r="E27" s="234" t="s">
        <v>4</v>
      </c>
      <c r="F27" s="235" t="s">
        <v>5</v>
      </c>
      <c r="G27" s="209" t="s">
        <v>446</v>
      </c>
      <c r="H27" s="209" t="s">
        <v>446</v>
      </c>
      <c r="I27" s="374" t="s">
        <v>4990</v>
      </c>
      <c r="J27" s="375"/>
      <c r="K27" s="376"/>
      <c r="L27" s="196" t="str">
        <f ca="1">IFERROR(_xlfn.TEXTJOIN(CHAR(10), TRUE, OFFSET('&lt;별첨9&gt;전체코드'!E:E, MATCH(B27,'&lt;별첨9&gt;전체코드'!A:A,0)-1, 0, COUNTIF('&lt;별첨9&gt;전체코드'!A:A,B27), 1)), "")</f>
        <v>00 : 일반
01 : 급여
02 : 배당금
03 : 기타
04 : 타행 자동이체
11 : 기초생활보장급여
12 : 기초노령연금
13 : 장애인연금
15 : 장애(아동)수당
16 : 한부모가족지원
20 : 국민연금
30 : 요양비 등 보험급여</v>
      </c>
    </row>
    <row r="28" spans="1:12">
      <c r="A28" s="210">
        <v>20</v>
      </c>
      <c r="B28" s="527" t="s">
        <v>262</v>
      </c>
      <c r="C28" s="528"/>
      <c r="D28" s="233">
        <v>32</v>
      </c>
      <c r="E28" s="234" t="s">
        <v>42</v>
      </c>
      <c r="F28" s="235" t="s">
        <v>5</v>
      </c>
      <c r="G28" s="209" t="s">
        <v>4661</v>
      </c>
      <c r="H28" s="209" t="s">
        <v>4661</v>
      </c>
      <c r="I28" s="374" t="s">
        <v>4991</v>
      </c>
      <c r="J28" s="375"/>
      <c r="K28" s="376"/>
      <c r="L28" s="196" t="str">
        <f ca="1">IFERROR(_xlfn.TEXTJOIN(CHAR(10), TRUE, OFFSET('&lt;별첨9&gt;전체코드'!E:E, MATCH(B28,'&lt;별첨9&gt;전체코드'!A:A,0)-1, 0, COUNTIF('&lt;별첨9&gt;전체코드'!A:A,B28), 1)), "")</f>
        <v/>
      </c>
    </row>
    <row r="29" spans="1:12" ht="27">
      <c r="A29" s="210">
        <v>21</v>
      </c>
      <c r="B29" s="527" t="s">
        <v>5009</v>
      </c>
      <c r="C29" s="528"/>
      <c r="D29" s="233">
        <v>1</v>
      </c>
      <c r="E29" s="234" t="s">
        <v>4</v>
      </c>
      <c r="F29" s="235" t="s">
        <v>5</v>
      </c>
      <c r="G29" s="209" t="s">
        <v>446</v>
      </c>
      <c r="H29" s="209" t="s">
        <v>446</v>
      </c>
      <c r="I29" s="374" t="s">
        <v>4992</v>
      </c>
      <c r="J29" s="375"/>
      <c r="K29" s="376"/>
      <c r="L29" s="196" t="str">
        <f ca="1">IFERROR(_xlfn.TEXTJOIN(CHAR(10), TRUE, OFFSET('&lt;별첨9&gt;전체코드'!E:E, MATCH(B29,'&lt;별첨9&gt;전체코드'!A:A,0)-1, 0, COUNTIF('&lt;별첨9&gt;전체코드'!A:A,B29), 1)), "")</f>
        <v>0 : 해당사항없음
1 : 결제</v>
      </c>
    </row>
    <row r="30" spans="1:12" ht="43.5" customHeight="1">
      <c r="A30" s="210">
        <v>22</v>
      </c>
      <c r="B30" s="527" t="s">
        <v>25</v>
      </c>
      <c r="C30" s="528"/>
      <c r="D30" s="233">
        <v>5</v>
      </c>
      <c r="E30" s="234" t="s">
        <v>4</v>
      </c>
      <c r="F30" s="235" t="s">
        <v>5</v>
      </c>
      <c r="G30" s="209" t="s">
        <v>4690</v>
      </c>
      <c r="H30" s="209" t="s">
        <v>4690</v>
      </c>
      <c r="I30" s="427" t="s">
        <v>5011</v>
      </c>
      <c r="J30" s="529"/>
      <c r="K30" s="428"/>
      <c r="L30" s="196" t="str">
        <f ca="1">IFERROR(_xlfn.TEXTJOIN(CHAR(10), TRUE, OFFSET('&lt;별첨9&gt;전체코드'!E:E, MATCH(B30,'&lt;별첨9&gt;전체코드'!A:A,0)-1, 0, COUNTIF('&lt;별첨9&gt;전체코드'!A:A,B30), 1)), "")</f>
        <v/>
      </c>
    </row>
    <row r="31" spans="1:12" ht="43.5" customHeight="1">
      <c r="A31" s="210">
        <v>23</v>
      </c>
      <c r="B31" s="527" t="s">
        <v>25</v>
      </c>
      <c r="C31" s="528"/>
      <c r="D31" s="233">
        <v>16</v>
      </c>
      <c r="E31" s="234" t="s">
        <v>42</v>
      </c>
      <c r="F31" s="235" t="s">
        <v>5</v>
      </c>
      <c r="G31" s="209" t="s">
        <v>4690</v>
      </c>
      <c r="H31" s="209" t="s">
        <v>4690</v>
      </c>
      <c r="I31" s="427" t="s">
        <v>5012</v>
      </c>
      <c r="J31" s="529"/>
      <c r="K31" s="428"/>
      <c r="L31" s="196" t="str">
        <f ca="1">IFERROR(_xlfn.TEXTJOIN(CHAR(10), TRUE, OFFSET('&lt;별첨9&gt;전체코드'!E:E, MATCH(B31,'&lt;별첨9&gt;전체코드'!A:A,0)-1, 0, COUNTIF('&lt;별첨9&gt;전체코드'!A:A,B31), 1)), "")</f>
        <v/>
      </c>
    </row>
    <row r="32" spans="1:12">
      <c r="A32" s="210">
        <v>24</v>
      </c>
      <c r="B32" s="527" t="s">
        <v>21</v>
      </c>
      <c r="C32" s="528"/>
      <c r="D32" s="233">
        <v>9</v>
      </c>
      <c r="E32" s="234" t="s">
        <v>42</v>
      </c>
      <c r="F32" s="235" t="s">
        <v>5</v>
      </c>
      <c r="G32" s="209" t="s">
        <v>446</v>
      </c>
      <c r="H32" s="209" t="s">
        <v>446</v>
      </c>
      <c r="I32" s="366" t="s">
        <v>4950</v>
      </c>
      <c r="J32" s="367"/>
      <c r="K32" s="367"/>
      <c r="L32" s="196" t="str">
        <f ca="1">IFERROR(_xlfn.TEXTJOIN(CHAR(10), TRUE, OFFSET('&lt;별첨9&gt;전체코드'!E:E, MATCH(B32,'&lt;별첨9&gt;전체코드'!A:A,0)-1, 0, COUNTIF('&lt;별첨9&gt;전체코드'!A:A,B32), 1)), "")</f>
        <v/>
      </c>
    </row>
    <row r="33" spans="1:12">
      <c r="A33" s="210">
        <v>25</v>
      </c>
      <c r="B33" s="527" t="s">
        <v>263</v>
      </c>
      <c r="C33" s="528"/>
      <c r="D33" s="233">
        <v>6</v>
      </c>
      <c r="E33" s="234" t="s">
        <v>4</v>
      </c>
      <c r="F33" s="235" t="s">
        <v>5</v>
      </c>
      <c r="G33" s="209" t="s">
        <v>446</v>
      </c>
      <c r="H33" s="209" t="s">
        <v>446</v>
      </c>
      <c r="I33" s="366" t="s">
        <v>4996</v>
      </c>
      <c r="J33" s="367"/>
      <c r="K33" s="367"/>
      <c r="L33" s="196" t="str">
        <f ca="1">IFERROR(_xlfn.TEXTJOIN(CHAR(10), TRUE, OFFSET('&lt;별첨9&gt;전체코드'!E:E, MATCH(B33,'&lt;별첨9&gt;전체코드'!A:A,0)-1, 0, COUNTIF('&lt;별첨9&gt;전체코드'!A:A,B33), 1)), "")</f>
        <v/>
      </c>
    </row>
    <row r="34" spans="1:12">
      <c r="A34" s="210">
        <v>26</v>
      </c>
      <c r="B34" s="527" t="s">
        <v>264</v>
      </c>
      <c r="C34" s="528"/>
      <c r="D34" s="233">
        <v>6</v>
      </c>
      <c r="E34" s="234" t="s">
        <v>4</v>
      </c>
      <c r="F34" s="235" t="s">
        <v>5</v>
      </c>
      <c r="G34" s="209" t="s">
        <v>446</v>
      </c>
      <c r="H34" s="209" t="s">
        <v>446</v>
      </c>
      <c r="I34" s="366" t="s">
        <v>4997</v>
      </c>
      <c r="J34" s="367"/>
      <c r="K34" s="367"/>
      <c r="L34" s="196" t="str">
        <f ca="1">IFERROR(_xlfn.TEXTJOIN(CHAR(10), TRUE, OFFSET('&lt;별첨9&gt;전체코드'!E:E, MATCH(B34,'&lt;별첨9&gt;전체코드'!A:A,0)-1, 0, COUNTIF('&lt;별첨9&gt;전체코드'!A:A,B34), 1)), "")</f>
        <v/>
      </c>
    </row>
    <row r="35" spans="1:12" ht="54">
      <c r="A35" s="210">
        <v>27</v>
      </c>
      <c r="B35" s="527" t="s">
        <v>54</v>
      </c>
      <c r="C35" s="528"/>
      <c r="D35" s="233">
        <v>1</v>
      </c>
      <c r="E35" s="234" t="s">
        <v>4</v>
      </c>
      <c r="F35" s="235" t="s">
        <v>5</v>
      </c>
      <c r="G35" s="209" t="s">
        <v>446</v>
      </c>
      <c r="H35" s="209" t="s">
        <v>446</v>
      </c>
      <c r="I35" s="366" t="s">
        <v>5020</v>
      </c>
      <c r="J35" s="367"/>
      <c r="K35" s="367"/>
      <c r="L35" s="196" t="str">
        <f ca="1">IFERROR(_xlfn.TEXTJOIN(CHAR(10), TRUE, OFFSET('&lt;별첨9&gt;전체코드'!E:E, MATCH(B35,'&lt;별첨9&gt;전체코드'!A:A,0)-1, 0, COUNTIF('&lt;별첨9&gt;전체코드'!A:A,B35), 1)), "")</f>
        <v>1 : 총액결제
2 : 양자간 동시처리
3 : 다자간 동시처리
4 : 콜연결상환</v>
      </c>
    </row>
    <row r="36" spans="1:12" ht="30" customHeight="1">
      <c r="A36" s="210">
        <v>28</v>
      </c>
      <c r="B36" s="527" t="s">
        <v>55</v>
      </c>
      <c r="C36" s="528"/>
      <c r="D36" s="233">
        <v>2</v>
      </c>
      <c r="E36" s="234" t="s">
        <v>4</v>
      </c>
      <c r="F36" s="235" t="s">
        <v>5</v>
      </c>
      <c r="G36" s="209" t="s">
        <v>446</v>
      </c>
      <c r="H36" s="209" t="s">
        <v>446</v>
      </c>
      <c r="I36" s="366" t="s">
        <v>5014</v>
      </c>
      <c r="J36" s="367"/>
      <c r="K36" s="367"/>
      <c r="L36" s="196" t="str">
        <f ca="1">IFERROR(_xlfn.TEXTJOIN(CHAR(10), TRUE, OFFSET('&lt;별첨9&gt;전체코드'!E:E, MATCH(B36,'&lt;별첨9&gt;전체코드'!A:A,0)-1, 0, COUNTIF('&lt;별첨9&gt;전체코드'!A:A,B36), 1)), "")</f>
        <v>&lt;별첨6&gt; 참조</v>
      </c>
    </row>
    <row r="37" spans="1:12" ht="30" customHeight="1">
      <c r="A37" s="210">
        <v>29</v>
      </c>
      <c r="B37" s="527" t="s">
        <v>27</v>
      </c>
      <c r="C37" s="528"/>
      <c r="D37" s="236">
        <v>18</v>
      </c>
      <c r="E37" s="237" t="s">
        <v>4</v>
      </c>
      <c r="F37" s="235" t="s">
        <v>5</v>
      </c>
      <c r="G37" s="209" t="s">
        <v>446</v>
      </c>
      <c r="H37" s="209" t="s">
        <v>446</v>
      </c>
      <c r="I37" s="374" t="s">
        <v>5015</v>
      </c>
      <c r="J37" s="375"/>
      <c r="K37" s="376"/>
      <c r="L37" s="196" t="str">
        <f ca="1">IFERROR(_xlfn.TEXTJOIN(CHAR(10), TRUE, OFFSET('&lt;별첨9&gt;전체코드'!E:E, MATCH(B37,'&lt;별첨9&gt;전체코드'!A:A,0)-1, 0, COUNTIF('&lt;별첨9&gt;전체코드'!A:A,B37), 1)), "")</f>
        <v/>
      </c>
    </row>
    <row r="38" spans="1:12" ht="30" customHeight="1">
      <c r="A38" s="210">
        <v>30</v>
      </c>
      <c r="B38" s="527" t="s">
        <v>44</v>
      </c>
      <c r="C38" s="528"/>
      <c r="D38" s="233">
        <v>18</v>
      </c>
      <c r="E38" s="234" t="s">
        <v>4</v>
      </c>
      <c r="F38" s="235" t="s">
        <v>5</v>
      </c>
      <c r="G38" s="209" t="s">
        <v>446</v>
      </c>
      <c r="H38" s="209" t="s">
        <v>446</v>
      </c>
      <c r="I38" s="374" t="s">
        <v>5016</v>
      </c>
      <c r="J38" s="375"/>
      <c r="K38" s="376"/>
      <c r="L38" s="196" t="str">
        <f ca="1">IFERROR(_xlfn.TEXTJOIN(CHAR(10), TRUE, OFFSET('&lt;별첨9&gt;전체코드'!E:E, MATCH(B38,'&lt;별첨9&gt;전체코드'!A:A,0)-1, 0, COUNTIF('&lt;별첨9&gt;전체코드'!A:A,B38), 1)), "")</f>
        <v/>
      </c>
    </row>
    <row r="39" spans="1:12" ht="30" customHeight="1">
      <c r="A39" s="210">
        <v>31</v>
      </c>
      <c r="B39" s="527" t="s">
        <v>24</v>
      </c>
      <c r="C39" s="528"/>
      <c r="D39" s="233">
        <v>18</v>
      </c>
      <c r="E39" s="234" t="s">
        <v>4</v>
      </c>
      <c r="F39" s="235" t="s">
        <v>5</v>
      </c>
      <c r="G39" s="209" t="s">
        <v>446</v>
      </c>
      <c r="H39" s="209" t="s">
        <v>446</v>
      </c>
      <c r="I39" s="374" t="s">
        <v>5017</v>
      </c>
      <c r="J39" s="375"/>
      <c r="K39" s="376"/>
      <c r="L39" s="196" t="str">
        <f ca="1">IFERROR(_xlfn.TEXTJOIN(CHAR(10), TRUE, OFFSET('&lt;별첨9&gt;전체코드'!E:E, MATCH(B39,'&lt;별첨9&gt;전체코드'!A:A,0)-1, 0, COUNTIF('&lt;별첨9&gt;전체코드'!A:A,B39), 1)), "")</f>
        <v/>
      </c>
    </row>
    <row r="40" spans="1:12">
      <c r="A40" s="210">
        <v>32</v>
      </c>
      <c r="B40" s="527" t="s">
        <v>56</v>
      </c>
      <c r="C40" s="528"/>
      <c r="D40" s="233">
        <v>18</v>
      </c>
      <c r="E40" s="234" t="s">
        <v>4</v>
      </c>
      <c r="F40" s="235" t="s">
        <v>5</v>
      </c>
      <c r="G40" s="209" t="s">
        <v>446</v>
      </c>
      <c r="H40" s="209" t="s">
        <v>446</v>
      </c>
      <c r="I40" s="366" t="s">
        <v>5018</v>
      </c>
      <c r="J40" s="367"/>
      <c r="K40" s="367"/>
      <c r="L40" s="196" t="str">
        <f ca="1">IFERROR(_xlfn.TEXTJOIN(CHAR(10), TRUE, OFFSET('&lt;별첨9&gt;전체코드'!E:E, MATCH(B40,'&lt;별첨9&gt;전체코드'!A:A,0)-1, 0, COUNTIF('&lt;별첨9&gt;전체코드'!A:A,B40), 1)), "")</f>
        <v/>
      </c>
    </row>
    <row r="41" spans="1:12">
      <c r="A41" s="210">
        <v>33</v>
      </c>
      <c r="B41" s="527" t="s">
        <v>57</v>
      </c>
      <c r="C41" s="528"/>
      <c r="D41" s="233">
        <v>18</v>
      </c>
      <c r="E41" s="234" t="s">
        <v>4</v>
      </c>
      <c r="F41" s="235" t="s">
        <v>5</v>
      </c>
      <c r="G41" s="209" t="s">
        <v>446</v>
      </c>
      <c r="H41" s="209" t="s">
        <v>446</v>
      </c>
      <c r="I41" s="366" t="s">
        <v>5019</v>
      </c>
      <c r="J41" s="367"/>
      <c r="K41" s="367"/>
      <c r="L41" s="196" t="str">
        <f ca="1">IFERROR(_xlfn.TEXTJOIN(CHAR(10), TRUE, OFFSET('&lt;별첨9&gt;전체코드'!E:E, MATCH(B41,'&lt;별첨9&gt;전체코드'!A:A,0)-1, 0, COUNTIF('&lt;별첨9&gt;전체코드'!A:A,B41), 1)), "")</f>
        <v/>
      </c>
    </row>
    <row r="42" spans="1:12" ht="17.25" thickBot="1">
      <c r="A42" s="213">
        <v>34</v>
      </c>
      <c r="B42" s="530" t="s">
        <v>25</v>
      </c>
      <c r="C42" s="531"/>
      <c r="D42" s="238">
        <v>434</v>
      </c>
      <c r="E42" s="239" t="s">
        <v>26</v>
      </c>
      <c r="F42" s="240" t="s">
        <v>5</v>
      </c>
      <c r="G42" s="108" t="s">
        <v>4690</v>
      </c>
      <c r="H42" s="108" t="s">
        <v>4690</v>
      </c>
      <c r="I42" s="422" t="s">
        <v>254</v>
      </c>
      <c r="J42" s="423"/>
      <c r="K42" s="424"/>
      <c r="L42" s="198" t="str">
        <f ca="1">IFERROR(_xlfn.TEXTJOIN(CHAR(10), TRUE, OFFSET('&lt;별첨9&gt;전체코드'!E:E, MATCH(B42,'&lt;별첨9&gt;전체코드'!A:A,0)-1, 0, COUNTIF('&lt;별첨9&gt;전체코드'!A:A,B42), 1)), "")</f>
        <v/>
      </c>
    </row>
    <row r="43" spans="1:12" ht="40.5" customHeight="1"/>
  </sheetData>
  <mergeCells count="83">
    <mergeCell ref="I30:K30"/>
    <mergeCell ref="I28:K28"/>
    <mergeCell ref="I26:K26"/>
    <mergeCell ref="I24:K24"/>
    <mergeCell ref="I42:K42"/>
    <mergeCell ref="I40:K40"/>
    <mergeCell ref="I38:K38"/>
    <mergeCell ref="I36:K36"/>
    <mergeCell ref="I34:K34"/>
    <mergeCell ref="I22:K22"/>
    <mergeCell ref="I20:K20"/>
    <mergeCell ref="I18:K18"/>
    <mergeCell ref="I16:K16"/>
    <mergeCell ref="I14:K14"/>
    <mergeCell ref="I12:K12"/>
    <mergeCell ref="I10:K10"/>
    <mergeCell ref="I8:K8"/>
    <mergeCell ref="K4:L4"/>
    <mergeCell ref="A2:L2"/>
    <mergeCell ref="B10:C10"/>
    <mergeCell ref="B11:C11"/>
    <mergeCell ref="B12:C12"/>
    <mergeCell ref="I11:K11"/>
    <mergeCell ref="B7:C7"/>
    <mergeCell ref="B8:C8"/>
    <mergeCell ref="B9:C9"/>
    <mergeCell ref="I7:K7"/>
    <mergeCell ref="I9:K9"/>
    <mergeCell ref="A3:B3"/>
    <mergeCell ref="A4:B4"/>
    <mergeCell ref="B40:C40"/>
    <mergeCell ref="B41:C41"/>
    <mergeCell ref="B42:C42"/>
    <mergeCell ref="I41:K41"/>
    <mergeCell ref="B37:C37"/>
    <mergeCell ref="B38:C38"/>
    <mergeCell ref="B39:C39"/>
    <mergeCell ref="I37:K37"/>
    <mergeCell ref="I39:K39"/>
    <mergeCell ref="B34:C34"/>
    <mergeCell ref="B35:C35"/>
    <mergeCell ref="B36:C36"/>
    <mergeCell ref="I35:K35"/>
    <mergeCell ref="B31:C31"/>
    <mergeCell ref="B32:C32"/>
    <mergeCell ref="B33:C33"/>
    <mergeCell ref="I31:K31"/>
    <mergeCell ref="I33:K33"/>
    <mergeCell ref="I32:K32"/>
    <mergeCell ref="B28:C28"/>
    <mergeCell ref="K5:L5"/>
    <mergeCell ref="B29:C29"/>
    <mergeCell ref="B30:C30"/>
    <mergeCell ref="I29:K29"/>
    <mergeCell ref="B25:C25"/>
    <mergeCell ref="B26:C26"/>
    <mergeCell ref="B27:C27"/>
    <mergeCell ref="I25:K25"/>
    <mergeCell ref="I27:K27"/>
    <mergeCell ref="B22:C22"/>
    <mergeCell ref="B23:C23"/>
    <mergeCell ref="B24:C24"/>
    <mergeCell ref="I23:K23"/>
    <mergeCell ref="B19:C19"/>
    <mergeCell ref="B20:C20"/>
    <mergeCell ref="B21:C21"/>
    <mergeCell ref="I19:K19"/>
    <mergeCell ref="I21:K21"/>
    <mergeCell ref="B16:C16"/>
    <mergeCell ref="B17:C17"/>
    <mergeCell ref="B18:C18"/>
    <mergeCell ref="I17:K17"/>
    <mergeCell ref="B13:C13"/>
    <mergeCell ref="B14:C14"/>
    <mergeCell ref="B15:C15"/>
    <mergeCell ref="I13:K13"/>
    <mergeCell ref="I15:K15"/>
    <mergeCell ref="C3:L3"/>
    <mergeCell ref="D4:F4"/>
    <mergeCell ref="A5:B5"/>
    <mergeCell ref="D5:F5"/>
    <mergeCell ref="G4:I4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8DCC-B583-4ACD-B58A-D3A6C6A3A963}">
  <dimension ref="A1:S2242"/>
  <sheetViews>
    <sheetView topLeftCell="A2211" zoomScaleNormal="100" workbookViewId="0">
      <selection activeCell="A3" sqref="A3:B2242"/>
    </sheetView>
  </sheetViews>
  <sheetFormatPr defaultRowHeight="13.5"/>
  <cols>
    <col min="1" max="1" width="12.375" style="137" customWidth="1"/>
    <col min="2" max="2" width="47.25" style="138" bestFit="1" customWidth="1"/>
    <col min="3" max="10" width="9" style="64"/>
    <col min="11" max="19" width="9" style="65"/>
    <col min="20" max="16384" width="9" style="64"/>
  </cols>
  <sheetData>
    <row r="1" spans="1:2" ht="17.25" thickBot="1">
      <c r="A1" s="125" t="s">
        <v>4606</v>
      </c>
      <c r="B1" s="129"/>
    </row>
    <row r="2" spans="1:2" ht="14.25" thickBot="1">
      <c r="A2" s="130" t="s">
        <v>450</v>
      </c>
      <c r="B2" s="131" t="s">
        <v>2635</v>
      </c>
    </row>
    <row r="3" spans="1:2">
      <c r="A3" s="73" t="str">
        <f>"0000"</f>
        <v>0000</v>
      </c>
      <c r="B3" s="132" t="s">
        <v>2634</v>
      </c>
    </row>
    <row r="4" spans="1:2">
      <c r="A4" s="133" t="str">
        <f>"0001"</f>
        <v>0001</v>
      </c>
      <c r="B4" s="134" t="s">
        <v>2633</v>
      </c>
    </row>
    <row r="5" spans="1:2">
      <c r="A5" s="133" t="str">
        <f>"0002"</f>
        <v>0002</v>
      </c>
      <c r="B5" s="134" t="s">
        <v>2632</v>
      </c>
    </row>
    <row r="6" spans="1:2">
      <c r="A6" s="133" t="str">
        <f>"0003"</f>
        <v>0003</v>
      </c>
      <c r="B6" s="134" t="s">
        <v>2631</v>
      </c>
    </row>
    <row r="7" spans="1:2">
      <c r="A7" s="133" t="str">
        <f>"0004"</f>
        <v>0004</v>
      </c>
      <c r="B7" s="134" t="s">
        <v>2630</v>
      </c>
    </row>
    <row r="8" spans="1:2">
      <c r="A8" s="133" t="str">
        <f>"0005"</f>
        <v>0005</v>
      </c>
      <c r="B8" s="134" t="s">
        <v>1465</v>
      </c>
    </row>
    <row r="9" spans="1:2">
      <c r="A9" s="133" t="str">
        <f>"0006"</f>
        <v>0006</v>
      </c>
      <c r="B9" s="134" t="s">
        <v>2629</v>
      </c>
    </row>
    <row r="10" spans="1:2">
      <c r="A10" s="133" t="str">
        <f>"0007"</f>
        <v>0007</v>
      </c>
      <c r="B10" s="134" t="s">
        <v>2628</v>
      </c>
    </row>
    <row r="11" spans="1:2">
      <c r="A11" s="133" t="str">
        <f>"0008"</f>
        <v>0008</v>
      </c>
      <c r="B11" s="134" t="s">
        <v>2627</v>
      </c>
    </row>
    <row r="12" spans="1:2">
      <c r="A12" s="133" t="str">
        <f>"0009"</f>
        <v>0009</v>
      </c>
      <c r="B12" s="134" t="s">
        <v>2626</v>
      </c>
    </row>
    <row r="13" spans="1:2">
      <c r="A13" s="133" t="str">
        <f>"0010"</f>
        <v>0010</v>
      </c>
      <c r="B13" s="134" t="s">
        <v>2625</v>
      </c>
    </row>
    <row r="14" spans="1:2">
      <c r="A14" s="133" t="str">
        <f>"0011"</f>
        <v>0011</v>
      </c>
      <c r="B14" s="134" t="s">
        <v>2624</v>
      </c>
    </row>
    <row r="15" spans="1:2">
      <c r="A15" s="133" t="str">
        <f>"0012"</f>
        <v>0012</v>
      </c>
      <c r="B15" s="134" t="s">
        <v>2623</v>
      </c>
    </row>
    <row r="16" spans="1:2">
      <c r="A16" s="133" t="str">
        <f>"0013"</f>
        <v>0013</v>
      </c>
      <c r="B16" s="134" t="s">
        <v>2622</v>
      </c>
    </row>
    <row r="17" spans="1:2">
      <c r="A17" s="133" t="str">
        <f>"0014"</f>
        <v>0014</v>
      </c>
      <c r="B17" s="134" t="s">
        <v>2621</v>
      </c>
    </row>
    <row r="18" spans="1:2">
      <c r="A18" s="133" t="str">
        <f>"0015"</f>
        <v>0015</v>
      </c>
      <c r="B18" s="134" t="s">
        <v>2620</v>
      </c>
    </row>
    <row r="19" spans="1:2">
      <c r="A19" s="133" t="str">
        <f>"0016"</f>
        <v>0016</v>
      </c>
      <c r="B19" s="134" t="s">
        <v>2619</v>
      </c>
    </row>
    <row r="20" spans="1:2">
      <c r="A20" s="133" t="str">
        <f>"0017"</f>
        <v>0017</v>
      </c>
      <c r="B20" s="134" t="s">
        <v>2618</v>
      </c>
    </row>
    <row r="21" spans="1:2">
      <c r="A21" s="133" t="str">
        <f>"0018"</f>
        <v>0018</v>
      </c>
      <c r="B21" s="134" t="s">
        <v>2617</v>
      </c>
    </row>
    <row r="22" spans="1:2">
      <c r="A22" s="133" t="str">
        <f>"0019"</f>
        <v>0019</v>
      </c>
      <c r="B22" s="134" t="s">
        <v>2616</v>
      </c>
    </row>
    <row r="23" spans="1:2">
      <c r="A23" s="133" t="str">
        <f>"0020"</f>
        <v>0020</v>
      </c>
      <c r="B23" s="134" t="s">
        <v>2615</v>
      </c>
    </row>
    <row r="24" spans="1:2">
      <c r="A24" s="133" t="str">
        <f>"0021"</f>
        <v>0021</v>
      </c>
      <c r="B24" s="134" t="s">
        <v>1494</v>
      </c>
    </row>
    <row r="25" spans="1:2">
      <c r="A25" s="133" t="str">
        <f>"0022"</f>
        <v>0022</v>
      </c>
      <c r="B25" s="134" t="s">
        <v>2614</v>
      </c>
    </row>
    <row r="26" spans="1:2">
      <c r="A26" s="133" t="str">
        <f>"0023"</f>
        <v>0023</v>
      </c>
      <c r="B26" s="134" t="s">
        <v>2613</v>
      </c>
    </row>
    <row r="27" spans="1:2">
      <c r="A27" s="133" t="str">
        <f>"0024"</f>
        <v>0024</v>
      </c>
      <c r="B27" s="134" t="s">
        <v>2612</v>
      </c>
    </row>
    <row r="28" spans="1:2">
      <c r="A28" s="133" t="str">
        <f>"0025"</f>
        <v>0025</v>
      </c>
      <c r="B28" s="134" t="s">
        <v>2611</v>
      </c>
    </row>
    <row r="29" spans="1:2">
      <c r="A29" s="133" t="str">
        <f>"0026"</f>
        <v>0026</v>
      </c>
      <c r="B29" s="134" t="s">
        <v>2610</v>
      </c>
    </row>
    <row r="30" spans="1:2">
      <c r="A30" s="133" t="str">
        <f>"0027"</f>
        <v>0027</v>
      </c>
      <c r="B30" s="134" t="s">
        <v>2609</v>
      </c>
    </row>
    <row r="31" spans="1:2">
      <c r="A31" s="133" t="str">
        <f>"0028"</f>
        <v>0028</v>
      </c>
      <c r="B31" s="134" t="s">
        <v>1482</v>
      </c>
    </row>
    <row r="32" spans="1:2">
      <c r="A32" s="133" t="str">
        <f>"0029"</f>
        <v>0029</v>
      </c>
      <c r="B32" s="134" t="s">
        <v>1483</v>
      </c>
    </row>
    <row r="33" spans="1:2">
      <c r="A33" s="133" t="str">
        <f>"0030"</f>
        <v>0030</v>
      </c>
      <c r="B33" s="134" t="s">
        <v>2608</v>
      </c>
    </row>
    <row r="34" spans="1:2">
      <c r="A34" s="133" t="str">
        <f>"0031"</f>
        <v>0031</v>
      </c>
      <c r="B34" s="134" t="s">
        <v>2607</v>
      </c>
    </row>
    <row r="35" spans="1:2">
      <c r="A35" s="133" t="str">
        <f>"0032"</f>
        <v>0032</v>
      </c>
      <c r="B35" s="134" t="s">
        <v>2607</v>
      </c>
    </row>
    <row r="36" spans="1:2">
      <c r="A36" s="133" t="str">
        <f>"0033"</f>
        <v>0033</v>
      </c>
      <c r="B36" s="134" t="s">
        <v>2606</v>
      </c>
    </row>
    <row r="37" spans="1:2">
      <c r="A37" s="133" t="str">
        <f>"0034"</f>
        <v>0034</v>
      </c>
      <c r="B37" s="134" t="s">
        <v>2605</v>
      </c>
    </row>
    <row r="38" spans="1:2">
      <c r="A38" s="133" t="str">
        <f>"0035"</f>
        <v>0035</v>
      </c>
      <c r="B38" s="134" t="s">
        <v>2604</v>
      </c>
    </row>
    <row r="39" spans="1:2">
      <c r="A39" s="133" t="str">
        <f>"0036"</f>
        <v>0036</v>
      </c>
      <c r="B39" s="134" t="s">
        <v>2603</v>
      </c>
    </row>
    <row r="40" spans="1:2">
      <c r="A40" s="133" t="str">
        <f>"0037"</f>
        <v>0037</v>
      </c>
      <c r="B40" s="134" t="s">
        <v>2602</v>
      </c>
    </row>
    <row r="41" spans="1:2">
      <c r="A41" s="133" t="str">
        <f>"0038"</f>
        <v>0038</v>
      </c>
      <c r="B41" s="134" t="s">
        <v>2601</v>
      </c>
    </row>
    <row r="42" spans="1:2">
      <c r="A42" s="133" t="str">
        <f>"0039"</f>
        <v>0039</v>
      </c>
      <c r="B42" s="134" t="s">
        <v>2600</v>
      </c>
    </row>
    <row r="43" spans="1:2">
      <c r="A43" s="133" t="str">
        <f>"0040"</f>
        <v>0040</v>
      </c>
      <c r="B43" s="134" t="s">
        <v>2599</v>
      </c>
    </row>
    <row r="44" spans="1:2">
      <c r="A44" s="133" t="str">
        <f>"0041"</f>
        <v>0041</v>
      </c>
      <c r="B44" s="134" t="s">
        <v>2598</v>
      </c>
    </row>
    <row r="45" spans="1:2">
      <c r="A45" s="133" t="str">
        <f>"0042"</f>
        <v>0042</v>
      </c>
      <c r="B45" s="134" t="s">
        <v>2597</v>
      </c>
    </row>
    <row r="46" spans="1:2">
      <c r="A46" s="133" t="str">
        <f>"0043"</f>
        <v>0043</v>
      </c>
      <c r="B46" s="134" t="s">
        <v>2596</v>
      </c>
    </row>
    <row r="47" spans="1:2">
      <c r="A47" s="133" t="str">
        <f>"0044"</f>
        <v>0044</v>
      </c>
      <c r="B47" s="134" t="s">
        <v>2595</v>
      </c>
    </row>
    <row r="48" spans="1:2">
      <c r="A48" s="133" t="str">
        <f>"0045"</f>
        <v>0045</v>
      </c>
      <c r="B48" s="134" t="s">
        <v>2594</v>
      </c>
    </row>
    <row r="49" spans="1:2">
      <c r="A49" s="133" t="str">
        <f>"0046"</f>
        <v>0046</v>
      </c>
      <c r="B49" s="134" t="s">
        <v>2593</v>
      </c>
    </row>
    <row r="50" spans="1:2">
      <c r="A50" s="133" t="str">
        <f>"0047"</f>
        <v>0047</v>
      </c>
      <c r="B50" s="134" t="s">
        <v>2592</v>
      </c>
    </row>
    <row r="51" spans="1:2">
      <c r="A51" s="133" t="str">
        <f>"0048"</f>
        <v>0048</v>
      </c>
      <c r="B51" s="134" t="s">
        <v>2591</v>
      </c>
    </row>
    <row r="52" spans="1:2">
      <c r="A52" s="133" t="str">
        <f>"0049"</f>
        <v>0049</v>
      </c>
      <c r="B52" s="134" t="s">
        <v>2590</v>
      </c>
    </row>
    <row r="53" spans="1:2">
      <c r="A53" s="133" t="str">
        <f>"0050"</f>
        <v>0050</v>
      </c>
      <c r="B53" s="134" t="s">
        <v>2589</v>
      </c>
    </row>
    <row r="54" spans="1:2">
      <c r="A54" s="133" t="str">
        <f>"0051"</f>
        <v>0051</v>
      </c>
      <c r="B54" s="134" t="s">
        <v>2588</v>
      </c>
    </row>
    <row r="55" spans="1:2">
      <c r="A55" s="133" t="str">
        <f>"0052"</f>
        <v>0052</v>
      </c>
      <c r="B55" s="134" t="s">
        <v>2587</v>
      </c>
    </row>
    <row r="56" spans="1:2">
      <c r="A56" s="133" t="str">
        <f>"0053"</f>
        <v>0053</v>
      </c>
      <c r="B56" s="134" t="s">
        <v>2586</v>
      </c>
    </row>
    <row r="57" spans="1:2">
      <c r="A57" s="133" t="str">
        <f>"0054"</f>
        <v>0054</v>
      </c>
      <c r="B57" s="134" t="s">
        <v>2585</v>
      </c>
    </row>
    <row r="58" spans="1:2">
      <c r="A58" s="133" t="str">
        <f>"0055"</f>
        <v>0055</v>
      </c>
      <c r="B58" s="134" t="s">
        <v>1514</v>
      </c>
    </row>
    <row r="59" spans="1:2">
      <c r="A59" s="133" t="str">
        <f>"0056"</f>
        <v>0056</v>
      </c>
      <c r="B59" s="134" t="s">
        <v>1454</v>
      </c>
    </row>
    <row r="60" spans="1:2">
      <c r="A60" s="133" t="str">
        <f>"0057"</f>
        <v>0057</v>
      </c>
      <c r="B60" s="134" t="s">
        <v>2584</v>
      </c>
    </row>
    <row r="61" spans="1:2">
      <c r="A61" s="133" t="str">
        <f>"0058"</f>
        <v>0058</v>
      </c>
      <c r="B61" s="134" t="s">
        <v>2583</v>
      </c>
    </row>
    <row r="62" spans="1:2">
      <c r="A62" s="133" t="str">
        <f>"0059"</f>
        <v>0059</v>
      </c>
      <c r="B62" s="134" t="s">
        <v>2582</v>
      </c>
    </row>
    <row r="63" spans="1:2">
      <c r="A63" s="133" t="str">
        <f>"0060"</f>
        <v>0060</v>
      </c>
      <c r="B63" s="134" t="s">
        <v>2581</v>
      </c>
    </row>
    <row r="64" spans="1:2">
      <c r="A64" s="133" t="str">
        <f>"0061"</f>
        <v>0061</v>
      </c>
      <c r="B64" s="134" t="s">
        <v>2580</v>
      </c>
    </row>
    <row r="65" spans="1:2">
      <c r="A65" s="133" t="str">
        <f>"0062"</f>
        <v>0062</v>
      </c>
      <c r="B65" s="134" t="s">
        <v>2579</v>
      </c>
    </row>
    <row r="66" spans="1:2">
      <c r="A66" s="133" t="str">
        <f>"0063"</f>
        <v>0063</v>
      </c>
      <c r="B66" s="134" t="s">
        <v>2578</v>
      </c>
    </row>
    <row r="67" spans="1:2">
      <c r="A67" s="133" t="str">
        <f>"0064"</f>
        <v>0064</v>
      </c>
      <c r="B67" s="134" t="s">
        <v>1427</v>
      </c>
    </row>
    <row r="68" spans="1:2">
      <c r="A68" s="133" t="str">
        <f>"0065"</f>
        <v>0065</v>
      </c>
      <c r="B68" s="134" t="s">
        <v>2577</v>
      </c>
    </row>
    <row r="69" spans="1:2">
      <c r="A69" s="133" t="str">
        <f>"0066"</f>
        <v>0066</v>
      </c>
      <c r="B69" s="134" t="s">
        <v>2576</v>
      </c>
    </row>
    <row r="70" spans="1:2">
      <c r="A70" s="133" t="str">
        <f>"0067"</f>
        <v>0067</v>
      </c>
      <c r="B70" s="134" t="s">
        <v>2575</v>
      </c>
    </row>
    <row r="71" spans="1:2">
      <c r="A71" s="133" t="str">
        <f>"0068"</f>
        <v>0068</v>
      </c>
      <c r="B71" s="134" t="s">
        <v>2574</v>
      </c>
    </row>
    <row r="72" spans="1:2">
      <c r="A72" s="133" t="str">
        <f>"0069"</f>
        <v>0069</v>
      </c>
      <c r="B72" s="134" t="s">
        <v>2573</v>
      </c>
    </row>
    <row r="73" spans="1:2">
      <c r="A73" s="133" t="str">
        <f>"0070"</f>
        <v>0070</v>
      </c>
      <c r="B73" s="134" t="s">
        <v>2572</v>
      </c>
    </row>
    <row r="74" spans="1:2">
      <c r="A74" s="133" t="str">
        <f>"0071"</f>
        <v>0071</v>
      </c>
      <c r="B74" s="134" t="s">
        <v>2571</v>
      </c>
    </row>
    <row r="75" spans="1:2">
      <c r="A75" s="133" t="str">
        <f>"0072"</f>
        <v>0072</v>
      </c>
      <c r="B75" s="134" t="s">
        <v>2570</v>
      </c>
    </row>
    <row r="76" spans="1:2">
      <c r="A76" s="133" t="str">
        <f>"0073"</f>
        <v>0073</v>
      </c>
      <c r="B76" s="134" t="s">
        <v>2569</v>
      </c>
    </row>
    <row r="77" spans="1:2">
      <c r="A77" s="133" t="str">
        <f>"0074"</f>
        <v>0074</v>
      </c>
      <c r="B77" s="134" t="s">
        <v>2568</v>
      </c>
    </row>
    <row r="78" spans="1:2">
      <c r="A78" s="133" t="str">
        <f>"0075"</f>
        <v>0075</v>
      </c>
      <c r="B78" s="134" t="s">
        <v>2567</v>
      </c>
    </row>
    <row r="79" spans="1:2">
      <c r="A79" s="133" t="str">
        <f>"0076"</f>
        <v>0076</v>
      </c>
      <c r="B79" s="134" t="s">
        <v>2566</v>
      </c>
    </row>
    <row r="80" spans="1:2">
      <c r="A80" s="133" t="str">
        <f>"0077"</f>
        <v>0077</v>
      </c>
      <c r="B80" s="134" t="s">
        <v>2565</v>
      </c>
    </row>
    <row r="81" spans="1:2">
      <c r="A81" s="133" t="str">
        <f>"0101"</f>
        <v>0101</v>
      </c>
      <c r="B81" s="134" t="s">
        <v>2564</v>
      </c>
    </row>
    <row r="82" spans="1:2">
      <c r="A82" s="133" t="str">
        <f>"0102"</f>
        <v>0102</v>
      </c>
      <c r="B82" s="134" t="s">
        <v>2563</v>
      </c>
    </row>
    <row r="83" spans="1:2">
      <c r="A83" s="133" t="str">
        <f>"0103"</f>
        <v>0103</v>
      </c>
      <c r="B83" s="134" t="s">
        <v>2562</v>
      </c>
    </row>
    <row r="84" spans="1:2">
      <c r="A84" s="133" t="str">
        <f>"0104"</f>
        <v>0104</v>
      </c>
      <c r="B84" s="134" t="s">
        <v>2561</v>
      </c>
    </row>
    <row r="85" spans="1:2">
      <c r="A85" s="133" t="str">
        <f>"0105"</f>
        <v>0105</v>
      </c>
      <c r="B85" s="134" t="s">
        <v>2560</v>
      </c>
    </row>
    <row r="86" spans="1:2">
      <c r="A86" s="133" t="str">
        <f>"0106"</f>
        <v>0106</v>
      </c>
      <c r="B86" s="134" t="s">
        <v>2559</v>
      </c>
    </row>
    <row r="87" spans="1:2">
      <c r="A87" s="133" t="str">
        <f>"0107"</f>
        <v>0107</v>
      </c>
      <c r="B87" s="134" t="s">
        <v>2558</v>
      </c>
    </row>
    <row r="88" spans="1:2">
      <c r="A88" s="133" t="str">
        <f>"0108"</f>
        <v>0108</v>
      </c>
      <c r="B88" s="134" t="s">
        <v>2557</v>
      </c>
    </row>
    <row r="89" spans="1:2">
      <c r="A89" s="133" t="str">
        <f>"0109"</f>
        <v>0109</v>
      </c>
      <c r="B89" s="134" t="s">
        <v>2556</v>
      </c>
    </row>
    <row r="90" spans="1:2">
      <c r="A90" s="133" t="str">
        <f>"0110"</f>
        <v>0110</v>
      </c>
      <c r="B90" s="134" t="s">
        <v>2555</v>
      </c>
    </row>
    <row r="91" spans="1:2">
      <c r="A91" s="133" t="str">
        <f>"0111"</f>
        <v>0111</v>
      </c>
      <c r="B91" s="134" t="s">
        <v>2554</v>
      </c>
    </row>
    <row r="92" spans="1:2">
      <c r="A92" s="133" t="str">
        <f>"0112"</f>
        <v>0112</v>
      </c>
      <c r="B92" s="134" t="s">
        <v>2553</v>
      </c>
    </row>
    <row r="93" spans="1:2">
      <c r="A93" s="133" t="str">
        <f>"0113"</f>
        <v>0113</v>
      </c>
      <c r="B93" s="134" t="s">
        <v>2552</v>
      </c>
    </row>
    <row r="94" spans="1:2">
      <c r="A94" s="133" t="str">
        <f>"0114"</f>
        <v>0114</v>
      </c>
      <c r="B94" s="134" t="s">
        <v>2551</v>
      </c>
    </row>
    <row r="95" spans="1:2">
      <c r="A95" s="133" t="str">
        <f>"0115"</f>
        <v>0115</v>
      </c>
      <c r="B95" s="134" t="s">
        <v>2550</v>
      </c>
    </row>
    <row r="96" spans="1:2">
      <c r="A96" s="133" t="str">
        <f>"0116"</f>
        <v>0116</v>
      </c>
      <c r="B96" s="134" t="s">
        <v>2549</v>
      </c>
    </row>
    <row r="97" spans="1:2">
      <c r="A97" s="133" t="str">
        <f>"0117"</f>
        <v>0117</v>
      </c>
      <c r="B97" s="134" t="s">
        <v>2548</v>
      </c>
    </row>
    <row r="98" spans="1:2">
      <c r="A98" s="133" t="str">
        <f>"0118"</f>
        <v>0118</v>
      </c>
      <c r="B98" s="134" t="s">
        <v>2547</v>
      </c>
    </row>
    <row r="99" spans="1:2">
      <c r="A99" s="133" t="str">
        <f>"0119"</f>
        <v>0119</v>
      </c>
      <c r="B99" s="134" t="s">
        <v>2546</v>
      </c>
    </row>
    <row r="100" spans="1:2">
      <c r="A100" s="133" t="str">
        <f>"0120"</f>
        <v>0120</v>
      </c>
      <c r="B100" s="134" t="s">
        <v>2545</v>
      </c>
    </row>
    <row r="101" spans="1:2">
      <c r="A101" s="133" t="str">
        <f>"0121"</f>
        <v>0121</v>
      </c>
      <c r="B101" s="134" t="s">
        <v>2544</v>
      </c>
    </row>
    <row r="102" spans="1:2">
      <c r="A102" s="133" t="str">
        <f>"0122"</f>
        <v>0122</v>
      </c>
      <c r="B102" s="134" t="s">
        <v>2543</v>
      </c>
    </row>
    <row r="103" spans="1:2">
      <c r="A103" s="133" t="str">
        <f>"0123"</f>
        <v>0123</v>
      </c>
      <c r="B103" s="134" t="s">
        <v>2542</v>
      </c>
    </row>
    <row r="104" spans="1:2">
      <c r="A104" s="133" t="str">
        <f>"0124"</f>
        <v>0124</v>
      </c>
      <c r="B104" s="134" t="s">
        <v>2541</v>
      </c>
    </row>
    <row r="105" spans="1:2">
      <c r="A105" s="133" t="str">
        <f>"0125"</f>
        <v>0125</v>
      </c>
      <c r="B105" s="134" t="s">
        <v>2540</v>
      </c>
    </row>
    <row r="106" spans="1:2">
      <c r="A106" s="133" t="str">
        <f>"0126"</f>
        <v>0126</v>
      </c>
      <c r="B106" s="134" t="s">
        <v>2539</v>
      </c>
    </row>
    <row r="107" spans="1:2">
      <c r="A107" s="133" t="str">
        <f>"0127"</f>
        <v>0127</v>
      </c>
      <c r="B107" s="134" t="s">
        <v>2538</v>
      </c>
    </row>
    <row r="108" spans="1:2">
      <c r="A108" s="133" t="str">
        <f>"0128"</f>
        <v>0128</v>
      </c>
      <c r="B108" s="134" t="s">
        <v>2537</v>
      </c>
    </row>
    <row r="109" spans="1:2">
      <c r="A109" s="133" t="str">
        <f>"0131"</f>
        <v>0131</v>
      </c>
      <c r="B109" s="134" t="s">
        <v>2536</v>
      </c>
    </row>
    <row r="110" spans="1:2">
      <c r="A110" s="133" t="str">
        <f>"0132"</f>
        <v>0132</v>
      </c>
      <c r="B110" s="134" t="s">
        <v>2535</v>
      </c>
    </row>
    <row r="111" spans="1:2">
      <c r="A111" s="133" t="str">
        <f>"0133"</f>
        <v>0133</v>
      </c>
      <c r="B111" s="134" t="s">
        <v>2506</v>
      </c>
    </row>
    <row r="112" spans="1:2">
      <c r="A112" s="133" t="str">
        <f>"0134"</f>
        <v>0134</v>
      </c>
      <c r="B112" s="134" t="s">
        <v>2534</v>
      </c>
    </row>
    <row r="113" spans="1:2">
      <c r="A113" s="133" t="str">
        <f>"0135"</f>
        <v>0135</v>
      </c>
      <c r="B113" s="134" t="s">
        <v>2533</v>
      </c>
    </row>
    <row r="114" spans="1:2">
      <c r="A114" s="133" t="str">
        <f>"0136"</f>
        <v>0136</v>
      </c>
      <c r="B114" s="134" t="s">
        <v>2532</v>
      </c>
    </row>
    <row r="115" spans="1:2">
      <c r="A115" s="133" t="str">
        <f>"0137"</f>
        <v>0137</v>
      </c>
      <c r="B115" s="134" t="s">
        <v>2531</v>
      </c>
    </row>
    <row r="116" spans="1:2">
      <c r="A116" s="133" t="str">
        <f>"0138"</f>
        <v>0138</v>
      </c>
      <c r="B116" s="134" t="s">
        <v>2530</v>
      </c>
    </row>
    <row r="117" spans="1:2">
      <c r="A117" s="133" t="str">
        <f>"0139"</f>
        <v>0139</v>
      </c>
      <c r="B117" s="134" t="s">
        <v>2416</v>
      </c>
    </row>
    <row r="118" spans="1:2">
      <c r="A118" s="133" t="str">
        <f>"0140"</f>
        <v>0140</v>
      </c>
      <c r="B118" s="134" t="s">
        <v>2529</v>
      </c>
    </row>
    <row r="119" spans="1:2">
      <c r="A119" s="133" t="str">
        <f>"0141"</f>
        <v>0141</v>
      </c>
      <c r="B119" s="134" t="s">
        <v>2528</v>
      </c>
    </row>
    <row r="120" spans="1:2">
      <c r="A120" s="133" t="str">
        <f>"0142"</f>
        <v>0142</v>
      </c>
      <c r="B120" s="134" t="s">
        <v>2527</v>
      </c>
    </row>
    <row r="121" spans="1:2">
      <c r="A121" s="133" t="str">
        <f>"0144"</f>
        <v>0144</v>
      </c>
      <c r="B121" s="134" t="s">
        <v>2526</v>
      </c>
    </row>
    <row r="122" spans="1:2">
      <c r="A122" s="133" t="str">
        <f>"0145"</f>
        <v>0145</v>
      </c>
      <c r="B122" s="134" t="s">
        <v>2525</v>
      </c>
    </row>
    <row r="123" spans="1:2">
      <c r="A123" s="133" t="str">
        <f>"0146"</f>
        <v>0146</v>
      </c>
      <c r="B123" s="134" t="s">
        <v>2524</v>
      </c>
    </row>
    <row r="124" spans="1:2">
      <c r="A124" s="133" t="str">
        <f>"0147"</f>
        <v>0147</v>
      </c>
      <c r="B124" s="134" t="s">
        <v>2523</v>
      </c>
    </row>
    <row r="125" spans="1:2">
      <c r="A125" s="133" t="str">
        <f>"0148"</f>
        <v>0148</v>
      </c>
      <c r="B125" s="134" t="s">
        <v>2522</v>
      </c>
    </row>
    <row r="126" spans="1:2">
      <c r="A126" s="133" t="str">
        <f>"0149"</f>
        <v>0149</v>
      </c>
      <c r="B126" s="134" t="s">
        <v>2521</v>
      </c>
    </row>
    <row r="127" spans="1:2">
      <c r="A127" s="133" t="str">
        <f>"0150"</f>
        <v>0150</v>
      </c>
      <c r="B127" s="134" t="s">
        <v>2520</v>
      </c>
    </row>
    <row r="128" spans="1:2">
      <c r="A128" s="133" t="str">
        <f>"0151"</f>
        <v>0151</v>
      </c>
      <c r="B128" s="134" t="s">
        <v>2519</v>
      </c>
    </row>
    <row r="129" spans="1:2">
      <c r="A129" s="133" t="str">
        <f>"0152"</f>
        <v>0152</v>
      </c>
      <c r="B129" s="134" t="s">
        <v>2518</v>
      </c>
    </row>
    <row r="130" spans="1:2">
      <c r="A130" s="133" t="str">
        <f>"0155"</f>
        <v>0155</v>
      </c>
      <c r="B130" s="134" t="s">
        <v>2517</v>
      </c>
    </row>
    <row r="131" spans="1:2">
      <c r="A131" s="133" t="str">
        <f>"0156"</f>
        <v>0156</v>
      </c>
      <c r="B131" s="134" t="s">
        <v>2516</v>
      </c>
    </row>
    <row r="132" spans="1:2">
      <c r="A132" s="133" t="str">
        <f>"0157"</f>
        <v>0157</v>
      </c>
      <c r="B132" s="134" t="s">
        <v>2515</v>
      </c>
    </row>
    <row r="133" spans="1:2">
      <c r="A133" s="133" t="str">
        <f>"0158"</f>
        <v>0158</v>
      </c>
      <c r="B133" s="134" t="s">
        <v>2514</v>
      </c>
    </row>
    <row r="134" spans="1:2">
      <c r="A134" s="133" t="str">
        <f>"0159"</f>
        <v>0159</v>
      </c>
      <c r="B134" s="134" t="s">
        <v>2513</v>
      </c>
    </row>
    <row r="135" spans="1:2">
      <c r="A135" s="133" t="str">
        <f>"0160"</f>
        <v>0160</v>
      </c>
      <c r="B135" s="134" t="s">
        <v>2512</v>
      </c>
    </row>
    <row r="136" spans="1:2">
      <c r="A136" s="133" t="str">
        <f>"0161"</f>
        <v>0161</v>
      </c>
      <c r="B136" s="134" t="s">
        <v>2511</v>
      </c>
    </row>
    <row r="137" spans="1:2">
      <c r="A137" s="133" t="str">
        <f>"0162"</f>
        <v>0162</v>
      </c>
      <c r="B137" s="134" t="s">
        <v>2510</v>
      </c>
    </row>
    <row r="138" spans="1:2">
      <c r="A138" s="133" t="str">
        <f>"0163"</f>
        <v>0163</v>
      </c>
      <c r="B138" s="134" t="s">
        <v>2509</v>
      </c>
    </row>
    <row r="139" spans="1:2">
      <c r="A139" s="133" t="str">
        <f>"0164"</f>
        <v>0164</v>
      </c>
      <c r="B139" s="134" t="s">
        <v>2508</v>
      </c>
    </row>
    <row r="140" spans="1:2">
      <c r="A140" s="133" t="str">
        <f>"0165"</f>
        <v>0165</v>
      </c>
      <c r="B140" s="134" t="s">
        <v>2507</v>
      </c>
    </row>
    <row r="141" spans="1:2">
      <c r="A141" s="133" t="str">
        <f>"0166"</f>
        <v>0166</v>
      </c>
      <c r="B141" s="134" t="s">
        <v>2488</v>
      </c>
    </row>
    <row r="142" spans="1:2">
      <c r="A142" s="133" t="str">
        <f>"0167"</f>
        <v>0167</v>
      </c>
      <c r="B142" s="134" t="s">
        <v>2506</v>
      </c>
    </row>
    <row r="143" spans="1:2">
      <c r="A143" s="133" t="str">
        <f>"0168"</f>
        <v>0168</v>
      </c>
      <c r="B143" s="134" t="s">
        <v>2505</v>
      </c>
    </row>
    <row r="144" spans="1:2">
      <c r="A144" s="133" t="str">
        <f>"0169"</f>
        <v>0169</v>
      </c>
      <c r="B144" s="134" t="s">
        <v>2504</v>
      </c>
    </row>
    <row r="145" spans="1:2">
      <c r="A145" s="133" t="str">
        <f>"0170"</f>
        <v>0170</v>
      </c>
      <c r="B145" s="134" t="s">
        <v>2503</v>
      </c>
    </row>
    <row r="146" spans="1:2">
      <c r="A146" s="133" t="str">
        <f>"0171"</f>
        <v>0171</v>
      </c>
      <c r="B146" s="134" t="s">
        <v>2502</v>
      </c>
    </row>
    <row r="147" spans="1:2">
      <c r="A147" s="133" t="str">
        <f>"0172"</f>
        <v>0172</v>
      </c>
      <c r="B147" s="134" t="s">
        <v>2501</v>
      </c>
    </row>
    <row r="148" spans="1:2">
      <c r="A148" s="133" t="str">
        <f>"0173"</f>
        <v>0173</v>
      </c>
      <c r="B148" s="134" t="s">
        <v>2500</v>
      </c>
    </row>
    <row r="149" spans="1:2">
      <c r="A149" s="133" t="str">
        <f>"0174"</f>
        <v>0174</v>
      </c>
      <c r="B149" s="134" t="s">
        <v>2499</v>
      </c>
    </row>
    <row r="150" spans="1:2">
      <c r="A150" s="133" t="str">
        <f>"0175"</f>
        <v>0175</v>
      </c>
      <c r="B150" s="134" t="s">
        <v>2498</v>
      </c>
    </row>
    <row r="151" spans="1:2">
      <c r="A151" s="133" t="str">
        <f>"0176"</f>
        <v>0176</v>
      </c>
      <c r="B151" s="134" t="s">
        <v>2497</v>
      </c>
    </row>
    <row r="152" spans="1:2">
      <c r="A152" s="133" t="str">
        <f>"0177"</f>
        <v>0177</v>
      </c>
      <c r="B152" s="134" t="s">
        <v>2496</v>
      </c>
    </row>
    <row r="153" spans="1:2">
      <c r="A153" s="133" t="str">
        <f>"0178"</f>
        <v>0178</v>
      </c>
      <c r="B153" s="134" t="s">
        <v>2495</v>
      </c>
    </row>
    <row r="154" spans="1:2">
      <c r="A154" s="133" t="str">
        <f>"0179"</f>
        <v>0179</v>
      </c>
      <c r="B154" s="134" t="s">
        <v>2494</v>
      </c>
    </row>
    <row r="155" spans="1:2">
      <c r="A155" s="133" t="str">
        <f>"0180"</f>
        <v>0180</v>
      </c>
      <c r="B155" s="134" t="s">
        <v>2493</v>
      </c>
    </row>
    <row r="156" spans="1:2">
      <c r="A156" s="133" t="str">
        <f>"0181"</f>
        <v>0181</v>
      </c>
      <c r="B156" s="134" t="s">
        <v>2492</v>
      </c>
    </row>
    <row r="157" spans="1:2">
      <c r="A157" s="133" t="str">
        <f>"0182"</f>
        <v>0182</v>
      </c>
      <c r="B157" s="134" t="s">
        <v>2491</v>
      </c>
    </row>
    <row r="158" spans="1:2">
      <c r="A158" s="133" t="str">
        <f>"0183"</f>
        <v>0183</v>
      </c>
      <c r="B158" s="134" t="s">
        <v>2490</v>
      </c>
    </row>
    <row r="159" spans="1:2">
      <c r="A159" s="133" t="str">
        <f>"0184"</f>
        <v>0184</v>
      </c>
      <c r="B159" s="134" t="s">
        <v>2489</v>
      </c>
    </row>
    <row r="160" spans="1:2">
      <c r="A160" s="133" t="str">
        <f>"0185"</f>
        <v>0185</v>
      </c>
      <c r="B160" s="134" t="s">
        <v>2488</v>
      </c>
    </row>
    <row r="161" spans="1:2">
      <c r="A161" s="133" t="str">
        <f>"0186"</f>
        <v>0186</v>
      </c>
      <c r="B161" s="134" t="s">
        <v>2487</v>
      </c>
    </row>
    <row r="162" spans="1:2">
      <c r="A162" s="133" t="str">
        <f>"0187"</f>
        <v>0187</v>
      </c>
      <c r="B162" s="134" t="s">
        <v>2486</v>
      </c>
    </row>
    <row r="163" spans="1:2">
      <c r="A163" s="133" t="str">
        <f>"0188"</f>
        <v>0188</v>
      </c>
      <c r="B163" s="134" t="s">
        <v>2485</v>
      </c>
    </row>
    <row r="164" spans="1:2">
      <c r="A164" s="133" t="str">
        <f>"0189"</f>
        <v>0189</v>
      </c>
      <c r="B164" s="134" t="s">
        <v>2484</v>
      </c>
    </row>
    <row r="165" spans="1:2">
      <c r="A165" s="133" t="str">
        <f>"0190"</f>
        <v>0190</v>
      </c>
      <c r="B165" s="134" t="s">
        <v>2483</v>
      </c>
    </row>
    <row r="166" spans="1:2">
      <c r="A166" s="133" t="str">
        <f>"0191"</f>
        <v>0191</v>
      </c>
      <c r="B166" s="134" t="s">
        <v>2482</v>
      </c>
    </row>
    <row r="167" spans="1:2">
      <c r="A167" s="133" t="str">
        <f>"0192"</f>
        <v>0192</v>
      </c>
      <c r="B167" s="134" t="s">
        <v>2481</v>
      </c>
    </row>
    <row r="168" spans="1:2">
      <c r="A168" s="133" t="str">
        <f>"0193"</f>
        <v>0193</v>
      </c>
      <c r="B168" s="134" t="s">
        <v>2480</v>
      </c>
    </row>
    <row r="169" spans="1:2">
      <c r="A169" s="133" t="str">
        <f>"0194"</f>
        <v>0194</v>
      </c>
      <c r="B169" s="134" t="s">
        <v>2479</v>
      </c>
    </row>
    <row r="170" spans="1:2">
      <c r="A170" s="133" t="str">
        <f>"0195"</f>
        <v>0195</v>
      </c>
      <c r="B170" s="134" t="s">
        <v>2478</v>
      </c>
    </row>
    <row r="171" spans="1:2">
      <c r="A171" s="133" t="str">
        <f>"0196"</f>
        <v>0196</v>
      </c>
      <c r="B171" s="134" t="s">
        <v>2477</v>
      </c>
    </row>
    <row r="172" spans="1:2">
      <c r="A172" s="133" t="str">
        <f>"0197"</f>
        <v>0197</v>
      </c>
      <c r="B172" s="134" t="s">
        <v>2476</v>
      </c>
    </row>
    <row r="173" spans="1:2">
      <c r="A173" s="133" t="str">
        <f>"0198"</f>
        <v>0198</v>
      </c>
      <c r="B173" s="134" t="s">
        <v>2475</v>
      </c>
    </row>
    <row r="174" spans="1:2">
      <c r="A174" s="133" t="str">
        <f>"0199"</f>
        <v>0199</v>
      </c>
      <c r="B174" s="134" t="s">
        <v>2474</v>
      </c>
    </row>
    <row r="175" spans="1:2">
      <c r="A175" s="133" t="str">
        <f>"0200"</f>
        <v>0200</v>
      </c>
      <c r="B175" s="134" t="s">
        <v>2473</v>
      </c>
    </row>
    <row r="176" spans="1:2">
      <c r="A176" s="133" t="str">
        <f>"0201"</f>
        <v>0201</v>
      </c>
      <c r="B176" s="134" t="s">
        <v>2472</v>
      </c>
    </row>
    <row r="177" spans="1:2">
      <c r="A177" s="133" t="str">
        <f>"0202"</f>
        <v>0202</v>
      </c>
      <c r="B177" s="134" t="s">
        <v>2471</v>
      </c>
    </row>
    <row r="178" spans="1:2">
      <c r="A178" s="133" t="str">
        <f>"0203"</f>
        <v>0203</v>
      </c>
      <c r="B178" s="134" t="s">
        <v>2470</v>
      </c>
    </row>
    <row r="179" spans="1:2">
      <c r="A179" s="133" t="str">
        <f>"0204"</f>
        <v>0204</v>
      </c>
      <c r="B179" s="134" t="s">
        <v>2469</v>
      </c>
    </row>
    <row r="180" spans="1:2">
      <c r="A180" s="133" t="str">
        <f>"0205"</f>
        <v>0205</v>
      </c>
      <c r="B180" s="134" t="s">
        <v>2468</v>
      </c>
    </row>
    <row r="181" spans="1:2">
      <c r="A181" s="133" t="str">
        <f>"0206"</f>
        <v>0206</v>
      </c>
      <c r="B181" s="134" t="s">
        <v>2467</v>
      </c>
    </row>
    <row r="182" spans="1:2">
      <c r="A182" s="133" t="str">
        <f>"0207"</f>
        <v>0207</v>
      </c>
      <c r="B182" s="134" t="s">
        <v>2466</v>
      </c>
    </row>
    <row r="183" spans="1:2">
      <c r="A183" s="133" t="str">
        <f>"0208"</f>
        <v>0208</v>
      </c>
      <c r="B183" s="134" t="s">
        <v>2465</v>
      </c>
    </row>
    <row r="184" spans="1:2">
      <c r="A184" s="133" t="str">
        <f>"0209"</f>
        <v>0209</v>
      </c>
      <c r="B184" s="134" t="s">
        <v>2464</v>
      </c>
    </row>
    <row r="185" spans="1:2">
      <c r="A185" s="133" t="str">
        <f>"0210"</f>
        <v>0210</v>
      </c>
      <c r="B185" s="134" t="s">
        <v>2463</v>
      </c>
    </row>
    <row r="186" spans="1:2">
      <c r="A186" s="133" t="str">
        <f>"0211"</f>
        <v>0211</v>
      </c>
      <c r="B186" s="134" t="s">
        <v>2462</v>
      </c>
    </row>
    <row r="187" spans="1:2">
      <c r="A187" s="133" t="str">
        <f>"0212"</f>
        <v>0212</v>
      </c>
      <c r="B187" s="134" t="s">
        <v>2461</v>
      </c>
    </row>
    <row r="188" spans="1:2">
      <c r="A188" s="133" t="str">
        <f>"0213"</f>
        <v>0213</v>
      </c>
      <c r="B188" s="134" t="s">
        <v>2460</v>
      </c>
    </row>
    <row r="189" spans="1:2">
      <c r="A189" s="133" t="str">
        <f>"0214"</f>
        <v>0214</v>
      </c>
      <c r="B189" s="134" t="s">
        <v>2459</v>
      </c>
    </row>
    <row r="190" spans="1:2">
      <c r="A190" s="133" t="str">
        <f>"0215"</f>
        <v>0215</v>
      </c>
      <c r="B190" s="134" t="s">
        <v>2458</v>
      </c>
    </row>
    <row r="191" spans="1:2">
      <c r="A191" s="133" t="str">
        <f>"0216"</f>
        <v>0216</v>
      </c>
      <c r="B191" s="134" t="s">
        <v>2457</v>
      </c>
    </row>
    <row r="192" spans="1:2">
      <c r="A192" s="133" t="str">
        <f>"0217"</f>
        <v>0217</v>
      </c>
      <c r="B192" s="134" t="s">
        <v>2456</v>
      </c>
    </row>
    <row r="193" spans="1:2">
      <c r="A193" s="133" t="str">
        <f>"0218"</f>
        <v>0218</v>
      </c>
      <c r="B193" s="134" t="s">
        <v>2455</v>
      </c>
    </row>
    <row r="194" spans="1:2">
      <c r="A194" s="133" t="str">
        <f>"0219"</f>
        <v>0219</v>
      </c>
      <c r="B194" s="134" t="s">
        <v>2454</v>
      </c>
    </row>
    <row r="195" spans="1:2">
      <c r="A195" s="133" t="str">
        <f>"0220"</f>
        <v>0220</v>
      </c>
      <c r="B195" s="134" t="s">
        <v>2453</v>
      </c>
    </row>
    <row r="196" spans="1:2">
      <c r="A196" s="133" t="str">
        <f>"0221"</f>
        <v>0221</v>
      </c>
      <c r="B196" s="134" t="s">
        <v>2452</v>
      </c>
    </row>
    <row r="197" spans="1:2">
      <c r="A197" s="133" t="str">
        <f>"0222"</f>
        <v>0222</v>
      </c>
      <c r="B197" s="134" t="s">
        <v>2451</v>
      </c>
    </row>
    <row r="198" spans="1:2">
      <c r="A198" s="133" t="str">
        <f>"0223"</f>
        <v>0223</v>
      </c>
      <c r="B198" s="134" t="s">
        <v>1314</v>
      </c>
    </row>
    <row r="199" spans="1:2">
      <c r="A199" s="133" t="str">
        <f>"0224"</f>
        <v>0224</v>
      </c>
      <c r="B199" s="134" t="s">
        <v>2450</v>
      </c>
    </row>
    <row r="200" spans="1:2">
      <c r="A200" s="133" t="str">
        <f>"0225"</f>
        <v>0225</v>
      </c>
      <c r="B200" s="134" t="s">
        <v>2449</v>
      </c>
    </row>
    <row r="201" spans="1:2">
      <c r="A201" s="133" t="str">
        <f>"0226"</f>
        <v>0226</v>
      </c>
      <c r="B201" s="134" t="s">
        <v>2448</v>
      </c>
    </row>
    <row r="202" spans="1:2">
      <c r="A202" s="133" t="str">
        <f>"0227"</f>
        <v>0227</v>
      </c>
      <c r="B202" s="134" t="s">
        <v>2447</v>
      </c>
    </row>
    <row r="203" spans="1:2">
      <c r="A203" s="133" t="str">
        <f>"0228"</f>
        <v>0228</v>
      </c>
      <c r="B203" s="134" t="s">
        <v>2446</v>
      </c>
    </row>
    <row r="204" spans="1:2">
      <c r="A204" s="133" t="str">
        <f>"0229"</f>
        <v>0229</v>
      </c>
      <c r="B204" s="134" t="s">
        <v>2445</v>
      </c>
    </row>
    <row r="205" spans="1:2">
      <c r="A205" s="133" t="str">
        <f>"0230"</f>
        <v>0230</v>
      </c>
      <c r="B205" s="134" t="s">
        <v>2444</v>
      </c>
    </row>
    <row r="206" spans="1:2">
      <c r="A206" s="133" t="str">
        <f>"0231"</f>
        <v>0231</v>
      </c>
      <c r="B206" s="134" t="s">
        <v>2443</v>
      </c>
    </row>
    <row r="207" spans="1:2">
      <c r="A207" s="133" t="str">
        <f>"0232"</f>
        <v>0232</v>
      </c>
      <c r="B207" s="134" t="s">
        <v>2442</v>
      </c>
    </row>
    <row r="208" spans="1:2">
      <c r="A208" s="133" t="str">
        <f>"0233"</f>
        <v>0233</v>
      </c>
      <c r="B208" s="134" t="s">
        <v>2441</v>
      </c>
    </row>
    <row r="209" spans="1:2">
      <c r="A209" s="133" t="str">
        <f>"0234"</f>
        <v>0234</v>
      </c>
      <c r="B209" s="134" t="s">
        <v>2440</v>
      </c>
    </row>
    <row r="210" spans="1:2">
      <c r="A210" s="133" t="str">
        <f>"0235"</f>
        <v>0235</v>
      </c>
      <c r="B210" s="134" t="s">
        <v>2439</v>
      </c>
    </row>
    <row r="211" spans="1:2">
      <c r="A211" s="133" t="str">
        <f>"0236"</f>
        <v>0236</v>
      </c>
      <c r="B211" s="134" t="s">
        <v>2438</v>
      </c>
    </row>
    <row r="212" spans="1:2">
      <c r="A212" s="133" t="str">
        <f>"0237"</f>
        <v>0237</v>
      </c>
      <c r="B212" s="134" t="s">
        <v>2437</v>
      </c>
    </row>
    <row r="213" spans="1:2">
      <c r="A213" s="133" t="str">
        <f>"0238"</f>
        <v>0238</v>
      </c>
      <c r="B213" s="134" t="s">
        <v>2436</v>
      </c>
    </row>
    <row r="214" spans="1:2">
      <c r="A214" s="133" t="str">
        <f>"0239"</f>
        <v>0239</v>
      </c>
      <c r="B214" s="134" t="s">
        <v>2435</v>
      </c>
    </row>
    <row r="215" spans="1:2">
      <c r="A215" s="133" t="str">
        <f>"0240"</f>
        <v>0240</v>
      </c>
      <c r="B215" s="134" t="s">
        <v>2434</v>
      </c>
    </row>
    <row r="216" spans="1:2">
      <c r="A216" s="133" t="str">
        <f>"0241"</f>
        <v>0241</v>
      </c>
      <c r="B216" s="134" t="s">
        <v>2433</v>
      </c>
    </row>
    <row r="217" spans="1:2">
      <c r="A217" s="133" t="str">
        <f>"0242"</f>
        <v>0242</v>
      </c>
      <c r="B217" s="134" t="s">
        <v>2432</v>
      </c>
    </row>
    <row r="218" spans="1:2">
      <c r="A218" s="133" t="str">
        <f>"0243"</f>
        <v>0243</v>
      </c>
      <c r="B218" s="134" t="s">
        <v>2431</v>
      </c>
    </row>
    <row r="219" spans="1:2">
      <c r="A219" s="133" t="str">
        <f>"0244"</f>
        <v>0244</v>
      </c>
      <c r="B219" s="134" t="s">
        <v>2430</v>
      </c>
    </row>
    <row r="220" spans="1:2">
      <c r="A220" s="133" t="str">
        <f>"0245"</f>
        <v>0245</v>
      </c>
      <c r="B220" s="134" t="s">
        <v>2429</v>
      </c>
    </row>
    <row r="221" spans="1:2">
      <c r="A221" s="133" t="str">
        <f>"0246"</f>
        <v>0246</v>
      </c>
      <c r="B221" s="134" t="s">
        <v>2428</v>
      </c>
    </row>
    <row r="222" spans="1:2">
      <c r="A222" s="133" t="str">
        <f>"0247"</f>
        <v>0247</v>
      </c>
      <c r="B222" s="134" t="s">
        <v>2427</v>
      </c>
    </row>
    <row r="223" spans="1:2">
      <c r="A223" s="133" t="str">
        <f>"0248"</f>
        <v>0248</v>
      </c>
      <c r="B223" s="134" t="s">
        <v>2426</v>
      </c>
    </row>
    <row r="224" spans="1:2">
      <c r="A224" s="133" t="str">
        <f>"0249"</f>
        <v>0249</v>
      </c>
      <c r="B224" s="134" t="s">
        <v>2425</v>
      </c>
    </row>
    <row r="225" spans="1:2">
      <c r="A225" s="133" t="str">
        <f>"0250"</f>
        <v>0250</v>
      </c>
      <c r="B225" s="134" t="s">
        <v>2424</v>
      </c>
    </row>
    <row r="226" spans="1:2">
      <c r="A226" s="133" t="str">
        <f>"0251"</f>
        <v>0251</v>
      </c>
      <c r="B226" s="134" t="s">
        <v>2423</v>
      </c>
    </row>
    <row r="227" spans="1:2">
      <c r="A227" s="133" t="str">
        <f>"0252"</f>
        <v>0252</v>
      </c>
      <c r="B227" s="134" t="s">
        <v>2422</v>
      </c>
    </row>
    <row r="228" spans="1:2">
      <c r="A228" s="133" t="str">
        <f>"0253"</f>
        <v>0253</v>
      </c>
      <c r="B228" s="134" t="s">
        <v>2421</v>
      </c>
    </row>
    <row r="229" spans="1:2">
      <c r="A229" s="133" t="str">
        <f>"0254"</f>
        <v>0254</v>
      </c>
      <c r="B229" s="134" t="s">
        <v>2420</v>
      </c>
    </row>
    <row r="230" spans="1:2">
      <c r="A230" s="133" t="str">
        <f>"0255"</f>
        <v>0255</v>
      </c>
      <c r="B230" s="134" t="s">
        <v>2419</v>
      </c>
    </row>
    <row r="231" spans="1:2">
      <c r="A231" s="133" t="str">
        <f>"0256"</f>
        <v>0256</v>
      </c>
      <c r="B231" s="134" t="s">
        <v>2418</v>
      </c>
    </row>
    <row r="232" spans="1:2">
      <c r="A232" s="133" t="str">
        <f>"0257"</f>
        <v>0257</v>
      </c>
      <c r="B232" s="134" t="s">
        <v>2417</v>
      </c>
    </row>
    <row r="233" spans="1:2">
      <c r="A233" s="133" t="str">
        <f>"0258"</f>
        <v>0258</v>
      </c>
      <c r="B233" s="134" t="s">
        <v>2416</v>
      </c>
    </row>
    <row r="234" spans="1:2">
      <c r="A234" s="133" t="str">
        <f>"0259"</f>
        <v>0259</v>
      </c>
      <c r="B234" s="134" t="s">
        <v>2415</v>
      </c>
    </row>
    <row r="235" spans="1:2">
      <c r="A235" s="133" t="str">
        <f>"0260"</f>
        <v>0260</v>
      </c>
      <c r="B235" s="134" t="s">
        <v>2414</v>
      </c>
    </row>
    <row r="236" spans="1:2">
      <c r="A236" s="133" t="str">
        <f>"0261"</f>
        <v>0261</v>
      </c>
      <c r="B236" s="134" t="s">
        <v>2413</v>
      </c>
    </row>
    <row r="237" spans="1:2">
      <c r="A237" s="133" t="str">
        <f>"0262"</f>
        <v>0262</v>
      </c>
      <c r="B237" s="134" t="s">
        <v>2412</v>
      </c>
    </row>
    <row r="238" spans="1:2">
      <c r="A238" s="133" t="str">
        <f>"0263"</f>
        <v>0263</v>
      </c>
      <c r="B238" s="134" t="s">
        <v>2411</v>
      </c>
    </row>
    <row r="239" spans="1:2">
      <c r="A239" s="133" t="str">
        <f>"0264"</f>
        <v>0264</v>
      </c>
      <c r="B239" s="134" t="s">
        <v>2410</v>
      </c>
    </row>
    <row r="240" spans="1:2">
      <c r="A240" s="133" t="str">
        <f>"0265"</f>
        <v>0265</v>
      </c>
      <c r="B240" s="134" t="s">
        <v>2409</v>
      </c>
    </row>
    <row r="241" spans="1:2">
      <c r="A241" s="133" t="str">
        <f>"0266"</f>
        <v>0266</v>
      </c>
      <c r="B241" s="134" t="s">
        <v>2408</v>
      </c>
    </row>
    <row r="242" spans="1:2">
      <c r="A242" s="133" t="str">
        <f>"0267"</f>
        <v>0267</v>
      </c>
      <c r="B242" s="134" t="s">
        <v>2407</v>
      </c>
    </row>
    <row r="243" spans="1:2">
      <c r="A243" s="133" t="str">
        <f>"0275"</f>
        <v>0275</v>
      </c>
      <c r="B243" s="134" t="s">
        <v>2406</v>
      </c>
    </row>
    <row r="244" spans="1:2">
      <c r="A244" s="133" t="str">
        <f>"0276"</f>
        <v>0276</v>
      </c>
      <c r="B244" s="134" t="s">
        <v>2405</v>
      </c>
    </row>
    <row r="245" spans="1:2">
      <c r="A245" s="133" t="str">
        <f>"0277"</f>
        <v>0277</v>
      </c>
      <c r="B245" s="134" t="s">
        <v>2404</v>
      </c>
    </row>
    <row r="246" spans="1:2">
      <c r="A246" s="133" t="str">
        <f>"0352"</f>
        <v>0352</v>
      </c>
      <c r="B246" s="134" t="s">
        <v>2403</v>
      </c>
    </row>
    <row r="247" spans="1:2">
      <c r="A247" s="133" t="str">
        <f>"0401"</f>
        <v>0401</v>
      </c>
      <c r="B247" s="134" t="s">
        <v>2402</v>
      </c>
    </row>
    <row r="248" spans="1:2">
      <c r="A248" s="133" t="str">
        <f>"0402"</f>
        <v>0402</v>
      </c>
      <c r="B248" s="134" t="s">
        <v>2401</v>
      </c>
    </row>
    <row r="249" spans="1:2">
      <c r="A249" s="133" t="str">
        <f>"0403"</f>
        <v>0403</v>
      </c>
      <c r="B249" s="134" t="s">
        <v>2400</v>
      </c>
    </row>
    <row r="250" spans="1:2">
      <c r="A250" s="133" t="str">
        <f>"0404"</f>
        <v>0404</v>
      </c>
      <c r="B250" s="134" t="s">
        <v>2399</v>
      </c>
    </row>
    <row r="251" spans="1:2">
      <c r="A251" s="133" t="str">
        <f>"0405"</f>
        <v>0405</v>
      </c>
      <c r="B251" s="134" t="s">
        <v>2398</v>
      </c>
    </row>
    <row r="252" spans="1:2">
      <c r="A252" s="133" t="str">
        <f>"0406"</f>
        <v>0406</v>
      </c>
      <c r="B252" s="134" t="s">
        <v>2397</v>
      </c>
    </row>
    <row r="253" spans="1:2">
      <c r="A253" s="133" t="str">
        <f>"0407"</f>
        <v>0407</v>
      </c>
      <c r="B253" s="134" t="s">
        <v>2396</v>
      </c>
    </row>
    <row r="254" spans="1:2">
      <c r="A254" s="133" t="str">
        <f>"0408"</f>
        <v>0408</v>
      </c>
      <c r="B254" s="134" t="s">
        <v>2395</v>
      </c>
    </row>
    <row r="255" spans="1:2">
      <c r="A255" s="133" t="str">
        <f>"0409"</f>
        <v>0409</v>
      </c>
      <c r="B255" s="134" t="s">
        <v>2394</v>
      </c>
    </row>
    <row r="256" spans="1:2">
      <c r="A256" s="133" t="str">
        <f>"0410"</f>
        <v>0410</v>
      </c>
      <c r="B256" s="134" t="s">
        <v>2393</v>
      </c>
    </row>
    <row r="257" spans="1:2">
      <c r="A257" s="133" t="str">
        <f>"0411"</f>
        <v>0411</v>
      </c>
      <c r="B257" s="134" t="s">
        <v>2392</v>
      </c>
    </row>
    <row r="258" spans="1:2">
      <c r="A258" s="133" t="str">
        <f>"0412"</f>
        <v>0412</v>
      </c>
      <c r="B258" s="134" t="s">
        <v>2391</v>
      </c>
    </row>
    <row r="259" spans="1:2">
      <c r="A259" s="133" t="str">
        <f>"0413"</f>
        <v>0413</v>
      </c>
      <c r="B259" s="134" t="s">
        <v>2390</v>
      </c>
    </row>
    <row r="260" spans="1:2">
      <c r="A260" s="133" t="str">
        <f>"0414"</f>
        <v>0414</v>
      </c>
      <c r="B260" s="134" t="s">
        <v>2389</v>
      </c>
    </row>
    <row r="261" spans="1:2">
      <c r="A261" s="133" t="str">
        <f>"0415"</f>
        <v>0415</v>
      </c>
      <c r="B261" s="134" t="s">
        <v>2388</v>
      </c>
    </row>
    <row r="262" spans="1:2">
      <c r="A262" s="133" t="str">
        <f>"0416"</f>
        <v>0416</v>
      </c>
      <c r="B262" s="134" t="s">
        <v>2387</v>
      </c>
    </row>
    <row r="263" spans="1:2">
      <c r="A263" s="133" t="str">
        <f>"0417"</f>
        <v>0417</v>
      </c>
      <c r="B263" s="134" t="s">
        <v>2386</v>
      </c>
    </row>
    <row r="264" spans="1:2">
      <c r="A264" s="133" t="str">
        <f>"0418"</f>
        <v>0418</v>
      </c>
      <c r="B264" s="134" t="s">
        <v>2385</v>
      </c>
    </row>
    <row r="265" spans="1:2">
      <c r="A265" s="133" t="str">
        <f>"0419"</f>
        <v>0419</v>
      </c>
      <c r="B265" s="134" t="s">
        <v>2384</v>
      </c>
    </row>
    <row r="266" spans="1:2">
      <c r="A266" s="133" t="str">
        <f>"0501"</f>
        <v>0501</v>
      </c>
      <c r="B266" s="134" t="s">
        <v>2383</v>
      </c>
    </row>
    <row r="267" spans="1:2">
      <c r="A267" s="133" t="str">
        <f>"0502"</f>
        <v>0502</v>
      </c>
      <c r="B267" s="134" t="s">
        <v>2382</v>
      </c>
    </row>
    <row r="268" spans="1:2">
      <c r="A268" s="133" t="str">
        <f>"0503"</f>
        <v>0503</v>
      </c>
      <c r="B268" s="134" t="s">
        <v>2381</v>
      </c>
    </row>
    <row r="269" spans="1:2">
      <c r="A269" s="133" t="str">
        <f>"0504"</f>
        <v>0504</v>
      </c>
      <c r="B269" s="134" t="s">
        <v>2380</v>
      </c>
    </row>
    <row r="270" spans="1:2">
      <c r="A270" s="133" t="str">
        <f>"0505"</f>
        <v>0505</v>
      </c>
      <c r="B270" s="134" t="s">
        <v>2379</v>
      </c>
    </row>
    <row r="271" spans="1:2">
      <c r="A271" s="133" t="str">
        <f>"0506"</f>
        <v>0506</v>
      </c>
      <c r="B271" s="134" t="s">
        <v>2378</v>
      </c>
    </row>
    <row r="272" spans="1:2">
      <c r="A272" s="133" t="str">
        <f>"0507"</f>
        <v>0507</v>
      </c>
      <c r="B272" s="134" t="s">
        <v>2377</v>
      </c>
    </row>
    <row r="273" spans="1:2">
      <c r="A273" s="133" t="str">
        <f>"0508"</f>
        <v>0508</v>
      </c>
      <c r="B273" s="134" t="s">
        <v>2376</v>
      </c>
    </row>
    <row r="274" spans="1:2">
      <c r="A274" s="133" t="str">
        <f>"0509"</f>
        <v>0509</v>
      </c>
      <c r="B274" s="134" t="s">
        <v>2375</v>
      </c>
    </row>
    <row r="275" spans="1:2">
      <c r="A275" s="133" t="str">
        <f>"0510"</f>
        <v>0510</v>
      </c>
      <c r="B275" s="134" t="s">
        <v>2374</v>
      </c>
    </row>
    <row r="276" spans="1:2">
      <c r="A276" s="133" t="str">
        <f>"0511"</f>
        <v>0511</v>
      </c>
      <c r="B276" s="134" t="s">
        <v>2373</v>
      </c>
    </row>
    <row r="277" spans="1:2">
      <c r="A277" s="133" t="str">
        <f>"0512"</f>
        <v>0512</v>
      </c>
      <c r="B277" s="134" t="s">
        <v>2372</v>
      </c>
    </row>
    <row r="278" spans="1:2">
      <c r="A278" s="133" t="str">
        <f>"0513"</f>
        <v>0513</v>
      </c>
      <c r="B278" s="134" t="s">
        <v>2371</v>
      </c>
    </row>
    <row r="279" spans="1:2">
      <c r="A279" s="133" t="str">
        <f>"0514"</f>
        <v>0514</v>
      </c>
      <c r="B279" s="134" t="s">
        <v>2370</v>
      </c>
    </row>
    <row r="280" spans="1:2">
      <c r="A280" s="133" t="str">
        <f>"0515"</f>
        <v>0515</v>
      </c>
      <c r="B280" s="134" t="s">
        <v>2369</v>
      </c>
    </row>
    <row r="281" spans="1:2">
      <c r="A281" s="133" t="str">
        <f>"0516"</f>
        <v>0516</v>
      </c>
      <c r="B281" s="134" t="s">
        <v>2368</v>
      </c>
    </row>
    <row r="282" spans="1:2">
      <c r="A282" s="133" t="str">
        <f>"0517"</f>
        <v>0517</v>
      </c>
      <c r="B282" s="134" t="s">
        <v>2367</v>
      </c>
    </row>
    <row r="283" spans="1:2">
      <c r="A283" s="133" t="str">
        <f>"0518"</f>
        <v>0518</v>
      </c>
      <c r="B283" s="134" t="s">
        <v>2366</v>
      </c>
    </row>
    <row r="284" spans="1:2">
      <c r="A284" s="133" t="str">
        <f>"0519"</f>
        <v>0519</v>
      </c>
      <c r="B284" s="134" t="s">
        <v>2365</v>
      </c>
    </row>
    <row r="285" spans="1:2">
      <c r="A285" s="133" t="str">
        <f>"0520"</f>
        <v>0520</v>
      </c>
      <c r="B285" s="134" t="s">
        <v>2364</v>
      </c>
    </row>
    <row r="286" spans="1:2">
      <c r="A286" s="133" t="str">
        <f>"0521"</f>
        <v>0521</v>
      </c>
      <c r="B286" s="134" t="s">
        <v>2363</v>
      </c>
    </row>
    <row r="287" spans="1:2">
      <c r="A287" s="133" t="str">
        <f>"0522"</f>
        <v>0522</v>
      </c>
      <c r="B287" s="134" t="s">
        <v>2362</v>
      </c>
    </row>
    <row r="288" spans="1:2">
      <c r="A288" s="133" t="str">
        <f>"0523"</f>
        <v>0523</v>
      </c>
      <c r="B288" s="134" t="s">
        <v>2361</v>
      </c>
    </row>
    <row r="289" spans="1:2">
      <c r="A289" s="133" t="str">
        <f>"0524"</f>
        <v>0524</v>
      </c>
      <c r="B289" s="134" t="s">
        <v>2360</v>
      </c>
    </row>
    <row r="290" spans="1:2">
      <c r="A290" s="133" t="str">
        <f>"0525"</f>
        <v>0525</v>
      </c>
      <c r="B290" s="134" t="s">
        <v>2359</v>
      </c>
    </row>
    <row r="291" spans="1:2">
      <c r="A291" s="133" t="str">
        <f>"0526"</f>
        <v>0526</v>
      </c>
      <c r="B291" s="134" t="s">
        <v>2358</v>
      </c>
    </row>
    <row r="292" spans="1:2">
      <c r="A292" s="133" t="str">
        <f>"0527"</f>
        <v>0527</v>
      </c>
      <c r="B292" s="134" t="s">
        <v>958</v>
      </c>
    </row>
    <row r="293" spans="1:2">
      <c r="A293" s="133" t="str">
        <f>"0528"</f>
        <v>0528</v>
      </c>
      <c r="B293" s="134" t="s">
        <v>2357</v>
      </c>
    </row>
    <row r="294" spans="1:2">
      <c r="A294" s="133" t="str">
        <f>"0529"</f>
        <v>0529</v>
      </c>
      <c r="B294" s="134" t="s">
        <v>2356</v>
      </c>
    </row>
    <row r="295" spans="1:2">
      <c r="A295" s="133" t="str">
        <f>"0530"</f>
        <v>0530</v>
      </c>
      <c r="B295" s="134" t="s">
        <v>2355</v>
      </c>
    </row>
    <row r="296" spans="1:2">
      <c r="A296" s="133" t="str">
        <f>"0531"</f>
        <v>0531</v>
      </c>
      <c r="B296" s="134" t="s">
        <v>2354</v>
      </c>
    </row>
    <row r="297" spans="1:2">
      <c r="A297" s="133" t="str">
        <f>"0532"</f>
        <v>0532</v>
      </c>
      <c r="B297" s="134" t="s">
        <v>2353</v>
      </c>
    </row>
    <row r="298" spans="1:2">
      <c r="A298" s="133" t="str">
        <f>"0533"</f>
        <v>0533</v>
      </c>
      <c r="B298" s="134" t="s">
        <v>2352</v>
      </c>
    </row>
    <row r="299" spans="1:2">
      <c r="A299" s="133" t="str">
        <f>"0534"</f>
        <v>0534</v>
      </c>
      <c r="B299" s="134" t="s">
        <v>2351</v>
      </c>
    </row>
    <row r="300" spans="1:2">
      <c r="A300" s="133" t="str">
        <f>"0535"</f>
        <v>0535</v>
      </c>
      <c r="B300" s="134" t="s">
        <v>2350</v>
      </c>
    </row>
    <row r="301" spans="1:2">
      <c r="A301" s="133" t="str">
        <f>"0536"</f>
        <v>0536</v>
      </c>
      <c r="B301" s="134" t="s">
        <v>2349</v>
      </c>
    </row>
    <row r="302" spans="1:2">
      <c r="A302" s="133" t="str">
        <f>"0537"</f>
        <v>0537</v>
      </c>
      <c r="B302" s="134" t="s">
        <v>2348</v>
      </c>
    </row>
    <row r="303" spans="1:2">
      <c r="A303" s="133" t="str">
        <f>"0538"</f>
        <v>0538</v>
      </c>
      <c r="B303" s="134" t="s">
        <v>2347</v>
      </c>
    </row>
    <row r="304" spans="1:2">
      <c r="A304" s="133" t="str">
        <f>"0539"</f>
        <v>0539</v>
      </c>
      <c r="B304" s="134" t="s">
        <v>2346</v>
      </c>
    </row>
    <row r="305" spans="1:2">
      <c r="A305" s="133" t="str">
        <f>"0540"</f>
        <v>0540</v>
      </c>
      <c r="B305" s="134" t="s">
        <v>2345</v>
      </c>
    </row>
    <row r="306" spans="1:2">
      <c r="A306" s="133" t="str">
        <f>"0541"</f>
        <v>0541</v>
      </c>
      <c r="B306" s="134" t="s">
        <v>2344</v>
      </c>
    </row>
    <row r="307" spans="1:2">
      <c r="A307" s="133" t="str">
        <f>"0542"</f>
        <v>0542</v>
      </c>
      <c r="B307" s="134" t="s">
        <v>2343</v>
      </c>
    </row>
    <row r="308" spans="1:2">
      <c r="A308" s="133" t="str">
        <f>"0543"</f>
        <v>0543</v>
      </c>
      <c r="B308" s="134" t="s">
        <v>2342</v>
      </c>
    </row>
    <row r="309" spans="1:2">
      <c r="A309" s="133" t="str">
        <f>"0544"</f>
        <v>0544</v>
      </c>
      <c r="B309" s="134" t="s">
        <v>2341</v>
      </c>
    </row>
    <row r="310" spans="1:2">
      <c r="A310" s="133" t="str">
        <f>"0545"</f>
        <v>0545</v>
      </c>
      <c r="B310" s="134" t="s">
        <v>2340</v>
      </c>
    </row>
    <row r="311" spans="1:2">
      <c r="A311" s="133" t="str">
        <f>"0546"</f>
        <v>0546</v>
      </c>
      <c r="B311" s="134" t="s">
        <v>2339</v>
      </c>
    </row>
    <row r="312" spans="1:2">
      <c r="A312" s="133" t="str">
        <f>"0547"</f>
        <v>0547</v>
      </c>
      <c r="B312" s="134" t="s">
        <v>2338</v>
      </c>
    </row>
    <row r="313" spans="1:2">
      <c r="A313" s="133" t="str">
        <f>"0548"</f>
        <v>0548</v>
      </c>
      <c r="B313" s="134" t="s">
        <v>2337</v>
      </c>
    </row>
    <row r="314" spans="1:2">
      <c r="A314" s="133" t="str">
        <f>"0549"</f>
        <v>0549</v>
      </c>
      <c r="B314" s="134" t="s">
        <v>2336</v>
      </c>
    </row>
    <row r="315" spans="1:2">
      <c r="A315" s="133" t="str">
        <f>"0550"</f>
        <v>0550</v>
      </c>
      <c r="B315" s="134" t="s">
        <v>2335</v>
      </c>
    </row>
    <row r="316" spans="1:2">
      <c r="A316" s="133" t="str">
        <f>"0551"</f>
        <v>0551</v>
      </c>
      <c r="B316" s="134" t="s">
        <v>2334</v>
      </c>
    </row>
    <row r="317" spans="1:2">
      <c r="A317" s="133" t="str">
        <f>"0552"</f>
        <v>0552</v>
      </c>
      <c r="B317" s="134" t="s">
        <v>957</v>
      </c>
    </row>
    <row r="318" spans="1:2">
      <c r="A318" s="133" t="str">
        <f>"0553"</f>
        <v>0553</v>
      </c>
      <c r="B318" s="134" t="s">
        <v>959</v>
      </c>
    </row>
    <row r="319" spans="1:2">
      <c r="A319" s="133" t="str">
        <f>"0554"</f>
        <v>0554</v>
      </c>
      <c r="B319" s="134" t="s">
        <v>2333</v>
      </c>
    </row>
    <row r="320" spans="1:2">
      <c r="A320" s="133" t="str">
        <f>"0555"</f>
        <v>0555</v>
      </c>
      <c r="B320" s="134" t="s">
        <v>2332</v>
      </c>
    </row>
    <row r="321" spans="1:2">
      <c r="A321" s="133" t="str">
        <f>"0556"</f>
        <v>0556</v>
      </c>
      <c r="B321" s="134" t="s">
        <v>2331</v>
      </c>
    </row>
    <row r="322" spans="1:2">
      <c r="A322" s="133" t="str">
        <f>"0557"</f>
        <v>0557</v>
      </c>
      <c r="B322" s="134" t="s">
        <v>2330</v>
      </c>
    </row>
    <row r="323" spans="1:2">
      <c r="A323" s="133" t="str">
        <f>"0558"</f>
        <v>0558</v>
      </c>
      <c r="B323" s="134" t="s">
        <v>2329</v>
      </c>
    </row>
    <row r="324" spans="1:2">
      <c r="A324" s="133" t="str">
        <f>"0559"</f>
        <v>0559</v>
      </c>
      <c r="B324" s="134" t="s">
        <v>2328</v>
      </c>
    </row>
    <row r="325" spans="1:2">
      <c r="A325" s="133" t="str">
        <f>"0560"</f>
        <v>0560</v>
      </c>
      <c r="B325" s="134" t="s">
        <v>365</v>
      </c>
    </row>
    <row r="326" spans="1:2">
      <c r="A326" s="133" t="str">
        <f>"0561"</f>
        <v>0561</v>
      </c>
      <c r="B326" s="134" t="s">
        <v>2327</v>
      </c>
    </row>
    <row r="327" spans="1:2">
      <c r="A327" s="133" t="str">
        <f>"0562"</f>
        <v>0562</v>
      </c>
      <c r="B327" s="134" t="s">
        <v>2326</v>
      </c>
    </row>
    <row r="328" spans="1:2">
      <c r="A328" s="133" t="str">
        <f>"0563"</f>
        <v>0563</v>
      </c>
      <c r="B328" s="134" t="s">
        <v>2325</v>
      </c>
    </row>
    <row r="329" spans="1:2">
      <c r="A329" s="133" t="str">
        <f>"0564"</f>
        <v>0564</v>
      </c>
      <c r="B329" s="134" t="s">
        <v>2324</v>
      </c>
    </row>
    <row r="330" spans="1:2">
      <c r="A330" s="133" t="str">
        <f>"0565"</f>
        <v>0565</v>
      </c>
      <c r="B330" s="134" t="s">
        <v>2323</v>
      </c>
    </row>
    <row r="331" spans="1:2">
      <c r="A331" s="133" t="str">
        <f>"0566"</f>
        <v>0566</v>
      </c>
      <c r="B331" s="134" t="s">
        <v>2322</v>
      </c>
    </row>
    <row r="332" spans="1:2">
      <c r="A332" s="133" t="str">
        <f>"0567"</f>
        <v>0567</v>
      </c>
      <c r="B332" s="134" t="s">
        <v>2321</v>
      </c>
    </row>
    <row r="333" spans="1:2">
      <c r="A333" s="133" t="str">
        <f>"0568"</f>
        <v>0568</v>
      </c>
      <c r="B333" s="134" t="s">
        <v>2320</v>
      </c>
    </row>
    <row r="334" spans="1:2">
      <c r="A334" s="133" t="str">
        <f>"0569"</f>
        <v>0569</v>
      </c>
      <c r="B334" s="134" t="s">
        <v>2319</v>
      </c>
    </row>
    <row r="335" spans="1:2">
      <c r="A335" s="133" t="str">
        <f>"0570"</f>
        <v>0570</v>
      </c>
      <c r="B335" s="134" t="s">
        <v>2318</v>
      </c>
    </row>
    <row r="336" spans="1:2">
      <c r="A336" s="133" t="str">
        <f>"0571"</f>
        <v>0571</v>
      </c>
      <c r="B336" s="134" t="s">
        <v>2317</v>
      </c>
    </row>
    <row r="337" spans="1:2">
      <c r="A337" s="133" t="str">
        <f>"0572"</f>
        <v>0572</v>
      </c>
      <c r="B337" s="134" t="s">
        <v>2316</v>
      </c>
    </row>
    <row r="338" spans="1:2">
      <c r="A338" s="133" t="str">
        <f>"0573"</f>
        <v>0573</v>
      </c>
      <c r="B338" s="134" t="s">
        <v>2315</v>
      </c>
    </row>
    <row r="339" spans="1:2">
      <c r="A339" s="133" t="str">
        <f>"0574"</f>
        <v>0574</v>
      </c>
      <c r="B339" s="134" t="s">
        <v>2314</v>
      </c>
    </row>
    <row r="340" spans="1:2">
      <c r="A340" s="133" t="str">
        <f>"0575"</f>
        <v>0575</v>
      </c>
      <c r="B340" s="134" t="s">
        <v>2313</v>
      </c>
    </row>
    <row r="341" spans="1:2">
      <c r="A341" s="133" t="str">
        <f>"0576"</f>
        <v>0576</v>
      </c>
      <c r="B341" s="134" t="s">
        <v>2312</v>
      </c>
    </row>
    <row r="342" spans="1:2">
      <c r="A342" s="133" t="str">
        <f>"0577"</f>
        <v>0577</v>
      </c>
      <c r="B342" s="134" t="s">
        <v>2311</v>
      </c>
    </row>
    <row r="343" spans="1:2">
      <c r="A343" s="133" t="str">
        <f>"0578"</f>
        <v>0578</v>
      </c>
      <c r="B343" s="134" t="s">
        <v>2310</v>
      </c>
    </row>
    <row r="344" spans="1:2">
      <c r="A344" s="133" t="str">
        <f>"0579"</f>
        <v>0579</v>
      </c>
      <c r="B344" s="134" t="s">
        <v>2309</v>
      </c>
    </row>
    <row r="345" spans="1:2">
      <c r="A345" s="133" t="str">
        <f>"0580"</f>
        <v>0580</v>
      </c>
      <c r="B345" s="134" t="s">
        <v>2308</v>
      </c>
    </row>
    <row r="346" spans="1:2">
      <c r="A346" s="133" t="str">
        <f>"0581"</f>
        <v>0581</v>
      </c>
      <c r="B346" s="134" t="s">
        <v>2307</v>
      </c>
    </row>
    <row r="347" spans="1:2">
      <c r="A347" s="133" t="str">
        <f>"0582"</f>
        <v>0582</v>
      </c>
      <c r="B347" s="134" t="s">
        <v>2306</v>
      </c>
    </row>
    <row r="348" spans="1:2">
      <c r="A348" s="133" t="str">
        <f>"0583"</f>
        <v>0583</v>
      </c>
      <c r="B348" s="134" t="s">
        <v>2305</v>
      </c>
    </row>
    <row r="349" spans="1:2">
      <c r="A349" s="133" t="str">
        <f>"0584"</f>
        <v>0584</v>
      </c>
      <c r="B349" s="134" t="s">
        <v>2304</v>
      </c>
    </row>
    <row r="350" spans="1:2">
      <c r="A350" s="133" t="str">
        <f>"0585"</f>
        <v>0585</v>
      </c>
      <c r="B350" s="134" t="s">
        <v>2303</v>
      </c>
    </row>
    <row r="351" spans="1:2">
      <c r="A351" s="133" t="str">
        <f>"0586"</f>
        <v>0586</v>
      </c>
      <c r="B351" s="134" t="s">
        <v>2302</v>
      </c>
    </row>
    <row r="352" spans="1:2">
      <c r="A352" s="133" t="str">
        <f>"0587"</f>
        <v>0587</v>
      </c>
      <c r="B352" s="134" t="s">
        <v>2301</v>
      </c>
    </row>
    <row r="353" spans="1:2">
      <c r="A353" s="133" t="str">
        <f>"0588"</f>
        <v>0588</v>
      </c>
      <c r="B353" s="134" t="s">
        <v>2300</v>
      </c>
    </row>
    <row r="354" spans="1:2">
      <c r="A354" s="133" t="str">
        <f>"0589"</f>
        <v>0589</v>
      </c>
      <c r="B354" s="134" t="s">
        <v>2299</v>
      </c>
    </row>
    <row r="355" spans="1:2">
      <c r="A355" s="133" t="str">
        <f>"0590"</f>
        <v>0590</v>
      </c>
      <c r="B355" s="134" t="s">
        <v>2298</v>
      </c>
    </row>
    <row r="356" spans="1:2">
      <c r="A356" s="133" t="str">
        <f>"0591"</f>
        <v>0591</v>
      </c>
      <c r="B356" s="134" t="s">
        <v>2297</v>
      </c>
    </row>
    <row r="357" spans="1:2">
      <c r="A357" s="133" t="str">
        <f>"0592"</f>
        <v>0592</v>
      </c>
      <c r="B357" s="134" t="s">
        <v>2296</v>
      </c>
    </row>
    <row r="358" spans="1:2">
      <c r="A358" s="133" t="str">
        <f>"0593"</f>
        <v>0593</v>
      </c>
      <c r="B358" s="134" t="s">
        <v>2295</v>
      </c>
    </row>
    <row r="359" spans="1:2">
      <c r="A359" s="133" t="str">
        <f>"0594"</f>
        <v>0594</v>
      </c>
      <c r="B359" s="134" t="s">
        <v>2294</v>
      </c>
    </row>
    <row r="360" spans="1:2">
      <c r="A360" s="133" t="str">
        <f>"0595"</f>
        <v>0595</v>
      </c>
      <c r="B360" s="134" t="s">
        <v>2293</v>
      </c>
    </row>
    <row r="361" spans="1:2">
      <c r="A361" s="133" t="str">
        <f>"0596"</f>
        <v>0596</v>
      </c>
      <c r="B361" s="134" t="s">
        <v>2292</v>
      </c>
    </row>
    <row r="362" spans="1:2">
      <c r="A362" s="133" t="str">
        <f>"0597"</f>
        <v>0597</v>
      </c>
      <c r="B362" s="134" t="s">
        <v>2291</v>
      </c>
    </row>
    <row r="363" spans="1:2">
      <c r="A363" s="133" t="str">
        <f>"0598"</f>
        <v>0598</v>
      </c>
      <c r="B363" s="134" t="s">
        <v>2290</v>
      </c>
    </row>
    <row r="364" spans="1:2">
      <c r="A364" s="133" t="str">
        <f>"0599"</f>
        <v>0599</v>
      </c>
      <c r="B364" s="134" t="s">
        <v>2289</v>
      </c>
    </row>
    <row r="365" spans="1:2">
      <c r="A365" s="133" t="str">
        <f>"0600"</f>
        <v>0600</v>
      </c>
      <c r="B365" s="134" t="s">
        <v>2288</v>
      </c>
    </row>
    <row r="366" spans="1:2">
      <c r="A366" s="133" t="str">
        <f>"0601"</f>
        <v>0601</v>
      </c>
      <c r="B366" s="134" t="s">
        <v>2287</v>
      </c>
    </row>
    <row r="367" spans="1:2">
      <c r="A367" s="133" t="str">
        <f>"0602"</f>
        <v>0602</v>
      </c>
      <c r="B367" s="134" t="s">
        <v>2286</v>
      </c>
    </row>
    <row r="368" spans="1:2">
      <c r="A368" s="133" t="str">
        <f>"0603"</f>
        <v>0603</v>
      </c>
      <c r="B368" s="134" t="s">
        <v>2285</v>
      </c>
    </row>
    <row r="369" spans="1:2">
      <c r="A369" s="133" t="str">
        <f>"0604"</f>
        <v>0604</v>
      </c>
      <c r="B369" s="134" t="s">
        <v>2284</v>
      </c>
    </row>
    <row r="370" spans="1:2">
      <c r="A370" s="133" t="str">
        <f>"0605"</f>
        <v>0605</v>
      </c>
      <c r="B370" s="134" t="s">
        <v>2283</v>
      </c>
    </row>
    <row r="371" spans="1:2">
      <c r="A371" s="133" t="str">
        <f>"0606"</f>
        <v>0606</v>
      </c>
      <c r="B371" s="134" t="s">
        <v>2282</v>
      </c>
    </row>
    <row r="372" spans="1:2">
      <c r="A372" s="133" t="str">
        <f>"0607"</f>
        <v>0607</v>
      </c>
      <c r="B372" s="134" t="s">
        <v>2281</v>
      </c>
    </row>
    <row r="373" spans="1:2">
      <c r="A373" s="133" t="str">
        <f>"0608"</f>
        <v>0608</v>
      </c>
      <c r="B373" s="134" t="s">
        <v>2280</v>
      </c>
    </row>
    <row r="374" spans="1:2">
      <c r="A374" s="133" t="str">
        <f>"0609"</f>
        <v>0609</v>
      </c>
      <c r="B374" s="134" t="s">
        <v>2279</v>
      </c>
    </row>
    <row r="375" spans="1:2">
      <c r="A375" s="133" t="str">
        <f>"0610"</f>
        <v>0610</v>
      </c>
      <c r="B375" s="134" t="s">
        <v>2278</v>
      </c>
    </row>
    <row r="376" spans="1:2">
      <c r="A376" s="133" t="str">
        <f>"0611"</f>
        <v>0611</v>
      </c>
      <c r="B376" s="134" t="s">
        <v>2277</v>
      </c>
    </row>
    <row r="377" spans="1:2">
      <c r="A377" s="133" t="str">
        <f>"0612"</f>
        <v>0612</v>
      </c>
      <c r="B377" s="134" t="s">
        <v>2276</v>
      </c>
    </row>
    <row r="378" spans="1:2">
      <c r="A378" s="133" t="str">
        <f>"0613"</f>
        <v>0613</v>
      </c>
      <c r="B378" s="134" t="s">
        <v>2275</v>
      </c>
    </row>
    <row r="379" spans="1:2">
      <c r="A379" s="133" t="str">
        <f>"0614"</f>
        <v>0614</v>
      </c>
      <c r="B379" s="134" t="s">
        <v>2274</v>
      </c>
    </row>
    <row r="380" spans="1:2">
      <c r="A380" s="133" t="str">
        <f>"0615"</f>
        <v>0615</v>
      </c>
      <c r="B380" s="134" t="s">
        <v>2273</v>
      </c>
    </row>
    <row r="381" spans="1:2">
      <c r="A381" s="133" t="str">
        <f>"0616"</f>
        <v>0616</v>
      </c>
      <c r="B381" s="134" t="s">
        <v>2272</v>
      </c>
    </row>
    <row r="382" spans="1:2">
      <c r="A382" s="133" t="str">
        <f>"0617"</f>
        <v>0617</v>
      </c>
      <c r="B382" s="134" t="s">
        <v>2271</v>
      </c>
    </row>
    <row r="383" spans="1:2">
      <c r="A383" s="133" t="str">
        <f>"0618"</f>
        <v>0618</v>
      </c>
      <c r="B383" s="134" t="s">
        <v>2270</v>
      </c>
    </row>
    <row r="384" spans="1:2">
      <c r="A384" s="133" t="str">
        <f>"0619"</f>
        <v>0619</v>
      </c>
      <c r="B384" s="134" t="s">
        <v>2269</v>
      </c>
    </row>
    <row r="385" spans="1:2">
      <c r="A385" s="133" t="str">
        <f>"0620"</f>
        <v>0620</v>
      </c>
      <c r="B385" s="134" t="s">
        <v>2268</v>
      </c>
    </row>
    <row r="386" spans="1:2">
      <c r="A386" s="133" t="str">
        <f>"0621"</f>
        <v>0621</v>
      </c>
      <c r="B386" s="134" t="s">
        <v>2267</v>
      </c>
    </row>
    <row r="387" spans="1:2">
      <c r="A387" s="133" t="str">
        <f>"0622"</f>
        <v>0622</v>
      </c>
      <c r="B387" s="134" t="s">
        <v>2266</v>
      </c>
    </row>
    <row r="388" spans="1:2">
      <c r="A388" s="133" t="str">
        <f>"0623"</f>
        <v>0623</v>
      </c>
      <c r="B388" s="134" t="s">
        <v>2265</v>
      </c>
    </row>
    <row r="389" spans="1:2">
      <c r="A389" s="133" t="str">
        <f>"0624"</f>
        <v>0624</v>
      </c>
      <c r="B389" s="134" t="s">
        <v>2264</v>
      </c>
    </row>
    <row r="390" spans="1:2">
      <c r="A390" s="133" t="str">
        <f>"0625"</f>
        <v>0625</v>
      </c>
      <c r="B390" s="134" t="s">
        <v>2263</v>
      </c>
    </row>
    <row r="391" spans="1:2">
      <c r="A391" s="133" t="str">
        <f>"0626"</f>
        <v>0626</v>
      </c>
      <c r="B391" s="134" t="s">
        <v>2262</v>
      </c>
    </row>
    <row r="392" spans="1:2">
      <c r="A392" s="133" t="str">
        <f>"0627"</f>
        <v>0627</v>
      </c>
      <c r="B392" s="134" t="s">
        <v>2261</v>
      </c>
    </row>
    <row r="393" spans="1:2">
      <c r="A393" s="133" t="str">
        <f>"0628"</f>
        <v>0628</v>
      </c>
      <c r="B393" s="134" t="s">
        <v>2260</v>
      </c>
    </row>
    <row r="394" spans="1:2">
      <c r="A394" s="133" t="str">
        <f>"0629"</f>
        <v>0629</v>
      </c>
      <c r="B394" s="134" t="s">
        <v>2259</v>
      </c>
    </row>
    <row r="395" spans="1:2">
      <c r="A395" s="133" t="str">
        <f>"0630"</f>
        <v>0630</v>
      </c>
      <c r="B395" s="134" t="s">
        <v>2258</v>
      </c>
    </row>
    <row r="396" spans="1:2">
      <c r="A396" s="133" t="str">
        <f>"0631"</f>
        <v>0631</v>
      </c>
      <c r="B396" s="134" t="s">
        <v>2257</v>
      </c>
    </row>
    <row r="397" spans="1:2">
      <c r="A397" s="133" t="str">
        <f>"0632"</f>
        <v>0632</v>
      </c>
      <c r="B397" s="134" t="s">
        <v>2256</v>
      </c>
    </row>
    <row r="398" spans="1:2">
      <c r="A398" s="133" t="str">
        <f>"0633"</f>
        <v>0633</v>
      </c>
      <c r="B398" s="134" t="s">
        <v>2255</v>
      </c>
    </row>
    <row r="399" spans="1:2">
      <c r="A399" s="133" t="str">
        <f>"0634"</f>
        <v>0634</v>
      </c>
      <c r="B399" s="134" t="s">
        <v>2254</v>
      </c>
    </row>
    <row r="400" spans="1:2">
      <c r="A400" s="133" t="str">
        <f>"0635"</f>
        <v>0635</v>
      </c>
      <c r="B400" s="134" t="s">
        <v>2253</v>
      </c>
    </row>
    <row r="401" spans="1:2">
      <c r="A401" s="133" t="str">
        <f>"0636"</f>
        <v>0636</v>
      </c>
      <c r="B401" s="134" t="s">
        <v>2252</v>
      </c>
    </row>
    <row r="402" spans="1:2">
      <c r="A402" s="133" t="str">
        <f>"0637"</f>
        <v>0637</v>
      </c>
      <c r="B402" s="134" t="s">
        <v>2251</v>
      </c>
    </row>
    <row r="403" spans="1:2">
      <c r="A403" s="133" t="str">
        <f>"0638"</f>
        <v>0638</v>
      </c>
      <c r="B403" s="134" t="s">
        <v>2250</v>
      </c>
    </row>
    <row r="404" spans="1:2">
      <c r="A404" s="133" t="str">
        <f>"0639"</f>
        <v>0639</v>
      </c>
      <c r="B404" s="134" t="s">
        <v>2249</v>
      </c>
    </row>
    <row r="405" spans="1:2">
      <c r="A405" s="133" t="str">
        <f>"0640"</f>
        <v>0640</v>
      </c>
      <c r="B405" s="134" t="s">
        <v>2248</v>
      </c>
    </row>
    <row r="406" spans="1:2">
      <c r="A406" s="133" t="str">
        <f>"0641"</f>
        <v>0641</v>
      </c>
      <c r="B406" s="134" t="s">
        <v>2247</v>
      </c>
    </row>
    <row r="407" spans="1:2">
      <c r="A407" s="133" t="str">
        <f>"0642"</f>
        <v>0642</v>
      </c>
      <c r="B407" s="134" t="s">
        <v>2246</v>
      </c>
    </row>
    <row r="408" spans="1:2">
      <c r="A408" s="133" t="str">
        <f>"0643"</f>
        <v>0643</v>
      </c>
      <c r="B408" s="134" t="s">
        <v>2245</v>
      </c>
    </row>
    <row r="409" spans="1:2">
      <c r="A409" s="133" t="str">
        <f>"0644"</f>
        <v>0644</v>
      </c>
      <c r="B409" s="134" t="s">
        <v>2244</v>
      </c>
    </row>
    <row r="410" spans="1:2">
      <c r="A410" s="133" t="str">
        <f>"0645"</f>
        <v>0645</v>
      </c>
      <c r="B410" s="134" t="s">
        <v>2243</v>
      </c>
    </row>
    <row r="411" spans="1:2">
      <c r="A411" s="133" t="str">
        <f>"0646"</f>
        <v>0646</v>
      </c>
      <c r="B411" s="134" t="s">
        <v>2242</v>
      </c>
    </row>
    <row r="412" spans="1:2">
      <c r="A412" s="133" t="str">
        <f>"0647"</f>
        <v>0647</v>
      </c>
      <c r="B412" s="134" t="s">
        <v>2241</v>
      </c>
    </row>
    <row r="413" spans="1:2">
      <c r="A413" s="133" t="str">
        <f>"0648"</f>
        <v>0648</v>
      </c>
      <c r="B413" s="134" t="s">
        <v>2240</v>
      </c>
    </row>
    <row r="414" spans="1:2">
      <c r="A414" s="133" t="str">
        <f>"0649"</f>
        <v>0649</v>
      </c>
      <c r="B414" s="134" t="s">
        <v>2239</v>
      </c>
    </row>
    <row r="415" spans="1:2">
      <c r="A415" s="133" t="str">
        <f>"0650"</f>
        <v>0650</v>
      </c>
      <c r="B415" s="134" t="s">
        <v>2238</v>
      </c>
    </row>
    <row r="416" spans="1:2">
      <c r="A416" s="133" t="str">
        <f>"0651"</f>
        <v>0651</v>
      </c>
      <c r="B416" s="134" t="s">
        <v>2237</v>
      </c>
    </row>
    <row r="417" spans="1:2">
      <c r="A417" s="133" t="str">
        <f>"0652"</f>
        <v>0652</v>
      </c>
      <c r="B417" s="134" t="s">
        <v>2236</v>
      </c>
    </row>
    <row r="418" spans="1:2">
      <c r="A418" s="133" t="str">
        <f>"0653"</f>
        <v>0653</v>
      </c>
      <c r="B418" s="134" t="s">
        <v>2235</v>
      </c>
    </row>
    <row r="419" spans="1:2">
      <c r="A419" s="133" t="str">
        <f>"0654"</f>
        <v>0654</v>
      </c>
      <c r="B419" s="134" t="s">
        <v>2234</v>
      </c>
    </row>
    <row r="420" spans="1:2">
      <c r="A420" s="133" t="str">
        <f>"0655"</f>
        <v>0655</v>
      </c>
      <c r="B420" s="134" t="s">
        <v>2233</v>
      </c>
    </row>
    <row r="421" spans="1:2">
      <c r="A421" s="133" t="str">
        <f>"0656"</f>
        <v>0656</v>
      </c>
      <c r="B421" s="134" t="s">
        <v>2232</v>
      </c>
    </row>
    <row r="422" spans="1:2">
      <c r="A422" s="133" t="str">
        <f>"0657"</f>
        <v>0657</v>
      </c>
      <c r="B422" s="134" t="s">
        <v>2231</v>
      </c>
    </row>
    <row r="423" spans="1:2">
      <c r="A423" s="133" t="str">
        <f>"0658"</f>
        <v>0658</v>
      </c>
      <c r="B423" s="134" t="s">
        <v>2230</v>
      </c>
    </row>
    <row r="424" spans="1:2">
      <c r="A424" s="133" t="str">
        <f>"0659"</f>
        <v>0659</v>
      </c>
      <c r="B424" s="134" t="s">
        <v>2229</v>
      </c>
    </row>
    <row r="425" spans="1:2">
      <c r="A425" s="133" t="str">
        <f>"0660"</f>
        <v>0660</v>
      </c>
      <c r="B425" s="134" t="s">
        <v>2228</v>
      </c>
    </row>
    <row r="426" spans="1:2">
      <c r="A426" s="133" t="str">
        <f>"0661"</f>
        <v>0661</v>
      </c>
      <c r="B426" s="134" t="s">
        <v>2227</v>
      </c>
    </row>
    <row r="427" spans="1:2">
      <c r="A427" s="133" t="str">
        <f>"0662"</f>
        <v>0662</v>
      </c>
      <c r="B427" s="134" t="s">
        <v>2226</v>
      </c>
    </row>
    <row r="428" spans="1:2">
      <c r="A428" s="133" t="str">
        <f>"0663"</f>
        <v>0663</v>
      </c>
      <c r="B428" s="134" t="s">
        <v>2225</v>
      </c>
    </row>
    <row r="429" spans="1:2">
      <c r="A429" s="133" t="str">
        <f>"0664"</f>
        <v>0664</v>
      </c>
      <c r="B429" s="134" t="s">
        <v>2224</v>
      </c>
    </row>
    <row r="430" spans="1:2">
      <c r="A430" s="133" t="str">
        <f>"0665"</f>
        <v>0665</v>
      </c>
      <c r="B430" s="134" t="s">
        <v>2223</v>
      </c>
    </row>
    <row r="431" spans="1:2">
      <c r="A431" s="133" t="str">
        <f>"0666"</f>
        <v>0666</v>
      </c>
      <c r="B431" s="134" t="s">
        <v>2222</v>
      </c>
    </row>
    <row r="432" spans="1:2">
      <c r="A432" s="133" t="str">
        <f>"0667"</f>
        <v>0667</v>
      </c>
      <c r="B432" s="134" t="s">
        <v>2221</v>
      </c>
    </row>
    <row r="433" spans="1:2">
      <c r="A433" s="133" t="str">
        <f>"0668"</f>
        <v>0668</v>
      </c>
      <c r="B433" s="134" t="s">
        <v>2220</v>
      </c>
    </row>
    <row r="434" spans="1:2">
      <c r="A434" s="133" t="str">
        <f>"0669"</f>
        <v>0669</v>
      </c>
      <c r="B434" s="134" t="s">
        <v>2219</v>
      </c>
    </row>
    <row r="435" spans="1:2">
      <c r="A435" s="133" t="str">
        <f>"0670"</f>
        <v>0670</v>
      </c>
      <c r="B435" s="134" t="s">
        <v>2218</v>
      </c>
    </row>
    <row r="436" spans="1:2">
      <c r="A436" s="133" t="str">
        <f>"0671"</f>
        <v>0671</v>
      </c>
      <c r="B436" s="134" t="s">
        <v>2217</v>
      </c>
    </row>
    <row r="437" spans="1:2">
      <c r="A437" s="133" t="str">
        <f>"0672"</f>
        <v>0672</v>
      </c>
      <c r="B437" s="134" t="s">
        <v>2216</v>
      </c>
    </row>
    <row r="438" spans="1:2">
      <c r="A438" s="133" t="str">
        <f>"0673"</f>
        <v>0673</v>
      </c>
      <c r="B438" s="134" t="s">
        <v>2215</v>
      </c>
    </row>
    <row r="439" spans="1:2">
      <c r="A439" s="133" t="str">
        <f>"0674"</f>
        <v>0674</v>
      </c>
      <c r="B439" s="134" t="s">
        <v>2214</v>
      </c>
    </row>
    <row r="440" spans="1:2">
      <c r="A440" s="133" t="str">
        <f>"0675"</f>
        <v>0675</v>
      </c>
      <c r="B440" s="134" t="s">
        <v>2213</v>
      </c>
    </row>
    <row r="441" spans="1:2">
      <c r="A441" s="133" t="str">
        <f>"0676"</f>
        <v>0676</v>
      </c>
      <c r="B441" s="134" t="s">
        <v>2212</v>
      </c>
    </row>
    <row r="442" spans="1:2">
      <c r="A442" s="133" t="str">
        <f>"0677"</f>
        <v>0677</v>
      </c>
      <c r="B442" s="134" t="s">
        <v>2211</v>
      </c>
    </row>
    <row r="443" spans="1:2">
      <c r="A443" s="133" t="str">
        <f>"0678"</f>
        <v>0678</v>
      </c>
      <c r="B443" s="134" t="s">
        <v>2210</v>
      </c>
    </row>
    <row r="444" spans="1:2">
      <c r="A444" s="133" t="str">
        <f>"0679"</f>
        <v>0679</v>
      </c>
      <c r="B444" s="134" t="s">
        <v>2209</v>
      </c>
    </row>
    <row r="445" spans="1:2">
      <c r="A445" s="133" t="str">
        <f>"0680"</f>
        <v>0680</v>
      </c>
      <c r="B445" s="134" t="s">
        <v>2208</v>
      </c>
    </row>
    <row r="446" spans="1:2">
      <c r="A446" s="133" t="str">
        <f>"0681"</f>
        <v>0681</v>
      </c>
      <c r="B446" s="134" t="s">
        <v>2207</v>
      </c>
    </row>
    <row r="447" spans="1:2">
      <c r="A447" s="133" t="str">
        <f>"0682"</f>
        <v>0682</v>
      </c>
      <c r="B447" s="134" t="s">
        <v>2206</v>
      </c>
    </row>
    <row r="448" spans="1:2">
      <c r="A448" s="133" t="str">
        <f>"0683"</f>
        <v>0683</v>
      </c>
      <c r="B448" s="134" t="s">
        <v>2205</v>
      </c>
    </row>
    <row r="449" spans="1:2">
      <c r="A449" s="133" t="str">
        <f>"0684"</f>
        <v>0684</v>
      </c>
      <c r="B449" s="134" t="s">
        <v>2204</v>
      </c>
    </row>
    <row r="450" spans="1:2">
      <c r="A450" s="133" t="str">
        <f>"0685"</f>
        <v>0685</v>
      </c>
      <c r="B450" s="134" t="s">
        <v>2203</v>
      </c>
    </row>
    <row r="451" spans="1:2">
      <c r="A451" s="133" t="str">
        <f>"0686"</f>
        <v>0686</v>
      </c>
      <c r="B451" s="134" t="s">
        <v>2202</v>
      </c>
    </row>
    <row r="452" spans="1:2">
      <c r="A452" s="133" t="str">
        <f>"0687"</f>
        <v>0687</v>
      </c>
      <c r="B452" s="134" t="s">
        <v>2201</v>
      </c>
    </row>
    <row r="453" spans="1:2">
      <c r="A453" s="133" t="str">
        <f>"0688"</f>
        <v>0688</v>
      </c>
      <c r="B453" s="134" t="s">
        <v>2200</v>
      </c>
    </row>
    <row r="454" spans="1:2">
      <c r="A454" s="133" t="str">
        <f>"0689"</f>
        <v>0689</v>
      </c>
      <c r="B454" s="134" t="s">
        <v>2199</v>
      </c>
    </row>
    <row r="455" spans="1:2">
      <c r="A455" s="133" t="str">
        <f>"0690"</f>
        <v>0690</v>
      </c>
      <c r="B455" s="134" t="s">
        <v>2198</v>
      </c>
    </row>
    <row r="456" spans="1:2">
      <c r="A456" s="133" t="str">
        <f>"0691"</f>
        <v>0691</v>
      </c>
      <c r="B456" s="134" t="s">
        <v>2197</v>
      </c>
    </row>
    <row r="457" spans="1:2">
      <c r="A457" s="133" t="str">
        <f>"0692"</f>
        <v>0692</v>
      </c>
      <c r="B457" s="134" t="s">
        <v>2196</v>
      </c>
    </row>
    <row r="458" spans="1:2">
      <c r="A458" s="133" t="str">
        <f>"0693"</f>
        <v>0693</v>
      </c>
      <c r="B458" s="134" t="s">
        <v>2195</v>
      </c>
    </row>
    <row r="459" spans="1:2">
      <c r="A459" s="133" t="str">
        <f>"0694"</f>
        <v>0694</v>
      </c>
      <c r="B459" s="134" t="s">
        <v>2194</v>
      </c>
    </row>
    <row r="460" spans="1:2">
      <c r="A460" s="133" t="str">
        <f>"0695"</f>
        <v>0695</v>
      </c>
      <c r="B460" s="134" t="s">
        <v>2193</v>
      </c>
    </row>
    <row r="461" spans="1:2">
      <c r="A461" s="133" t="str">
        <f>"0696"</f>
        <v>0696</v>
      </c>
      <c r="B461" s="134" t="s">
        <v>2192</v>
      </c>
    </row>
    <row r="462" spans="1:2">
      <c r="A462" s="133" t="str">
        <f>"0697"</f>
        <v>0697</v>
      </c>
      <c r="B462" s="134" t="s">
        <v>2191</v>
      </c>
    </row>
    <row r="463" spans="1:2">
      <c r="A463" s="133" t="str">
        <f>"0698"</f>
        <v>0698</v>
      </c>
      <c r="B463" s="134" t="s">
        <v>2190</v>
      </c>
    </row>
    <row r="464" spans="1:2">
      <c r="A464" s="133" t="str">
        <f>"0699"</f>
        <v>0699</v>
      </c>
      <c r="B464" s="134" t="s">
        <v>2189</v>
      </c>
    </row>
    <row r="465" spans="1:2">
      <c r="A465" s="133" t="str">
        <f>"0700"</f>
        <v>0700</v>
      </c>
      <c r="B465" s="134" t="s">
        <v>2188</v>
      </c>
    </row>
    <row r="466" spans="1:2">
      <c r="A466" s="133" t="str">
        <f>"0701"</f>
        <v>0701</v>
      </c>
      <c r="B466" s="134" t="s">
        <v>2187</v>
      </c>
    </row>
    <row r="467" spans="1:2">
      <c r="A467" s="133" t="str">
        <f>"0702"</f>
        <v>0702</v>
      </c>
      <c r="B467" s="134" t="s">
        <v>2186</v>
      </c>
    </row>
    <row r="468" spans="1:2">
      <c r="A468" s="133" t="str">
        <f>"0703"</f>
        <v>0703</v>
      </c>
      <c r="B468" s="134" t="s">
        <v>2185</v>
      </c>
    </row>
    <row r="469" spans="1:2">
      <c r="A469" s="133" t="str">
        <f>"0704"</f>
        <v>0704</v>
      </c>
      <c r="B469" s="134" t="s">
        <v>2184</v>
      </c>
    </row>
    <row r="470" spans="1:2">
      <c r="A470" s="133" t="str">
        <f>"0705"</f>
        <v>0705</v>
      </c>
      <c r="B470" s="134" t="s">
        <v>2183</v>
      </c>
    </row>
    <row r="471" spans="1:2">
      <c r="A471" s="133" t="str">
        <f>"0706"</f>
        <v>0706</v>
      </c>
      <c r="B471" s="134" t="s">
        <v>2182</v>
      </c>
    </row>
    <row r="472" spans="1:2">
      <c r="A472" s="133" t="str">
        <f>"0707"</f>
        <v>0707</v>
      </c>
      <c r="B472" s="134" t="s">
        <v>2181</v>
      </c>
    </row>
    <row r="473" spans="1:2">
      <c r="A473" s="133" t="str">
        <f>"0708"</f>
        <v>0708</v>
      </c>
      <c r="B473" s="134" t="s">
        <v>2180</v>
      </c>
    </row>
    <row r="474" spans="1:2">
      <c r="A474" s="133" t="str">
        <f>"0709"</f>
        <v>0709</v>
      </c>
      <c r="B474" s="134" t="s">
        <v>2179</v>
      </c>
    </row>
    <row r="475" spans="1:2">
      <c r="A475" s="133" t="str">
        <f>"0710"</f>
        <v>0710</v>
      </c>
      <c r="B475" s="134" t="s">
        <v>2178</v>
      </c>
    </row>
    <row r="476" spans="1:2">
      <c r="A476" s="133" t="str">
        <f>"0711"</f>
        <v>0711</v>
      </c>
      <c r="B476" s="134" t="s">
        <v>2177</v>
      </c>
    </row>
    <row r="477" spans="1:2">
      <c r="A477" s="133" t="str">
        <f>"0712"</f>
        <v>0712</v>
      </c>
      <c r="B477" s="134" t="s">
        <v>2176</v>
      </c>
    </row>
    <row r="478" spans="1:2">
      <c r="A478" s="133" t="str">
        <f>"0713"</f>
        <v>0713</v>
      </c>
      <c r="B478" s="134" t="s">
        <v>2175</v>
      </c>
    </row>
    <row r="479" spans="1:2">
      <c r="A479" s="133" t="str">
        <f>"0714"</f>
        <v>0714</v>
      </c>
      <c r="B479" s="134" t="s">
        <v>2174</v>
      </c>
    </row>
    <row r="480" spans="1:2">
      <c r="A480" s="133" t="str">
        <f>"0715"</f>
        <v>0715</v>
      </c>
      <c r="B480" s="134" t="s">
        <v>2173</v>
      </c>
    </row>
    <row r="481" spans="1:2">
      <c r="A481" s="133" t="str">
        <f>"0716"</f>
        <v>0716</v>
      </c>
      <c r="B481" s="134" t="s">
        <v>2172</v>
      </c>
    </row>
    <row r="482" spans="1:2">
      <c r="A482" s="133" t="str">
        <f>"0717"</f>
        <v>0717</v>
      </c>
      <c r="B482" s="134" t="s">
        <v>2171</v>
      </c>
    </row>
    <row r="483" spans="1:2">
      <c r="A483" s="133" t="str">
        <f>"0718"</f>
        <v>0718</v>
      </c>
      <c r="B483" s="134" t="s">
        <v>2170</v>
      </c>
    </row>
    <row r="484" spans="1:2">
      <c r="A484" s="133" t="str">
        <f>"0719"</f>
        <v>0719</v>
      </c>
      <c r="B484" s="134" t="s">
        <v>2169</v>
      </c>
    </row>
    <row r="485" spans="1:2">
      <c r="A485" s="133" t="str">
        <f>"0720"</f>
        <v>0720</v>
      </c>
      <c r="B485" s="134" t="s">
        <v>2168</v>
      </c>
    </row>
    <row r="486" spans="1:2">
      <c r="A486" s="133" t="str">
        <f>"0721"</f>
        <v>0721</v>
      </c>
      <c r="B486" s="134" t="s">
        <v>2167</v>
      </c>
    </row>
    <row r="487" spans="1:2">
      <c r="A487" s="133" t="str">
        <f>"0722"</f>
        <v>0722</v>
      </c>
      <c r="B487" s="134" t="s">
        <v>2166</v>
      </c>
    </row>
    <row r="488" spans="1:2">
      <c r="A488" s="133" t="str">
        <f>"0723"</f>
        <v>0723</v>
      </c>
      <c r="B488" s="134" t="s">
        <v>2165</v>
      </c>
    </row>
    <row r="489" spans="1:2">
      <c r="A489" s="133" t="str">
        <f>"0724"</f>
        <v>0724</v>
      </c>
      <c r="B489" s="134" t="s">
        <v>2164</v>
      </c>
    </row>
    <row r="490" spans="1:2">
      <c r="A490" s="133" t="str">
        <f>"0725"</f>
        <v>0725</v>
      </c>
      <c r="B490" s="134" t="s">
        <v>2163</v>
      </c>
    </row>
    <row r="491" spans="1:2">
      <c r="A491" s="133" t="str">
        <f>"0726"</f>
        <v>0726</v>
      </c>
      <c r="B491" s="134" t="s">
        <v>2162</v>
      </c>
    </row>
    <row r="492" spans="1:2">
      <c r="A492" s="133" t="str">
        <f>"0727"</f>
        <v>0727</v>
      </c>
      <c r="B492" s="134" t="s">
        <v>2161</v>
      </c>
    </row>
    <row r="493" spans="1:2">
      <c r="A493" s="133" t="str">
        <f>"0728"</f>
        <v>0728</v>
      </c>
      <c r="B493" s="134" t="s">
        <v>2160</v>
      </c>
    </row>
    <row r="494" spans="1:2">
      <c r="A494" s="133" t="str">
        <f>"0729"</f>
        <v>0729</v>
      </c>
      <c r="B494" s="134" t="s">
        <v>2159</v>
      </c>
    </row>
    <row r="495" spans="1:2">
      <c r="A495" s="133" t="str">
        <f>"0730"</f>
        <v>0730</v>
      </c>
      <c r="B495" s="134" t="s">
        <v>2158</v>
      </c>
    </row>
    <row r="496" spans="1:2">
      <c r="A496" s="133" t="str">
        <f>"0731"</f>
        <v>0731</v>
      </c>
      <c r="B496" s="134" t="s">
        <v>2157</v>
      </c>
    </row>
    <row r="497" spans="1:2">
      <c r="A497" s="133" t="str">
        <f>"0732"</f>
        <v>0732</v>
      </c>
      <c r="B497" s="134" t="s">
        <v>2156</v>
      </c>
    </row>
    <row r="498" spans="1:2">
      <c r="A498" s="133" t="str">
        <f>"0733"</f>
        <v>0733</v>
      </c>
      <c r="B498" s="134" t="s">
        <v>2155</v>
      </c>
    </row>
    <row r="499" spans="1:2">
      <c r="A499" s="133" t="str">
        <f>"0734"</f>
        <v>0734</v>
      </c>
      <c r="B499" s="134" t="s">
        <v>2154</v>
      </c>
    </row>
    <row r="500" spans="1:2">
      <c r="A500" s="133" t="str">
        <f>"0735"</f>
        <v>0735</v>
      </c>
      <c r="B500" s="134" t="s">
        <v>2153</v>
      </c>
    </row>
    <row r="501" spans="1:2">
      <c r="A501" s="133" t="str">
        <f>"0736"</f>
        <v>0736</v>
      </c>
      <c r="B501" s="134" t="s">
        <v>2152</v>
      </c>
    </row>
    <row r="502" spans="1:2">
      <c r="A502" s="133" t="str">
        <f>"0737"</f>
        <v>0737</v>
      </c>
      <c r="B502" s="134" t="s">
        <v>2151</v>
      </c>
    </row>
    <row r="503" spans="1:2">
      <c r="A503" s="133" t="str">
        <f>"0738"</f>
        <v>0738</v>
      </c>
      <c r="B503" s="134" t="s">
        <v>2150</v>
      </c>
    </row>
    <row r="504" spans="1:2">
      <c r="A504" s="133" t="str">
        <f>"0739"</f>
        <v>0739</v>
      </c>
      <c r="B504" s="134" t="s">
        <v>2149</v>
      </c>
    </row>
    <row r="505" spans="1:2">
      <c r="A505" s="133" t="str">
        <f>"0740"</f>
        <v>0740</v>
      </c>
      <c r="B505" s="134" t="s">
        <v>2148</v>
      </c>
    </row>
    <row r="506" spans="1:2">
      <c r="A506" s="133" t="str">
        <f>"0741"</f>
        <v>0741</v>
      </c>
      <c r="B506" s="134" t="s">
        <v>2147</v>
      </c>
    </row>
    <row r="507" spans="1:2">
      <c r="A507" s="133" t="str">
        <f>"0742"</f>
        <v>0742</v>
      </c>
      <c r="B507" s="134" t="s">
        <v>2146</v>
      </c>
    </row>
    <row r="508" spans="1:2">
      <c r="A508" s="133" t="str">
        <f>"0743"</f>
        <v>0743</v>
      </c>
      <c r="B508" s="134" t="s">
        <v>2145</v>
      </c>
    </row>
    <row r="509" spans="1:2">
      <c r="A509" s="133" t="str">
        <f>"0744"</f>
        <v>0744</v>
      </c>
      <c r="B509" s="134" t="s">
        <v>2144</v>
      </c>
    </row>
    <row r="510" spans="1:2">
      <c r="A510" s="133" t="str">
        <f>"0745"</f>
        <v>0745</v>
      </c>
      <c r="B510" s="134" t="s">
        <v>2143</v>
      </c>
    </row>
    <row r="511" spans="1:2">
      <c r="A511" s="133" t="str">
        <f>"0746"</f>
        <v>0746</v>
      </c>
      <c r="B511" s="134" t="s">
        <v>2142</v>
      </c>
    </row>
    <row r="512" spans="1:2">
      <c r="A512" s="133" t="str">
        <f>"0747"</f>
        <v>0747</v>
      </c>
      <c r="B512" s="134" t="s">
        <v>1413</v>
      </c>
    </row>
    <row r="513" spans="1:2">
      <c r="A513" s="133" t="str">
        <f>"0748"</f>
        <v>0748</v>
      </c>
      <c r="B513" s="134" t="s">
        <v>2141</v>
      </c>
    </row>
    <row r="514" spans="1:2">
      <c r="A514" s="133" t="str">
        <f>"0749"</f>
        <v>0749</v>
      </c>
      <c r="B514" s="134" t="s">
        <v>1414</v>
      </c>
    </row>
    <row r="515" spans="1:2">
      <c r="A515" s="133" t="str">
        <f>"0750"</f>
        <v>0750</v>
      </c>
      <c r="B515" s="134" t="s">
        <v>2140</v>
      </c>
    </row>
    <row r="516" spans="1:2">
      <c r="A516" s="133" t="str">
        <f>"0751"</f>
        <v>0751</v>
      </c>
      <c r="B516" s="134" t="s">
        <v>2139</v>
      </c>
    </row>
    <row r="517" spans="1:2">
      <c r="A517" s="133" t="str">
        <f>"0752"</f>
        <v>0752</v>
      </c>
      <c r="B517" s="134" t="s">
        <v>2138</v>
      </c>
    </row>
    <row r="518" spans="1:2">
      <c r="A518" s="133" t="str">
        <f>"0753"</f>
        <v>0753</v>
      </c>
      <c r="B518" s="134" t="s">
        <v>2137</v>
      </c>
    </row>
    <row r="519" spans="1:2">
      <c r="A519" s="133" t="str">
        <f>"0754"</f>
        <v>0754</v>
      </c>
      <c r="B519" s="134" t="s">
        <v>2136</v>
      </c>
    </row>
    <row r="520" spans="1:2">
      <c r="A520" s="133" t="str">
        <f>"0755"</f>
        <v>0755</v>
      </c>
      <c r="B520" s="134" t="s">
        <v>2135</v>
      </c>
    </row>
    <row r="521" spans="1:2">
      <c r="A521" s="133" t="str">
        <f>"0756"</f>
        <v>0756</v>
      </c>
      <c r="B521" s="134" t="s">
        <v>2134</v>
      </c>
    </row>
    <row r="522" spans="1:2">
      <c r="A522" s="133" t="str">
        <f>"0757"</f>
        <v>0757</v>
      </c>
      <c r="B522" s="134" t="s">
        <v>2133</v>
      </c>
    </row>
    <row r="523" spans="1:2">
      <c r="A523" s="133" t="str">
        <f>"0758"</f>
        <v>0758</v>
      </c>
      <c r="B523" s="134" t="s">
        <v>2132</v>
      </c>
    </row>
    <row r="524" spans="1:2">
      <c r="A524" s="133" t="str">
        <f>"0759"</f>
        <v>0759</v>
      </c>
      <c r="B524" s="134" t="s">
        <v>2131</v>
      </c>
    </row>
    <row r="525" spans="1:2">
      <c r="A525" s="133" t="str">
        <f>"0760"</f>
        <v>0760</v>
      </c>
      <c r="B525" s="134" t="s">
        <v>2130</v>
      </c>
    </row>
    <row r="526" spans="1:2">
      <c r="A526" s="133" t="str">
        <f>"0761"</f>
        <v>0761</v>
      </c>
      <c r="B526" s="134" t="s">
        <v>2129</v>
      </c>
    </row>
    <row r="527" spans="1:2">
      <c r="A527" s="133" t="str">
        <f>"0762"</f>
        <v>0762</v>
      </c>
      <c r="B527" s="134" t="s">
        <v>2128</v>
      </c>
    </row>
    <row r="528" spans="1:2">
      <c r="A528" s="133" t="str">
        <f>"0763"</f>
        <v>0763</v>
      </c>
      <c r="B528" s="134" t="s">
        <v>2127</v>
      </c>
    </row>
    <row r="529" spans="1:2">
      <c r="A529" s="133" t="str">
        <f>"0764"</f>
        <v>0764</v>
      </c>
      <c r="B529" s="134" t="s">
        <v>2126</v>
      </c>
    </row>
    <row r="530" spans="1:2">
      <c r="A530" s="133" t="str">
        <f>"0765"</f>
        <v>0765</v>
      </c>
      <c r="B530" s="134" t="s">
        <v>2125</v>
      </c>
    </row>
    <row r="531" spans="1:2">
      <c r="A531" s="133" t="str">
        <f>"0766"</f>
        <v>0766</v>
      </c>
      <c r="B531" s="134" t="s">
        <v>2124</v>
      </c>
    </row>
    <row r="532" spans="1:2">
      <c r="A532" s="133" t="str">
        <f>"0767"</f>
        <v>0767</v>
      </c>
      <c r="B532" s="134" t="s">
        <v>2123</v>
      </c>
    </row>
    <row r="533" spans="1:2">
      <c r="A533" s="133" t="str">
        <f>"0768"</f>
        <v>0768</v>
      </c>
      <c r="B533" s="134" t="s">
        <v>2122</v>
      </c>
    </row>
    <row r="534" spans="1:2">
      <c r="A534" s="133" t="str">
        <f>"0769"</f>
        <v>0769</v>
      </c>
      <c r="B534" s="134" t="s">
        <v>2121</v>
      </c>
    </row>
    <row r="535" spans="1:2">
      <c r="A535" s="133" t="str">
        <f>"0770"</f>
        <v>0770</v>
      </c>
      <c r="B535" s="134" t="s">
        <v>2120</v>
      </c>
    </row>
    <row r="536" spans="1:2">
      <c r="A536" s="133" t="str">
        <f>"0771"</f>
        <v>0771</v>
      </c>
      <c r="B536" s="134" t="s">
        <v>2119</v>
      </c>
    </row>
    <row r="537" spans="1:2">
      <c r="A537" s="133" t="str">
        <f>"0772"</f>
        <v>0772</v>
      </c>
      <c r="B537" s="134" t="s">
        <v>2118</v>
      </c>
    </row>
    <row r="538" spans="1:2">
      <c r="A538" s="133" t="str">
        <f>"0773"</f>
        <v>0773</v>
      </c>
      <c r="B538" s="134" t="s">
        <v>2117</v>
      </c>
    </row>
    <row r="539" spans="1:2">
      <c r="A539" s="133" t="str">
        <f>"0774"</f>
        <v>0774</v>
      </c>
      <c r="B539" s="134" t="s">
        <v>2116</v>
      </c>
    </row>
    <row r="540" spans="1:2">
      <c r="A540" s="133" t="str">
        <f>"0775"</f>
        <v>0775</v>
      </c>
      <c r="B540" s="134" t="s">
        <v>2115</v>
      </c>
    </row>
    <row r="541" spans="1:2">
      <c r="A541" s="133" t="str">
        <f>"0776"</f>
        <v>0776</v>
      </c>
      <c r="B541" s="134" t="s">
        <v>2114</v>
      </c>
    </row>
    <row r="542" spans="1:2">
      <c r="A542" s="133" t="str">
        <f>"0777"</f>
        <v>0777</v>
      </c>
      <c r="B542" s="134" t="s">
        <v>2113</v>
      </c>
    </row>
    <row r="543" spans="1:2">
      <c r="A543" s="133" t="str">
        <f>"0778"</f>
        <v>0778</v>
      </c>
      <c r="B543" s="134" t="s">
        <v>2112</v>
      </c>
    </row>
    <row r="544" spans="1:2">
      <c r="A544" s="133" t="str">
        <f>"0779"</f>
        <v>0779</v>
      </c>
      <c r="B544" s="134" t="s">
        <v>2111</v>
      </c>
    </row>
    <row r="545" spans="1:2">
      <c r="A545" s="133" t="str">
        <f>"0780"</f>
        <v>0780</v>
      </c>
      <c r="B545" s="134" t="s">
        <v>2110</v>
      </c>
    </row>
    <row r="546" spans="1:2">
      <c r="A546" s="133" t="str">
        <f>"0781"</f>
        <v>0781</v>
      </c>
      <c r="B546" s="134" t="s">
        <v>2109</v>
      </c>
    </row>
    <row r="547" spans="1:2">
      <c r="A547" s="133" t="str">
        <f>"0782"</f>
        <v>0782</v>
      </c>
      <c r="B547" s="134" t="s">
        <v>2108</v>
      </c>
    </row>
    <row r="548" spans="1:2">
      <c r="A548" s="133" t="str">
        <f>"0783"</f>
        <v>0783</v>
      </c>
      <c r="B548" s="134" t="s">
        <v>2107</v>
      </c>
    </row>
    <row r="549" spans="1:2">
      <c r="A549" s="133" t="str">
        <f>"0784"</f>
        <v>0784</v>
      </c>
      <c r="B549" s="134" t="s">
        <v>2106</v>
      </c>
    </row>
    <row r="550" spans="1:2">
      <c r="A550" s="133" t="str">
        <f>"0785"</f>
        <v>0785</v>
      </c>
      <c r="B550" s="134" t="s">
        <v>2105</v>
      </c>
    </row>
    <row r="551" spans="1:2">
      <c r="A551" s="133" t="str">
        <f>"0786"</f>
        <v>0786</v>
      </c>
      <c r="B551" s="134" t="s">
        <v>2104</v>
      </c>
    </row>
    <row r="552" spans="1:2">
      <c r="A552" s="133" t="str">
        <f>"0787"</f>
        <v>0787</v>
      </c>
      <c r="B552" s="134" t="s">
        <v>2103</v>
      </c>
    </row>
    <row r="553" spans="1:2">
      <c r="A553" s="133" t="str">
        <f>"0788"</f>
        <v>0788</v>
      </c>
      <c r="B553" s="134" t="s">
        <v>2102</v>
      </c>
    </row>
    <row r="554" spans="1:2">
      <c r="A554" s="133" t="str">
        <f>"0789"</f>
        <v>0789</v>
      </c>
      <c r="B554" s="134" t="s">
        <v>2101</v>
      </c>
    </row>
    <row r="555" spans="1:2">
      <c r="A555" s="133" t="str">
        <f>"0790"</f>
        <v>0790</v>
      </c>
      <c r="B555" s="134" t="s">
        <v>2100</v>
      </c>
    </row>
    <row r="556" spans="1:2">
      <c r="A556" s="133" t="str">
        <f>"0791"</f>
        <v>0791</v>
      </c>
      <c r="B556" s="134" t="s">
        <v>2099</v>
      </c>
    </row>
    <row r="557" spans="1:2">
      <c r="A557" s="133" t="str">
        <f>"0792"</f>
        <v>0792</v>
      </c>
      <c r="B557" s="134" t="s">
        <v>2098</v>
      </c>
    </row>
    <row r="558" spans="1:2">
      <c r="A558" s="133" t="str">
        <f>"0793"</f>
        <v>0793</v>
      </c>
      <c r="B558" s="134" t="s">
        <v>2097</v>
      </c>
    </row>
    <row r="559" spans="1:2">
      <c r="A559" s="133" t="str">
        <f>"0794"</f>
        <v>0794</v>
      </c>
      <c r="B559" s="134" t="s">
        <v>2096</v>
      </c>
    </row>
    <row r="560" spans="1:2">
      <c r="A560" s="133" t="str">
        <f>"0795"</f>
        <v>0795</v>
      </c>
      <c r="B560" s="134" t="s">
        <v>2095</v>
      </c>
    </row>
    <row r="561" spans="1:2">
      <c r="A561" s="133" t="str">
        <f>"0796"</f>
        <v>0796</v>
      </c>
      <c r="B561" s="134" t="s">
        <v>2094</v>
      </c>
    </row>
    <row r="562" spans="1:2">
      <c r="A562" s="133" t="str">
        <f>"0797"</f>
        <v>0797</v>
      </c>
      <c r="B562" s="134" t="s">
        <v>2093</v>
      </c>
    </row>
    <row r="563" spans="1:2">
      <c r="A563" s="133" t="str">
        <f>"0798"</f>
        <v>0798</v>
      </c>
      <c r="B563" s="134" t="s">
        <v>2092</v>
      </c>
    </row>
    <row r="564" spans="1:2">
      <c r="A564" s="133" t="str">
        <f>"0799"</f>
        <v>0799</v>
      </c>
      <c r="B564" s="134" t="s">
        <v>2091</v>
      </c>
    </row>
    <row r="565" spans="1:2">
      <c r="A565" s="133" t="str">
        <f>"0800"</f>
        <v>0800</v>
      </c>
      <c r="B565" s="134" t="s">
        <v>2090</v>
      </c>
    </row>
    <row r="566" spans="1:2">
      <c r="A566" s="133" t="str">
        <f>"0801"</f>
        <v>0801</v>
      </c>
      <c r="B566" s="134" t="s">
        <v>2089</v>
      </c>
    </row>
    <row r="567" spans="1:2">
      <c r="A567" s="133" t="str">
        <f>"0802"</f>
        <v>0802</v>
      </c>
      <c r="B567" s="134" t="s">
        <v>2088</v>
      </c>
    </row>
    <row r="568" spans="1:2">
      <c r="A568" s="133" t="str">
        <f>"0803"</f>
        <v>0803</v>
      </c>
      <c r="B568" s="134" t="s">
        <v>2087</v>
      </c>
    </row>
    <row r="569" spans="1:2">
      <c r="A569" s="133" t="str">
        <f>"0804"</f>
        <v>0804</v>
      </c>
      <c r="B569" s="134" t="s">
        <v>2086</v>
      </c>
    </row>
    <row r="570" spans="1:2">
      <c r="A570" s="133" t="str">
        <f>"0805"</f>
        <v>0805</v>
      </c>
      <c r="B570" s="134" t="s">
        <v>2085</v>
      </c>
    </row>
    <row r="571" spans="1:2">
      <c r="A571" s="133" t="str">
        <f>"0806"</f>
        <v>0806</v>
      </c>
      <c r="B571" s="134" t="s">
        <v>2084</v>
      </c>
    </row>
    <row r="572" spans="1:2">
      <c r="A572" s="133" t="str">
        <f>"0807"</f>
        <v>0807</v>
      </c>
      <c r="B572" s="134" t="s">
        <v>2083</v>
      </c>
    </row>
    <row r="573" spans="1:2">
      <c r="A573" s="133" t="str">
        <f>"0808"</f>
        <v>0808</v>
      </c>
      <c r="B573" s="134" t="s">
        <v>2082</v>
      </c>
    </row>
    <row r="574" spans="1:2">
      <c r="A574" s="133" t="str">
        <f>"0809"</f>
        <v>0809</v>
      </c>
      <c r="B574" s="134" t="s">
        <v>2081</v>
      </c>
    </row>
    <row r="575" spans="1:2">
      <c r="A575" s="133" t="str">
        <f>"0810"</f>
        <v>0810</v>
      </c>
      <c r="B575" s="134" t="s">
        <v>2080</v>
      </c>
    </row>
    <row r="576" spans="1:2">
      <c r="A576" s="133" t="str">
        <f>"0811"</f>
        <v>0811</v>
      </c>
      <c r="B576" s="134" t="s">
        <v>2079</v>
      </c>
    </row>
    <row r="577" spans="1:2">
      <c r="A577" s="133" t="str">
        <f>"0812"</f>
        <v>0812</v>
      </c>
      <c r="B577" s="134" t="s">
        <v>2078</v>
      </c>
    </row>
    <row r="578" spans="1:2">
      <c r="A578" s="133" t="str">
        <f>"0813"</f>
        <v>0813</v>
      </c>
      <c r="B578" s="134" t="s">
        <v>2077</v>
      </c>
    </row>
    <row r="579" spans="1:2">
      <c r="A579" s="133" t="str">
        <f>"0814"</f>
        <v>0814</v>
      </c>
      <c r="B579" s="134" t="s">
        <v>2076</v>
      </c>
    </row>
    <row r="580" spans="1:2">
      <c r="A580" s="133" t="str">
        <f>"0815"</f>
        <v>0815</v>
      </c>
      <c r="B580" s="134" t="s">
        <v>2075</v>
      </c>
    </row>
    <row r="581" spans="1:2">
      <c r="A581" s="133" t="str">
        <f>"0816"</f>
        <v>0816</v>
      </c>
      <c r="B581" s="134" t="s">
        <v>2074</v>
      </c>
    </row>
    <row r="582" spans="1:2">
      <c r="A582" s="133" t="str">
        <f>"0817"</f>
        <v>0817</v>
      </c>
      <c r="B582" s="134" t="s">
        <v>2073</v>
      </c>
    </row>
    <row r="583" spans="1:2">
      <c r="A583" s="133" t="str">
        <f>"0818"</f>
        <v>0818</v>
      </c>
      <c r="B583" s="134" t="s">
        <v>2072</v>
      </c>
    </row>
    <row r="584" spans="1:2">
      <c r="A584" s="133" t="str">
        <f>"0819"</f>
        <v>0819</v>
      </c>
      <c r="B584" s="134" t="s">
        <v>2071</v>
      </c>
    </row>
    <row r="585" spans="1:2">
      <c r="A585" s="133" t="str">
        <f>"0820"</f>
        <v>0820</v>
      </c>
      <c r="B585" s="134" t="s">
        <v>2070</v>
      </c>
    </row>
    <row r="586" spans="1:2">
      <c r="A586" s="133" t="str">
        <f>"0821"</f>
        <v>0821</v>
      </c>
      <c r="B586" s="134" t="s">
        <v>2069</v>
      </c>
    </row>
    <row r="587" spans="1:2">
      <c r="A587" s="133" t="str">
        <f>"0822"</f>
        <v>0822</v>
      </c>
      <c r="B587" s="134" t="s">
        <v>2068</v>
      </c>
    </row>
    <row r="588" spans="1:2">
      <c r="A588" s="133" t="str">
        <f>"0823"</f>
        <v>0823</v>
      </c>
      <c r="B588" s="134" t="s">
        <v>2067</v>
      </c>
    </row>
    <row r="589" spans="1:2">
      <c r="A589" s="133" t="str">
        <f>"0824"</f>
        <v>0824</v>
      </c>
      <c r="B589" s="134" t="s">
        <v>2066</v>
      </c>
    </row>
    <row r="590" spans="1:2">
      <c r="A590" s="133" t="str">
        <f>"0825"</f>
        <v>0825</v>
      </c>
      <c r="B590" s="134" t="s">
        <v>2065</v>
      </c>
    </row>
    <row r="591" spans="1:2">
      <c r="A591" s="133" t="str">
        <f>"0826"</f>
        <v>0826</v>
      </c>
      <c r="B591" s="134" t="s">
        <v>2064</v>
      </c>
    </row>
    <row r="592" spans="1:2">
      <c r="A592" s="133" t="str">
        <f>"0827"</f>
        <v>0827</v>
      </c>
      <c r="B592" s="134" t="s">
        <v>2063</v>
      </c>
    </row>
    <row r="593" spans="1:2">
      <c r="A593" s="133" t="str">
        <f>"0828"</f>
        <v>0828</v>
      </c>
      <c r="B593" s="134" t="s">
        <v>2062</v>
      </c>
    </row>
    <row r="594" spans="1:2">
      <c r="A594" s="133" t="str">
        <f>"0829"</f>
        <v>0829</v>
      </c>
      <c r="B594" s="134" t="s">
        <v>2061</v>
      </c>
    </row>
    <row r="595" spans="1:2">
      <c r="A595" s="133" t="str">
        <f>"0830"</f>
        <v>0830</v>
      </c>
      <c r="B595" s="134" t="s">
        <v>2060</v>
      </c>
    </row>
    <row r="596" spans="1:2">
      <c r="A596" s="133" t="str">
        <f>"0831"</f>
        <v>0831</v>
      </c>
      <c r="B596" s="134" t="s">
        <v>2059</v>
      </c>
    </row>
    <row r="597" spans="1:2">
      <c r="A597" s="133" t="str">
        <f>"0832"</f>
        <v>0832</v>
      </c>
      <c r="B597" s="134" t="s">
        <v>2058</v>
      </c>
    </row>
    <row r="598" spans="1:2">
      <c r="A598" s="133" t="str">
        <f>"0833"</f>
        <v>0833</v>
      </c>
      <c r="B598" s="134" t="s">
        <v>2057</v>
      </c>
    </row>
    <row r="599" spans="1:2">
      <c r="A599" s="133" t="str">
        <f>"0834"</f>
        <v>0834</v>
      </c>
      <c r="B599" s="134" t="s">
        <v>2056</v>
      </c>
    </row>
    <row r="600" spans="1:2">
      <c r="A600" s="133" t="str">
        <f>"0835"</f>
        <v>0835</v>
      </c>
      <c r="B600" s="134" t="s">
        <v>2055</v>
      </c>
    </row>
    <row r="601" spans="1:2">
      <c r="A601" s="133" t="str">
        <f>"0836"</f>
        <v>0836</v>
      </c>
      <c r="B601" s="134" t="s">
        <v>2054</v>
      </c>
    </row>
    <row r="602" spans="1:2">
      <c r="A602" s="133" t="str">
        <f>"0837"</f>
        <v>0837</v>
      </c>
      <c r="B602" s="134" t="s">
        <v>2053</v>
      </c>
    </row>
    <row r="603" spans="1:2">
      <c r="A603" s="133" t="str">
        <f>"0838"</f>
        <v>0838</v>
      </c>
      <c r="B603" s="134" t="s">
        <v>2052</v>
      </c>
    </row>
    <row r="604" spans="1:2">
      <c r="A604" s="133" t="str">
        <f>"0839"</f>
        <v>0839</v>
      </c>
      <c r="B604" s="134" t="s">
        <v>2051</v>
      </c>
    </row>
    <row r="605" spans="1:2">
      <c r="A605" s="133" t="str">
        <f>"0840"</f>
        <v>0840</v>
      </c>
      <c r="B605" s="134" t="s">
        <v>2050</v>
      </c>
    </row>
    <row r="606" spans="1:2">
      <c r="A606" s="133" t="str">
        <f>"0841"</f>
        <v>0841</v>
      </c>
      <c r="B606" s="134" t="s">
        <v>2049</v>
      </c>
    </row>
    <row r="607" spans="1:2">
      <c r="A607" s="133" t="str">
        <f>"0842"</f>
        <v>0842</v>
      </c>
      <c r="B607" s="134" t="s">
        <v>2048</v>
      </c>
    </row>
    <row r="608" spans="1:2">
      <c r="A608" s="133" t="str">
        <f>"0843"</f>
        <v>0843</v>
      </c>
      <c r="B608" s="134" t="s">
        <v>2047</v>
      </c>
    </row>
    <row r="609" spans="1:2">
      <c r="A609" s="133" t="str">
        <f>"0847"</f>
        <v>0847</v>
      </c>
      <c r="B609" s="134" t="s">
        <v>2046</v>
      </c>
    </row>
    <row r="610" spans="1:2">
      <c r="A610" s="133" t="str">
        <f>"0849"</f>
        <v>0849</v>
      </c>
      <c r="B610" s="134" t="s">
        <v>2045</v>
      </c>
    </row>
    <row r="611" spans="1:2">
      <c r="A611" s="133" t="str">
        <f>"0850"</f>
        <v>0850</v>
      </c>
      <c r="B611" s="134" t="s">
        <v>2044</v>
      </c>
    </row>
    <row r="612" spans="1:2">
      <c r="A612" s="133" t="str">
        <f>"0851"</f>
        <v>0851</v>
      </c>
      <c r="B612" s="134" t="s">
        <v>2043</v>
      </c>
    </row>
    <row r="613" spans="1:2">
      <c r="A613" s="133" t="str">
        <f>"0852"</f>
        <v>0852</v>
      </c>
      <c r="B613" s="134" t="s">
        <v>2042</v>
      </c>
    </row>
    <row r="614" spans="1:2">
      <c r="A614" s="133" t="str">
        <f>"0853"</f>
        <v>0853</v>
      </c>
      <c r="B614" s="134" t="s">
        <v>2041</v>
      </c>
    </row>
    <row r="615" spans="1:2">
      <c r="A615" s="133" t="str">
        <f>"0854"</f>
        <v>0854</v>
      </c>
      <c r="B615" s="134" t="s">
        <v>2040</v>
      </c>
    </row>
    <row r="616" spans="1:2">
      <c r="A616" s="133" t="str">
        <f>"0856"</f>
        <v>0856</v>
      </c>
      <c r="B616" s="134" t="s">
        <v>2039</v>
      </c>
    </row>
    <row r="617" spans="1:2">
      <c r="A617" s="133" t="str">
        <f>"0857"</f>
        <v>0857</v>
      </c>
      <c r="B617" s="134" t="s">
        <v>2038</v>
      </c>
    </row>
    <row r="618" spans="1:2">
      <c r="A618" s="133" t="str">
        <f>"0858"</f>
        <v>0858</v>
      </c>
      <c r="B618" s="134" t="s">
        <v>2037</v>
      </c>
    </row>
    <row r="619" spans="1:2">
      <c r="A619" s="133" t="str">
        <f>"0859"</f>
        <v>0859</v>
      </c>
      <c r="B619" s="134" t="s">
        <v>2036</v>
      </c>
    </row>
    <row r="620" spans="1:2">
      <c r="A620" s="133" t="str">
        <f>"0860"</f>
        <v>0860</v>
      </c>
      <c r="B620" s="134" t="s">
        <v>2035</v>
      </c>
    </row>
    <row r="621" spans="1:2">
      <c r="A621" s="133" t="str">
        <f>"0861"</f>
        <v>0861</v>
      </c>
      <c r="B621" s="134" t="s">
        <v>2034</v>
      </c>
    </row>
    <row r="622" spans="1:2">
      <c r="A622" s="133" t="str">
        <f>"0862"</f>
        <v>0862</v>
      </c>
      <c r="B622" s="134" t="s">
        <v>2033</v>
      </c>
    </row>
    <row r="623" spans="1:2">
      <c r="A623" s="133" t="str">
        <f>"0863"</f>
        <v>0863</v>
      </c>
      <c r="B623" s="134" t="s">
        <v>2032</v>
      </c>
    </row>
    <row r="624" spans="1:2">
      <c r="A624" s="133" t="str">
        <f>"0864"</f>
        <v>0864</v>
      </c>
      <c r="B624" s="134" t="s">
        <v>2031</v>
      </c>
    </row>
    <row r="625" spans="1:2">
      <c r="A625" s="133" t="str">
        <f>"0865"</f>
        <v>0865</v>
      </c>
      <c r="B625" s="134" t="s">
        <v>834</v>
      </c>
    </row>
    <row r="626" spans="1:2">
      <c r="A626" s="133" t="str">
        <f>"0866"</f>
        <v>0866</v>
      </c>
      <c r="B626" s="134" t="s">
        <v>833</v>
      </c>
    </row>
    <row r="627" spans="1:2">
      <c r="A627" s="133" t="str">
        <f>"0867"</f>
        <v>0867</v>
      </c>
      <c r="B627" s="134" t="s">
        <v>2030</v>
      </c>
    </row>
    <row r="628" spans="1:2">
      <c r="A628" s="133" t="str">
        <f>"0868"</f>
        <v>0868</v>
      </c>
      <c r="B628" s="134" t="s">
        <v>2029</v>
      </c>
    </row>
    <row r="629" spans="1:2">
      <c r="A629" s="133" t="str">
        <f>"0869"</f>
        <v>0869</v>
      </c>
      <c r="B629" s="134" t="s">
        <v>2028</v>
      </c>
    </row>
    <row r="630" spans="1:2">
      <c r="A630" s="133" t="str">
        <f>"0870"</f>
        <v>0870</v>
      </c>
      <c r="B630" s="134" t="s">
        <v>2027</v>
      </c>
    </row>
    <row r="631" spans="1:2">
      <c r="A631" s="133" t="str">
        <f>"0871"</f>
        <v>0871</v>
      </c>
      <c r="B631" s="134" t="s">
        <v>2026</v>
      </c>
    </row>
    <row r="632" spans="1:2">
      <c r="A632" s="133" t="str">
        <f>"0872"</f>
        <v>0872</v>
      </c>
      <c r="B632" s="134" t="s">
        <v>2025</v>
      </c>
    </row>
    <row r="633" spans="1:2">
      <c r="A633" s="133" t="str">
        <f>"0875"</f>
        <v>0875</v>
      </c>
      <c r="B633" s="134" t="s">
        <v>2024</v>
      </c>
    </row>
    <row r="634" spans="1:2">
      <c r="A634" s="133" t="str">
        <f>"0876"</f>
        <v>0876</v>
      </c>
      <c r="B634" s="134" t="s">
        <v>2023</v>
      </c>
    </row>
    <row r="635" spans="1:2">
      <c r="A635" s="133" t="str">
        <f>"0877"</f>
        <v>0877</v>
      </c>
      <c r="B635" s="134" t="s">
        <v>2022</v>
      </c>
    </row>
    <row r="636" spans="1:2">
      <c r="A636" s="133" t="str">
        <f>"0878"</f>
        <v>0878</v>
      </c>
      <c r="B636" s="134" t="s">
        <v>2021</v>
      </c>
    </row>
    <row r="637" spans="1:2">
      <c r="A637" s="133" t="str">
        <f>"0879"</f>
        <v>0879</v>
      </c>
      <c r="B637" s="134" t="s">
        <v>2020</v>
      </c>
    </row>
    <row r="638" spans="1:2">
      <c r="A638" s="133" t="str">
        <f>"0880"</f>
        <v>0880</v>
      </c>
      <c r="B638" s="134" t="s">
        <v>2019</v>
      </c>
    </row>
    <row r="639" spans="1:2">
      <c r="A639" s="133" t="str">
        <f>"0881"</f>
        <v>0881</v>
      </c>
      <c r="B639" s="134" t="s">
        <v>2018</v>
      </c>
    </row>
    <row r="640" spans="1:2">
      <c r="A640" s="133" t="str">
        <f>"0994"</f>
        <v>0994</v>
      </c>
      <c r="B640" s="134" t="s">
        <v>2017</v>
      </c>
    </row>
    <row r="641" spans="1:2">
      <c r="A641" s="133" t="str">
        <f>"0995"</f>
        <v>0995</v>
      </c>
      <c r="B641" s="134" t="s">
        <v>2016</v>
      </c>
    </row>
    <row r="642" spans="1:2">
      <c r="A642" s="133" t="str">
        <f>"0996"</f>
        <v>0996</v>
      </c>
      <c r="B642" s="134" t="s">
        <v>2015</v>
      </c>
    </row>
    <row r="643" spans="1:2">
      <c r="A643" s="133" t="str">
        <f>"0997"</f>
        <v>0997</v>
      </c>
      <c r="B643" s="134" t="s">
        <v>2014</v>
      </c>
    </row>
    <row r="644" spans="1:2">
      <c r="A644" s="133" t="str">
        <f>"0998"</f>
        <v>0998</v>
      </c>
      <c r="B644" s="134" t="s">
        <v>2013</v>
      </c>
    </row>
    <row r="645" spans="1:2">
      <c r="A645" s="133" t="str">
        <f>"0999"</f>
        <v>0999</v>
      </c>
      <c r="B645" s="134" t="s">
        <v>2012</v>
      </c>
    </row>
    <row r="646" spans="1:2">
      <c r="A646" s="133" t="str">
        <f>"1000"</f>
        <v>1000</v>
      </c>
      <c r="B646" s="134" t="s">
        <v>2011</v>
      </c>
    </row>
    <row r="647" spans="1:2">
      <c r="A647" s="133" t="str">
        <f>"1001"</f>
        <v>1001</v>
      </c>
      <c r="B647" s="134" t="s">
        <v>1435</v>
      </c>
    </row>
    <row r="648" spans="1:2">
      <c r="A648" s="133" t="str">
        <f>"1002"</f>
        <v>1002</v>
      </c>
      <c r="B648" s="134" t="s">
        <v>1434</v>
      </c>
    </row>
    <row r="649" spans="1:2">
      <c r="A649" s="133" t="str">
        <f>"1003"</f>
        <v>1003</v>
      </c>
      <c r="B649" s="134" t="s">
        <v>1433</v>
      </c>
    </row>
    <row r="650" spans="1:2">
      <c r="A650" s="133" t="str">
        <f>"1004"</f>
        <v>1004</v>
      </c>
      <c r="B650" s="134" t="s">
        <v>1432</v>
      </c>
    </row>
    <row r="651" spans="1:2">
      <c r="A651" s="133" t="str">
        <f>"1005"</f>
        <v>1005</v>
      </c>
      <c r="B651" s="134" t="s">
        <v>2010</v>
      </c>
    </row>
    <row r="652" spans="1:2">
      <c r="A652" s="133" t="str">
        <f>"1009"</f>
        <v>1009</v>
      </c>
      <c r="B652" s="134" t="s">
        <v>2009</v>
      </c>
    </row>
    <row r="653" spans="1:2">
      <c r="A653" s="133" t="str">
        <f>"1011"</f>
        <v>1011</v>
      </c>
      <c r="B653" s="134" t="s">
        <v>2008</v>
      </c>
    </row>
    <row r="654" spans="1:2">
      <c r="A654" s="133" t="str">
        <f>"1012"</f>
        <v>1012</v>
      </c>
      <c r="B654" s="134" t="s">
        <v>2007</v>
      </c>
    </row>
    <row r="655" spans="1:2">
      <c r="A655" s="133" t="str">
        <f>"1013"</f>
        <v>1013</v>
      </c>
      <c r="B655" s="134" t="s">
        <v>2006</v>
      </c>
    </row>
    <row r="656" spans="1:2">
      <c r="A656" s="133" t="str">
        <f>"1014"</f>
        <v>1014</v>
      </c>
      <c r="B656" s="134" t="s">
        <v>2005</v>
      </c>
    </row>
    <row r="657" spans="1:2">
      <c r="A657" s="133" t="str">
        <f>"1021"</f>
        <v>1021</v>
      </c>
      <c r="B657" s="134" t="s">
        <v>2004</v>
      </c>
    </row>
    <row r="658" spans="1:2">
      <c r="A658" s="133" t="str">
        <f>"1022"</f>
        <v>1022</v>
      </c>
      <c r="B658" s="134" t="s">
        <v>2003</v>
      </c>
    </row>
    <row r="659" spans="1:2">
      <c r="A659" s="133" t="str">
        <f>"1023"</f>
        <v>1023</v>
      </c>
      <c r="B659" s="134" t="s">
        <v>2002</v>
      </c>
    </row>
    <row r="660" spans="1:2">
      <c r="A660" s="133" t="str">
        <f>"1101"</f>
        <v>1101</v>
      </c>
      <c r="B660" s="134" t="s">
        <v>2001</v>
      </c>
    </row>
    <row r="661" spans="1:2">
      <c r="A661" s="133" t="str">
        <f>"1102"</f>
        <v>1102</v>
      </c>
      <c r="B661" s="134" t="s">
        <v>2000</v>
      </c>
    </row>
    <row r="662" spans="1:2">
      <c r="A662" s="133" t="str">
        <f>"1103"</f>
        <v>1103</v>
      </c>
      <c r="B662" s="134" t="s">
        <v>1999</v>
      </c>
    </row>
    <row r="663" spans="1:2">
      <c r="A663" s="133" t="str">
        <f>"1104"</f>
        <v>1104</v>
      </c>
      <c r="B663" s="134" t="s">
        <v>1998</v>
      </c>
    </row>
    <row r="664" spans="1:2">
      <c r="A664" s="133" t="str">
        <f>"1105"</f>
        <v>1105</v>
      </c>
      <c r="B664" s="134" t="s">
        <v>1997</v>
      </c>
    </row>
    <row r="665" spans="1:2">
      <c r="A665" s="133" t="str">
        <f>"1106"</f>
        <v>1106</v>
      </c>
      <c r="B665" s="134" t="s">
        <v>1996</v>
      </c>
    </row>
    <row r="666" spans="1:2">
      <c r="A666" s="133" t="str">
        <f>"1107"</f>
        <v>1107</v>
      </c>
      <c r="B666" s="134" t="s">
        <v>1995</v>
      </c>
    </row>
    <row r="667" spans="1:2">
      <c r="A667" s="133" t="str">
        <f>"1108"</f>
        <v>1108</v>
      </c>
      <c r="B667" s="134" t="s">
        <v>1994</v>
      </c>
    </row>
    <row r="668" spans="1:2">
      <c r="A668" s="133" t="str">
        <f>"1109"</f>
        <v>1109</v>
      </c>
      <c r="B668" s="134" t="s">
        <v>1993</v>
      </c>
    </row>
    <row r="669" spans="1:2">
      <c r="A669" s="133" t="str">
        <f>"1110"</f>
        <v>1110</v>
      </c>
      <c r="B669" s="134" t="s">
        <v>1992</v>
      </c>
    </row>
    <row r="670" spans="1:2">
      <c r="A670" s="133" t="str">
        <f>"1111"</f>
        <v>1111</v>
      </c>
      <c r="B670" s="134" t="s">
        <v>1991</v>
      </c>
    </row>
    <row r="671" spans="1:2">
      <c r="A671" s="133" t="str">
        <f>"1112"</f>
        <v>1112</v>
      </c>
      <c r="B671" s="134" t="s">
        <v>1990</v>
      </c>
    </row>
    <row r="672" spans="1:2">
      <c r="A672" s="133" t="str">
        <f>"1113"</f>
        <v>1113</v>
      </c>
      <c r="B672" s="134" t="s">
        <v>1989</v>
      </c>
    </row>
    <row r="673" spans="1:2">
      <c r="A673" s="133" t="str">
        <f>"1114"</f>
        <v>1114</v>
      </c>
      <c r="B673" s="134" t="s">
        <v>1988</v>
      </c>
    </row>
    <row r="674" spans="1:2">
      <c r="A674" s="133" t="str">
        <f>"1115"</f>
        <v>1115</v>
      </c>
      <c r="B674" s="134" t="s">
        <v>1987</v>
      </c>
    </row>
    <row r="675" spans="1:2">
      <c r="A675" s="133" t="str">
        <f>"1116"</f>
        <v>1116</v>
      </c>
      <c r="B675" s="134" t="s">
        <v>1986</v>
      </c>
    </row>
    <row r="676" spans="1:2">
      <c r="A676" s="133" t="str">
        <f>"1117"</f>
        <v>1117</v>
      </c>
      <c r="B676" s="134" t="s">
        <v>1985</v>
      </c>
    </row>
    <row r="677" spans="1:2">
      <c r="A677" s="133" t="str">
        <f>"1118"</f>
        <v>1118</v>
      </c>
      <c r="B677" s="134" t="s">
        <v>1984</v>
      </c>
    </row>
    <row r="678" spans="1:2">
      <c r="A678" s="133" t="str">
        <f>"1119"</f>
        <v>1119</v>
      </c>
      <c r="B678" s="134" t="s">
        <v>1983</v>
      </c>
    </row>
    <row r="679" spans="1:2">
      <c r="A679" s="133" t="str">
        <f>"1120"</f>
        <v>1120</v>
      </c>
      <c r="B679" s="134" t="s">
        <v>1982</v>
      </c>
    </row>
    <row r="680" spans="1:2">
      <c r="A680" s="133" t="str">
        <f>"1121"</f>
        <v>1121</v>
      </c>
      <c r="B680" s="134" t="s">
        <v>1981</v>
      </c>
    </row>
    <row r="681" spans="1:2">
      <c r="A681" s="133" t="str">
        <f>"1122"</f>
        <v>1122</v>
      </c>
      <c r="B681" s="134" t="s">
        <v>1980</v>
      </c>
    </row>
    <row r="682" spans="1:2">
      <c r="A682" s="133" t="str">
        <f>"1123"</f>
        <v>1123</v>
      </c>
      <c r="B682" s="134" t="s">
        <v>1979</v>
      </c>
    </row>
    <row r="683" spans="1:2">
      <c r="A683" s="133" t="str">
        <f>"1124"</f>
        <v>1124</v>
      </c>
      <c r="B683" s="134" t="s">
        <v>1978</v>
      </c>
    </row>
    <row r="684" spans="1:2">
      <c r="A684" s="133" t="str">
        <f>"1125"</f>
        <v>1125</v>
      </c>
      <c r="B684" s="134" t="s">
        <v>1977</v>
      </c>
    </row>
    <row r="685" spans="1:2">
      <c r="A685" s="133" t="str">
        <f>"1126"</f>
        <v>1126</v>
      </c>
      <c r="B685" s="134" t="s">
        <v>1976</v>
      </c>
    </row>
    <row r="686" spans="1:2">
      <c r="A686" s="133" t="str">
        <f>"1127"</f>
        <v>1127</v>
      </c>
      <c r="B686" s="134" t="s">
        <v>1975</v>
      </c>
    </row>
    <row r="687" spans="1:2">
      <c r="A687" s="133" t="str">
        <f>"1128"</f>
        <v>1128</v>
      </c>
      <c r="B687" s="134" t="s">
        <v>1974</v>
      </c>
    </row>
    <row r="688" spans="1:2">
      <c r="A688" s="133" t="str">
        <f>"1129"</f>
        <v>1129</v>
      </c>
      <c r="B688" s="134" t="s">
        <v>1973</v>
      </c>
    </row>
    <row r="689" spans="1:2">
      <c r="A689" s="133" t="str">
        <f>"1130"</f>
        <v>1130</v>
      </c>
      <c r="B689" s="134" t="s">
        <v>1972</v>
      </c>
    </row>
    <row r="690" spans="1:2">
      <c r="A690" s="133" t="str">
        <f>"1201"</f>
        <v>1201</v>
      </c>
      <c r="B690" s="134" t="s">
        <v>1971</v>
      </c>
    </row>
    <row r="691" spans="1:2">
      <c r="A691" s="133" t="str">
        <f>"1202"</f>
        <v>1202</v>
      </c>
      <c r="B691" s="134" t="s">
        <v>1970</v>
      </c>
    </row>
    <row r="692" spans="1:2">
      <c r="A692" s="133" t="str">
        <f>"1203"</f>
        <v>1203</v>
      </c>
      <c r="B692" s="134" t="s">
        <v>1969</v>
      </c>
    </row>
    <row r="693" spans="1:2">
      <c r="A693" s="133" t="str">
        <f>"1204"</f>
        <v>1204</v>
      </c>
      <c r="B693" s="134" t="s">
        <v>1968</v>
      </c>
    </row>
    <row r="694" spans="1:2">
      <c r="A694" s="133" t="str">
        <f>"1205"</f>
        <v>1205</v>
      </c>
      <c r="B694" s="134" t="s">
        <v>1967</v>
      </c>
    </row>
    <row r="695" spans="1:2">
      <c r="A695" s="133" t="str">
        <f>"1206"</f>
        <v>1206</v>
      </c>
      <c r="B695" s="134" t="s">
        <v>1966</v>
      </c>
    </row>
    <row r="696" spans="1:2">
      <c r="A696" s="133" t="str">
        <f>"1207"</f>
        <v>1207</v>
      </c>
      <c r="B696" s="134" t="s">
        <v>1965</v>
      </c>
    </row>
    <row r="697" spans="1:2">
      <c r="A697" s="133" t="str">
        <f>"1208"</f>
        <v>1208</v>
      </c>
      <c r="B697" s="134" t="s">
        <v>1964</v>
      </c>
    </row>
    <row r="698" spans="1:2">
      <c r="A698" s="133" t="str">
        <f>"1209"</f>
        <v>1209</v>
      </c>
      <c r="B698" s="134" t="s">
        <v>1963</v>
      </c>
    </row>
    <row r="699" spans="1:2">
      <c r="A699" s="133" t="str">
        <f>"1210"</f>
        <v>1210</v>
      </c>
      <c r="B699" s="134" t="s">
        <v>1962</v>
      </c>
    </row>
    <row r="700" spans="1:2">
      <c r="A700" s="133" t="str">
        <f>"1211"</f>
        <v>1211</v>
      </c>
      <c r="B700" s="134" t="s">
        <v>1961</v>
      </c>
    </row>
    <row r="701" spans="1:2">
      <c r="A701" s="133" t="str">
        <f>"1212"</f>
        <v>1212</v>
      </c>
      <c r="B701" s="134" t="s">
        <v>1960</v>
      </c>
    </row>
    <row r="702" spans="1:2">
      <c r="A702" s="133" t="str">
        <f>"1213"</f>
        <v>1213</v>
      </c>
      <c r="B702" s="134" t="s">
        <v>1959</v>
      </c>
    </row>
    <row r="703" spans="1:2">
      <c r="A703" s="133" t="str">
        <f>"1214"</f>
        <v>1214</v>
      </c>
      <c r="B703" s="134" t="s">
        <v>1958</v>
      </c>
    </row>
    <row r="704" spans="1:2">
      <c r="A704" s="133" t="str">
        <f>"1215"</f>
        <v>1215</v>
      </c>
      <c r="B704" s="134" t="s">
        <v>1957</v>
      </c>
    </row>
    <row r="705" spans="1:2">
      <c r="A705" s="133" t="str">
        <f>"1216"</f>
        <v>1216</v>
      </c>
      <c r="B705" s="134" t="s">
        <v>1956</v>
      </c>
    </row>
    <row r="706" spans="1:2">
      <c r="A706" s="133" t="str">
        <f>"1217"</f>
        <v>1217</v>
      </c>
      <c r="B706" s="134" t="s">
        <v>1955</v>
      </c>
    </row>
    <row r="707" spans="1:2">
      <c r="A707" s="133" t="str">
        <f>"1218"</f>
        <v>1218</v>
      </c>
      <c r="B707" s="134" t="s">
        <v>1954</v>
      </c>
    </row>
    <row r="708" spans="1:2">
      <c r="A708" s="133" t="str">
        <f>"1219"</f>
        <v>1219</v>
      </c>
      <c r="B708" s="134" t="s">
        <v>1953</v>
      </c>
    </row>
    <row r="709" spans="1:2">
      <c r="A709" s="133" t="str">
        <f>"1220"</f>
        <v>1220</v>
      </c>
      <c r="B709" s="134" t="s">
        <v>1952</v>
      </c>
    </row>
    <row r="710" spans="1:2">
      <c r="A710" s="133" t="str">
        <f>"1221"</f>
        <v>1221</v>
      </c>
      <c r="B710" s="134" t="s">
        <v>1951</v>
      </c>
    </row>
    <row r="711" spans="1:2">
      <c r="A711" s="133" t="str">
        <f>"1222"</f>
        <v>1222</v>
      </c>
      <c r="B711" s="134" t="s">
        <v>1950</v>
      </c>
    </row>
    <row r="712" spans="1:2">
      <c r="A712" s="133" t="str">
        <f>"1223"</f>
        <v>1223</v>
      </c>
      <c r="B712" s="134" t="s">
        <v>1949</v>
      </c>
    </row>
    <row r="713" spans="1:2">
      <c r="A713" s="133" t="str">
        <f>"1224"</f>
        <v>1224</v>
      </c>
      <c r="B713" s="134" t="s">
        <v>1948</v>
      </c>
    </row>
    <row r="714" spans="1:2">
      <c r="A714" s="133" t="str">
        <f>"1225"</f>
        <v>1225</v>
      </c>
      <c r="B714" s="134" t="s">
        <v>1947</v>
      </c>
    </row>
    <row r="715" spans="1:2">
      <c r="A715" s="133" t="str">
        <f>"1226"</f>
        <v>1226</v>
      </c>
      <c r="B715" s="134" t="s">
        <v>1946</v>
      </c>
    </row>
    <row r="716" spans="1:2">
      <c r="A716" s="133" t="str">
        <f>"1227"</f>
        <v>1227</v>
      </c>
      <c r="B716" s="134" t="s">
        <v>1945</v>
      </c>
    </row>
    <row r="717" spans="1:2">
      <c r="A717" s="133" t="str">
        <f>"1228"</f>
        <v>1228</v>
      </c>
      <c r="B717" s="134" t="s">
        <v>1944</v>
      </c>
    </row>
    <row r="718" spans="1:2">
      <c r="A718" s="133" t="str">
        <f>"1229"</f>
        <v>1229</v>
      </c>
      <c r="B718" s="134" t="s">
        <v>1943</v>
      </c>
    </row>
    <row r="719" spans="1:2">
      <c r="A719" s="133" t="str">
        <f>"1230"</f>
        <v>1230</v>
      </c>
      <c r="B719" s="134" t="s">
        <v>1942</v>
      </c>
    </row>
    <row r="720" spans="1:2">
      <c r="A720" s="133" t="str">
        <f>"1301"</f>
        <v>1301</v>
      </c>
      <c r="B720" s="134" t="s">
        <v>1941</v>
      </c>
    </row>
    <row r="721" spans="1:2">
      <c r="A721" s="133" t="str">
        <f>"1302"</f>
        <v>1302</v>
      </c>
      <c r="B721" s="134" t="s">
        <v>1940</v>
      </c>
    </row>
    <row r="722" spans="1:2">
      <c r="A722" s="133" t="str">
        <f>"1303"</f>
        <v>1303</v>
      </c>
      <c r="B722" s="134" t="s">
        <v>1939</v>
      </c>
    </row>
    <row r="723" spans="1:2">
      <c r="A723" s="133" t="str">
        <f>"1304"</f>
        <v>1304</v>
      </c>
      <c r="B723" s="134" t="s">
        <v>1938</v>
      </c>
    </row>
    <row r="724" spans="1:2">
      <c r="A724" s="133" t="str">
        <f>"1305"</f>
        <v>1305</v>
      </c>
      <c r="B724" s="134" t="s">
        <v>1937</v>
      </c>
    </row>
    <row r="725" spans="1:2">
      <c r="A725" s="133" t="str">
        <f>"1306"</f>
        <v>1306</v>
      </c>
      <c r="B725" s="134" t="s">
        <v>1936</v>
      </c>
    </row>
    <row r="726" spans="1:2">
      <c r="A726" s="133" t="str">
        <f>"1307"</f>
        <v>1307</v>
      </c>
      <c r="B726" s="134" t="s">
        <v>1935</v>
      </c>
    </row>
    <row r="727" spans="1:2">
      <c r="A727" s="133" t="str">
        <f>"1308"</f>
        <v>1308</v>
      </c>
      <c r="B727" s="134" t="s">
        <v>1934</v>
      </c>
    </row>
    <row r="728" spans="1:2">
      <c r="A728" s="133" t="str">
        <f>"1309"</f>
        <v>1309</v>
      </c>
      <c r="B728" s="134" t="s">
        <v>1933</v>
      </c>
    </row>
    <row r="729" spans="1:2">
      <c r="A729" s="133" t="str">
        <f>"1310"</f>
        <v>1310</v>
      </c>
      <c r="B729" s="134" t="s">
        <v>1932</v>
      </c>
    </row>
    <row r="730" spans="1:2">
      <c r="A730" s="133" t="str">
        <f>"1311"</f>
        <v>1311</v>
      </c>
      <c r="B730" s="134" t="s">
        <v>1931</v>
      </c>
    </row>
    <row r="731" spans="1:2">
      <c r="A731" s="133" t="str">
        <f>"1312"</f>
        <v>1312</v>
      </c>
      <c r="B731" s="134" t="s">
        <v>1930</v>
      </c>
    </row>
    <row r="732" spans="1:2">
      <c r="A732" s="133" t="str">
        <f>"1313"</f>
        <v>1313</v>
      </c>
      <c r="B732" s="134" t="s">
        <v>1929</v>
      </c>
    </row>
    <row r="733" spans="1:2">
      <c r="A733" s="133" t="str">
        <f>"1314"</f>
        <v>1314</v>
      </c>
      <c r="B733" s="134" t="s">
        <v>1928</v>
      </c>
    </row>
    <row r="734" spans="1:2">
      <c r="A734" s="133" t="str">
        <f>"1315"</f>
        <v>1315</v>
      </c>
      <c r="B734" s="134" t="s">
        <v>1927</v>
      </c>
    </row>
    <row r="735" spans="1:2">
      <c r="A735" s="133" t="str">
        <f>"1401"</f>
        <v>1401</v>
      </c>
      <c r="B735" s="134" t="s">
        <v>1876</v>
      </c>
    </row>
    <row r="736" spans="1:2">
      <c r="A736" s="133" t="str">
        <f>"1402"</f>
        <v>1402</v>
      </c>
      <c r="B736" s="134" t="s">
        <v>1875</v>
      </c>
    </row>
    <row r="737" spans="1:2">
      <c r="A737" s="133" t="str">
        <f>"1403"</f>
        <v>1403</v>
      </c>
      <c r="B737" s="134" t="s">
        <v>1874</v>
      </c>
    </row>
    <row r="738" spans="1:2">
      <c r="A738" s="133" t="str">
        <f>"1404"</f>
        <v>1404</v>
      </c>
      <c r="B738" s="134" t="s">
        <v>1873</v>
      </c>
    </row>
    <row r="739" spans="1:2">
      <c r="A739" s="133" t="str">
        <f>"1405"</f>
        <v>1405</v>
      </c>
      <c r="B739" s="134" t="s">
        <v>1872</v>
      </c>
    </row>
    <row r="740" spans="1:2">
      <c r="A740" s="133" t="str">
        <f>"1406"</f>
        <v>1406</v>
      </c>
      <c r="B740" s="134" t="s">
        <v>1871</v>
      </c>
    </row>
    <row r="741" spans="1:2">
      <c r="A741" s="133" t="str">
        <f>"1407"</f>
        <v>1407</v>
      </c>
      <c r="B741" s="134" t="s">
        <v>1870</v>
      </c>
    </row>
    <row r="742" spans="1:2">
      <c r="A742" s="133" t="str">
        <f>"1408"</f>
        <v>1408</v>
      </c>
      <c r="B742" s="134" t="s">
        <v>1869</v>
      </c>
    </row>
    <row r="743" spans="1:2">
      <c r="A743" s="133" t="str">
        <f>"1409"</f>
        <v>1409</v>
      </c>
      <c r="B743" s="134" t="s">
        <v>1868</v>
      </c>
    </row>
    <row r="744" spans="1:2">
      <c r="A744" s="133" t="str">
        <f>"1410"</f>
        <v>1410</v>
      </c>
      <c r="B744" s="134" t="s">
        <v>1867</v>
      </c>
    </row>
    <row r="745" spans="1:2">
      <c r="A745" s="133" t="str">
        <f>"1501"</f>
        <v>1501</v>
      </c>
      <c r="B745" s="134" t="s">
        <v>1926</v>
      </c>
    </row>
    <row r="746" spans="1:2">
      <c r="A746" s="133" t="str">
        <f>"1502"</f>
        <v>1502</v>
      </c>
      <c r="B746" s="134" t="s">
        <v>1925</v>
      </c>
    </row>
    <row r="747" spans="1:2">
      <c r="A747" s="133" t="str">
        <f>"1503"</f>
        <v>1503</v>
      </c>
      <c r="B747" s="134" t="s">
        <v>1924</v>
      </c>
    </row>
    <row r="748" spans="1:2">
      <c r="A748" s="133" t="str">
        <f>"1504"</f>
        <v>1504</v>
      </c>
      <c r="B748" s="134" t="s">
        <v>1923</v>
      </c>
    </row>
    <row r="749" spans="1:2">
      <c r="A749" s="133" t="str">
        <f>"1505"</f>
        <v>1505</v>
      </c>
      <c r="B749" s="134" t="s">
        <v>1922</v>
      </c>
    </row>
    <row r="750" spans="1:2">
      <c r="A750" s="133" t="str">
        <f>"1506"</f>
        <v>1506</v>
      </c>
      <c r="B750" s="134" t="s">
        <v>1921</v>
      </c>
    </row>
    <row r="751" spans="1:2">
      <c r="A751" s="133" t="str">
        <f>"1507"</f>
        <v>1507</v>
      </c>
      <c r="B751" s="134" t="s">
        <v>1920</v>
      </c>
    </row>
    <row r="752" spans="1:2">
      <c r="A752" s="133" t="str">
        <f>"1508"</f>
        <v>1508</v>
      </c>
      <c r="B752" s="134" t="s">
        <v>1919</v>
      </c>
    </row>
    <row r="753" spans="1:2">
      <c r="A753" s="133" t="str">
        <f>"1509"</f>
        <v>1509</v>
      </c>
      <c r="B753" s="134" t="s">
        <v>1918</v>
      </c>
    </row>
    <row r="754" spans="1:2">
      <c r="A754" s="133" t="str">
        <f>"1510"</f>
        <v>1510</v>
      </c>
      <c r="B754" s="134" t="s">
        <v>1917</v>
      </c>
    </row>
    <row r="755" spans="1:2">
      <c r="A755" s="133" t="str">
        <f>"1511"</f>
        <v>1511</v>
      </c>
      <c r="B755" s="134" t="s">
        <v>1916</v>
      </c>
    </row>
    <row r="756" spans="1:2">
      <c r="A756" s="133" t="str">
        <f>"1512"</f>
        <v>1512</v>
      </c>
      <c r="B756" s="134" t="s">
        <v>1915</v>
      </c>
    </row>
    <row r="757" spans="1:2">
      <c r="A757" s="133" t="str">
        <f>"1513"</f>
        <v>1513</v>
      </c>
      <c r="B757" s="134" t="s">
        <v>1914</v>
      </c>
    </row>
    <row r="758" spans="1:2">
      <c r="A758" s="133" t="str">
        <f>"1514"</f>
        <v>1514</v>
      </c>
      <c r="B758" s="134" t="s">
        <v>1913</v>
      </c>
    </row>
    <row r="759" spans="1:2">
      <c r="A759" s="133" t="str">
        <f>"1515"</f>
        <v>1515</v>
      </c>
      <c r="B759" s="134" t="s">
        <v>1912</v>
      </c>
    </row>
    <row r="760" spans="1:2">
      <c r="A760" s="133" t="str">
        <f>"1516"</f>
        <v>1516</v>
      </c>
      <c r="B760" s="134" t="s">
        <v>1911</v>
      </c>
    </row>
    <row r="761" spans="1:2">
      <c r="A761" s="133" t="str">
        <f>"1517"</f>
        <v>1517</v>
      </c>
      <c r="B761" s="134" t="s">
        <v>1910</v>
      </c>
    </row>
    <row r="762" spans="1:2">
      <c r="A762" s="133" t="str">
        <f>"1518"</f>
        <v>1518</v>
      </c>
      <c r="B762" s="134" t="s">
        <v>1909</v>
      </c>
    </row>
    <row r="763" spans="1:2">
      <c r="A763" s="133" t="str">
        <f>"1519"</f>
        <v>1519</v>
      </c>
      <c r="B763" s="134" t="s">
        <v>1908</v>
      </c>
    </row>
    <row r="764" spans="1:2">
      <c r="A764" s="133" t="str">
        <f>"1520"</f>
        <v>1520</v>
      </c>
      <c r="B764" s="134" t="s">
        <v>1907</v>
      </c>
    </row>
    <row r="765" spans="1:2">
      <c r="A765" s="133" t="str">
        <f>"1601"</f>
        <v>1601</v>
      </c>
      <c r="B765" s="134" t="s">
        <v>1906</v>
      </c>
    </row>
    <row r="766" spans="1:2">
      <c r="A766" s="133" t="str">
        <f>"1602"</f>
        <v>1602</v>
      </c>
      <c r="B766" s="134" t="s">
        <v>1905</v>
      </c>
    </row>
    <row r="767" spans="1:2">
      <c r="A767" s="133" t="str">
        <f>"1603"</f>
        <v>1603</v>
      </c>
      <c r="B767" s="134" t="s">
        <v>1904</v>
      </c>
    </row>
    <row r="768" spans="1:2">
      <c r="A768" s="133" t="str">
        <f>"1604"</f>
        <v>1604</v>
      </c>
      <c r="B768" s="134" t="s">
        <v>1903</v>
      </c>
    </row>
    <row r="769" spans="1:2">
      <c r="A769" s="133" t="str">
        <f>"1605"</f>
        <v>1605</v>
      </c>
      <c r="B769" s="134" t="s">
        <v>1902</v>
      </c>
    </row>
    <row r="770" spans="1:2">
      <c r="A770" s="133" t="str">
        <f>"1606"</f>
        <v>1606</v>
      </c>
      <c r="B770" s="134" t="s">
        <v>1901</v>
      </c>
    </row>
    <row r="771" spans="1:2">
      <c r="A771" s="133" t="str">
        <f>"1607"</f>
        <v>1607</v>
      </c>
      <c r="B771" s="134" t="s">
        <v>1900</v>
      </c>
    </row>
    <row r="772" spans="1:2">
      <c r="A772" s="133" t="str">
        <f>"1608"</f>
        <v>1608</v>
      </c>
      <c r="B772" s="134" t="s">
        <v>1899</v>
      </c>
    </row>
    <row r="773" spans="1:2">
      <c r="A773" s="133" t="str">
        <f>"1609"</f>
        <v>1609</v>
      </c>
      <c r="B773" s="134" t="s">
        <v>1898</v>
      </c>
    </row>
    <row r="774" spans="1:2">
      <c r="A774" s="133" t="str">
        <f>"1610"</f>
        <v>1610</v>
      </c>
      <c r="B774" s="134" t="s">
        <v>1897</v>
      </c>
    </row>
    <row r="775" spans="1:2">
      <c r="A775" s="133" t="str">
        <f>"1611"</f>
        <v>1611</v>
      </c>
      <c r="B775" s="134" t="s">
        <v>1896</v>
      </c>
    </row>
    <row r="776" spans="1:2">
      <c r="A776" s="133" t="str">
        <f>"1612"</f>
        <v>1612</v>
      </c>
      <c r="B776" s="134" t="s">
        <v>1895</v>
      </c>
    </row>
    <row r="777" spans="1:2">
      <c r="A777" s="133" t="str">
        <f>"1613"</f>
        <v>1613</v>
      </c>
      <c r="B777" s="134" t="s">
        <v>1894</v>
      </c>
    </row>
    <row r="778" spans="1:2">
      <c r="A778" s="133" t="str">
        <f>"1614"</f>
        <v>1614</v>
      </c>
      <c r="B778" s="134" t="s">
        <v>1893</v>
      </c>
    </row>
    <row r="779" spans="1:2">
      <c r="A779" s="133" t="str">
        <f>"1615"</f>
        <v>1615</v>
      </c>
      <c r="B779" s="134" t="s">
        <v>1892</v>
      </c>
    </row>
    <row r="780" spans="1:2">
      <c r="A780" s="133" t="str">
        <f>"1701"</f>
        <v>1701</v>
      </c>
      <c r="B780" s="134" t="s">
        <v>1891</v>
      </c>
    </row>
    <row r="781" spans="1:2">
      <c r="A781" s="133" t="str">
        <f>"1702"</f>
        <v>1702</v>
      </c>
      <c r="B781" s="134" t="s">
        <v>1890</v>
      </c>
    </row>
    <row r="782" spans="1:2">
      <c r="A782" s="133" t="str">
        <f>"1703"</f>
        <v>1703</v>
      </c>
      <c r="B782" s="134" t="s">
        <v>1889</v>
      </c>
    </row>
    <row r="783" spans="1:2">
      <c r="A783" s="133" t="str">
        <f>"1704"</f>
        <v>1704</v>
      </c>
      <c r="B783" s="134" t="s">
        <v>1888</v>
      </c>
    </row>
    <row r="784" spans="1:2">
      <c r="A784" s="133" t="str">
        <f>"1705"</f>
        <v>1705</v>
      </c>
      <c r="B784" s="134" t="s">
        <v>1887</v>
      </c>
    </row>
    <row r="785" spans="1:2">
      <c r="A785" s="133" t="str">
        <f>"1706"</f>
        <v>1706</v>
      </c>
      <c r="B785" s="134" t="s">
        <v>1886</v>
      </c>
    </row>
    <row r="786" spans="1:2">
      <c r="A786" s="133" t="str">
        <f>"1707"</f>
        <v>1707</v>
      </c>
      <c r="B786" s="134" t="s">
        <v>1885</v>
      </c>
    </row>
    <row r="787" spans="1:2">
      <c r="A787" s="133" t="str">
        <f>"1708"</f>
        <v>1708</v>
      </c>
      <c r="B787" s="134" t="s">
        <v>1884</v>
      </c>
    </row>
    <row r="788" spans="1:2">
      <c r="A788" s="133" t="str">
        <f>"1709"</f>
        <v>1709</v>
      </c>
      <c r="B788" s="134" t="s">
        <v>1883</v>
      </c>
    </row>
    <row r="789" spans="1:2">
      <c r="A789" s="133" t="str">
        <f>"1710"</f>
        <v>1710</v>
      </c>
      <c r="B789" s="134" t="s">
        <v>1882</v>
      </c>
    </row>
    <row r="790" spans="1:2">
      <c r="A790" s="133" t="str">
        <f>"1711"</f>
        <v>1711</v>
      </c>
      <c r="B790" s="134" t="s">
        <v>1881</v>
      </c>
    </row>
    <row r="791" spans="1:2">
      <c r="A791" s="133" t="str">
        <f>"1712"</f>
        <v>1712</v>
      </c>
      <c r="B791" s="134" t="s">
        <v>1880</v>
      </c>
    </row>
    <row r="792" spans="1:2">
      <c r="A792" s="133" t="str">
        <f>"1713"</f>
        <v>1713</v>
      </c>
      <c r="B792" s="134" t="s">
        <v>1879</v>
      </c>
    </row>
    <row r="793" spans="1:2">
      <c r="A793" s="133" t="str">
        <f>"1714"</f>
        <v>1714</v>
      </c>
      <c r="B793" s="134" t="s">
        <v>1878</v>
      </c>
    </row>
    <row r="794" spans="1:2">
      <c r="A794" s="133" t="str">
        <f>"1715"</f>
        <v>1715</v>
      </c>
      <c r="B794" s="134" t="s">
        <v>1877</v>
      </c>
    </row>
    <row r="795" spans="1:2">
      <c r="A795" s="133" t="str">
        <f>"1801"</f>
        <v>1801</v>
      </c>
      <c r="B795" s="134" t="s">
        <v>1876</v>
      </c>
    </row>
    <row r="796" spans="1:2">
      <c r="A796" s="133" t="str">
        <f>"1802"</f>
        <v>1802</v>
      </c>
      <c r="B796" s="134" t="s">
        <v>1875</v>
      </c>
    </row>
    <row r="797" spans="1:2">
      <c r="A797" s="133" t="str">
        <f>"1803"</f>
        <v>1803</v>
      </c>
      <c r="B797" s="134" t="s">
        <v>1874</v>
      </c>
    </row>
    <row r="798" spans="1:2">
      <c r="A798" s="133" t="str">
        <f>"1804"</f>
        <v>1804</v>
      </c>
      <c r="B798" s="134" t="s">
        <v>1873</v>
      </c>
    </row>
    <row r="799" spans="1:2">
      <c r="A799" s="133" t="str">
        <f>"1805"</f>
        <v>1805</v>
      </c>
      <c r="B799" s="134" t="s">
        <v>1872</v>
      </c>
    </row>
    <row r="800" spans="1:2">
      <c r="A800" s="133" t="str">
        <f>"1806"</f>
        <v>1806</v>
      </c>
      <c r="B800" s="134" t="s">
        <v>1871</v>
      </c>
    </row>
    <row r="801" spans="1:2">
      <c r="A801" s="133" t="str">
        <f>"1807"</f>
        <v>1807</v>
      </c>
      <c r="B801" s="134" t="s">
        <v>1870</v>
      </c>
    </row>
    <row r="802" spans="1:2">
      <c r="A802" s="133" t="str">
        <f>"1808"</f>
        <v>1808</v>
      </c>
      <c r="B802" s="134" t="s">
        <v>1869</v>
      </c>
    </row>
    <row r="803" spans="1:2">
      <c r="A803" s="133" t="str">
        <f>"1809"</f>
        <v>1809</v>
      </c>
      <c r="B803" s="134" t="s">
        <v>1868</v>
      </c>
    </row>
    <row r="804" spans="1:2">
      <c r="A804" s="133" t="str">
        <f>"1810"</f>
        <v>1810</v>
      </c>
      <c r="B804" s="134" t="s">
        <v>1867</v>
      </c>
    </row>
    <row r="805" spans="1:2">
      <c r="A805" s="133" t="str">
        <f>"1811"</f>
        <v>1811</v>
      </c>
      <c r="B805" s="134" t="s">
        <v>1866</v>
      </c>
    </row>
    <row r="806" spans="1:2">
      <c r="A806" s="133" t="str">
        <f>"1812"</f>
        <v>1812</v>
      </c>
      <c r="B806" s="134" t="s">
        <v>1865</v>
      </c>
    </row>
    <row r="807" spans="1:2">
      <c r="A807" s="133" t="str">
        <f>"1813"</f>
        <v>1813</v>
      </c>
      <c r="B807" s="134" t="s">
        <v>1864</v>
      </c>
    </row>
    <row r="808" spans="1:2">
      <c r="A808" s="133" t="str">
        <f>"1814"</f>
        <v>1814</v>
      </c>
      <c r="B808" s="134" t="s">
        <v>1863</v>
      </c>
    </row>
    <row r="809" spans="1:2">
      <c r="A809" s="133" t="str">
        <f>"1815"</f>
        <v>1815</v>
      </c>
      <c r="B809" s="134" t="s">
        <v>1862</v>
      </c>
    </row>
    <row r="810" spans="1:2">
      <c r="A810" s="133" t="str">
        <f>"1816"</f>
        <v>1816</v>
      </c>
      <c r="B810" s="134" t="s">
        <v>1861</v>
      </c>
    </row>
    <row r="811" spans="1:2">
      <c r="A811" s="133" t="str">
        <f>"1817"</f>
        <v>1817</v>
      </c>
      <c r="B811" s="134" t="s">
        <v>1860</v>
      </c>
    </row>
    <row r="812" spans="1:2">
      <c r="A812" s="133" t="str">
        <f>"1818"</f>
        <v>1818</v>
      </c>
      <c r="B812" s="134" t="s">
        <v>1859</v>
      </c>
    </row>
    <row r="813" spans="1:2">
      <c r="A813" s="133" t="str">
        <f>"1819"</f>
        <v>1819</v>
      </c>
      <c r="B813" s="134" t="s">
        <v>1858</v>
      </c>
    </row>
    <row r="814" spans="1:2">
      <c r="A814" s="133" t="str">
        <f>"1820"</f>
        <v>1820</v>
      </c>
      <c r="B814" s="134" t="s">
        <v>1857</v>
      </c>
    </row>
    <row r="815" spans="1:2">
      <c r="A815" s="133" t="str">
        <f>"1821"</f>
        <v>1821</v>
      </c>
      <c r="B815" s="134" t="s">
        <v>1856</v>
      </c>
    </row>
    <row r="816" spans="1:2">
      <c r="A816" s="133" t="str">
        <f>"1822"</f>
        <v>1822</v>
      </c>
      <c r="B816" s="134" t="s">
        <v>1855</v>
      </c>
    </row>
    <row r="817" spans="1:2">
      <c r="A817" s="133" t="str">
        <f>"1823"</f>
        <v>1823</v>
      </c>
      <c r="B817" s="134" t="s">
        <v>1854</v>
      </c>
    </row>
    <row r="818" spans="1:2">
      <c r="A818" s="133" t="str">
        <f>"1824"</f>
        <v>1824</v>
      </c>
      <c r="B818" s="134" t="s">
        <v>1853</v>
      </c>
    </row>
    <row r="819" spans="1:2">
      <c r="A819" s="133" t="str">
        <f>"1825"</f>
        <v>1825</v>
      </c>
      <c r="B819" s="134" t="s">
        <v>1852</v>
      </c>
    </row>
    <row r="820" spans="1:2">
      <c r="A820" s="133" t="str">
        <f>"1826"</f>
        <v>1826</v>
      </c>
      <c r="B820" s="134" t="s">
        <v>1851</v>
      </c>
    </row>
    <row r="821" spans="1:2">
      <c r="A821" s="133" t="str">
        <f>"1827"</f>
        <v>1827</v>
      </c>
      <c r="B821" s="134" t="s">
        <v>1850</v>
      </c>
    </row>
    <row r="822" spans="1:2">
      <c r="A822" s="133" t="str">
        <f>"1828"</f>
        <v>1828</v>
      </c>
      <c r="B822" s="134" t="s">
        <v>1849</v>
      </c>
    </row>
    <row r="823" spans="1:2">
      <c r="A823" s="133" t="str">
        <f>"1829"</f>
        <v>1829</v>
      </c>
      <c r="B823" s="134" t="s">
        <v>1848</v>
      </c>
    </row>
    <row r="824" spans="1:2">
      <c r="A824" s="133" t="str">
        <f>"1830"</f>
        <v>1830</v>
      </c>
      <c r="B824" s="134" t="s">
        <v>1847</v>
      </c>
    </row>
    <row r="825" spans="1:2">
      <c r="A825" s="133" t="str">
        <f>"1901"</f>
        <v>1901</v>
      </c>
      <c r="B825" s="134" t="s">
        <v>1846</v>
      </c>
    </row>
    <row r="826" spans="1:2">
      <c r="A826" s="133" t="str">
        <f>"1902"</f>
        <v>1902</v>
      </c>
      <c r="B826" s="134" t="s">
        <v>1845</v>
      </c>
    </row>
    <row r="827" spans="1:2">
      <c r="A827" s="133" t="str">
        <f>"1903"</f>
        <v>1903</v>
      </c>
      <c r="B827" s="134" t="s">
        <v>1844</v>
      </c>
    </row>
    <row r="828" spans="1:2">
      <c r="A828" s="133" t="str">
        <f>"1904"</f>
        <v>1904</v>
      </c>
      <c r="B828" s="134" t="s">
        <v>1843</v>
      </c>
    </row>
    <row r="829" spans="1:2">
      <c r="A829" s="133" t="str">
        <f>"1905"</f>
        <v>1905</v>
      </c>
      <c r="B829" s="134" t="s">
        <v>1842</v>
      </c>
    </row>
    <row r="830" spans="1:2">
      <c r="A830" s="133" t="str">
        <f>"1906"</f>
        <v>1906</v>
      </c>
      <c r="B830" s="134" t="s">
        <v>1841</v>
      </c>
    </row>
    <row r="831" spans="1:2">
      <c r="A831" s="133" t="str">
        <f>"1907"</f>
        <v>1907</v>
      </c>
      <c r="B831" s="134" t="s">
        <v>1840</v>
      </c>
    </row>
    <row r="832" spans="1:2">
      <c r="A832" s="133" t="str">
        <f>"1908"</f>
        <v>1908</v>
      </c>
      <c r="B832" s="134" t="s">
        <v>1839</v>
      </c>
    </row>
    <row r="833" spans="1:2">
      <c r="A833" s="133" t="str">
        <f>"1909"</f>
        <v>1909</v>
      </c>
      <c r="B833" s="134" t="s">
        <v>1838</v>
      </c>
    </row>
    <row r="834" spans="1:2">
      <c r="A834" s="133" t="str">
        <f>"1910"</f>
        <v>1910</v>
      </c>
      <c r="B834" s="134" t="s">
        <v>1837</v>
      </c>
    </row>
    <row r="835" spans="1:2">
      <c r="A835" s="133" t="str">
        <f>"1911"</f>
        <v>1911</v>
      </c>
      <c r="B835" s="134" t="s">
        <v>1836</v>
      </c>
    </row>
    <row r="836" spans="1:2">
      <c r="A836" s="133" t="str">
        <f>"1912"</f>
        <v>1912</v>
      </c>
      <c r="B836" s="134" t="s">
        <v>1835</v>
      </c>
    </row>
    <row r="837" spans="1:2">
      <c r="A837" s="133" t="str">
        <f>"1913"</f>
        <v>1913</v>
      </c>
      <c r="B837" s="134" t="s">
        <v>1834</v>
      </c>
    </row>
    <row r="838" spans="1:2">
      <c r="A838" s="133" t="str">
        <f>"1914"</f>
        <v>1914</v>
      </c>
      <c r="B838" s="134" t="s">
        <v>1833</v>
      </c>
    </row>
    <row r="839" spans="1:2">
      <c r="A839" s="133" t="str">
        <f>"1915"</f>
        <v>1915</v>
      </c>
      <c r="B839" s="134" t="s">
        <v>1832</v>
      </c>
    </row>
    <row r="840" spans="1:2">
      <c r="A840" s="133" t="str">
        <f>"1916"</f>
        <v>1916</v>
      </c>
      <c r="B840" s="134" t="s">
        <v>1831</v>
      </c>
    </row>
    <row r="841" spans="1:2">
      <c r="A841" s="133" t="str">
        <f>"1917"</f>
        <v>1917</v>
      </c>
      <c r="B841" s="134" t="s">
        <v>1830</v>
      </c>
    </row>
    <row r="842" spans="1:2">
      <c r="A842" s="133" t="str">
        <f>"1918"</f>
        <v>1918</v>
      </c>
      <c r="B842" s="134" t="s">
        <v>1829</v>
      </c>
    </row>
    <row r="843" spans="1:2">
      <c r="A843" s="133" t="str">
        <f>"1919"</f>
        <v>1919</v>
      </c>
      <c r="B843" s="134" t="s">
        <v>1828</v>
      </c>
    </row>
    <row r="844" spans="1:2">
      <c r="A844" s="133" t="str">
        <f>"1920"</f>
        <v>1920</v>
      </c>
      <c r="B844" s="134" t="s">
        <v>1827</v>
      </c>
    </row>
    <row r="845" spans="1:2">
      <c r="A845" s="133" t="str">
        <f>"1921"</f>
        <v>1921</v>
      </c>
      <c r="B845" s="134" t="s">
        <v>1826</v>
      </c>
    </row>
    <row r="846" spans="1:2">
      <c r="A846" s="133" t="str">
        <f>"1922"</f>
        <v>1922</v>
      </c>
      <c r="B846" s="134" t="s">
        <v>1825</v>
      </c>
    </row>
    <row r="847" spans="1:2">
      <c r="A847" s="133" t="str">
        <f>"1923"</f>
        <v>1923</v>
      </c>
      <c r="B847" s="134" t="s">
        <v>1824</v>
      </c>
    </row>
    <row r="848" spans="1:2">
      <c r="A848" s="133" t="str">
        <f>"2000"</f>
        <v>2000</v>
      </c>
      <c r="B848" s="134" t="s">
        <v>1823</v>
      </c>
    </row>
    <row r="849" spans="1:2">
      <c r="A849" s="133" t="str">
        <f>"2001"</f>
        <v>2001</v>
      </c>
      <c r="B849" s="134" t="s">
        <v>1822</v>
      </c>
    </row>
    <row r="850" spans="1:2">
      <c r="A850" s="133" t="str">
        <f>"2002"</f>
        <v>2002</v>
      </c>
      <c r="B850" s="134" t="s">
        <v>1821</v>
      </c>
    </row>
    <row r="851" spans="1:2">
      <c r="A851" s="133" t="str">
        <f>"2003"</f>
        <v>2003</v>
      </c>
      <c r="B851" s="134" t="s">
        <v>1820</v>
      </c>
    </row>
    <row r="852" spans="1:2">
      <c r="A852" s="133" t="str">
        <f>"2004"</f>
        <v>2004</v>
      </c>
      <c r="B852" s="134" t="s">
        <v>1819</v>
      </c>
    </row>
    <row r="853" spans="1:2">
      <c r="A853" s="133" t="str">
        <f>"2005"</f>
        <v>2005</v>
      </c>
      <c r="B853" s="134" t="s">
        <v>1818</v>
      </c>
    </row>
    <row r="854" spans="1:2">
      <c r="A854" s="133" t="str">
        <f>"2006"</f>
        <v>2006</v>
      </c>
      <c r="B854" s="134" t="s">
        <v>1817</v>
      </c>
    </row>
    <row r="855" spans="1:2">
      <c r="A855" s="133" t="str">
        <f>"2007"</f>
        <v>2007</v>
      </c>
      <c r="B855" s="134" t="s">
        <v>1816</v>
      </c>
    </row>
    <row r="856" spans="1:2">
      <c r="A856" s="133" t="str">
        <f>"2008"</f>
        <v>2008</v>
      </c>
      <c r="B856" s="134" t="s">
        <v>1815</v>
      </c>
    </row>
    <row r="857" spans="1:2">
      <c r="A857" s="133" t="str">
        <f>"2009"</f>
        <v>2009</v>
      </c>
      <c r="B857" s="134" t="s">
        <v>1814</v>
      </c>
    </row>
    <row r="858" spans="1:2">
      <c r="A858" s="133" t="str">
        <f>"2010"</f>
        <v>2010</v>
      </c>
      <c r="B858" s="134" t="s">
        <v>1813</v>
      </c>
    </row>
    <row r="859" spans="1:2">
      <c r="A859" s="133" t="str">
        <f>"2011"</f>
        <v>2011</v>
      </c>
      <c r="B859" s="134" t="s">
        <v>1812</v>
      </c>
    </row>
    <row r="860" spans="1:2">
      <c r="A860" s="133" t="str">
        <f>"2012"</f>
        <v>2012</v>
      </c>
      <c r="B860" s="134" t="s">
        <v>1811</v>
      </c>
    </row>
    <row r="861" spans="1:2">
      <c r="A861" s="133" t="str">
        <f>"2013"</f>
        <v>2013</v>
      </c>
      <c r="B861" s="134" t="s">
        <v>1810</v>
      </c>
    </row>
    <row r="862" spans="1:2">
      <c r="A862" s="133" t="str">
        <f>"2014"</f>
        <v>2014</v>
      </c>
      <c r="B862" s="134" t="s">
        <v>1809</v>
      </c>
    </row>
    <row r="863" spans="1:2">
      <c r="A863" s="133" t="str">
        <f>"2015"</f>
        <v>2015</v>
      </c>
      <c r="B863" s="134" t="s">
        <v>1808</v>
      </c>
    </row>
    <row r="864" spans="1:2">
      <c r="A864" s="133" t="str">
        <f>"2021"</f>
        <v>2021</v>
      </c>
      <c r="B864" s="134" t="s">
        <v>1807</v>
      </c>
    </row>
    <row r="865" spans="1:2">
      <c r="A865" s="133" t="str">
        <f>"2022"</f>
        <v>2022</v>
      </c>
      <c r="B865" s="134" t="s">
        <v>1806</v>
      </c>
    </row>
    <row r="866" spans="1:2">
      <c r="A866" s="133" t="str">
        <f>"2023"</f>
        <v>2023</v>
      </c>
      <c r="B866" s="134" t="s">
        <v>1805</v>
      </c>
    </row>
    <row r="867" spans="1:2">
      <c r="A867" s="133" t="str">
        <f>"2031"</f>
        <v>2031</v>
      </c>
      <c r="B867" s="134" t="s">
        <v>1804</v>
      </c>
    </row>
    <row r="868" spans="1:2">
      <c r="A868" s="133" t="str">
        <f>"2032"</f>
        <v>2032</v>
      </c>
      <c r="B868" s="134" t="s">
        <v>1803</v>
      </c>
    </row>
    <row r="869" spans="1:2">
      <c r="A869" s="133" t="str">
        <f>"2041"</f>
        <v>2041</v>
      </c>
      <c r="B869" s="134" t="s">
        <v>1802</v>
      </c>
    </row>
    <row r="870" spans="1:2">
      <c r="A870" s="133" t="str">
        <f>"2042"</f>
        <v>2042</v>
      </c>
      <c r="B870" s="134" t="s">
        <v>1801</v>
      </c>
    </row>
    <row r="871" spans="1:2">
      <c r="A871" s="133" t="str">
        <f>"2043"</f>
        <v>2043</v>
      </c>
      <c r="B871" s="134" t="s">
        <v>1800</v>
      </c>
    </row>
    <row r="872" spans="1:2">
      <c r="A872" s="133" t="str">
        <f>"2044"</f>
        <v>2044</v>
      </c>
      <c r="B872" s="134" t="s">
        <v>1799</v>
      </c>
    </row>
    <row r="873" spans="1:2">
      <c r="A873" s="133" t="str">
        <f>"2061"</f>
        <v>2061</v>
      </c>
      <c r="B873" s="134" t="s">
        <v>1798</v>
      </c>
    </row>
    <row r="874" spans="1:2">
      <c r="A874" s="133" t="str">
        <f>"2062"</f>
        <v>2062</v>
      </c>
      <c r="B874" s="134" t="s">
        <v>1797</v>
      </c>
    </row>
    <row r="875" spans="1:2">
      <c r="A875" s="133" t="str">
        <f>"2063"</f>
        <v>2063</v>
      </c>
      <c r="B875" s="134" t="s">
        <v>1796</v>
      </c>
    </row>
    <row r="876" spans="1:2">
      <c r="A876" s="133" t="str">
        <f>"2064"</f>
        <v>2064</v>
      </c>
      <c r="B876" s="134" t="s">
        <v>1795</v>
      </c>
    </row>
    <row r="877" spans="1:2">
      <c r="A877" s="133" t="str">
        <f>"2065"</f>
        <v>2065</v>
      </c>
      <c r="B877" s="134" t="s">
        <v>1794</v>
      </c>
    </row>
    <row r="878" spans="1:2">
      <c r="A878" s="133" t="str">
        <f>"2066"</f>
        <v>2066</v>
      </c>
      <c r="B878" s="134" t="s">
        <v>1793</v>
      </c>
    </row>
    <row r="879" spans="1:2">
      <c r="A879" s="133" t="str">
        <f>"2067"</f>
        <v>2067</v>
      </c>
      <c r="B879" s="134" t="s">
        <v>1792</v>
      </c>
    </row>
    <row r="880" spans="1:2">
      <c r="A880" s="133" t="str">
        <f>"2081"</f>
        <v>2081</v>
      </c>
      <c r="B880" s="134" t="s">
        <v>1791</v>
      </c>
    </row>
    <row r="881" spans="1:2">
      <c r="A881" s="133" t="str">
        <f>"2082"</f>
        <v>2082</v>
      </c>
      <c r="B881" s="134" t="s">
        <v>1790</v>
      </c>
    </row>
    <row r="882" spans="1:2">
      <c r="A882" s="133" t="str">
        <f>"2083"</f>
        <v>2083</v>
      </c>
      <c r="B882" s="134" t="s">
        <v>1789</v>
      </c>
    </row>
    <row r="883" spans="1:2">
      <c r="A883" s="133" t="str">
        <f>"2084"</f>
        <v>2084</v>
      </c>
      <c r="B883" s="134" t="s">
        <v>1788</v>
      </c>
    </row>
    <row r="884" spans="1:2">
      <c r="A884" s="133" t="str">
        <f>"2086"</f>
        <v>2086</v>
      </c>
      <c r="B884" s="134" t="s">
        <v>1787</v>
      </c>
    </row>
    <row r="885" spans="1:2">
      <c r="A885" s="133" t="str">
        <f>"2098"</f>
        <v>2098</v>
      </c>
      <c r="B885" s="134" t="s">
        <v>1786</v>
      </c>
    </row>
    <row r="886" spans="1:2">
      <c r="A886" s="133" t="str">
        <f>"2099"</f>
        <v>2099</v>
      </c>
      <c r="B886" s="134" t="s">
        <v>1785</v>
      </c>
    </row>
    <row r="887" spans="1:2">
      <c r="A887" s="133" t="str">
        <f>"2100"</f>
        <v>2100</v>
      </c>
      <c r="B887" s="134" t="s">
        <v>1784</v>
      </c>
    </row>
    <row r="888" spans="1:2">
      <c r="A888" s="133" t="str">
        <f>"2101"</f>
        <v>2101</v>
      </c>
      <c r="B888" s="134" t="s">
        <v>1783</v>
      </c>
    </row>
    <row r="889" spans="1:2">
      <c r="A889" s="133" t="str">
        <f>"2102"</f>
        <v>2102</v>
      </c>
      <c r="B889" s="134" t="s">
        <v>1782</v>
      </c>
    </row>
    <row r="890" spans="1:2">
      <c r="A890" s="133" t="str">
        <f>"2103"</f>
        <v>2103</v>
      </c>
      <c r="B890" s="134" t="s">
        <v>1781</v>
      </c>
    </row>
    <row r="891" spans="1:2">
      <c r="A891" s="133" t="str">
        <f>"2104"</f>
        <v>2104</v>
      </c>
      <c r="B891" s="134" t="s">
        <v>1780</v>
      </c>
    </row>
    <row r="892" spans="1:2">
      <c r="A892" s="133" t="str">
        <f>"2105"</f>
        <v>2105</v>
      </c>
      <c r="B892" s="134" t="s">
        <v>1779</v>
      </c>
    </row>
    <row r="893" spans="1:2">
      <c r="A893" s="133" t="str">
        <f>"2106"</f>
        <v>2106</v>
      </c>
      <c r="B893" s="134" t="s">
        <v>1778</v>
      </c>
    </row>
    <row r="894" spans="1:2">
      <c r="A894" s="133" t="str">
        <f>"2107"</f>
        <v>2107</v>
      </c>
      <c r="B894" s="134" t="s">
        <v>1777</v>
      </c>
    </row>
    <row r="895" spans="1:2">
      <c r="A895" s="133" t="str">
        <f>"2108"</f>
        <v>2108</v>
      </c>
      <c r="B895" s="134" t="s">
        <v>1776</v>
      </c>
    </row>
    <row r="896" spans="1:2">
      <c r="A896" s="133" t="str">
        <f>"2109"</f>
        <v>2109</v>
      </c>
      <c r="B896" s="134" t="s">
        <v>1775</v>
      </c>
    </row>
    <row r="897" spans="1:2">
      <c r="A897" s="133" t="str">
        <f>"2110"</f>
        <v>2110</v>
      </c>
      <c r="B897" s="134" t="s">
        <v>1774</v>
      </c>
    </row>
    <row r="898" spans="1:2">
      <c r="A898" s="133" t="str">
        <f>"2111"</f>
        <v>2111</v>
      </c>
      <c r="B898" s="134" t="s">
        <v>1773</v>
      </c>
    </row>
    <row r="899" spans="1:2">
      <c r="A899" s="133" t="str">
        <f>"2112"</f>
        <v>2112</v>
      </c>
      <c r="B899" s="134" t="s">
        <v>1772</v>
      </c>
    </row>
    <row r="900" spans="1:2">
      <c r="A900" s="133" t="str">
        <f>"2113"</f>
        <v>2113</v>
      </c>
      <c r="B900" s="134" t="s">
        <v>1771</v>
      </c>
    </row>
    <row r="901" spans="1:2">
      <c r="A901" s="133" t="str">
        <f>"2114"</f>
        <v>2114</v>
      </c>
      <c r="B901" s="134" t="s">
        <v>1770</v>
      </c>
    </row>
    <row r="902" spans="1:2">
      <c r="A902" s="133" t="str">
        <f>"2115"</f>
        <v>2115</v>
      </c>
      <c r="B902" s="134" t="s">
        <v>1769</v>
      </c>
    </row>
    <row r="903" spans="1:2">
      <c r="A903" s="133" t="str">
        <f>"2116"</f>
        <v>2116</v>
      </c>
      <c r="B903" s="134" t="s">
        <v>1768</v>
      </c>
    </row>
    <row r="904" spans="1:2">
      <c r="A904" s="133" t="str">
        <f>"2117"</f>
        <v>2117</v>
      </c>
      <c r="B904" s="134" t="s">
        <v>1767</v>
      </c>
    </row>
    <row r="905" spans="1:2">
      <c r="A905" s="133" t="str">
        <f>"2118"</f>
        <v>2118</v>
      </c>
      <c r="B905" s="134" t="s">
        <v>1766</v>
      </c>
    </row>
    <row r="906" spans="1:2">
      <c r="A906" s="133" t="str">
        <f>"2119"</f>
        <v>2119</v>
      </c>
      <c r="B906" s="134" t="s">
        <v>1765</v>
      </c>
    </row>
    <row r="907" spans="1:2">
      <c r="A907" s="133" t="str">
        <f>"2120"</f>
        <v>2120</v>
      </c>
      <c r="B907" s="134" t="s">
        <v>1764</v>
      </c>
    </row>
    <row r="908" spans="1:2">
      <c r="A908" s="133" t="str">
        <f>"2121"</f>
        <v>2121</v>
      </c>
      <c r="B908" s="134" t="s">
        <v>1763</v>
      </c>
    </row>
    <row r="909" spans="1:2">
      <c r="A909" s="133" t="str">
        <f>"2122"</f>
        <v>2122</v>
      </c>
      <c r="B909" s="134" t="s">
        <v>1762</v>
      </c>
    </row>
    <row r="910" spans="1:2">
      <c r="A910" s="133" t="str">
        <f>"2123"</f>
        <v>2123</v>
      </c>
      <c r="B910" s="134" t="s">
        <v>1761</v>
      </c>
    </row>
    <row r="911" spans="1:2">
      <c r="A911" s="133" t="str">
        <f>"2124"</f>
        <v>2124</v>
      </c>
      <c r="B911" s="134" t="s">
        <v>1760</v>
      </c>
    </row>
    <row r="912" spans="1:2">
      <c r="A912" s="133" t="str">
        <f>"2125"</f>
        <v>2125</v>
      </c>
      <c r="B912" s="134" t="s">
        <v>1759</v>
      </c>
    </row>
    <row r="913" spans="1:2">
      <c r="A913" s="133" t="str">
        <f>"2126"</f>
        <v>2126</v>
      </c>
      <c r="B913" s="134" t="s">
        <v>1758</v>
      </c>
    </row>
    <row r="914" spans="1:2">
      <c r="A914" s="133" t="str">
        <f>"2127"</f>
        <v>2127</v>
      </c>
      <c r="B914" s="134" t="s">
        <v>1757</v>
      </c>
    </row>
    <row r="915" spans="1:2">
      <c r="A915" s="133" t="str">
        <f>"2128"</f>
        <v>2128</v>
      </c>
      <c r="B915" s="134" t="s">
        <v>1756</v>
      </c>
    </row>
    <row r="916" spans="1:2">
      <c r="A916" s="133" t="str">
        <f>"2129"</f>
        <v>2129</v>
      </c>
      <c r="B916" s="134" t="s">
        <v>1755</v>
      </c>
    </row>
    <row r="917" spans="1:2">
      <c r="A917" s="133" t="str">
        <f>"2130"</f>
        <v>2130</v>
      </c>
      <c r="B917" s="134" t="s">
        <v>1754</v>
      </c>
    </row>
    <row r="918" spans="1:2">
      <c r="A918" s="133" t="str">
        <f>"2131"</f>
        <v>2131</v>
      </c>
      <c r="B918" s="134" t="s">
        <v>1753</v>
      </c>
    </row>
    <row r="919" spans="1:2">
      <c r="A919" s="133" t="str">
        <f>"2132"</f>
        <v>2132</v>
      </c>
      <c r="B919" s="134" t="s">
        <v>1752</v>
      </c>
    </row>
    <row r="920" spans="1:2">
      <c r="A920" s="133" t="str">
        <f>"2133"</f>
        <v>2133</v>
      </c>
      <c r="B920" s="134" t="s">
        <v>1751</v>
      </c>
    </row>
    <row r="921" spans="1:2">
      <c r="A921" s="133" t="str">
        <f>"2134"</f>
        <v>2134</v>
      </c>
      <c r="B921" s="134" t="s">
        <v>1750</v>
      </c>
    </row>
    <row r="922" spans="1:2">
      <c r="A922" s="133" t="str">
        <f>"2135"</f>
        <v>2135</v>
      </c>
      <c r="B922" s="134" t="s">
        <v>1749</v>
      </c>
    </row>
    <row r="923" spans="1:2">
      <c r="A923" s="133" t="str">
        <f>"2136"</f>
        <v>2136</v>
      </c>
      <c r="B923" s="134" t="s">
        <v>1748</v>
      </c>
    </row>
    <row r="924" spans="1:2">
      <c r="A924" s="133" t="str">
        <f>"2137"</f>
        <v>2137</v>
      </c>
      <c r="B924" s="134" t="s">
        <v>1747</v>
      </c>
    </row>
    <row r="925" spans="1:2">
      <c r="A925" s="133" t="str">
        <f>"2138"</f>
        <v>2138</v>
      </c>
      <c r="B925" s="134" t="s">
        <v>1746</v>
      </c>
    </row>
    <row r="926" spans="1:2">
      <c r="A926" s="133" t="str">
        <f>"2139"</f>
        <v>2139</v>
      </c>
      <c r="B926" s="134" t="s">
        <v>1745</v>
      </c>
    </row>
    <row r="927" spans="1:2">
      <c r="A927" s="133" t="str">
        <f>"2140"</f>
        <v>2140</v>
      </c>
      <c r="B927" s="134" t="s">
        <v>1744</v>
      </c>
    </row>
    <row r="928" spans="1:2">
      <c r="A928" s="133" t="str">
        <f>"2201"</f>
        <v>2201</v>
      </c>
      <c r="B928" s="134" t="s">
        <v>1743</v>
      </c>
    </row>
    <row r="929" spans="1:2">
      <c r="A929" s="133" t="str">
        <f>"2202"</f>
        <v>2202</v>
      </c>
      <c r="B929" s="134" t="s">
        <v>1742</v>
      </c>
    </row>
    <row r="930" spans="1:2">
      <c r="A930" s="133" t="str">
        <f>"2203"</f>
        <v>2203</v>
      </c>
      <c r="B930" s="134" t="s">
        <v>1741</v>
      </c>
    </row>
    <row r="931" spans="1:2">
      <c r="A931" s="133" t="str">
        <f>"2204"</f>
        <v>2204</v>
      </c>
      <c r="B931" s="134" t="s">
        <v>1740</v>
      </c>
    </row>
    <row r="932" spans="1:2">
      <c r="A932" s="133" t="str">
        <f>"2205"</f>
        <v>2205</v>
      </c>
      <c r="B932" s="134" t="s">
        <v>1739</v>
      </c>
    </row>
    <row r="933" spans="1:2">
      <c r="A933" s="133" t="str">
        <f>"2206"</f>
        <v>2206</v>
      </c>
      <c r="B933" s="134" t="s">
        <v>1738</v>
      </c>
    </row>
    <row r="934" spans="1:2">
      <c r="A934" s="133" t="str">
        <f>"2207"</f>
        <v>2207</v>
      </c>
      <c r="B934" s="134" t="s">
        <v>1737</v>
      </c>
    </row>
    <row r="935" spans="1:2">
      <c r="A935" s="133" t="str">
        <f>"2208"</f>
        <v>2208</v>
      </c>
      <c r="B935" s="134" t="s">
        <v>1736</v>
      </c>
    </row>
    <row r="936" spans="1:2">
      <c r="A936" s="133" t="str">
        <f>"2209"</f>
        <v>2209</v>
      </c>
      <c r="B936" s="134" t="s">
        <v>1735</v>
      </c>
    </row>
    <row r="937" spans="1:2">
      <c r="A937" s="133" t="str">
        <f>"2210"</f>
        <v>2210</v>
      </c>
      <c r="B937" s="134" t="s">
        <v>1734</v>
      </c>
    </row>
    <row r="938" spans="1:2">
      <c r="A938" s="133" t="str">
        <f>"2211"</f>
        <v>2211</v>
      </c>
      <c r="B938" s="134" t="s">
        <v>1733</v>
      </c>
    </row>
    <row r="939" spans="1:2">
      <c r="A939" s="133" t="str">
        <f>"2212"</f>
        <v>2212</v>
      </c>
      <c r="B939" s="134" t="s">
        <v>1732</v>
      </c>
    </row>
    <row r="940" spans="1:2">
      <c r="A940" s="133" t="str">
        <f>"2213"</f>
        <v>2213</v>
      </c>
      <c r="B940" s="134" t="s">
        <v>1731</v>
      </c>
    </row>
    <row r="941" spans="1:2">
      <c r="A941" s="133" t="str">
        <f>"2214"</f>
        <v>2214</v>
      </c>
      <c r="B941" s="134" t="s">
        <v>1730</v>
      </c>
    </row>
    <row r="942" spans="1:2">
      <c r="A942" s="133" t="str">
        <f>"2215"</f>
        <v>2215</v>
      </c>
      <c r="B942" s="134" t="s">
        <v>1729</v>
      </c>
    </row>
    <row r="943" spans="1:2">
      <c r="A943" s="133" t="str">
        <f>"2216"</f>
        <v>2216</v>
      </c>
      <c r="B943" s="134" t="s">
        <v>1728</v>
      </c>
    </row>
    <row r="944" spans="1:2">
      <c r="A944" s="133" t="str">
        <f>"2217"</f>
        <v>2217</v>
      </c>
      <c r="B944" s="134" t="s">
        <v>1727</v>
      </c>
    </row>
    <row r="945" spans="1:2">
      <c r="A945" s="133" t="str">
        <f>"2218"</f>
        <v>2218</v>
      </c>
      <c r="B945" s="134" t="s">
        <v>1726</v>
      </c>
    </row>
    <row r="946" spans="1:2">
      <c r="A946" s="133" t="str">
        <f>"2219"</f>
        <v>2219</v>
      </c>
      <c r="B946" s="134" t="s">
        <v>1725</v>
      </c>
    </row>
    <row r="947" spans="1:2">
      <c r="A947" s="133" t="str">
        <f>"2220"</f>
        <v>2220</v>
      </c>
      <c r="B947" s="134" t="s">
        <v>1724</v>
      </c>
    </row>
    <row r="948" spans="1:2">
      <c r="A948" s="133" t="str">
        <f>"2301"</f>
        <v>2301</v>
      </c>
      <c r="B948" s="134" t="s">
        <v>1723</v>
      </c>
    </row>
    <row r="949" spans="1:2">
      <c r="A949" s="133" t="str">
        <f>"2302"</f>
        <v>2302</v>
      </c>
      <c r="B949" s="134" t="s">
        <v>1722</v>
      </c>
    </row>
    <row r="950" spans="1:2">
      <c r="A950" s="133" t="str">
        <f>"2303"</f>
        <v>2303</v>
      </c>
      <c r="B950" s="134" t="s">
        <v>1721</v>
      </c>
    </row>
    <row r="951" spans="1:2">
      <c r="A951" s="133" t="str">
        <f>"2304"</f>
        <v>2304</v>
      </c>
      <c r="B951" s="134" t="s">
        <v>1720</v>
      </c>
    </row>
    <row r="952" spans="1:2">
      <c r="A952" s="133" t="str">
        <f>"2305"</f>
        <v>2305</v>
      </c>
      <c r="B952" s="134" t="s">
        <v>1719</v>
      </c>
    </row>
    <row r="953" spans="1:2">
      <c r="A953" s="133" t="str">
        <f>"2306"</f>
        <v>2306</v>
      </c>
      <c r="B953" s="134" t="s">
        <v>1718</v>
      </c>
    </row>
    <row r="954" spans="1:2">
      <c r="A954" s="133" t="str">
        <f>"2307"</f>
        <v>2307</v>
      </c>
      <c r="B954" s="134" t="s">
        <v>1717</v>
      </c>
    </row>
    <row r="955" spans="1:2">
      <c r="A955" s="133" t="str">
        <f>"2308"</f>
        <v>2308</v>
      </c>
      <c r="B955" s="134" t="s">
        <v>1716</v>
      </c>
    </row>
    <row r="956" spans="1:2">
      <c r="A956" s="133" t="str">
        <f>"2309"</f>
        <v>2309</v>
      </c>
      <c r="B956" s="134" t="s">
        <v>1715</v>
      </c>
    </row>
    <row r="957" spans="1:2">
      <c r="A957" s="133" t="str">
        <f>"2310"</f>
        <v>2310</v>
      </c>
      <c r="B957" s="134" t="s">
        <v>1714</v>
      </c>
    </row>
    <row r="958" spans="1:2">
      <c r="A958" s="133" t="str">
        <f>"2311"</f>
        <v>2311</v>
      </c>
      <c r="B958" s="134" t="s">
        <v>1713</v>
      </c>
    </row>
    <row r="959" spans="1:2">
      <c r="A959" s="133" t="str">
        <f>"2312"</f>
        <v>2312</v>
      </c>
      <c r="B959" s="134" t="s">
        <v>1712</v>
      </c>
    </row>
    <row r="960" spans="1:2">
      <c r="A960" s="133" t="str">
        <f>"2313"</f>
        <v>2313</v>
      </c>
      <c r="B960" s="134" t="s">
        <v>1711</v>
      </c>
    </row>
    <row r="961" spans="1:2">
      <c r="A961" s="133" t="str">
        <f>"2314"</f>
        <v>2314</v>
      </c>
      <c r="B961" s="134" t="s">
        <v>1710</v>
      </c>
    </row>
    <row r="962" spans="1:2">
      <c r="A962" s="133" t="str">
        <f>"2315"</f>
        <v>2315</v>
      </c>
      <c r="B962" s="134" t="s">
        <v>1709</v>
      </c>
    </row>
    <row r="963" spans="1:2">
      <c r="A963" s="133" t="str">
        <f>"2316"</f>
        <v>2316</v>
      </c>
      <c r="B963" s="134" t="s">
        <v>1708</v>
      </c>
    </row>
    <row r="964" spans="1:2">
      <c r="A964" s="133" t="str">
        <f>"2317"</f>
        <v>2317</v>
      </c>
      <c r="B964" s="134" t="s">
        <v>1707</v>
      </c>
    </row>
    <row r="965" spans="1:2">
      <c r="A965" s="133" t="str">
        <f>"2318"</f>
        <v>2318</v>
      </c>
      <c r="B965" s="134" t="s">
        <v>1706</v>
      </c>
    </row>
    <row r="966" spans="1:2">
      <c r="A966" s="133" t="str">
        <f>"2319"</f>
        <v>2319</v>
      </c>
      <c r="B966" s="134" t="s">
        <v>1705</v>
      </c>
    </row>
    <row r="967" spans="1:2">
      <c r="A967" s="133" t="str">
        <f>"2320"</f>
        <v>2320</v>
      </c>
      <c r="B967" s="134" t="s">
        <v>1704</v>
      </c>
    </row>
    <row r="968" spans="1:2">
      <c r="A968" s="133" t="str">
        <f>"2321"</f>
        <v>2321</v>
      </c>
      <c r="B968" s="134" t="s">
        <v>1703</v>
      </c>
    </row>
    <row r="969" spans="1:2">
      <c r="A969" s="133" t="str">
        <f>"2322"</f>
        <v>2322</v>
      </c>
      <c r="B969" s="134" t="s">
        <v>1702</v>
      </c>
    </row>
    <row r="970" spans="1:2">
      <c r="A970" s="133" t="str">
        <f>"2323"</f>
        <v>2323</v>
      </c>
      <c r="B970" s="134" t="s">
        <v>1701</v>
      </c>
    </row>
    <row r="971" spans="1:2">
      <c r="A971" s="133" t="str">
        <f>"2324"</f>
        <v>2324</v>
      </c>
      <c r="B971" s="134" t="s">
        <v>1700</v>
      </c>
    </row>
    <row r="972" spans="1:2">
      <c r="A972" s="133" t="str">
        <f>"2325"</f>
        <v>2325</v>
      </c>
      <c r="B972" s="134" t="s">
        <v>1699</v>
      </c>
    </row>
    <row r="973" spans="1:2">
      <c r="A973" s="133" t="str">
        <f>"2326"</f>
        <v>2326</v>
      </c>
      <c r="B973" s="134" t="s">
        <v>1698</v>
      </c>
    </row>
    <row r="974" spans="1:2">
      <c r="A974" s="133" t="str">
        <f>"2327"</f>
        <v>2327</v>
      </c>
      <c r="B974" s="134" t="s">
        <v>1697</v>
      </c>
    </row>
    <row r="975" spans="1:2">
      <c r="A975" s="133" t="str">
        <f>"2328"</f>
        <v>2328</v>
      </c>
      <c r="B975" s="134" t="s">
        <v>1696</v>
      </c>
    </row>
    <row r="976" spans="1:2">
      <c r="A976" s="133" t="str">
        <f>"2329"</f>
        <v>2329</v>
      </c>
      <c r="B976" s="134" t="s">
        <v>1695</v>
      </c>
    </row>
    <row r="977" spans="1:2">
      <c r="A977" s="133" t="str">
        <f>"2330"</f>
        <v>2330</v>
      </c>
      <c r="B977" s="134" t="s">
        <v>1694</v>
      </c>
    </row>
    <row r="978" spans="1:2">
      <c r="A978" s="133" t="str">
        <f>"2331"</f>
        <v>2331</v>
      </c>
      <c r="B978" s="134" t="s">
        <v>1693</v>
      </c>
    </row>
    <row r="979" spans="1:2">
      <c r="A979" s="133" t="str">
        <f>"2332"</f>
        <v>2332</v>
      </c>
      <c r="B979" s="134" t="s">
        <v>1692</v>
      </c>
    </row>
    <row r="980" spans="1:2">
      <c r="A980" s="133" t="str">
        <f>"2333"</f>
        <v>2333</v>
      </c>
      <c r="B980" s="134" t="s">
        <v>1691</v>
      </c>
    </row>
    <row r="981" spans="1:2">
      <c r="A981" s="133" t="str">
        <f>"2334"</f>
        <v>2334</v>
      </c>
      <c r="B981" s="134" t="s">
        <v>1690</v>
      </c>
    </row>
    <row r="982" spans="1:2">
      <c r="A982" s="133" t="str">
        <f>"2335"</f>
        <v>2335</v>
      </c>
      <c r="B982" s="134" t="s">
        <v>1689</v>
      </c>
    </row>
    <row r="983" spans="1:2">
      <c r="A983" s="133" t="str">
        <f>"2336"</f>
        <v>2336</v>
      </c>
      <c r="B983" s="134" t="s">
        <v>1688</v>
      </c>
    </row>
    <row r="984" spans="1:2">
      <c r="A984" s="133" t="str">
        <f>"2337"</f>
        <v>2337</v>
      </c>
      <c r="B984" s="134" t="s">
        <v>1687</v>
      </c>
    </row>
    <row r="985" spans="1:2">
      <c r="A985" s="133" t="str">
        <f>"2338"</f>
        <v>2338</v>
      </c>
      <c r="B985" s="134" t="s">
        <v>1686</v>
      </c>
    </row>
    <row r="986" spans="1:2">
      <c r="A986" s="133" t="str">
        <f>"2339"</f>
        <v>2339</v>
      </c>
      <c r="B986" s="134" t="s">
        <v>1685</v>
      </c>
    </row>
    <row r="987" spans="1:2">
      <c r="A987" s="133" t="str">
        <f>"2340"</f>
        <v>2340</v>
      </c>
      <c r="B987" s="134" t="s">
        <v>1684</v>
      </c>
    </row>
    <row r="988" spans="1:2">
      <c r="A988" s="133" t="str">
        <f>"2401"</f>
        <v>2401</v>
      </c>
      <c r="B988" s="134" t="s">
        <v>1683</v>
      </c>
    </row>
    <row r="989" spans="1:2">
      <c r="A989" s="133" t="str">
        <f>"2402"</f>
        <v>2402</v>
      </c>
      <c r="B989" s="134" t="s">
        <v>1682</v>
      </c>
    </row>
    <row r="990" spans="1:2">
      <c r="A990" s="133" t="str">
        <f>"2403"</f>
        <v>2403</v>
      </c>
      <c r="B990" s="134" t="s">
        <v>1681</v>
      </c>
    </row>
    <row r="991" spans="1:2">
      <c r="A991" s="133" t="str">
        <f>"2404"</f>
        <v>2404</v>
      </c>
      <c r="B991" s="134" t="s">
        <v>1680</v>
      </c>
    </row>
    <row r="992" spans="1:2">
      <c r="A992" s="133" t="str">
        <f>"2405"</f>
        <v>2405</v>
      </c>
      <c r="B992" s="134" t="s">
        <v>1679</v>
      </c>
    </row>
    <row r="993" spans="1:2">
      <c r="A993" s="133" t="str">
        <f>"2406"</f>
        <v>2406</v>
      </c>
      <c r="B993" s="134" t="s">
        <v>1678</v>
      </c>
    </row>
    <row r="994" spans="1:2">
      <c r="A994" s="133" t="str">
        <f>"2407"</f>
        <v>2407</v>
      </c>
      <c r="B994" s="134" t="s">
        <v>1677</v>
      </c>
    </row>
    <row r="995" spans="1:2">
      <c r="A995" s="133" t="str">
        <f>"2408"</f>
        <v>2408</v>
      </c>
      <c r="B995" s="134" t="s">
        <v>1676</v>
      </c>
    </row>
    <row r="996" spans="1:2">
      <c r="A996" s="133" t="str">
        <f>"2409"</f>
        <v>2409</v>
      </c>
      <c r="B996" s="134" t="s">
        <v>1675</v>
      </c>
    </row>
    <row r="997" spans="1:2">
      <c r="A997" s="133" t="str">
        <f>"2410"</f>
        <v>2410</v>
      </c>
      <c r="B997" s="134" t="s">
        <v>1665</v>
      </c>
    </row>
    <row r="998" spans="1:2">
      <c r="A998" s="133" t="str">
        <f>"2411"</f>
        <v>2411</v>
      </c>
      <c r="B998" s="134" t="s">
        <v>1674</v>
      </c>
    </row>
    <row r="999" spans="1:2">
      <c r="A999" s="133" t="str">
        <f>"2412"</f>
        <v>2412</v>
      </c>
      <c r="B999" s="134" t="s">
        <v>1673</v>
      </c>
    </row>
    <row r="1000" spans="1:2">
      <c r="A1000" s="133" t="str">
        <f>"2413"</f>
        <v>2413</v>
      </c>
      <c r="B1000" s="134" t="s">
        <v>1672</v>
      </c>
    </row>
    <row r="1001" spans="1:2">
      <c r="A1001" s="133" t="str">
        <f>"2414"</f>
        <v>2414</v>
      </c>
      <c r="B1001" s="134" t="s">
        <v>1671</v>
      </c>
    </row>
    <row r="1002" spans="1:2">
      <c r="A1002" s="133" t="str">
        <f>"2415"</f>
        <v>2415</v>
      </c>
      <c r="B1002" s="134" t="s">
        <v>1670</v>
      </c>
    </row>
    <row r="1003" spans="1:2">
      <c r="A1003" s="133" t="str">
        <f>"2416"</f>
        <v>2416</v>
      </c>
      <c r="B1003" s="134" t="s">
        <v>1669</v>
      </c>
    </row>
    <row r="1004" spans="1:2">
      <c r="A1004" s="133" t="str">
        <f>"2417"</f>
        <v>2417</v>
      </c>
      <c r="B1004" s="134" t="s">
        <v>1668</v>
      </c>
    </row>
    <row r="1005" spans="1:2">
      <c r="A1005" s="133" t="str">
        <f>"2418"</f>
        <v>2418</v>
      </c>
      <c r="B1005" s="134" t="s">
        <v>1667</v>
      </c>
    </row>
    <row r="1006" spans="1:2">
      <c r="A1006" s="133" t="str">
        <f>"2419"</f>
        <v>2419</v>
      </c>
      <c r="B1006" s="134" t="s">
        <v>1666</v>
      </c>
    </row>
    <row r="1007" spans="1:2">
      <c r="A1007" s="133" t="str">
        <f>"2420"</f>
        <v>2420</v>
      </c>
      <c r="B1007" s="134" t="s">
        <v>1665</v>
      </c>
    </row>
    <row r="1008" spans="1:2">
      <c r="A1008" s="133" t="str">
        <f>"2501"</f>
        <v>2501</v>
      </c>
      <c r="B1008" s="134" t="s">
        <v>1664</v>
      </c>
    </row>
    <row r="1009" spans="1:2">
      <c r="A1009" s="133" t="str">
        <f>"2502"</f>
        <v>2502</v>
      </c>
      <c r="B1009" s="134" t="s">
        <v>1663</v>
      </c>
    </row>
    <row r="1010" spans="1:2">
      <c r="A1010" s="133" t="str">
        <f>"2503"</f>
        <v>2503</v>
      </c>
      <c r="B1010" s="134" t="s">
        <v>1662</v>
      </c>
    </row>
    <row r="1011" spans="1:2">
      <c r="A1011" s="133" t="str">
        <f>"2504"</f>
        <v>2504</v>
      </c>
      <c r="B1011" s="134" t="s">
        <v>1661</v>
      </c>
    </row>
    <row r="1012" spans="1:2">
      <c r="A1012" s="133" t="str">
        <f>"2505"</f>
        <v>2505</v>
      </c>
      <c r="B1012" s="134" t="s">
        <v>1660</v>
      </c>
    </row>
    <row r="1013" spans="1:2">
      <c r="A1013" s="133" t="str">
        <f>"2506"</f>
        <v>2506</v>
      </c>
      <c r="B1013" s="134" t="s">
        <v>1659</v>
      </c>
    </row>
    <row r="1014" spans="1:2">
      <c r="A1014" s="133" t="str">
        <f>"2507"</f>
        <v>2507</v>
      </c>
      <c r="B1014" s="134" t="s">
        <v>1658</v>
      </c>
    </row>
    <row r="1015" spans="1:2">
      <c r="A1015" s="133" t="str">
        <f>"2508"</f>
        <v>2508</v>
      </c>
      <c r="B1015" s="134" t="s">
        <v>1657</v>
      </c>
    </row>
    <row r="1016" spans="1:2">
      <c r="A1016" s="133" t="str">
        <f>"2509"</f>
        <v>2509</v>
      </c>
      <c r="B1016" s="134" t="s">
        <v>1656</v>
      </c>
    </row>
    <row r="1017" spans="1:2">
      <c r="A1017" s="133" t="str">
        <f>"2510"</f>
        <v>2510</v>
      </c>
      <c r="B1017" s="134" t="s">
        <v>1655</v>
      </c>
    </row>
    <row r="1018" spans="1:2">
      <c r="A1018" s="133" t="str">
        <f>"2511"</f>
        <v>2511</v>
      </c>
      <c r="B1018" s="134" t="s">
        <v>1654</v>
      </c>
    </row>
    <row r="1019" spans="1:2">
      <c r="A1019" s="133" t="str">
        <f>"2512"</f>
        <v>2512</v>
      </c>
      <c r="B1019" s="134" t="s">
        <v>1653</v>
      </c>
    </row>
    <row r="1020" spans="1:2">
      <c r="A1020" s="133" t="str">
        <f>"2513"</f>
        <v>2513</v>
      </c>
      <c r="B1020" s="134" t="s">
        <v>1652</v>
      </c>
    </row>
    <row r="1021" spans="1:2">
      <c r="A1021" s="133" t="str">
        <f>"2514"</f>
        <v>2514</v>
      </c>
      <c r="B1021" s="134" t="s">
        <v>1651</v>
      </c>
    </row>
    <row r="1022" spans="1:2">
      <c r="A1022" s="133" t="str">
        <f>"2515"</f>
        <v>2515</v>
      </c>
      <c r="B1022" s="134" t="s">
        <v>1650</v>
      </c>
    </row>
    <row r="1023" spans="1:2">
      <c r="A1023" s="133" t="str">
        <f>"2516"</f>
        <v>2516</v>
      </c>
      <c r="B1023" s="134" t="s">
        <v>1649</v>
      </c>
    </row>
    <row r="1024" spans="1:2">
      <c r="A1024" s="133" t="str">
        <f>"2517"</f>
        <v>2517</v>
      </c>
      <c r="B1024" s="134" t="s">
        <v>1648</v>
      </c>
    </row>
    <row r="1025" spans="1:2">
      <c r="A1025" s="133" t="str">
        <f>"2518"</f>
        <v>2518</v>
      </c>
      <c r="B1025" s="134" t="s">
        <v>1647</v>
      </c>
    </row>
    <row r="1026" spans="1:2">
      <c r="A1026" s="133" t="str">
        <f>"2519"</f>
        <v>2519</v>
      </c>
      <c r="B1026" s="134" t="s">
        <v>1646</v>
      </c>
    </row>
    <row r="1027" spans="1:2">
      <c r="A1027" s="133" t="str">
        <f>"2520"</f>
        <v>2520</v>
      </c>
      <c r="B1027" s="134" t="s">
        <v>1645</v>
      </c>
    </row>
    <row r="1028" spans="1:2">
      <c r="A1028" s="133" t="str">
        <f>"2521"</f>
        <v>2521</v>
      </c>
      <c r="B1028" s="134" t="s">
        <v>1644</v>
      </c>
    </row>
    <row r="1029" spans="1:2">
      <c r="A1029" s="133" t="str">
        <f>"2522"</f>
        <v>2522</v>
      </c>
      <c r="B1029" s="134" t="s">
        <v>1643</v>
      </c>
    </row>
    <row r="1030" spans="1:2">
      <c r="A1030" s="133" t="str">
        <f>"2523"</f>
        <v>2523</v>
      </c>
      <c r="B1030" s="134" t="s">
        <v>1642</v>
      </c>
    </row>
    <row r="1031" spans="1:2">
      <c r="A1031" s="133" t="str">
        <f>"2524"</f>
        <v>2524</v>
      </c>
      <c r="B1031" s="134" t="s">
        <v>1641</v>
      </c>
    </row>
    <row r="1032" spans="1:2">
      <c r="A1032" s="133" t="str">
        <f>"2525"</f>
        <v>2525</v>
      </c>
      <c r="B1032" s="134" t="s">
        <v>1640</v>
      </c>
    </row>
    <row r="1033" spans="1:2">
      <c r="A1033" s="133" t="str">
        <f>"2526"</f>
        <v>2526</v>
      </c>
      <c r="B1033" s="134" t="s">
        <v>1639</v>
      </c>
    </row>
    <row r="1034" spans="1:2">
      <c r="A1034" s="133" t="str">
        <f>"2527"</f>
        <v>2527</v>
      </c>
      <c r="B1034" s="134" t="s">
        <v>1638</v>
      </c>
    </row>
    <row r="1035" spans="1:2">
      <c r="A1035" s="133" t="str">
        <f>"2528"</f>
        <v>2528</v>
      </c>
      <c r="B1035" s="134" t="s">
        <v>1637</v>
      </c>
    </row>
    <row r="1036" spans="1:2">
      <c r="A1036" s="133" t="str">
        <f>"2529"</f>
        <v>2529</v>
      </c>
      <c r="B1036" s="134" t="s">
        <v>1636</v>
      </c>
    </row>
    <row r="1037" spans="1:2">
      <c r="A1037" s="133" t="str">
        <f>"2530"</f>
        <v>2530</v>
      </c>
      <c r="B1037" s="134" t="s">
        <v>1635</v>
      </c>
    </row>
    <row r="1038" spans="1:2">
      <c r="A1038" s="133" t="str">
        <f>"2531"</f>
        <v>2531</v>
      </c>
      <c r="B1038" s="134" t="s">
        <v>1634</v>
      </c>
    </row>
    <row r="1039" spans="1:2">
      <c r="A1039" s="133" t="str">
        <f>"2532"</f>
        <v>2532</v>
      </c>
      <c r="B1039" s="134" t="s">
        <v>1633</v>
      </c>
    </row>
    <row r="1040" spans="1:2">
      <c r="A1040" s="133" t="str">
        <f>"2533"</f>
        <v>2533</v>
      </c>
      <c r="B1040" s="134" t="s">
        <v>1632</v>
      </c>
    </row>
    <row r="1041" spans="1:2">
      <c r="A1041" s="133" t="str">
        <f>"2534"</f>
        <v>2534</v>
      </c>
      <c r="B1041" s="134" t="s">
        <v>1631</v>
      </c>
    </row>
    <row r="1042" spans="1:2">
      <c r="A1042" s="133" t="str">
        <f>"2535"</f>
        <v>2535</v>
      </c>
      <c r="B1042" s="134" t="s">
        <v>1630</v>
      </c>
    </row>
    <row r="1043" spans="1:2">
      <c r="A1043" s="133" t="str">
        <f>"2536"</f>
        <v>2536</v>
      </c>
      <c r="B1043" s="134" t="s">
        <v>1629</v>
      </c>
    </row>
    <row r="1044" spans="1:2">
      <c r="A1044" s="133" t="str">
        <f>"2537"</f>
        <v>2537</v>
      </c>
      <c r="B1044" s="134" t="s">
        <v>1628</v>
      </c>
    </row>
    <row r="1045" spans="1:2">
      <c r="A1045" s="133" t="str">
        <f>"2538"</f>
        <v>2538</v>
      </c>
      <c r="B1045" s="134" t="s">
        <v>1627</v>
      </c>
    </row>
    <row r="1046" spans="1:2">
      <c r="A1046" s="133" t="str">
        <f>"2539"</f>
        <v>2539</v>
      </c>
      <c r="B1046" s="134" t="s">
        <v>1626</v>
      </c>
    </row>
    <row r="1047" spans="1:2">
      <c r="A1047" s="133" t="str">
        <f>"2540"</f>
        <v>2540</v>
      </c>
      <c r="B1047" s="134" t="s">
        <v>1625</v>
      </c>
    </row>
    <row r="1048" spans="1:2">
      <c r="A1048" s="133" t="str">
        <f>"2601"</f>
        <v>2601</v>
      </c>
      <c r="B1048" s="134" t="s">
        <v>1624</v>
      </c>
    </row>
    <row r="1049" spans="1:2">
      <c r="A1049" s="133" t="str">
        <f>"2602"</f>
        <v>2602</v>
      </c>
      <c r="B1049" s="134" t="s">
        <v>1623</v>
      </c>
    </row>
    <row r="1050" spans="1:2">
      <c r="A1050" s="133" t="str">
        <f>"2603"</f>
        <v>2603</v>
      </c>
      <c r="B1050" s="134" t="s">
        <v>1622</v>
      </c>
    </row>
    <row r="1051" spans="1:2">
      <c r="A1051" s="133" t="str">
        <f>"2604"</f>
        <v>2604</v>
      </c>
      <c r="B1051" s="134" t="s">
        <v>1621</v>
      </c>
    </row>
    <row r="1052" spans="1:2">
      <c r="A1052" s="133" t="str">
        <f>"2605"</f>
        <v>2605</v>
      </c>
      <c r="B1052" s="134" t="s">
        <v>1620</v>
      </c>
    </row>
    <row r="1053" spans="1:2">
      <c r="A1053" s="133" t="str">
        <f>"2606"</f>
        <v>2606</v>
      </c>
      <c r="B1053" s="134" t="s">
        <v>1619</v>
      </c>
    </row>
    <row r="1054" spans="1:2">
      <c r="A1054" s="133" t="str">
        <f>"2607"</f>
        <v>2607</v>
      </c>
      <c r="B1054" s="134" t="s">
        <v>1618</v>
      </c>
    </row>
    <row r="1055" spans="1:2">
      <c r="A1055" s="133" t="str">
        <f>"2608"</f>
        <v>2608</v>
      </c>
      <c r="B1055" s="134" t="s">
        <v>1617</v>
      </c>
    </row>
    <row r="1056" spans="1:2">
      <c r="A1056" s="133" t="str">
        <f>"2609"</f>
        <v>2609</v>
      </c>
      <c r="B1056" s="134" t="s">
        <v>1616</v>
      </c>
    </row>
    <row r="1057" spans="1:2">
      <c r="A1057" s="133" t="str">
        <f>"2610"</f>
        <v>2610</v>
      </c>
      <c r="B1057" s="134" t="s">
        <v>1615</v>
      </c>
    </row>
    <row r="1058" spans="1:2">
      <c r="A1058" s="133" t="str">
        <f>"2611"</f>
        <v>2611</v>
      </c>
      <c r="B1058" s="134" t="s">
        <v>1614</v>
      </c>
    </row>
    <row r="1059" spans="1:2">
      <c r="A1059" s="133" t="str">
        <f>"2612"</f>
        <v>2612</v>
      </c>
      <c r="B1059" s="134" t="s">
        <v>1613</v>
      </c>
    </row>
    <row r="1060" spans="1:2">
      <c r="A1060" s="133" t="str">
        <f>"2613"</f>
        <v>2613</v>
      </c>
      <c r="B1060" s="134" t="s">
        <v>1612</v>
      </c>
    </row>
    <row r="1061" spans="1:2">
      <c r="A1061" s="133" t="str">
        <f>"2614"</f>
        <v>2614</v>
      </c>
      <c r="B1061" s="134" t="s">
        <v>1611</v>
      </c>
    </row>
    <row r="1062" spans="1:2">
      <c r="A1062" s="133" t="str">
        <f>"2615"</f>
        <v>2615</v>
      </c>
      <c r="B1062" s="134" t="s">
        <v>1610</v>
      </c>
    </row>
    <row r="1063" spans="1:2">
      <c r="A1063" s="133" t="str">
        <f>"2616"</f>
        <v>2616</v>
      </c>
      <c r="B1063" s="134" t="s">
        <v>1609</v>
      </c>
    </row>
    <row r="1064" spans="1:2">
      <c r="A1064" s="133" t="str">
        <f>"2617"</f>
        <v>2617</v>
      </c>
      <c r="B1064" s="134" t="s">
        <v>1608</v>
      </c>
    </row>
    <row r="1065" spans="1:2">
      <c r="A1065" s="133" t="str">
        <f>"2618"</f>
        <v>2618</v>
      </c>
      <c r="B1065" s="134" t="s">
        <v>1607</v>
      </c>
    </row>
    <row r="1066" spans="1:2">
      <c r="A1066" s="133" t="str">
        <f>"2619"</f>
        <v>2619</v>
      </c>
      <c r="B1066" s="134" t="s">
        <v>1606</v>
      </c>
    </row>
    <row r="1067" spans="1:2">
      <c r="A1067" s="133" t="str">
        <f>"2620"</f>
        <v>2620</v>
      </c>
      <c r="B1067" s="134" t="s">
        <v>1605</v>
      </c>
    </row>
    <row r="1068" spans="1:2">
      <c r="A1068" s="133" t="str">
        <f>"2631"</f>
        <v>2631</v>
      </c>
      <c r="B1068" s="134" t="s">
        <v>1604</v>
      </c>
    </row>
    <row r="1069" spans="1:2">
      <c r="A1069" s="133" t="str">
        <f>"2632"</f>
        <v>2632</v>
      </c>
      <c r="B1069" s="134" t="s">
        <v>1603</v>
      </c>
    </row>
    <row r="1070" spans="1:2">
      <c r="A1070" s="133" t="str">
        <f>"2633"</f>
        <v>2633</v>
      </c>
      <c r="B1070" s="134" t="s">
        <v>1602</v>
      </c>
    </row>
    <row r="1071" spans="1:2">
      <c r="A1071" s="133" t="str">
        <f>"2634"</f>
        <v>2634</v>
      </c>
      <c r="B1071" s="134" t="s">
        <v>1601</v>
      </c>
    </row>
    <row r="1072" spans="1:2">
      <c r="A1072" s="133" t="str">
        <f>"2635"</f>
        <v>2635</v>
      </c>
      <c r="B1072" s="134" t="s">
        <v>1600</v>
      </c>
    </row>
    <row r="1073" spans="1:2">
      <c r="A1073" s="133" t="str">
        <f>"2636"</f>
        <v>2636</v>
      </c>
      <c r="B1073" s="134" t="s">
        <v>1599</v>
      </c>
    </row>
    <row r="1074" spans="1:2">
      <c r="A1074" s="133" t="str">
        <f>"2637"</f>
        <v>2637</v>
      </c>
      <c r="B1074" s="134" t="s">
        <v>1598</v>
      </c>
    </row>
    <row r="1075" spans="1:2">
      <c r="A1075" s="133" t="str">
        <f>"2638"</f>
        <v>2638</v>
      </c>
      <c r="B1075" s="134" t="s">
        <v>1597</v>
      </c>
    </row>
    <row r="1076" spans="1:2">
      <c r="A1076" s="133" t="str">
        <f>"2639"</f>
        <v>2639</v>
      </c>
      <c r="B1076" s="134" t="s">
        <v>1596</v>
      </c>
    </row>
    <row r="1077" spans="1:2">
      <c r="A1077" s="133" t="str">
        <f>"2640"</f>
        <v>2640</v>
      </c>
      <c r="B1077" s="134" t="s">
        <v>1595</v>
      </c>
    </row>
    <row r="1078" spans="1:2">
      <c r="A1078" s="133" t="str">
        <f>"2641"</f>
        <v>2641</v>
      </c>
      <c r="B1078" s="134" t="s">
        <v>1594</v>
      </c>
    </row>
    <row r="1079" spans="1:2">
      <c r="A1079" s="133" t="str">
        <f>"2642"</f>
        <v>2642</v>
      </c>
      <c r="B1079" s="134" t="s">
        <v>1593</v>
      </c>
    </row>
    <row r="1080" spans="1:2">
      <c r="A1080" s="133" t="str">
        <f>"2643"</f>
        <v>2643</v>
      </c>
      <c r="B1080" s="134" t="s">
        <v>1592</v>
      </c>
    </row>
    <row r="1081" spans="1:2">
      <c r="A1081" s="133" t="str">
        <f>"2644"</f>
        <v>2644</v>
      </c>
      <c r="B1081" s="134" t="s">
        <v>1591</v>
      </c>
    </row>
    <row r="1082" spans="1:2">
      <c r="A1082" s="133" t="str">
        <f>"2645"</f>
        <v>2645</v>
      </c>
      <c r="B1082" s="134" t="s">
        <v>1590</v>
      </c>
    </row>
    <row r="1083" spans="1:2">
      <c r="A1083" s="133" t="str">
        <f>"2646"</f>
        <v>2646</v>
      </c>
      <c r="B1083" s="134" t="s">
        <v>1589</v>
      </c>
    </row>
    <row r="1084" spans="1:2">
      <c r="A1084" s="133" t="str">
        <f>"2647"</f>
        <v>2647</v>
      </c>
      <c r="B1084" s="134" t="s">
        <v>1588</v>
      </c>
    </row>
    <row r="1085" spans="1:2">
      <c r="A1085" s="133" t="str">
        <f>"2648"</f>
        <v>2648</v>
      </c>
      <c r="B1085" s="134" t="s">
        <v>1587</v>
      </c>
    </row>
    <row r="1086" spans="1:2">
      <c r="A1086" s="133" t="str">
        <f>"2701"</f>
        <v>2701</v>
      </c>
      <c r="B1086" s="134" t="s">
        <v>1586</v>
      </c>
    </row>
    <row r="1087" spans="1:2">
      <c r="A1087" s="133" t="str">
        <f>"2702"</f>
        <v>2702</v>
      </c>
      <c r="B1087" s="134" t="s">
        <v>1585</v>
      </c>
    </row>
    <row r="1088" spans="1:2">
      <c r="A1088" s="133" t="str">
        <f>"2703"</f>
        <v>2703</v>
      </c>
      <c r="B1088" s="134" t="s">
        <v>1584</v>
      </c>
    </row>
    <row r="1089" spans="1:2">
      <c r="A1089" s="133" t="str">
        <f>"2704"</f>
        <v>2704</v>
      </c>
      <c r="B1089" s="134" t="s">
        <v>1583</v>
      </c>
    </row>
    <row r="1090" spans="1:2">
      <c r="A1090" s="133" t="str">
        <f>"2705"</f>
        <v>2705</v>
      </c>
      <c r="B1090" s="134" t="s">
        <v>1582</v>
      </c>
    </row>
    <row r="1091" spans="1:2">
      <c r="A1091" s="133" t="str">
        <f>"2706"</f>
        <v>2706</v>
      </c>
      <c r="B1091" s="134" t="s">
        <v>1581</v>
      </c>
    </row>
    <row r="1092" spans="1:2">
      <c r="A1092" s="133" t="str">
        <f>"2707"</f>
        <v>2707</v>
      </c>
      <c r="B1092" s="134" t="s">
        <v>1580</v>
      </c>
    </row>
    <row r="1093" spans="1:2">
      <c r="A1093" s="133" t="str">
        <f>"2708"</f>
        <v>2708</v>
      </c>
      <c r="B1093" s="134" t="s">
        <v>1579</v>
      </c>
    </row>
    <row r="1094" spans="1:2">
      <c r="A1094" s="133" t="str">
        <f>"2709"</f>
        <v>2709</v>
      </c>
      <c r="B1094" s="134" t="s">
        <v>1578</v>
      </c>
    </row>
    <row r="1095" spans="1:2">
      <c r="A1095" s="133" t="str">
        <f>"2710"</f>
        <v>2710</v>
      </c>
      <c r="B1095" s="134" t="s">
        <v>1577</v>
      </c>
    </row>
    <row r="1096" spans="1:2">
      <c r="A1096" s="133" t="str">
        <f>"2711"</f>
        <v>2711</v>
      </c>
      <c r="B1096" s="134" t="s">
        <v>1576</v>
      </c>
    </row>
    <row r="1097" spans="1:2">
      <c r="A1097" s="133" t="str">
        <f>"2712"</f>
        <v>2712</v>
      </c>
      <c r="B1097" s="134" t="s">
        <v>1575</v>
      </c>
    </row>
    <row r="1098" spans="1:2">
      <c r="A1098" s="133" t="str">
        <f>"2713"</f>
        <v>2713</v>
      </c>
      <c r="B1098" s="134" t="s">
        <v>1574</v>
      </c>
    </row>
    <row r="1099" spans="1:2">
      <c r="A1099" s="133" t="str">
        <f>"2714"</f>
        <v>2714</v>
      </c>
      <c r="B1099" s="134" t="s">
        <v>1573</v>
      </c>
    </row>
    <row r="1100" spans="1:2">
      <c r="A1100" s="133" t="str">
        <f>"2715"</f>
        <v>2715</v>
      </c>
      <c r="B1100" s="134" t="s">
        <v>1572</v>
      </c>
    </row>
    <row r="1101" spans="1:2">
      <c r="A1101" s="133" t="str">
        <f>"2716"</f>
        <v>2716</v>
      </c>
      <c r="B1101" s="134" t="s">
        <v>1571</v>
      </c>
    </row>
    <row r="1102" spans="1:2">
      <c r="A1102" s="133" t="str">
        <f>"2717"</f>
        <v>2717</v>
      </c>
      <c r="B1102" s="134" t="s">
        <v>1570</v>
      </c>
    </row>
    <row r="1103" spans="1:2">
      <c r="A1103" s="133" t="str">
        <f>"2718"</f>
        <v>2718</v>
      </c>
      <c r="B1103" s="134" t="s">
        <v>1569</v>
      </c>
    </row>
    <row r="1104" spans="1:2">
      <c r="A1104" s="133" t="str">
        <f>"2719"</f>
        <v>2719</v>
      </c>
      <c r="B1104" s="134" t="s">
        <v>1568</v>
      </c>
    </row>
    <row r="1105" spans="1:2">
      <c r="A1105" s="133" t="str">
        <f>"2720"</f>
        <v>2720</v>
      </c>
      <c r="B1105" s="134" t="s">
        <v>1567</v>
      </c>
    </row>
    <row r="1106" spans="1:2">
      <c r="A1106" s="133" t="str">
        <f>"2801"</f>
        <v>2801</v>
      </c>
      <c r="B1106" s="134" t="s">
        <v>1566</v>
      </c>
    </row>
    <row r="1107" spans="1:2">
      <c r="A1107" s="133" t="str">
        <f>"2802"</f>
        <v>2802</v>
      </c>
      <c r="B1107" s="134" t="s">
        <v>1565</v>
      </c>
    </row>
    <row r="1108" spans="1:2">
      <c r="A1108" s="133" t="str">
        <f>"2803"</f>
        <v>2803</v>
      </c>
      <c r="B1108" s="134" t="s">
        <v>1564</v>
      </c>
    </row>
    <row r="1109" spans="1:2">
      <c r="A1109" s="133" t="str">
        <f>"2804"</f>
        <v>2804</v>
      </c>
      <c r="B1109" s="134" t="s">
        <v>1563</v>
      </c>
    </row>
    <row r="1110" spans="1:2">
      <c r="A1110" s="133" t="str">
        <f>"2805"</f>
        <v>2805</v>
      </c>
      <c r="B1110" s="134" t="s">
        <v>1562</v>
      </c>
    </row>
    <row r="1111" spans="1:2">
      <c r="A1111" s="133" t="str">
        <f>"2806"</f>
        <v>2806</v>
      </c>
      <c r="B1111" s="134" t="s">
        <v>1561</v>
      </c>
    </row>
    <row r="1112" spans="1:2">
      <c r="A1112" s="133" t="str">
        <f>"2807"</f>
        <v>2807</v>
      </c>
      <c r="B1112" s="134" t="s">
        <v>1560</v>
      </c>
    </row>
    <row r="1113" spans="1:2">
      <c r="A1113" s="133" t="str">
        <f>"2808"</f>
        <v>2808</v>
      </c>
      <c r="B1113" s="134" t="s">
        <v>1559</v>
      </c>
    </row>
    <row r="1114" spans="1:2">
      <c r="A1114" s="133" t="str">
        <f>"2809"</f>
        <v>2809</v>
      </c>
      <c r="B1114" s="134" t="s">
        <v>1558</v>
      </c>
    </row>
    <row r="1115" spans="1:2">
      <c r="A1115" s="133" t="str">
        <f>"2810"</f>
        <v>2810</v>
      </c>
      <c r="B1115" s="134" t="s">
        <v>1557</v>
      </c>
    </row>
    <row r="1116" spans="1:2">
      <c r="A1116" s="133" t="str">
        <f>"2811"</f>
        <v>2811</v>
      </c>
      <c r="B1116" s="134" t="s">
        <v>1556</v>
      </c>
    </row>
    <row r="1117" spans="1:2">
      <c r="A1117" s="133" t="str">
        <f>"2812"</f>
        <v>2812</v>
      </c>
      <c r="B1117" s="134" t="s">
        <v>1555</v>
      </c>
    </row>
    <row r="1118" spans="1:2">
      <c r="A1118" s="133" t="str">
        <f>"2813"</f>
        <v>2813</v>
      </c>
      <c r="B1118" s="134" t="s">
        <v>1554</v>
      </c>
    </row>
    <row r="1119" spans="1:2">
      <c r="A1119" s="133" t="str">
        <f>"2814"</f>
        <v>2814</v>
      </c>
      <c r="B1119" s="134" t="s">
        <v>1553</v>
      </c>
    </row>
    <row r="1120" spans="1:2">
      <c r="A1120" s="133" t="str">
        <f>"2815"</f>
        <v>2815</v>
      </c>
      <c r="B1120" s="134" t="s">
        <v>1552</v>
      </c>
    </row>
    <row r="1121" spans="1:2">
      <c r="A1121" s="133" t="str">
        <f>"2816"</f>
        <v>2816</v>
      </c>
      <c r="B1121" s="134" t="s">
        <v>1551</v>
      </c>
    </row>
    <row r="1122" spans="1:2">
      <c r="A1122" s="133" t="str">
        <f>"2817"</f>
        <v>2817</v>
      </c>
      <c r="B1122" s="134" t="s">
        <v>1550</v>
      </c>
    </row>
    <row r="1123" spans="1:2">
      <c r="A1123" s="133" t="str">
        <f>"2818"</f>
        <v>2818</v>
      </c>
      <c r="B1123" s="134" t="s">
        <v>1549</v>
      </c>
    </row>
    <row r="1124" spans="1:2">
      <c r="A1124" s="133" t="str">
        <f>"2819"</f>
        <v>2819</v>
      </c>
      <c r="B1124" s="134" t="s">
        <v>1548</v>
      </c>
    </row>
    <row r="1125" spans="1:2">
      <c r="A1125" s="133" t="str">
        <f>"2820"</f>
        <v>2820</v>
      </c>
      <c r="B1125" s="134" t="s">
        <v>1547</v>
      </c>
    </row>
    <row r="1126" spans="1:2">
      <c r="A1126" s="133" t="str">
        <f>"2901"</f>
        <v>2901</v>
      </c>
      <c r="B1126" s="134" t="s">
        <v>1546</v>
      </c>
    </row>
    <row r="1127" spans="1:2">
      <c r="A1127" s="133" t="str">
        <f>"2902"</f>
        <v>2902</v>
      </c>
      <c r="B1127" s="134" t="s">
        <v>1545</v>
      </c>
    </row>
    <row r="1128" spans="1:2">
      <c r="A1128" s="133" t="str">
        <f>"2903"</f>
        <v>2903</v>
      </c>
      <c r="B1128" s="134" t="s">
        <v>1544</v>
      </c>
    </row>
    <row r="1129" spans="1:2">
      <c r="A1129" s="133" t="str">
        <f>"2904"</f>
        <v>2904</v>
      </c>
      <c r="B1129" s="134" t="s">
        <v>1543</v>
      </c>
    </row>
    <row r="1130" spans="1:2">
      <c r="A1130" s="133" t="str">
        <f>"2905"</f>
        <v>2905</v>
      </c>
      <c r="B1130" s="134" t="s">
        <v>1542</v>
      </c>
    </row>
    <row r="1131" spans="1:2">
      <c r="A1131" s="133" t="str">
        <f>"2906"</f>
        <v>2906</v>
      </c>
      <c r="B1131" s="134" t="s">
        <v>1541</v>
      </c>
    </row>
    <row r="1132" spans="1:2">
      <c r="A1132" s="133" t="str">
        <f>"2907"</f>
        <v>2907</v>
      </c>
      <c r="B1132" s="134" t="s">
        <v>1540</v>
      </c>
    </row>
    <row r="1133" spans="1:2">
      <c r="A1133" s="133" t="str">
        <f>"2908"</f>
        <v>2908</v>
      </c>
      <c r="B1133" s="134" t="s">
        <v>1539</v>
      </c>
    </row>
    <row r="1134" spans="1:2">
      <c r="A1134" s="133" t="str">
        <f>"2909"</f>
        <v>2909</v>
      </c>
      <c r="B1134" s="134" t="s">
        <v>1538</v>
      </c>
    </row>
    <row r="1135" spans="1:2">
      <c r="A1135" s="133" t="str">
        <f>"2910"</f>
        <v>2910</v>
      </c>
      <c r="B1135" s="134" t="s">
        <v>1537</v>
      </c>
    </row>
    <row r="1136" spans="1:2">
      <c r="A1136" s="133" t="str">
        <f>"2911"</f>
        <v>2911</v>
      </c>
      <c r="B1136" s="134" t="s">
        <v>1536</v>
      </c>
    </row>
    <row r="1137" spans="1:2">
      <c r="A1137" s="133" t="str">
        <f>"2912"</f>
        <v>2912</v>
      </c>
      <c r="B1137" s="134" t="s">
        <v>1535</v>
      </c>
    </row>
    <row r="1138" spans="1:2">
      <c r="A1138" s="133" t="str">
        <f>"2913"</f>
        <v>2913</v>
      </c>
      <c r="B1138" s="134" t="s">
        <v>1534</v>
      </c>
    </row>
    <row r="1139" spans="1:2">
      <c r="A1139" s="133" t="str">
        <f>"2914"</f>
        <v>2914</v>
      </c>
      <c r="B1139" s="134" t="s">
        <v>1533</v>
      </c>
    </row>
    <row r="1140" spans="1:2">
      <c r="A1140" s="133" t="str">
        <f>"2915"</f>
        <v>2915</v>
      </c>
      <c r="B1140" s="134" t="s">
        <v>1532</v>
      </c>
    </row>
    <row r="1141" spans="1:2">
      <c r="A1141" s="133" t="str">
        <f>"2916"</f>
        <v>2916</v>
      </c>
      <c r="B1141" s="134" t="s">
        <v>1531</v>
      </c>
    </row>
    <row r="1142" spans="1:2">
      <c r="A1142" s="133" t="str">
        <f>"2917"</f>
        <v>2917</v>
      </c>
      <c r="B1142" s="134" t="s">
        <v>1530</v>
      </c>
    </row>
    <row r="1143" spans="1:2">
      <c r="A1143" s="133" t="str">
        <f>"2918"</f>
        <v>2918</v>
      </c>
      <c r="B1143" s="134" t="s">
        <v>1529</v>
      </c>
    </row>
    <row r="1144" spans="1:2">
      <c r="A1144" s="133" t="str">
        <f>"2919"</f>
        <v>2919</v>
      </c>
      <c r="B1144" s="134" t="s">
        <v>1528</v>
      </c>
    </row>
    <row r="1145" spans="1:2">
      <c r="A1145" s="133" t="str">
        <f>"2920"</f>
        <v>2920</v>
      </c>
      <c r="B1145" s="134" t="s">
        <v>1527</v>
      </c>
    </row>
    <row r="1146" spans="1:2">
      <c r="A1146" s="133" t="str">
        <f>"2921"</f>
        <v>2921</v>
      </c>
      <c r="B1146" s="134" t="s">
        <v>1526</v>
      </c>
    </row>
    <row r="1147" spans="1:2">
      <c r="A1147" s="133" t="str">
        <f>"2922"</f>
        <v>2922</v>
      </c>
      <c r="B1147" s="134" t="s">
        <v>1525</v>
      </c>
    </row>
    <row r="1148" spans="1:2">
      <c r="A1148" s="133" t="str">
        <f>"3000"</f>
        <v>3000</v>
      </c>
      <c r="B1148" s="134" t="s">
        <v>1524</v>
      </c>
    </row>
    <row r="1149" spans="1:2">
      <c r="A1149" s="133" t="str">
        <f>"3001"</f>
        <v>3001</v>
      </c>
      <c r="B1149" s="134" t="s">
        <v>1523</v>
      </c>
    </row>
    <row r="1150" spans="1:2">
      <c r="A1150" s="133" t="str">
        <f>"3201"</f>
        <v>3201</v>
      </c>
      <c r="B1150" s="134" t="s">
        <v>1522</v>
      </c>
    </row>
    <row r="1151" spans="1:2">
      <c r="A1151" s="133" t="str">
        <f>"3202"</f>
        <v>3202</v>
      </c>
      <c r="B1151" s="134" t="s">
        <v>1521</v>
      </c>
    </row>
    <row r="1152" spans="1:2">
      <c r="A1152" s="133" t="str">
        <f>"3203"</f>
        <v>3203</v>
      </c>
      <c r="B1152" s="134" t="s">
        <v>1520</v>
      </c>
    </row>
    <row r="1153" spans="1:2">
      <c r="A1153" s="133" t="str">
        <f>"3204"</f>
        <v>3204</v>
      </c>
      <c r="B1153" s="134" t="s">
        <v>1519</v>
      </c>
    </row>
    <row r="1154" spans="1:2">
      <c r="A1154" s="133" t="str">
        <f>"3205"</f>
        <v>3205</v>
      </c>
      <c r="B1154" s="134" t="s">
        <v>1518</v>
      </c>
    </row>
    <row r="1155" spans="1:2">
      <c r="A1155" s="133" t="str">
        <f>"3206"</f>
        <v>3206</v>
      </c>
      <c r="B1155" s="134" t="s">
        <v>1517</v>
      </c>
    </row>
    <row r="1156" spans="1:2">
      <c r="A1156" s="133" t="str">
        <f>"3207"</f>
        <v>3207</v>
      </c>
      <c r="B1156" s="134" t="s">
        <v>1516</v>
      </c>
    </row>
    <row r="1157" spans="1:2">
      <c r="A1157" s="133" t="str">
        <f>"3208"</f>
        <v>3208</v>
      </c>
      <c r="B1157" s="134" t="s">
        <v>1515</v>
      </c>
    </row>
    <row r="1158" spans="1:2">
      <c r="A1158" s="133" t="str">
        <f>"3209"</f>
        <v>3209</v>
      </c>
      <c r="B1158" s="134" t="s">
        <v>1514</v>
      </c>
    </row>
    <row r="1159" spans="1:2">
      <c r="A1159" s="133" t="str">
        <f>"3210"</f>
        <v>3210</v>
      </c>
      <c r="B1159" s="134" t="s">
        <v>1513</v>
      </c>
    </row>
    <row r="1160" spans="1:2">
      <c r="A1160" s="133" t="str">
        <f>"3211"</f>
        <v>3211</v>
      </c>
      <c r="B1160" s="134" t="s">
        <v>1512</v>
      </c>
    </row>
    <row r="1161" spans="1:2">
      <c r="A1161" s="133" t="str">
        <f>"3212"</f>
        <v>3212</v>
      </c>
      <c r="B1161" s="134" t="s">
        <v>1511</v>
      </c>
    </row>
    <row r="1162" spans="1:2">
      <c r="A1162" s="133" t="str">
        <f>"3213"</f>
        <v>3213</v>
      </c>
      <c r="B1162" s="134" t="s">
        <v>1510</v>
      </c>
    </row>
    <row r="1163" spans="1:2">
      <c r="A1163" s="133" t="str">
        <f>"3214"</f>
        <v>3214</v>
      </c>
      <c r="B1163" s="134" t="s">
        <v>1509</v>
      </c>
    </row>
    <row r="1164" spans="1:2">
      <c r="A1164" s="133" t="str">
        <f>"3215"</f>
        <v>3215</v>
      </c>
      <c r="B1164" s="134" t="s">
        <v>1508</v>
      </c>
    </row>
    <row r="1165" spans="1:2">
      <c r="A1165" s="133" t="str">
        <f>"3216"</f>
        <v>3216</v>
      </c>
      <c r="B1165" s="134" t="s">
        <v>1507</v>
      </c>
    </row>
    <row r="1166" spans="1:2">
      <c r="A1166" s="133" t="str">
        <f>"3217"</f>
        <v>3217</v>
      </c>
      <c r="B1166" s="134" t="s">
        <v>1506</v>
      </c>
    </row>
    <row r="1167" spans="1:2">
      <c r="A1167" s="133" t="str">
        <f>"3218"</f>
        <v>3218</v>
      </c>
      <c r="B1167" s="134" t="s">
        <v>1505</v>
      </c>
    </row>
    <row r="1168" spans="1:2">
      <c r="A1168" s="133" t="str">
        <f>"3219"</f>
        <v>3219</v>
      </c>
      <c r="B1168" s="134" t="s">
        <v>1504</v>
      </c>
    </row>
    <row r="1169" spans="1:2">
      <c r="A1169" s="133" t="str">
        <f>"3220"</f>
        <v>3220</v>
      </c>
      <c r="B1169" s="134" t="s">
        <v>1503</v>
      </c>
    </row>
    <row r="1170" spans="1:2">
      <c r="A1170" s="133" t="str">
        <f>"3221"</f>
        <v>3221</v>
      </c>
      <c r="B1170" s="134" t="s">
        <v>1502</v>
      </c>
    </row>
    <row r="1171" spans="1:2">
      <c r="A1171" s="133" t="str">
        <f>"3222"</f>
        <v>3222</v>
      </c>
      <c r="B1171" s="134" t="s">
        <v>1501</v>
      </c>
    </row>
    <row r="1172" spans="1:2">
      <c r="A1172" s="133" t="str">
        <f>"3223"</f>
        <v>3223</v>
      </c>
      <c r="B1172" s="134" t="s">
        <v>1500</v>
      </c>
    </row>
    <row r="1173" spans="1:2">
      <c r="A1173" s="133" t="str">
        <f>"3224"</f>
        <v>3224</v>
      </c>
      <c r="B1173" s="134" t="s">
        <v>1499</v>
      </c>
    </row>
    <row r="1174" spans="1:2">
      <c r="A1174" s="133" t="str">
        <f>"3225"</f>
        <v>3225</v>
      </c>
      <c r="B1174" s="134" t="s">
        <v>1498</v>
      </c>
    </row>
    <row r="1175" spans="1:2">
      <c r="A1175" s="133" t="str">
        <f>"3226"</f>
        <v>3226</v>
      </c>
      <c r="B1175" s="134" t="s">
        <v>1497</v>
      </c>
    </row>
    <row r="1176" spans="1:2">
      <c r="A1176" s="133" t="str">
        <f>"3227"</f>
        <v>3227</v>
      </c>
      <c r="B1176" s="134" t="s">
        <v>1496</v>
      </c>
    </row>
    <row r="1177" spans="1:2">
      <c r="A1177" s="133" t="str">
        <f>"3228"</f>
        <v>3228</v>
      </c>
      <c r="B1177" s="134" t="s">
        <v>1495</v>
      </c>
    </row>
    <row r="1178" spans="1:2">
      <c r="A1178" s="133" t="str">
        <f>"3229"</f>
        <v>3229</v>
      </c>
      <c r="B1178" s="134" t="s">
        <v>1494</v>
      </c>
    </row>
    <row r="1179" spans="1:2">
      <c r="A1179" s="133" t="str">
        <f>"3230"</f>
        <v>3230</v>
      </c>
      <c r="B1179" s="134" t="s">
        <v>1493</v>
      </c>
    </row>
    <row r="1180" spans="1:2">
      <c r="A1180" s="133" t="str">
        <f>"3231"</f>
        <v>3231</v>
      </c>
      <c r="B1180" s="134" t="s">
        <v>1492</v>
      </c>
    </row>
    <row r="1181" spans="1:2">
      <c r="A1181" s="133" t="str">
        <f>"3232"</f>
        <v>3232</v>
      </c>
      <c r="B1181" s="134" t="s">
        <v>1491</v>
      </c>
    </row>
    <row r="1182" spans="1:2">
      <c r="A1182" s="133" t="str">
        <f>"3233"</f>
        <v>3233</v>
      </c>
      <c r="B1182" s="134" t="s">
        <v>1490</v>
      </c>
    </row>
    <row r="1183" spans="1:2">
      <c r="A1183" s="133" t="str">
        <f>"3234"</f>
        <v>3234</v>
      </c>
      <c r="B1183" s="134" t="s">
        <v>1489</v>
      </c>
    </row>
    <row r="1184" spans="1:2">
      <c r="A1184" s="133" t="str">
        <f>"3235"</f>
        <v>3235</v>
      </c>
      <c r="B1184" s="134" t="s">
        <v>1488</v>
      </c>
    </row>
    <row r="1185" spans="1:2">
      <c r="A1185" s="133" t="str">
        <f>"3236"</f>
        <v>3236</v>
      </c>
      <c r="B1185" s="134" t="s">
        <v>1487</v>
      </c>
    </row>
    <row r="1186" spans="1:2">
      <c r="A1186" s="133" t="str">
        <f>"3237"</f>
        <v>3237</v>
      </c>
      <c r="B1186" s="134" t="s">
        <v>1486</v>
      </c>
    </row>
    <row r="1187" spans="1:2">
      <c r="A1187" s="133" t="str">
        <f>"3238"</f>
        <v>3238</v>
      </c>
      <c r="B1187" s="134" t="s">
        <v>1485</v>
      </c>
    </row>
    <row r="1188" spans="1:2">
      <c r="A1188" s="133" t="str">
        <f>"3239"</f>
        <v>3239</v>
      </c>
      <c r="B1188" s="134" t="s">
        <v>1484</v>
      </c>
    </row>
    <row r="1189" spans="1:2">
      <c r="A1189" s="133" t="str">
        <f>"3240"</f>
        <v>3240</v>
      </c>
      <c r="B1189" s="134" t="s">
        <v>1483</v>
      </c>
    </row>
    <row r="1190" spans="1:2">
      <c r="A1190" s="133" t="str">
        <f>"3241"</f>
        <v>3241</v>
      </c>
      <c r="B1190" s="134" t="s">
        <v>1482</v>
      </c>
    </row>
    <row r="1191" spans="1:2">
      <c r="A1191" s="133" t="str">
        <f>"3242"</f>
        <v>3242</v>
      </c>
      <c r="B1191" s="134" t="s">
        <v>1481</v>
      </c>
    </row>
    <row r="1192" spans="1:2">
      <c r="A1192" s="133" t="str">
        <f>"3243"</f>
        <v>3243</v>
      </c>
      <c r="B1192" s="134" t="s">
        <v>1480</v>
      </c>
    </row>
    <row r="1193" spans="1:2">
      <c r="A1193" s="133" t="str">
        <f>"3244"</f>
        <v>3244</v>
      </c>
      <c r="B1193" s="134" t="s">
        <v>1479</v>
      </c>
    </row>
    <row r="1194" spans="1:2">
      <c r="A1194" s="133" t="str">
        <f>"3245"</f>
        <v>3245</v>
      </c>
      <c r="B1194" s="134" t="s">
        <v>1478</v>
      </c>
    </row>
    <row r="1195" spans="1:2">
      <c r="A1195" s="133" t="str">
        <f>"3246"</f>
        <v>3246</v>
      </c>
      <c r="B1195" s="134" t="s">
        <v>1461</v>
      </c>
    </row>
    <row r="1196" spans="1:2">
      <c r="A1196" s="133" t="str">
        <f>"3247"</f>
        <v>3247</v>
      </c>
      <c r="B1196" s="134" t="s">
        <v>1477</v>
      </c>
    </row>
    <row r="1197" spans="1:2">
      <c r="A1197" s="133" t="str">
        <f>"3248"</f>
        <v>3248</v>
      </c>
      <c r="B1197" s="134" t="s">
        <v>1476</v>
      </c>
    </row>
    <row r="1198" spans="1:2">
      <c r="A1198" s="133" t="str">
        <f>"3249"</f>
        <v>3249</v>
      </c>
      <c r="B1198" s="134" t="s">
        <v>1475</v>
      </c>
    </row>
    <row r="1199" spans="1:2">
      <c r="A1199" s="133" t="str">
        <f>"3250"</f>
        <v>3250</v>
      </c>
      <c r="B1199" s="134" t="s">
        <v>1474</v>
      </c>
    </row>
    <row r="1200" spans="1:2">
      <c r="A1200" s="133" t="str">
        <f>"3251"</f>
        <v>3251</v>
      </c>
      <c r="B1200" s="134" t="s">
        <v>1473</v>
      </c>
    </row>
    <row r="1201" spans="1:2">
      <c r="A1201" s="133" t="str">
        <f>"3252"</f>
        <v>3252</v>
      </c>
      <c r="B1201" s="134" t="s">
        <v>1472</v>
      </c>
    </row>
    <row r="1202" spans="1:2">
      <c r="A1202" s="133" t="str">
        <f>"3253"</f>
        <v>3253</v>
      </c>
      <c r="B1202" s="134" t="s">
        <v>1471</v>
      </c>
    </row>
    <row r="1203" spans="1:2">
      <c r="A1203" s="133" t="str">
        <f>"3254"</f>
        <v>3254</v>
      </c>
      <c r="B1203" s="134" t="s">
        <v>1470</v>
      </c>
    </row>
    <row r="1204" spans="1:2">
      <c r="A1204" s="133" t="str">
        <f>"3255"</f>
        <v>3255</v>
      </c>
      <c r="B1204" s="134" t="s">
        <v>1469</v>
      </c>
    </row>
    <row r="1205" spans="1:2">
      <c r="A1205" s="133" t="str">
        <f>"3256"</f>
        <v>3256</v>
      </c>
      <c r="B1205" s="134" t="s">
        <v>1468</v>
      </c>
    </row>
    <row r="1206" spans="1:2">
      <c r="A1206" s="133" t="str">
        <f>"3257"</f>
        <v>3257</v>
      </c>
      <c r="B1206" s="134" t="s">
        <v>1467</v>
      </c>
    </row>
    <row r="1207" spans="1:2">
      <c r="A1207" s="133" t="str">
        <f>"3258"</f>
        <v>3258</v>
      </c>
      <c r="B1207" s="134" t="s">
        <v>1466</v>
      </c>
    </row>
    <row r="1208" spans="1:2">
      <c r="A1208" s="133" t="str">
        <f>"3259"</f>
        <v>3259</v>
      </c>
      <c r="B1208" s="134" t="s">
        <v>1454</v>
      </c>
    </row>
    <row r="1209" spans="1:2">
      <c r="A1209" s="133" t="str">
        <f>"3260"</f>
        <v>3260</v>
      </c>
      <c r="B1209" s="134" t="s">
        <v>1465</v>
      </c>
    </row>
    <row r="1210" spans="1:2">
      <c r="A1210" s="133" t="str">
        <f>"3261"</f>
        <v>3261</v>
      </c>
      <c r="B1210" s="134" t="s">
        <v>1464</v>
      </c>
    </row>
    <row r="1211" spans="1:2">
      <c r="A1211" s="133" t="str">
        <f>"3262"</f>
        <v>3262</v>
      </c>
      <c r="B1211" s="134" t="s">
        <v>1463</v>
      </c>
    </row>
    <row r="1212" spans="1:2">
      <c r="A1212" s="133" t="str">
        <f>"3263"</f>
        <v>3263</v>
      </c>
      <c r="B1212" s="134" t="s">
        <v>1462</v>
      </c>
    </row>
    <row r="1213" spans="1:2">
      <c r="A1213" s="133" t="str">
        <f>"3264"</f>
        <v>3264</v>
      </c>
      <c r="B1213" s="134" t="s">
        <v>1461</v>
      </c>
    </row>
    <row r="1214" spans="1:2">
      <c r="A1214" s="133" t="str">
        <f>"3265"</f>
        <v>3265</v>
      </c>
      <c r="B1214" s="134" t="s">
        <v>1460</v>
      </c>
    </row>
    <row r="1215" spans="1:2">
      <c r="A1215" s="133" t="str">
        <f>"3266"</f>
        <v>3266</v>
      </c>
      <c r="B1215" s="134" t="s">
        <v>1459</v>
      </c>
    </row>
    <row r="1216" spans="1:2">
      <c r="A1216" s="133" t="str">
        <f>"3267"</f>
        <v>3267</v>
      </c>
      <c r="B1216" s="134" t="s">
        <v>1458</v>
      </c>
    </row>
    <row r="1217" spans="1:2">
      <c r="A1217" s="133" t="str">
        <f>"3268"</f>
        <v>3268</v>
      </c>
      <c r="B1217" s="134" t="s">
        <v>1457</v>
      </c>
    </row>
    <row r="1218" spans="1:2">
      <c r="A1218" s="133" t="str">
        <f>"3269"</f>
        <v>3269</v>
      </c>
      <c r="B1218" s="134" t="s">
        <v>1456</v>
      </c>
    </row>
    <row r="1219" spans="1:2">
      <c r="A1219" s="133" t="str">
        <f>"3270"</f>
        <v>3270</v>
      </c>
      <c r="B1219" s="134" t="s">
        <v>714</v>
      </c>
    </row>
    <row r="1220" spans="1:2">
      <c r="A1220" s="133" t="str">
        <f>"3271"</f>
        <v>3271</v>
      </c>
      <c r="B1220" s="134" t="s">
        <v>1455</v>
      </c>
    </row>
    <row r="1221" spans="1:2">
      <c r="A1221" s="133" t="str">
        <f>"3272"</f>
        <v>3272</v>
      </c>
      <c r="B1221" s="134" t="s">
        <v>795</v>
      </c>
    </row>
    <row r="1222" spans="1:2">
      <c r="A1222" s="133" t="str">
        <f>"3273"</f>
        <v>3273</v>
      </c>
      <c r="B1222" s="134" t="s">
        <v>1454</v>
      </c>
    </row>
    <row r="1223" spans="1:2">
      <c r="A1223" s="133" t="str">
        <f>"3274"</f>
        <v>3274</v>
      </c>
      <c r="B1223" s="134" t="s">
        <v>1453</v>
      </c>
    </row>
    <row r="1224" spans="1:2">
      <c r="A1224" s="133" t="str">
        <f>"3275"</f>
        <v>3275</v>
      </c>
      <c r="B1224" s="134" t="s">
        <v>1452</v>
      </c>
    </row>
    <row r="1225" spans="1:2">
      <c r="A1225" s="133" t="str">
        <f>"3276"</f>
        <v>3276</v>
      </c>
      <c r="B1225" s="134" t="s">
        <v>1451</v>
      </c>
    </row>
    <row r="1226" spans="1:2">
      <c r="A1226" s="133" t="str">
        <f>"3277"</f>
        <v>3277</v>
      </c>
      <c r="B1226" s="134" t="s">
        <v>1450</v>
      </c>
    </row>
    <row r="1227" spans="1:2">
      <c r="A1227" s="133" t="str">
        <f>"3278"</f>
        <v>3278</v>
      </c>
      <c r="B1227" s="134" t="s">
        <v>1449</v>
      </c>
    </row>
    <row r="1228" spans="1:2">
      <c r="A1228" s="133" t="str">
        <f>"3279"</f>
        <v>3279</v>
      </c>
      <c r="B1228" s="134" t="s">
        <v>1448</v>
      </c>
    </row>
    <row r="1229" spans="1:2">
      <c r="A1229" s="133" t="str">
        <f>"3280"</f>
        <v>3280</v>
      </c>
      <c r="B1229" s="134" t="s">
        <v>1447</v>
      </c>
    </row>
    <row r="1230" spans="1:2">
      <c r="A1230" s="133" t="str">
        <f>"3281"</f>
        <v>3281</v>
      </c>
      <c r="B1230" s="134" t="s">
        <v>1446</v>
      </c>
    </row>
    <row r="1231" spans="1:2">
      <c r="A1231" s="133" t="str">
        <f>"3282"</f>
        <v>3282</v>
      </c>
      <c r="B1231" s="134" t="s">
        <v>1445</v>
      </c>
    </row>
    <row r="1232" spans="1:2">
      <c r="A1232" s="133" t="str">
        <f>"3283"</f>
        <v>3283</v>
      </c>
      <c r="B1232" s="134" t="s">
        <v>1188</v>
      </c>
    </row>
    <row r="1233" spans="1:2">
      <c r="A1233" s="133" t="str">
        <f>"3284"</f>
        <v>3284</v>
      </c>
      <c r="B1233" s="134" t="s">
        <v>1435</v>
      </c>
    </row>
    <row r="1234" spans="1:2">
      <c r="A1234" s="133" t="str">
        <f>"3285"</f>
        <v>3285</v>
      </c>
      <c r="B1234" s="134" t="s">
        <v>1444</v>
      </c>
    </row>
    <row r="1235" spans="1:2">
      <c r="A1235" s="133" t="str">
        <f>"3286"</f>
        <v>3286</v>
      </c>
      <c r="B1235" s="134" t="s">
        <v>1443</v>
      </c>
    </row>
    <row r="1236" spans="1:2">
      <c r="A1236" s="133" t="str">
        <f>"3287"</f>
        <v>3287</v>
      </c>
      <c r="B1236" s="134" t="s">
        <v>1442</v>
      </c>
    </row>
    <row r="1237" spans="1:2">
      <c r="A1237" s="133" t="str">
        <f>"3288"</f>
        <v>3288</v>
      </c>
      <c r="B1237" s="134" t="s">
        <v>1441</v>
      </c>
    </row>
    <row r="1238" spans="1:2">
      <c r="A1238" s="133" t="str">
        <f>"3289"</f>
        <v>3289</v>
      </c>
      <c r="B1238" s="134" t="s">
        <v>1440</v>
      </c>
    </row>
    <row r="1239" spans="1:2">
      <c r="A1239" s="133" t="str">
        <f>"3290"</f>
        <v>3290</v>
      </c>
      <c r="B1239" s="134" t="s">
        <v>491</v>
      </c>
    </row>
    <row r="1240" spans="1:2">
      <c r="A1240" s="133" t="str">
        <f>"3291"</f>
        <v>3291</v>
      </c>
      <c r="B1240" s="134" t="s">
        <v>1439</v>
      </c>
    </row>
    <row r="1241" spans="1:2">
      <c r="A1241" s="133" t="str">
        <f>"3292"</f>
        <v>3292</v>
      </c>
      <c r="B1241" s="134" t="s">
        <v>1438</v>
      </c>
    </row>
    <row r="1242" spans="1:2">
      <c r="A1242" s="133" t="str">
        <f>"3293"</f>
        <v>3293</v>
      </c>
      <c r="B1242" s="134" t="s">
        <v>1437</v>
      </c>
    </row>
    <row r="1243" spans="1:2">
      <c r="A1243" s="133" t="str">
        <f>"3294"</f>
        <v>3294</v>
      </c>
      <c r="B1243" s="134" t="s">
        <v>1436</v>
      </c>
    </row>
    <row r="1244" spans="1:2">
      <c r="A1244" s="133" t="str">
        <f>"3295"</f>
        <v>3295</v>
      </c>
      <c r="B1244" s="134" t="s">
        <v>1435</v>
      </c>
    </row>
    <row r="1245" spans="1:2">
      <c r="A1245" s="133" t="str">
        <f>"3296"</f>
        <v>3296</v>
      </c>
      <c r="B1245" s="134" t="s">
        <v>1434</v>
      </c>
    </row>
    <row r="1246" spans="1:2">
      <c r="A1246" s="133" t="str">
        <f>"3297"</f>
        <v>3297</v>
      </c>
      <c r="B1246" s="134" t="s">
        <v>1433</v>
      </c>
    </row>
    <row r="1247" spans="1:2">
      <c r="A1247" s="133" t="str">
        <f>"3298"</f>
        <v>3298</v>
      </c>
      <c r="B1247" s="134" t="s">
        <v>1432</v>
      </c>
    </row>
    <row r="1248" spans="1:2">
      <c r="A1248" s="133" t="str">
        <f>"3299"</f>
        <v>3299</v>
      </c>
      <c r="B1248" s="134" t="s">
        <v>1431</v>
      </c>
    </row>
    <row r="1249" spans="1:2">
      <c r="A1249" s="133" t="str">
        <f>"3300"</f>
        <v>3300</v>
      </c>
      <c r="B1249" s="134" t="s">
        <v>1430</v>
      </c>
    </row>
    <row r="1250" spans="1:2">
      <c r="A1250" s="133" t="str">
        <f>"3301"</f>
        <v>3301</v>
      </c>
      <c r="B1250" s="134" t="s">
        <v>1429</v>
      </c>
    </row>
    <row r="1251" spans="1:2">
      <c r="A1251" s="133" t="str">
        <f>"3302"</f>
        <v>3302</v>
      </c>
      <c r="B1251" s="134" t="s">
        <v>1428</v>
      </c>
    </row>
    <row r="1252" spans="1:2">
      <c r="A1252" s="133" t="str">
        <f>"3303"</f>
        <v>3303</v>
      </c>
      <c r="B1252" s="134" t="s">
        <v>1427</v>
      </c>
    </row>
    <row r="1253" spans="1:2">
      <c r="A1253" s="133" t="str">
        <f>"3304"</f>
        <v>3304</v>
      </c>
      <c r="B1253" s="134" t="s">
        <v>1426</v>
      </c>
    </row>
    <row r="1254" spans="1:2">
      <c r="A1254" s="133" t="str">
        <f>"3401"</f>
        <v>3401</v>
      </c>
      <c r="B1254" s="134" t="s">
        <v>1425</v>
      </c>
    </row>
    <row r="1255" spans="1:2">
      <c r="A1255" s="133" t="str">
        <f>"3402"</f>
        <v>3402</v>
      </c>
      <c r="B1255" s="134" t="s">
        <v>1424</v>
      </c>
    </row>
    <row r="1256" spans="1:2">
      <c r="A1256" s="133" t="str">
        <f>"3403"</f>
        <v>3403</v>
      </c>
      <c r="B1256" s="134" t="s">
        <v>1423</v>
      </c>
    </row>
    <row r="1257" spans="1:2">
      <c r="A1257" s="133" t="str">
        <f>"3404"</f>
        <v>3404</v>
      </c>
      <c r="B1257" s="134" t="s">
        <v>1422</v>
      </c>
    </row>
    <row r="1258" spans="1:2">
      <c r="A1258" s="133" t="str">
        <f>"3405"</f>
        <v>3405</v>
      </c>
      <c r="B1258" s="134" t="s">
        <v>1421</v>
      </c>
    </row>
    <row r="1259" spans="1:2">
      <c r="A1259" s="133" t="str">
        <f>"3406"</f>
        <v>3406</v>
      </c>
      <c r="B1259" s="134" t="s">
        <v>1420</v>
      </c>
    </row>
    <row r="1260" spans="1:2">
      <c r="A1260" s="133" t="str">
        <f>"3407"</f>
        <v>3407</v>
      </c>
      <c r="B1260" s="134" t="s">
        <v>1419</v>
      </c>
    </row>
    <row r="1261" spans="1:2">
      <c r="A1261" s="133" t="str">
        <f>"3408"</f>
        <v>3408</v>
      </c>
      <c r="B1261" s="134" t="s">
        <v>1418</v>
      </c>
    </row>
    <row r="1262" spans="1:2">
      <c r="A1262" s="133" t="str">
        <f>"3409"</f>
        <v>3409</v>
      </c>
      <c r="B1262" s="134" t="s">
        <v>1417</v>
      </c>
    </row>
    <row r="1263" spans="1:2">
      <c r="A1263" s="133" t="str">
        <f>"3410"</f>
        <v>3410</v>
      </c>
      <c r="B1263" s="134" t="s">
        <v>1416</v>
      </c>
    </row>
    <row r="1264" spans="1:2">
      <c r="A1264" s="133" t="str">
        <f>"3411"</f>
        <v>3411</v>
      </c>
      <c r="B1264" s="134" t="s">
        <v>1415</v>
      </c>
    </row>
    <row r="1265" spans="1:2">
      <c r="A1265" s="133" t="str">
        <f>"3412"</f>
        <v>3412</v>
      </c>
      <c r="B1265" s="134" t="s">
        <v>1414</v>
      </c>
    </row>
    <row r="1266" spans="1:2">
      <c r="A1266" s="133" t="str">
        <f>"3413"</f>
        <v>3413</v>
      </c>
      <c r="B1266" s="134" t="s">
        <v>1413</v>
      </c>
    </row>
    <row r="1267" spans="1:2">
      <c r="A1267" s="133" t="str">
        <f>"3414"</f>
        <v>3414</v>
      </c>
      <c r="B1267" s="134" t="s">
        <v>1412</v>
      </c>
    </row>
    <row r="1268" spans="1:2">
      <c r="A1268" s="133" t="str">
        <f>"3415"</f>
        <v>3415</v>
      </c>
      <c r="B1268" s="134" t="s">
        <v>1411</v>
      </c>
    </row>
    <row r="1269" spans="1:2">
      <c r="A1269" s="133" t="str">
        <f>"3416"</f>
        <v>3416</v>
      </c>
      <c r="B1269" s="134" t="s">
        <v>1410</v>
      </c>
    </row>
    <row r="1270" spans="1:2">
      <c r="A1270" s="133" t="str">
        <f>"3417"</f>
        <v>3417</v>
      </c>
      <c r="B1270" s="134" t="s">
        <v>1409</v>
      </c>
    </row>
    <row r="1271" spans="1:2">
      <c r="A1271" s="133" t="str">
        <f>"3418"</f>
        <v>3418</v>
      </c>
      <c r="B1271" s="134" t="s">
        <v>1408</v>
      </c>
    </row>
    <row r="1272" spans="1:2">
      <c r="A1272" s="133" t="str">
        <f>"3419"</f>
        <v>3419</v>
      </c>
      <c r="B1272" s="134" t="s">
        <v>1407</v>
      </c>
    </row>
    <row r="1273" spans="1:2">
      <c r="A1273" s="133" t="str">
        <f>"3420"</f>
        <v>3420</v>
      </c>
      <c r="B1273" s="134" t="s">
        <v>1406</v>
      </c>
    </row>
    <row r="1274" spans="1:2">
      <c r="A1274" s="133" t="str">
        <f>"3421"</f>
        <v>3421</v>
      </c>
      <c r="B1274" s="134" t="s">
        <v>1405</v>
      </c>
    </row>
    <row r="1275" spans="1:2">
      <c r="A1275" s="133" t="str">
        <f>"3422"</f>
        <v>3422</v>
      </c>
      <c r="B1275" s="134" t="s">
        <v>1404</v>
      </c>
    </row>
    <row r="1276" spans="1:2">
      <c r="A1276" s="133" t="str">
        <f>"3423"</f>
        <v>3423</v>
      </c>
      <c r="B1276" s="134" t="s">
        <v>1403</v>
      </c>
    </row>
    <row r="1277" spans="1:2">
      <c r="A1277" s="133" t="str">
        <f>"3424"</f>
        <v>3424</v>
      </c>
      <c r="B1277" s="134" t="s">
        <v>1402</v>
      </c>
    </row>
    <row r="1278" spans="1:2">
      <c r="A1278" s="133" t="str">
        <f>"3425"</f>
        <v>3425</v>
      </c>
      <c r="B1278" s="134" t="s">
        <v>1401</v>
      </c>
    </row>
    <row r="1279" spans="1:2">
      <c r="A1279" s="133" t="str">
        <f>"3426"</f>
        <v>3426</v>
      </c>
      <c r="B1279" s="134" t="s">
        <v>1400</v>
      </c>
    </row>
    <row r="1280" spans="1:2">
      <c r="A1280" s="133" t="str">
        <f>"3427"</f>
        <v>3427</v>
      </c>
      <c r="B1280" s="134" t="s">
        <v>1399</v>
      </c>
    </row>
    <row r="1281" spans="1:2">
      <c r="A1281" s="133" t="str">
        <f>"3428"</f>
        <v>3428</v>
      </c>
      <c r="B1281" s="134" t="s">
        <v>1398</v>
      </c>
    </row>
    <row r="1282" spans="1:2">
      <c r="A1282" s="133" t="str">
        <f>"3429"</f>
        <v>3429</v>
      </c>
      <c r="B1282" s="134" t="s">
        <v>1397</v>
      </c>
    </row>
    <row r="1283" spans="1:2">
      <c r="A1283" s="133" t="str">
        <f>"3430"</f>
        <v>3430</v>
      </c>
      <c r="B1283" s="134" t="s">
        <v>1396</v>
      </c>
    </row>
    <row r="1284" spans="1:2">
      <c r="A1284" s="133" t="str">
        <f>"3431"</f>
        <v>3431</v>
      </c>
      <c r="B1284" s="134" t="s">
        <v>1395</v>
      </c>
    </row>
    <row r="1285" spans="1:2">
      <c r="A1285" s="133" t="str">
        <f>"3432"</f>
        <v>3432</v>
      </c>
      <c r="B1285" s="134" t="s">
        <v>1394</v>
      </c>
    </row>
    <row r="1286" spans="1:2">
      <c r="A1286" s="133" t="str">
        <f>"3433"</f>
        <v>3433</v>
      </c>
      <c r="B1286" s="134" t="s">
        <v>1393</v>
      </c>
    </row>
    <row r="1287" spans="1:2">
      <c r="A1287" s="133" t="str">
        <f>"3434"</f>
        <v>3434</v>
      </c>
      <c r="B1287" s="134" t="s">
        <v>1392</v>
      </c>
    </row>
    <row r="1288" spans="1:2">
      <c r="A1288" s="133" t="str">
        <f>"3435"</f>
        <v>3435</v>
      </c>
      <c r="B1288" s="134" t="s">
        <v>1391</v>
      </c>
    </row>
    <row r="1289" spans="1:2">
      <c r="A1289" s="133" t="str">
        <f>"3436"</f>
        <v>3436</v>
      </c>
      <c r="B1289" s="134" t="s">
        <v>1390</v>
      </c>
    </row>
    <row r="1290" spans="1:2">
      <c r="A1290" s="133" t="str">
        <f>"3437"</f>
        <v>3437</v>
      </c>
      <c r="B1290" s="134" t="s">
        <v>1389</v>
      </c>
    </row>
    <row r="1291" spans="1:2">
      <c r="A1291" s="133" t="str">
        <f>"3438"</f>
        <v>3438</v>
      </c>
      <c r="B1291" s="134" t="s">
        <v>1388</v>
      </c>
    </row>
    <row r="1292" spans="1:2">
      <c r="A1292" s="133" t="str">
        <f>"3439"</f>
        <v>3439</v>
      </c>
      <c r="B1292" s="134" t="s">
        <v>1387</v>
      </c>
    </row>
    <row r="1293" spans="1:2">
      <c r="A1293" s="133" t="str">
        <f>"3440"</f>
        <v>3440</v>
      </c>
      <c r="B1293" s="134" t="s">
        <v>1386</v>
      </c>
    </row>
    <row r="1294" spans="1:2">
      <c r="A1294" s="133" t="str">
        <f>"3441"</f>
        <v>3441</v>
      </c>
      <c r="B1294" s="134" t="s">
        <v>1385</v>
      </c>
    </row>
    <row r="1295" spans="1:2">
      <c r="A1295" s="133" t="str">
        <f>"3442"</f>
        <v>3442</v>
      </c>
      <c r="B1295" s="134" t="s">
        <v>1384</v>
      </c>
    </row>
    <row r="1296" spans="1:2">
      <c r="A1296" s="133" t="str">
        <f>"3443"</f>
        <v>3443</v>
      </c>
      <c r="B1296" s="134" t="s">
        <v>1383</v>
      </c>
    </row>
    <row r="1297" spans="1:2">
      <c r="A1297" s="133" t="str">
        <f>"3444"</f>
        <v>3444</v>
      </c>
      <c r="B1297" s="134" t="s">
        <v>1382</v>
      </c>
    </row>
    <row r="1298" spans="1:2">
      <c r="A1298" s="133" t="str">
        <f>"3445"</f>
        <v>3445</v>
      </c>
      <c r="B1298" s="134" t="s">
        <v>1381</v>
      </c>
    </row>
    <row r="1299" spans="1:2">
      <c r="A1299" s="133" t="str">
        <f>"3446"</f>
        <v>3446</v>
      </c>
      <c r="B1299" s="134" t="s">
        <v>1380</v>
      </c>
    </row>
    <row r="1300" spans="1:2">
      <c r="A1300" s="133" t="str">
        <f>"3447"</f>
        <v>3447</v>
      </c>
      <c r="B1300" s="134" t="s">
        <v>1379</v>
      </c>
    </row>
    <row r="1301" spans="1:2">
      <c r="A1301" s="133" t="str">
        <f>"3448"</f>
        <v>3448</v>
      </c>
      <c r="B1301" s="134" t="s">
        <v>1378</v>
      </c>
    </row>
    <row r="1302" spans="1:2">
      <c r="A1302" s="133" t="str">
        <f>"3449"</f>
        <v>3449</v>
      </c>
      <c r="B1302" s="134" t="s">
        <v>1377</v>
      </c>
    </row>
    <row r="1303" spans="1:2">
      <c r="A1303" s="133" t="str">
        <f>"3450"</f>
        <v>3450</v>
      </c>
      <c r="B1303" s="134" t="s">
        <v>1376</v>
      </c>
    </row>
    <row r="1304" spans="1:2">
      <c r="A1304" s="133" t="str">
        <f>"3451"</f>
        <v>3451</v>
      </c>
      <c r="B1304" s="134" t="s">
        <v>1375</v>
      </c>
    </row>
    <row r="1305" spans="1:2">
      <c r="A1305" s="133" t="str">
        <f>"3452"</f>
        <v>3452</v>
      </c>
      <c r="B1305" s="134" t="s">
        <v>1374</v>
      </c>
    </row>
    <row r="1306" spans="1:2">
      <c r="A1306" s="133" t="str">
        <f>"3453"</f>
        <v>3453</v>
      </c>
      <c r="B1306" s="134" t="s">
        <v>1373</v>
      </c>
    </row>
    <row r="1307" spans="1:2">
      <c r="A1307" s="133" t="str">
        <f>"3454"</f>
        <v>3454</v>
      </c>
      <c r="B1307" s="134" t="s">
        <v>1372</v>
      </c>
    </row>
    <row r="1308" spans="1:2">
      <c r="A1308" s="133" t="str">
        <f>"3455"</f>
        <v>3455</v>
      </c>
      <c r="B1308" s="134" t="s">
        <v>1371</v>
      </c>
    </row>
    <row r="1309" spans="1:2">
      <c r="A1309" s="133" t="str">
        <f>"3456"</f>
        <v>3456</v>
      </c>
      <c r="B1309" s="134" t="s">
        <v>1370</v>
      </c>
    </row>
    <row r="1310" spans="1:2">
      <c r="A1310" s="133" t="str">
        <f>"3457"</f>
        <v>3457</v>
      </c>
      <c r="B1310" s="134" t="s">
        <v>1369</v>
      </c>
    </row>
    <row r="1311" spans="1:2">
      <c r="A1311" s="133" t="str">
        <f>"3458"</f>
        <v>3458</v>
      </c>
      <c r="B1311" s="134" t="s">
        <v>1368</v>
      </c>
    </row>
    <row r="1312" spans="1:2">
      <c r="A1312" s="133" t="str">
        <f>"3459"</f>
        <v>3459</v>
      </c>
      <c r="B1312" s="134" t="s">
        <v>1367</v>
      </c>
    </row>
    <row r="1313" spans="1:2">
      <c r="A1313" s="133" t="str">
        <f>"3460"</f>
        <v>3460</v>
      </c>
      <c r="B1313" s="134" t="s">
        <v>1366</v>
      </c>
    </row>
    <row r="1314" spans="1:2">
      <c r="A1314" s="133" t="str">
        <f>"3461"</f>
        <v>3461</v>
      </c>
      <c r="B1314" s="134" t="s">
        <v>1365</v>
      </c>
    </row>
    <row r="1315" spans="1:2">
      <c r="A1315" s="133" t="str">
        <f>"3462"</f>
        <v>3462</v>
      </c>
      <c r="B1315" s="134" t="s">
        <v>1364</v>
      </c>
    </row>
    <row r="1316" spans="1:2">
      <c r="A1316" s="133" t="str">
        <f>"3463"</f>
        <v>3463</v>
      </c>
      <c r="B1316" s="134" t="s">
        <v>1363</v>
      </c>
    </row>
    <row r="1317" spans="1:2">
      <c r="A1317" s="133" t="str">
        <f>"3464"</f>
        <v>3464</v>
      </c>
      <c r="B1317" s="134" t="s">
        <v>1362</v>
      </c>
    </row>
    <row r="1318" spans="1:2">
      <c r="A1318" s="133" t="str">
        <f>"3465"</f>
        <v>3465</v>
      </c>
      <c r="B1318" s="134" t="s">
        <v>1361</v>
      </c>
    </row>
    <row r="1319" spans="1:2">
      <c r="A1319" s="133" t="str">
        <f>"3466"</f>
        <v>3466</v>
      </c>
      <c r="B1319" s="134" t="s">
        <v>1360</v>
      </c>
    </row>
    <row r="1320" spans="1:2">
      <c r="A1320" s="133" t="str">
        <f>"3467"</f>
        <v>3467</v>
      </c>
      <c r="B1320" s="134" t="s">
        <v>1359</v>
      </c>
    </row>
    <row r="1321" spans="1:2">
      <c r="A1321" s="133" t="str">
        <f>"3468"</f>
        <v>3468</v>
      </c>
      <c r="B1321" s="134" t="s">
        <v>1358</v>
      </c>
    </row>
    <row r="1322" spans="1:2">
      <c r="A1322" s="133" t="str">
        <f>"3469"</f>
        <v>3469</v>
      </c>
      <c r="B1322" s="134" t="s">
        <v>1357</v>
      </c>
    </row>
    <row r="1323" spans="1:2">
      <c r="A1323" s="133" t="str">
        <f>"3470"</f>
        <v>3470</v>
      </c>
      <c r="B1323" s="134" t="s">
        <v>1356</v>
      </c>
    </row>
    <row r="1324" spans="1:2">
      <c r="A1324" s="133" t="str">
        <f>"3471"</f>
        <v>3471</v>
      </c>
      <c r="B1324" s="134" t="s">
        <v>1355</v>
      </c>
    </row>
    <row r="1325" spans="1:2">
      <c r="A1325" s="133" t="str">
        <f>"3472"</f>
        <v>3472</v>
      </c>
      <c r="B1325" s="134" t="s">
        <v>1354</v>
      </c>
    </row>
    <row r="1326" spans="1:2">
      <c r="A1326" s="133" t="str">
        <f>"3473"</f>
        <v>3473</v>
      </c>
      <c r="B1326" s="134" t="s">
        <v>1353</v>
      </c>
    </row>
    <row r="1327" spans="1:2">
      <c r="A1327" s="133" t="str">
        <f>"3474"</f>
        <v>3474</v>
      </c>
      <c r="B1327" s="134" t="s">
        <v>1352</v>
      </c>
    </row>
    <row r="1328" spans="1:2">
      <c r="A1328" s="133" t="str">
        <f>"3475"</f>
        <v>3475</v>
      </c>
      <c r="B1328" s="134" t="s">
        <v>1351</v>
      </c>
    </row>
    <row r="1329" spans="1:2">
      <c r="A1329" s="133" t="str">
        <f>"3476"</f>
        <v>3476</v>
      </c>
      <c r="B1329" s="134" t="s">
        <v>1350</v>
      </c>
    </row>
    <row r="1330" spans="1:2">
      <c r="A1330" s="133" t="str">
        <f>"3477"</f>
        <v>3477</v>
      </c>
      <c r="B1330" s="134" t="s">
        <v>1349</v>
      </c>
    </row>
    <row r="1331" spans="1:2">
      <c r="A1331" s="133" t="str">
        <f>"3478"</f>
        <v>3478</v>
      </c>
      <c r="B1331" s="134" t="s">
        <v>1348</v>
      </c>
    </row>
    <row r="1332" spans="1:2">
      <c r="A1332" s="133" t="str">
        <f>"3479"</f>
        <v>3479</v>
      </c>
      <c r="B1332" s="134" t="s">
        <v>1344</v>
      </c>
    </row>
    <row r="1333" spans="1:2">
      <c r="A1333" s="133" t="str">
        <f>"3480"</f>
        <v>3480</v>
      </c>
      <c r="B1333" s="134" t="s">
        <v>1347</v>
      </c>
    </row>
    <row r="1334" spans="1:2">
      <c r="A1334" s="133" t="str">
        <f>"3481"</f>
        <v>3481</v>
      </c>
      <c r="B1334" s="134" t="s">
        <v>1346</v>
      </c>
    </row>
    <row r="1335" spans="1:2">
      <c r="A1335" s="133" t="str">
        <f>"3482"</f>
        <v>3482</v>
      </c>
      <c r="B1335" s="134" t="s">
        <v>1345</v>
      </c>
    </row>
    <row r="1336" spans="1:2">
      <c r="A1336" s="133" t="str">
        <f>"3483"</f>
        <v>3483</v>
      </c>
      <c r="B1336" s="134" t="s">
        <v>1344</v>
      </c>
    </row>
    <row r="1337" spans="1:2">
      <c r="A1337" s="133" t="str">
        <f>"3484"</f>
        <v>3484</v>
      </c>
      <c r="B1337" s="134" t="s">
        <v>1343</v>
      </c>
    </row>
    <row r="1338" spans="1:2">
      <c r="A1338" s="133" t="str">
        <f>"3485"</f>
        <v>3485</v>
      </c>
      <c r="B1338" s="134" t="s">
        <v>1342</v>
      </c>
    </row>
    <row r="1339" spans="1:2">
      <c r="A1339" s="133" t="str">
        <f>"3486"</f>
        <v>3486</v>
      </c>
      <c r="B1339" s="134" t="s">
        <v>1341</v>
      </c>
    </row>
    <row r="1340" spans="1:2">
      <c r="A1340" s="133" t="str">
        <f>"3487"</f>
        <v>3487</v>
      </c>
      <c r="B1340" s="134" t="s">
        <v>1340</v>
      </c>
    </row>
    <row r="1341" spans="1:2">
      <c r="A1341" s="133" t="str">
        <f>"3488"</f>
        <v>3488</v>
      </c>
      <c r="B1341" s="134" t="s">
        <v>1339</v>
      </c>
    </row>
    <row r="1342" spans="1:2">
      <c r="A1342" s="133" t="str">
        <f>"3489"</f>
        <v>3489</v>
      </c>
      <c r="B1342" s="134" t="s">
        <v>1338</v>
      </c>
    </row>
    <row r="1343" spans="1:2">
      <c r="A1343" s="133" t="str">
        <f>"3490"</f>
        <v>3490</v>
      </c>
      <c r="B1343" s="134" t="s">
        <v>1337</v>
      </c>
    </row>
    <row r="1344" spans="1:2">
      <c r="A1344" s="133" t="str">
        <f>"3491"</f>
        <v>3491</v>
      </c>
      <c r="B1344" s="134" t="s">
        <v>1336</v>
      </c>
    </row>
    <row r="1345" spans="1:2">
      <c r="A1345" s="133" t="str">
        <f>"3492"</f>
        <v>3492</v>
      </c>
      <c r="B1345" s="134" t="s">
        <v>1335</v>
      </c>
    </row>
    <row r="1346" spans="1:2">
      <c r="A1346" s="133" t="str">
        <f>"3493"</f>
        <v>3493</v>
      </c>
      <c r="B1346" s="134" t="s">
        <v>1334</v>
      </c>
    </row>
    <row r="1347" spans="1:2">
      <c r="A1347" s="133" t="str">
        <f>"3494"</f>
        <v>3494</v>
      </c>
      <c r="B1347" s="134" t="s">
        <v>1333</v>
      </c>
    </row>
    <row r="1348" spans="1:2">
      <c r="A1348" s="133" t="str">
        <f>"3495"</f>
        <v>3495</v>
      </c>
      <c r="B1348" s="134" t="s">
        <v>1332</v>
      </c>
    </row>
    <row r="1349" spans="1:2">
      <c r="A1349" s="133" t="str">
        <f>"3496"</f>
        <v>3496</v>
      </c>
      <c r="B1349" s="134" t="s">
        <v>1331</v>
      </c>
    </row>
    <row r="1350" spans="1:2">
      <c r="A1350" s="133" t="str">
        <f>"3497"</f>
        <v>3497</v>
      </c>
      <c r="B1350" s="134" t="s">
        <v>1330</v>
      </c>
    </row>
    <row r="1351" spans="1:2">
      <c r="A1351" s="133" t="str">
        <f>"3498"</f>
        <v>3498</v>
      </c>
      <c r="B1351" s="134" t="s">
        <v>1329</v>
      </c>
    </row>
    <row r="1352" spans="1:2">
      <c r="A1352" s="133" t="str">
        <f>"3499"</f>
        <v>3499</v>
      </c>
      <c r="B1352" s="134" t="s">
        <v>1328</v>
      </c>
    </row>
    <row r="1353" spans="1:2">
      <c r="A1353" s="133" t="str">
        <f>"3500"</f>
        <v>3500</v>
      </c>
      <c r="B1353" s="134" t="s">
        <v>1327</v>
      </c>
    </row>
    <row r="1354" spans="1:2">
      <c r="A1354" s="133" t="str">
        <f>"3501"</f>
        <v>3501</v>
      </c>
      <c r="B1354" s="134" t="s">
        <v>1326</v>
      </c>
    </row>
    <row r="1355" spans="1:2">
      <c r="A1355" s="133" t="str">
        <f>"3502"</f>
        <v>3502</v>
      </c>
      <c r="B1355" s="134" t="s">
        <v>1325</v>
      </c>
    </row>
    <row r="1356" spans="1:2">
      <c r="A1356" s="133" t="str">
        <f>"3503"</f>
        <v>3503</v>
      </c>
      <c r="B1356" s="134" t="s">
        <v>1324</v>
      </c>
    </row>
    <row r="1357" spans="1:2">
      <c r="A1357" s="133" t="str">
        <f>"3504"</f>
        <v>3504</v>
      </c>
      <c r="B1357" s="134" t="s">
        <v>1323</v>
      </c>
    </row>
    <row r="1358" spans="1:2">
      <c r="A1358" s="133" t="str">
        <f>"3505"</f>
        <v>3505</v>
      </c>
      <c r="B1358" s="134" t="s">
        <v>1322</v>
      </c>
    </row>
    <row r="1359" spans="1:2">
      <c r="A1359" s="133" t="str">
        <f>"3506"</f>
        <v>3506</v>
      </c>
      <c r="B1359" s="134" t="s">
        <v>1321</v>
      </c>
    </row>
    <row r="1360" spans="1:2">
      <c r="A1360" s="133" t="str">
        <f>"3507"</f>
        <v>3507</v>
      </c>
      <c r="B1360" s="134" t="s">
        <v>1320</v>
      </c>
    </row>
    <row r="1361" spans="1:2">
      <c r="A1361" s="133" t="str">
        <f>"3508"</f>
        <v>3508</v>
      </c>
      <c r="B1361" s="134" t="s">
        <v>1319</v>
      </c>
    </row>
    <row r="1362" spans="1:2">
      <c r="A1362" s="133" t="str">
        <f>"3509"</f>
        <v>3509</v>
      </c>
      <c r="B1362" s="134" t="s">
        <v>1318</v>
      </c>
    </row>
    <row r="1363" spans="1:2">
      <c r="A1363" s="133" t="str">
        <f>"3510"</f>
        <v>3510</v>
      </c>
      <c r="B1363" s="134" t="s">
        <v>1317</v>
      </c>
    </row>
    <row r="1364" spans="1:2">
      <c r="A1364" s="133" t="str">
        <f>"3511"</f>
        <v>3511</v>
      </c>
      <c r="B1364" s="134" t="s">
        <v>1316</v>
      </c>
    </row>
    <row r="1365" spans="1:2">
      <c r="A1365" s="133" t="str">
        <f>"3512"</f>
        <v>3512</v>
      </c>
      <c r="B1365" s="134" t="s">
        <v>1315</v>
      </c>
    </row>
    <row r="1366" spans="1:2">
      <c r="A1366" s="133" t="str">
        <f>"3513"</f>
        <v>3513</v>
      </c>
      <c r="B1366" s="134" t="s">
        <v>1314</v>
      </c>
    </row>
    <row r="1367" spans="1:2">
      <c r="A1367" s="133" t="str">
        <f>"3514"</f>
        <v>3514</v>
      </c>
      <c r="B1367" s="134" t="s">
        <v>1313</v>
      </c>
    </row>
    <row r="1368" spans="1:2">
      <c r="A1368" s="133" t="str">
        <f>"3515"</f>
        <v>3515</v>
      </c>
      <c r="B1368" s="134" t="s">
        <v>1312</v>
      </c>
    </row>
    <row r="1369" spans="1:2">
      <c r="A1369" s="133" t="str">
        <f>"3516"</f>
        <v>3516</v>
      </c>
      <c r="B1369" s="134" t="s">
        <v>1311</v>
      </c>
    </row>
    <row r="1370" spans="1:2">
      <c r="A1370" s="133" t="str">
        <f>"3517"</f>
        <v>3517</v>
      </c>
      <c r="B1370" s="134" t="s">
        <v>1310</v>
      </c>
    </row>
    <row r="1371" spans="1:2">
      <c r="A1371" s="133" t="str">
        <f>"3518"</f>
        <v>3518</v>
      </c>
      <c r="B1371" s="134" t="s">
        <v>1309</v>
      </c>
    </row>
    <row r="1372" spans="1:2">
      <c r="A1372" s="133" t="str">
        <f>"3519"</f>
        <v>3519</v>
      </c>
      <c r="B1372" s="134" t="s">
        <v>1308</v>
      </c>
    </row>
    <row r="1373" spans="1:2">
      <c r="A1373" s="133" t="str">
        <f>"3520"</f>
        <v>3520</v>
      </c>
      <c r="B1373" s="134" t="s">
        <v>1307</v>
      </c>
    </row>
    <row r="1374" spans="1:2">
      <c r="A1374" s="133" t="str">
        <f>"3521"</f>
        <v>3521</v>
      </c>
      <c r="B1374" s="134" t="s">
        <v>1306</v>
      </c>
    </row>
    <row r="1375" spans="1:2">
      <c r="A1375" s="133" t="str">
        <f>"3522"</f>
        <v>3522</v>
      </c>
      <c r="B1375" s="134" t="s">
        <v>1305</v>
      </c>
    </row>
    <row r="1376" spans="1:2">
      <c r="A1376" s="133" t="str">
        <f>"3523"</f>
        <v>3523</v>
      </c>
      <c r="B1376" s="134" t="s">
        <v>1304</v>
      </c>
    </row>
    <row r="1377" spans="1:2">
      <c r="A1377" s="133" t="str">
        <f>"3524"</f>
        <v>3524</v>
      </c>
      <c r="B1377" s="134" t="s">
        <v>1303</v>
      </c>
    </row>
    <row r="1378" spans="1:2">
      <c r="A1378" s="133" t="str">
        <f>"3525"</f>
        <v>3525</v>
      </c>
      <c r="B1378" s="134" t="s">
        <v>1302</v>
      </c>
    </row>
    <row r="1379" spans="1:2">
      <c r="A1379" s="133" t="str">
        <f>"3526"</f>
        <v>3526</v>
      </c>
      <c r="B1379" s="134" t="s">
        <v>1301</v>
      </c>
    </row>
    <row r="1380" spans="1:2">
      <c r="A1380" s="133" t="str">
        <f>"3527"</f>
        <v>3527</v>
      </c>
      <c r="B1380" s="134" t="s">
        <v>1300</v>
      </c>
    </row>
    <row r="1381" spans="1:2">
      <c r="A1381" s="133" t="str">
        <f>"3528"</f>
        <v>3528</v>
      </c>
      <c r="B1381" s="134" t="s">
        <v>1299</v>
      </c>
    </row>
    <row r="1382" spans="1:2">
      <c r="A1382" s="133" t="str">
        <f>"3529"</f>
        <v>3529</v>
      </c>
      <c r="B1382" s="134" t="s">
        <v>1298</v>
      </c>
    </row>
    <row r="1383" spans="1:2">
      <c r="A1383" s="133" t="str">
        <f>"3530"</f>
        <v>3530</v>
      </c>
      <c r="B1383" s="134" t="s">
        <v>1297</v>
      </c>
    </row>
    <row r="1384" spans="1:2">
      <c r="A1384" s="133" t="str">
        <f>"3531"</f>
        <v>3531</v>
      </c>
      <c r="B1384" s="134" t="s">
        <v>1296</v>
      </c>
    </row>
    <row r="1385" spans="1:2">
      <c r="A1385" s="133" t="str">
        <f>"3532"</f>
        <v>3532</v>
      </c>
      <c r="B1385" s="134" t="s">
        <v>1295</v>
      </c>
    </row>
    <row r="1386" spans="1:2">
      <c r="A1386" s="133" t="str">
        <f>"3533"</f>
        <v>3533</v>
      </c>
      <c r="B1386" s="134" t="s">
        <v>1294</v>
      </c>
    </row>
    <row r="1387" spans="1:2">
      <c r="A1387" s="133" t="str">
        <f>"3534"</f>
        <v>3534</v>
      </c>
      <c r="B1387" s="134" t="s">
        <v>1293</v>
      </c>
    </row>
    <row r="1388" spans="1:2">
      <c r="A1388" s="133" t="str">
        <f>"3535"</f>
        <v>3535</v>
      </c>
      <c r="B1388" s="134" t="s">
        <v>1292</v>
      </c>
    </row>
    <row r="1389" spans="1:2">
      <c r="A1389" s="133" t="str">
        <f>"3536"</f>
        <v>3536</v>
      </c>
      <c r="B1389" s="134" t="s">
        <v>1291</v>
      </c>
    </row>
    <row r="1390" spans="1:2">
      <c r="A1390" s="133" t="str">
        <f>"3537"</f>
        <v>3537</v>
      </c>
      <c r="B1390" s="134" t="s">
        <v>1290</v>
      </c>
    </row>
    <row r="1391" spans="1:2">
      <c r="A1391" s="133" t="str">
        <f>"3538"</f>
        <v>3538</v>
      </c>
      <c r="B1391" s="134" t="s">
        <v>1289</v>
      </c>
    </row>
    <row r="1392" spans="1:2">
      <c r="A1392" s="133" t="str">
        <f>"3539"</f>
        <v>3539</v>
      </c>
      <c r="B1392" s="134" t="s">
        <v>1288</v>
      </c>
    </row>
    <row r="1393" spans="1:2">
      <c r="A1393" s="133" t="str">
        <f>"3540"</f>
        <v>3540</v>
      </c>
      <c r="B1393" s="134" t="s">
        <v>1287</v>
      </c>
    </row>
    <row r="1394" spans="1:2">
      <c r="A1394" s="133" t="str">
        <f>"3541"</f>
        <v>3541</v>
      </c>
      <c r="B1394" s="134" t="s">
        <v>1286</v>
      </c>
    </row>
    <row r="1395" spans="1:2">
      <c r="A1395" s="133" t="str">
        <f>"3542"</f>
        <v>3542</v>
      </c>
      <c r="B1395" s="134" t="s">
        <v>1285</v>
      </c>
    </row>
    <row r="1396" spans="1:2">
      <c r="A1396" s="133" t="str">
        <f>"3543"</f>
        <v>3543</v>
      </c>
      <c r="B1396" s="134" t="s">
        <v>1284</v>
      </c>
    </row>
    <row r="1397" spans="1:2">
      <c r="A1397" s="133" t="str">
        <f>"3544"</f>
        <v>3544</v>
      </c>
      <c r="B1397" s="134" t="s">
        <v>1283</v>
      </c>
    </row>
    <row r="1398" spans="1:2">
      <c r="A1398" s="133" t="str">
        <f>"3545"</f>
        <v>3545</v>
      </c>
      <c r="B1398" s="134" t="s">
        <v>1282</v>
      </c>
    </row>
    <row r="1399" spans="1:2">
      <c r="A1399" s="133" t="str">
        <f>"3546"</f>
        <v>3546</v>
      </c>
      <c r="B1399" s="134" t="s">
        <v>1281</v>
      </c>
    </row>
    <row r="1400" spans="1:2">
      <c r="A1400" s="133" t="str">
        <f>"3547"</f>
        <v>3547</v>
      </c>
      <c r="B1400" s="134" t="s">
        <v>1280</v>
      </c>
    </row>
    <row r="1401" spans="1:2">
      <c r="A1401" s="133" t="str">
        <f>"3548"</f>
        <v>3548</v>
      </c>
      <c r="B1401" s="134" t="s">
        <v>1279</v>
      </c>
    </row>
    <row r="1402" spans="1:2">
      <c r="A1402" s="133" t="str">
        <f>"3549"</f>
        <v>3549</v>
      </c>
      <c r="B1402" s="134" t="s">
        <v>1278</v>
      </c>
    </row>
    <row r="1403" spans="1:2">
      <c r="A1403" s="133" t="str">
        <f>"3550"</f>
        <v>3550</v>
      </c>
      <c r="B1403" s="134" t="s">
        <v>1277</v>
      </c>
    </row>
    <row r="1404" spans="1:2">
      <c r="A1404" s="133" t="str">
        <f>"3551"</f>
        <v>3551</v>
      </c>
      <c r="B1404" s="134" t="s">
        <v>1276</v>
      </c>
    </row>
    <row r="1405" spans="1:2">
      <c r="A1405" s="133" t="str">
        <f>"3552"</f>
        <v>3552</v>
      </c>
      <c r="B1405" s="134" t="s">
        <v>1275</v>
      </c>
    </row>
    <row r="1406" spans="1:2">
      <c r="A1406" s="133" t="str">
        <f>"3553"</f>
        <v>3553</v>
      </c>
      <c r="B1406" s="134" t="s">
        <v>1274</v>
      </c>
    </row>
    <row r="1407" spans="1:2">
      <c r="A1407" s="133" t="str">
        <f>"3554"</f>
        <v>3554</v>
      </c>
      <c r="B1407" s="134" t="s">
        <v>1273</v>
      </c>
    </row>
    <row r="1408" spans="1:2">
      <c r="A1408" s="133" t="str">
        <f>"3555"</f>
        <v>3555</v>
      </c>
      <c r="B1408" s="134" t="s">
        <v>1272</v>
      </c>
    </row>
    <row r="1409" spans="1:2">
      <c r="A1409" s="133" t="str">
        <f>"3556"</f>
        <v>3556</v>
      </c>
      <c r="B1409" s="134" t="s">
        <v>1271</v>
      </c>
    </row>
    <row r="1410" spans="1:2">
      <c r="A1410" s="133" t="str">
        <f>"3557"</f>
        <v>3557</v>
      </c>
      <c r="B1410" s="134" t="s">
        <v>1270</v>
      </c>
    </row>
    <row r="1411" spans="1:2">
      <c r="A1411" s="133" t="str">
        <f>"3558"</f>
        <v>3558</v>
      </c>
      <c r="B1411" s="134" t="s">
        <v>1269</v>
      </c>
    </row>
    <row r="1412" spans="1:2">
      <c r="A1412" s="133" t="str">
        <f>"3559"</f>
        <v>3559</v>
      </c>
      <c r="B1412" s="134" t="s">
        <v>1268</v>
      </c>
    </row>
    <row r="1413" spans="1:2">
      <c r="A1413" s="133" t="str">
        <f>"3560"</f>
        <v>3560</v>
      </c>
      <c r="B1413" s="134" t="s">
        <v>1267</v>
      </c>
    </row>
    <row r="1414" spans="1:2">
      <c r="A1414" s="133" t="str">
        <f>"3561"</f>
        <v>3561</v>
      </c>
      <c r="B1414" s="134" t="s">
        <v>1266</v>
      </c>
    </row>
    <row r="1415" spans="1:2">
      <c r="A1415" s="133" t="str">
        <f>"3562"</f>
        <v>3562</v>
      </c>
      <c r="B1415" s="134" t="s">
        <v>1265</v>
      </c>
    </row>
    <row r="1416" spans="1:2">
      <c r="A1416" s="133" t="str">
        <f>"3563"</f>
        <v>3563</v>
      </c>
      <c r="B1416" s="134" t="s">
        <v>1264</v>
      </c>
    </row>
    <row r="1417" spans="1:2">
      <c r="A1417" s="133" t="str">
        <f>"3564"</f>
        <v>3564</v>
      </c>
      <c r="B1417" s="134" t="s">
        <v>1263</v>
      </c>
    </row>
    <row r="1418" spans="1:2">
      <c r="A1418" s="133" t="str">
        <f>"3565"</f>
        <v>3565</v>
      </c>
      <c r="B1418" s="134" t="s">
        <v>1262</v>
      </c>
    </row>
    <row r="1419" spans="1:2">
      <c r="A1419" s="133" t="str">
        <f>"3566"</f>
        <v>3566</v>
      </c>
      <c r="B1419" s="134" t="s">
        <v>1261</v>
      </c>
    </row>
    <row r="1420" spans="1:2">
      <c r="A1420" s="133" t="str">
        <f>"3567"</f>
        <v>3567</v>
      </c>
      <c r="B1420" s="134" t="s">
        <v>1260</v>
      </c>
    </row>
    <row r="1421" spans="1:2">
      <c r="A1421" s="133" t="str">
        <f>"3568"</f>
        <v>3568</v>
      </c>
      <c r="B1421" s="134" t="s">
        <v>1259</v>
      </c>
    </row>
    <row r="1422" spans="1:2">
      <c r="A1422" s="133" t="str">
        <f>"3569"</f>
        <v>3569</v>
      </c>
      <c r="B1422" s="134" t="s">
        <v>1258</v>
      </c>
    </row>
    <row r="1423" spans="1:2">
      <c r="A1423" s="133" t="str">
        <f>"3570"</f>
        <v>3570</v>
      </c>
      <c r="B1423" s="134" t="s">
        <v>1257</v>
      </c>
    </row>
    <row r="1424" spans="1:2">
      <c r="A1424" s="133" t="str">
        <f>"3571"</f>
        <v>3571</v>
      </c>
      <c r="B1424" s="134" t="s">
        <v>1257</v>
      </c>
    </row>
    <row r="1425" spans="1:2">
      <c r="A1425" s="133" t="str">
        <f>"3572"</f>
        <v>3572</v>
      </c>
      <c r="B1425" s="134" t="s">
        <v>1256</v>
      </c>
    </row>
    <row r="1426" spans="1:2">
      <c r="A1426" s="133" t="str">
        <f>"3573"</f>
        <v>3573</v>
      </c>
      <c r="B1426" s="134" t="s">
        <v>1255</v>
      </c>
    </row>
    <row r="1427" spans="1:2">
      <c r="A1427" s="133" t="str">
        <f>"3574"</f>
        <v>3574</v>
      </c>
      <c r="B1427" s="134" t="s">
        <v>1254</v>
      </c>
    </row>
    <row r="1428" spans="1:2">
      <c r="A1428" s="133" t="str">
        <f>"3575"</f>
        <v>3575</v>
      </c>
      <c r="B1428" s="134" t="s">
        <v>1253</v>
      </c>
    </row>
    <row r="1429" spans="1:2">
      <c r="A1429" s="133" t="str">
        <f>"3576"</f>
        <v>3576</v>
      </c>
      <c r="B1429" s="134" t="s">
        <v>1252</v>
      </c>
    </row>
    <row r="1430" spans="1:2">
      <c r="A1430" s="133" t="str">
        <f>"3577"</f>
        <v>3577</v>
      </c>
      <c r="B1430" s="134" t="s">
        <v>1251</v>
      </c>
    </row>
    <row r="1431" spans="1:2">
      <c r="A1431" s="133" t="str">
        <f>"3578"</f>
        <v>3578</v>
      </c>
      <c r="B1431" s="134" t="s">
        <v>1250</v>
      </c>
    </row>
    <row r="1432" spans="1:2">
      <c r="A1432" s="133" t="str">
        <f>"3579"</f>
        <v>3579</v>
      </c>
      <c r="B1432" s="134" t="s">
        <v>1249</v>
      </c>
    </row>
    <row r="1433" spans="1:2">
      <c r="A1433" s="133" t="str">
        <f>"3580"</f>
        <v>3580</v>
      </c>
      <c r="B1433" s="134" t="s">
        <v>1248</v>
      </c>
    </row>
    <row r="1434" spans="1:2">
      <c r="A1434" s="133" t="str">
        <f>"3581"</f>
        <v>3581</v>
      </c>
      <c r="B1434" s="134" t="s">
        <v>1247</v>
      </c>
    </row>
    <row r="1435" spans="1:2">
      <c r="A1435" s="133" t="str">
        <f>"3582"</f>
        <v>3582</v>
      </c>
      <c r="B1435" s="134" t="s">
        <v>1246</v>
      </c>
    </row>
    <row r="1436" spans="1:2">
      <c r="A1436" s="133" t="str">
        <f>"3583"</f>
        <v>3583</v>
      </c>
      <c r="B1436" s="134" t="s">
        <v>1245</v>
      </c>
    </row>
    <row r="1437" spans="1:2">
      <c r="A1437" s="133" t="str">
        <f>"3584"</f>
        <v>3584</v>
      </c>
      <c r="B1437" s="134" t="s">
        <v>1244</v>
      </c>
    </row>
    <row r="1438" spans="1:2">
      <c r="A1438" s="133" t="str">
        <f>"3585"</f>
        <v>3585</v>
      </c>
      <c r="B1438" s="134" t="s">
        <v>1243</v>
      </c>
    </row>
    <row r="1439" spans="1:2">
      <c r="A1439" s="133" t="str">
        <f>"3586"</f>
        <v>3586</v>
      </c>
      <c r="B1439" s="134" t="s">
        <v>1242</v>
      </c>
    </row>
    <row r="1440" spans="1:2">
      <c r="A1440" s="133" t="str">
        <f>"3587"</f>
        <v>3587</v>
      </c>
      <c r="B1440" s="134" t="s">
        <v>1241</v>
      </c>
    </row>
    <row r="1441" spans="1:2">
      <c r="A1441" s="133" t="str">
        <f>"3588"</f>
        <v>3588</v>
      </c>
      <c r="B1441" s="134" t="s">
        <v>1240</v>
      </c>
    </row>
    <row r="1442" spans="1:2">
      <c r="A1442" s="133" t="str">
        <f>"3589"</f>
        <v>3589</v>
      </c>
      <c r="B1442" s="134" t="s">
        <v>1239</v>
      </c>
    </row>
    <row r="1443" spans="1:2">
      <c r="A1443" s="133" t="str">
        <f>"3590"</f>
        <v>3590</v>
      </c>
      <c r="B1443" s="134" t="s">
        <v>1238</v>
      </c>
    </row>
    <row r="1444" spans="1:2">
      <c r="A1444" s="133" t="str">
        <f>"3591"</f>
        <v>3591</v>
      </c>
      <c r="B1444" s="134" t="s">
        <v>1237</v>
      </c>
    </row>
    <row r="1445" spans="1:2">
      <c r="A1445" s="133" t="str">
        <f>"3592"</f>
        <v>3592</v>
      </c>
      <c r="B1445" s="134" t="s">
        <v>1236</v>
      </c>
    </row>
    <row r="1446" spans="1:2">
      <c r="A1446" s="133" t="str">
        <f>"3593"</f>
        <v>3593</v>
      </c>
      <c r="B1446" s="134" t="s">
        <v>1235</v>
      </c>
    </row>
    <row r="1447" spans="1:2">
      <c r="A1447" s="133" t="str">
        <f>"3594"</f>
        <v>3594</v>
      </c>
      <c r="B1447" s="134" t="s">
        <v>1234</v>
      </c>
    </row>
    <row r="1448" spans="1:2">
      <c r="A1448" s="133" t="str">
        <f>"3595"</f>
        <v>3595</v>
      </c>
      <c r="B1448" s="134" t="s">
        <v>1233</v>
      </c>
    </row>
    <row r="1449" spans="1:2">
      <c r="A1449" s="133" t="str">
        <f>"3596"</f>
        <v>3596</v>
      </c>
      <c r="B1449" s="134" t="s">
        <v>1232</v>
      </c>
    </row>
    <row r="1450" spans="1:2">
      <c r="A1450" s="133" t="str">
        <f>"3597"</f>
        <v>3597</v>
      </c>
      <c r="B1450" s="134" t="s">
        <v>1231</v>
      </c>
    </row>
    <row r="1451" spans="1:2">
      <c r="A1451" s="133" t="str">
        <f>"3598"</f>
        <v>3598</v>
      </c>
      <c r="B1451" s="134" t="s">
        <v>1230</v>
      </c>
    </row>
    <row r="1452" spans="1:2">
      <c r="A1452" s="133" t="str">
        <f>"3599"</f>
        <v>3599</v>
      </c>
      <c r="B1452" s="134" t="s">
        <v>1229</v>
      </c>
    </row>
    <row r="1453" spans="1:2">
      <c r="A1453" s="133" t="str">
        <f>"3600"</f>
        <v>3600</v>
      </c>
      <c r="B1453" s="134" t="s">
        <v>1228</v>
      </c>
    </row>
    <row r="1454" spans="1:2">
      <c r="A1454" s="133" t="str">
        <f>"3601"</f>
        <v>3601</v>
      </c>
      <c r="B1454" s="134" t="s">
        <v>1227</v>
      </c>
    </row>
    <row r="1455" spans="1:2">
      <c r="A1455" s="133" t="str">
        <f>"3602"</f>
        <v>3602</v>
      </c>
      <c r="B1455" s="134" t="s">
        <v>1226</v>
      </c>
    </row>
    <row r="1456" spans="1:2">
      <c r="A1456" s="133" t="str">
        <f>"3603"</f>
        <v>3603</v>
      </c>
      <c r="B1456" s="134" t="s">
        <v>1225</v>
      </c>
    </row>
    <row r="1457" spans="1:2">
      <c r="A1457" s="133" t="str">
        <f>"3604"</f>
        <v>3604</v>
      </c>
      <c r="B1457" s="134" t="s">
        <v>1224</v>
      </c>
    </row>
    <row r="1458" spans="1:2">
      <c r="A1458" s="133" t="str">
        <f>"3605"</f>
        <v>3605</v>
      </c>
      <c r="B1458" s="134" t="s">
        <v>1223</v>
      </c>
    </row>
    <row r="1459" spans="1:2">
      <c r="A1459" s="133" t="str">
        <f>"3606"</f>
        <v>3606</v>
      </c>
      <c r="B1459" s="134" t="s">
        <v>1222</v>
      </c>
    </row>
    <row r="1460" spans="1:2">
      <c r="A1460" s="133" t="str">
        <f>"3607"</f>
        <v>3607</v>
      </c>
      <c r="B1460" s="134" t="s">
        <v>1221</v>
      </c>
    </row>
    <row r="1461" spans="1:2">
      <c r="A1461" s="133" t="str">
        <f>"3608"</f>
        <v>3608</v>
      </c>
      <c r="B1461" s="134" t="s">
        <v>1220</v>
      </c>
    </row>
    <row r="1462" spans="1:2">
      <c r="A1462" s="133" t="str">
        <f>"3609"</f>
        <v>3609</v>
      </c>
      <c r="B1462" s="134" t="s">
        <v>1219</v>
      </c>
    </row>
    <row r="1463" spans="1:2">
      <c r="A1463" s="133" t="str">
        <f>"3610"</f>
        <v>3610</v>
      </c>
      <c r="B1463" s="134" t="s">
        <v>1218</v>
      </c>
    </row>
    <row r="1464" spans="1:2">
      <c r="A1464" s="133" t="str">
        <f>"3611"</f>
        <v>3611</v>
      </c>
      <c r="B1464" s="134" t="s">
        <v>1217</v>
      </c>
    </row>
    <row r="1465" spans="1:2">
      <c r="A1465" s="133" t="str">
        <f>"3612"</f>
        <v>3612</v>
      </c>
      <c r="B1465" s="134" t="s">
        <v>1216</v>
      </c>
    </row>
    <row r="1466" spans="1:2">
      <c r="A1466" s="133" t="str">
        <f>"3613"</f>
        <v>3613</v>
      </c>
      <c r="B1466" s="134" t="s">
        <v>1215</v>
      </c>
    </row>
    <row r="1467" spans="1:2">
      <c r="A1467" s="133" t="str">
        <f>"3614"</f>
        <v>3614</v>
      </c>
      <c r="B1467" s="134" t="s">
        <v>1214</v>
      </c>
    </row>
    <row r="1468" spans="1:2">
      <c r="A1468" s="133" t="str">
        <f>"3615"</f>
        <v>3615</v>
      </c>
      <c r="B1468" s="134" t="s">
        <v>1213</v>
      </c>
    </row>
    <row r="1469" spans="1:2">
      <c r="A1469" s="133" t="str">
        <f>"3616"</f>
        <v>3616</v>
      </c>
      <c r="B1469" s="134" t="s">
        <v>1212</v>
      </c>
    </row>
    <row r="1470" spans="1:2">
      <c r="A1470" s="133" t="str">
        <f>"3617"</f>
        <v>3617</v>
      </c>
      <c r="B1470" s="134" t="s">
        <v>1211</v>
      </c>
    </row>
    <row r="1471" spans="1:2">
      <c r="A1471" s="133" t="str">
        <f>"3618"</f>
        <v>3618</v>
      </c>
      <c r="B1471" s="134" t="s">
        <v>1210</v>
      </c>
    </row>
    <row r="1472" spans="1:2">
      <c r="A1472" s="133" t="str">
        <f>"3619"</f>
        <v>3619</v>
      </c>
      <c r="B1472" s="134" t="s">
        <v>1209</v>
      </c>
    </row>
    <row r="1473" spans="1:2">
      <c r="A1473" s="133" t="str">
        <f>"3620"</f>
        <v>3620</v>
      </c>
      <c r="B1473" s="134" t="s">
        <v>1208</v>
      </c>
    </row>
    <row r="1474" spans="1:2">
      <c r="A1474" s="133" t="str">
        <f>"3621"</f>
        <v>3621</v>
      </c>
      <c r="B1474" s="134" t="s">
        <v>1207</v>
      </c>
    </row>
    <row r="1475" spans="1:2">
      <c r="A1475" s="133" t="str">
        <f>"3622"</f>
        <v>3622</v>
      </c>
      <c r="B1475" s="134" t="s">
        <v>1206</v>
      </c>
    </row>
    <row r="1476" spans="1:2">
      <c r="A1476" s="133" t="str">
        <f>"3623"</f>
        <v>3623</v>
      </c>
      <c r="B1476" s="134" t="s">
        <v>1205</v>
      </c>
    </row>
    <row r="1477" spans="1:2">
      <c r="A1477" s="133" t="str">
        <f>"3624"</f>
        <v>3624</v>
      </c>
      <c r="B1477" s="134" t="s">
        <v>1204</v>
      </c>
    </row>
    <row r="1478" spans="1:2">
      <c r="A1478" s="133" t="str">
        <f>"3625"</f>
        <v>3625</v>
      </c>
      <c r="B1478" s="134" t="s">
        <v>1203</v>
      </c>
    </row>
    <row r="1479" spans="1:2">
      <c r="A1479" s="133" t="str">
        <f>"3626"</f>
        <v>3626</v>
      </c>
      <c r="B1479" s="134" t="s">
        <v>1202</v>
      </c>
    </row>
    <row r="1480" spans="1:2">
      <c r="A1480" s="133" t="str">
        <f>"3627"</f>
        <v>3627</v>
      </c>
      <c r="B1480" s="134" t="s">
        <v>1201</v>
      </c>
    </row>
    <row r="1481" spans="1:2">
      <c r="A1481" s="133" t="str">
        <f>"3628"</f>
        <v>3628</v>
      </c>
      <c r="B1481" s="134" t="s">
        <v>1200</v>
      </c>
    </row>
    <row r="1482" spans="1:2">
      <c r="A1482" s="133" t="str">
        <f>"3629"</f>
        <v>3629</v>
      </c>
      <c r="B1482" s="134" t="s">
        <v>1199</v>
      </c>
    </row>
    <row r="1483" spans="1:2">
      <c r="A1483" s="133" t="str">
        <f>"3630"</f>
        <v>3630</v>
      </c>
      <c r="B1483" s="134" t="s">
        <v>1198</v>
      </c>
    </row>
    <row r="1484" spans="1:2">
      <c r="A1484" s="133" t="str">
        <f>"3631"</f>
        <v>3631</v>
      </c>
      <c r="B1484" s="134" t="s">
        <v>1197</v>
      </c>
    </row>
    <row r="1485" spans="1:2">
      <c r="A1485" s="133" t="str">
        <f>"3632"</f>
        <v>3632</v>
      </c>
      <c r="B1485" s="134" t="s">
        <v>1196</v>
      </c>
    </row>
    <row r="1486" spans="1:2">
      <c r="A1486" s="133" t="str">
        <f>"3633"</f>
        <v>3633</v>
      </c>
      <c r="B1486" s="134" t="s">
        <v>1195</v>
      </c>
    </row>
    <row r="1487" spans="1:2">
      <c r="A1487" s="133" t="str">
        <f>"3634"</f>
        <v>3634</v>
      </c>
      <c r="B1487" s="134" t="s">
        <v>1194</v>
      </c>
    </row>
    <row r="1488" spans="1:2">
      <c r="A1488" s="133" t="str">
        <f>"3635"</f>
        <v>3635</v>
      </c>
      <c r="B1488" s="134" t="s">
        <v>1193</v>
      </c>
    </row>
    <row r="1489" spans="1:2">
      <c r="A1489" s="133" t="str">
        <f>"3636"</f>
        <v>3636</v>
      </c>
      <c r="B1489" s="134" t="s">
        <v>1192</v>
      </c>
    </row>
    <row r="1490" spans="1:2">
      <c r="A1490" s="133" t="str">
        <f>"3637"</f>
        <v>3637</v>
      </c>
      <c r="B1490" s="134" t="s">
        <v>1191</v>
      </c>
    </row>
    <row r="1491" spans="1:2">
      <c r="A1491" s="133" t="str">
        <f>"3638"</f>
        <v>3638</v>
      </c>
      <c r="B1491" s="134" t="s">
        <v>1190</v>
      </c>
    </row>
    <row r="1492" spans="1:2">
      <c r="A1492" s="133" t="str">
        <f>"3639"</f>
        <v>3639</v>
      </c>
      <c r="B1492" s="134" t="s">
        <v>1189</v>
      </c>
    </row>
    <row r="1493" spans="1:2">
      <c r="A1493" s="133" t="str">
        <f>"4000"</f>
        <v>4000</v>
      </c>
      <c r="B1493" s="134" t="s">
        <v>1188</v>
      </c>
    </row>
    <row r="1494" spans="1:2">
      <c r="A1494" s="133" t="str">
        <f>"4015"</f>
        <v>4015</v>
      </c>
      <c r="B1494" s="134" t="s">
        <v>1187</v>
      </c>
    </row>
    <row r="1495" spans="1:2">
      <c r="A1495" s="133" t="str">
        <f>"4101"</f>
        <v>4101</v>
      </c>
      <c r="B1495" s="134" t="s">
        <v>1186</v>
      </c>
    </row>
    <row r="1496" spans="1:2">
      <c r="A1496" s="133" t="str">
        <f>"4102"</f>
        <v>4102</v>
      </c>
      <c r="B1496" s="134" t="s">
        <v>1185</v>
      </c>
    </row>
    <row r="1497" spans="1:2">
      <c r="A1497" s="133" t="str">
        <f>"4103"</f>
        <v>4103</v>
      </c>
      <c r="B1497" s="134" t="s">
        <v>1184</v>
      </c>
    </row>
    <row r="1498" spans="1:2">
      <c r="A1498" s="133" t="str">
        <f>"4104"</f>
        <v>4104</v>
      </c>
      <c r="B1498" s="134" t="s">
        <v>1183</v>
      </c>
    </row>
    <row r="1499" spans="1:2">
      <c r="A1499" s="133" t="str">
        <f>"4105"</f>
        <v>4105</v>
      </c>
      <c r="B1499" s="134" t="s">
        <v>1182</v>
      </c>
    </row>
    <row r="1500" spans="1:2">
      <c r="A1500" s="133" t="str">
        <f>"4106"</f>
        <v>4106</v>
      </c>
      <c r="B1500" s="134" t="s">
        <v>1181</v>
      </c>
    </row>
    <row r="1501" spans="1:2">
      <c r="A1501" s="133" t="str">
        <f>"4107"</f>
        <v>4107</v>
      </c>
      <c r="B1501" s="134" t="s">
        <v>1180</v>
      </c>
    </row>
    <row r="1502" spans="1:2">
      <c r="A1502" s="133" t="str">
        <f>"4108"</f>
        <v>4108</v>
      </c>
      <c r="B1502" s="134" t="s">
        <v>1179</v>
      </c>
    </row>
    <row r="1503" spans="1:2">
      <c r="A1503" s="133" t="str">
        <f>"4109"</f>
        <v>4109</v>
      </c>
      <c r="B1503" s="134" t="s">
        <v>1178</v>
      </c>
    </row>
    <row r="1504" spans="1:2">
      <c r="A1504" s="133" t="str">
        <f>"4110"</f>
        <v>4110</v>
      </c>
      <c r="B1504" s="134" t="s">
        <v>1177</v>
      </c>
    </row>
    <row r="1505" spans="1:2">
      <c r="A1505" s="133" t="str">
        <f>"4201"</f>
        <v>4201</v>
      </c>
      <c r="B1505" s="134" t="s">
        <v>1176</v>
      </c>
    </row>
    <row r="1506" spans="1:2">
      <c r="A1506" s="133" t="str">
        <f>"4202"</f>
        <v>4202</v>
      </c>
      <c r="B1506" s="134" t="s">
        <v>1175</v>
      </c>
    </row>
    <row r="1507" spans="1:2">
      <c r="A1507" s="133" t="str">
        <f>"4203"</f>
        <v>4203</v>
      </c>
      <c r="B1507" s="134" t="s">
        <v>1174</v>
      </c>
    </row>
    <row r="1508" spans="1:2">
      <c r="A1508" s="133" t="str">
        <f>"4204"</f>
        <v>4204</v>
      </c>
      <c r="B1508" s="134" t="s">
        <v>1173</v>
      </c>
    </row>
    <row r="1509" spans="1:2">
      <c r="A1509" s="133" t="str">
        <f>"4205"</f>
        <v>4205</v>
      </c>
      <c r="B1509" s="134" t="s">
        <v>1172</v>
      </c>
    </row>
    <row r="1510" spans="1:2">
      <c r="A1510" s="133" t="str">
        <f>"4206"</f>
        <v>4206</v>
      </c>
      <c r="B1510" s="134" t="s">
        <v>1171</v>
      </c>
    </row>
    <row r="1511" spans="1:2">
      <c r="A1511" s="133" t="str">
        <f>"4207"</f>
        <v>4207</v>
      </c>
      <c r="B1511" s="134" t="s">
        <v>1170</v>
      </c>
    </row>
    <row r="1512" spans="1:2">
      <c r="A1512" s="133" t="str">
        <f>"4208"</f>
        <v>4208</v>
      </c>
      <c r="B1512" s="134" t="s">
        <v>1169</v>
      </c>
    </row>
    <row r="1513" spans="1:2">
      <c r="A1513" s="133" t="str">
        <f>"4209"</f>
        <v>4209</v>
      </c>
      <c r="B1513" s="134" t="s">
        <v>1168</v>
      </c>
    </row>
    <row r="1514" spans="1:2">
      <c r="A1514" s="133" t="str">
        <f>"4210"</f>
        <v>4210</v>
      </c>
      <c r="B1514" s="134" t="s">
        <v>1167</v>
      </c>
    </row>
    <row r="1515" spans="1:2">
      <c r="A1515" s="133" t="str">
        <f>"4211"</f>
        <v>4211</v>
      </c>
      <c r="B1515" s="134" t="s">
        <v>1166</v>
      </c>
    </row>
    <row r="1516" spans="1:2">
      <c r="A1516" s="133" t="str">
        <f>"4212"</f>
        <v>4212</v>
      </c>
      <c r="B1516" s="134" t="s">
        <v>1165</v>
      </c>
    </row>
    <row r="1517" spans="1:2">
      <c r="A1517" s="133" t="str">
        <f>"4213"</f>
        <v>4213</v>
      </c>
      <c r="B1517" s="134" t="s">
        <v>1164</v>
      </c>
    </row>
    <row r="1518" spans="1:2">
      <c r="A1518" s="133" t="str">
        <f>"4214"</f>
        <v>4214</v>
      </c>
      <c r="B1518" s="134" t="s">
        <v>1163</v>
      </c>
    </row>
    <row r="1519" spans="1:2">
      <c r="A1519" s="133" t="str">
        <f>"4215"</f>
        <v>4215</v>
      </c>
      <c r="B1519" s="134" t="s">
        <v>1162</v>
      </c>
    </row>
    <row r="1520" spans="1:2">
      <c r="A1520" s="133" t="str">
        <f>"4216"</f>
        <v>4216</v>
      </c>
      <c r="B1520" s="134" t="s">
        <v>1161</v>
      </c>
    </row>
    <row r="1521" spans="1:2">
      <c r="A1521" s="133" t="str">
        <f>"4217"</f>
        <v>4217</v>
      </c>
      <c r="B1521" s="134" t="s">
        <v>1160</v>
      </c>
    </row>
    <row r="1522" spans="1:2">
      <c r="A1522" s="133" t="str">
        <f>"4218"</f>
        <v>4218</v>
      </c>
      <c r="B1522" s="134" t="s">
        <v>1159</v>
      </c>
    </row>
    <row r="1523" spans="1:2">
      <c r="A1523" s="133" t="str">
        <f>"4219"</f>
        <v>4219</v>
      </c>
      <c r="B1523" s="134" t="s">
        <v>1158</v>
      </c>
    </row>
    <row r="1524" spans="1:2">
      <c r="A1524" s="133" t="str">
        <f>"4220"</f>
        <v>4220</v>
      </c>
      <c r="B1524" s="134" t="s">
        <v>1157</v>
      </c>
    </row>
    <row r="1525" spans="1:2">
      <c r="A1525" s="133" t="str">
        <f>"4221"</f>
        <v>4221</v>
      </c>
      <c r="B1525" s="134" t="s">
        <v>1156</v>
      </c>
    </row>
    <row r="1526" spans="1:2">
      <c r="A1526" s="133" t="str">
        <f>"4222"</f>
        <v>4222</v>
      </c>
      <c r="B1526" s="134" t="s">
        <v>1155</v>
      </c>
    </row>
    <row r="1527" spans="1:2">
      <c r="A1527" s="133" t="str">
        <f>"4223"</f>
        <v>4223</v>
      </c>
      <c r="B1527" s="134" t="s">
        <v>1154</v>
      </c>
    </row>
    <row r="1528" spans="1:2">
      <c r="A1528" s="133" t="str">
        <f>"4224"</f>
        <v>4224</v>
      </c>
      <c r="B1528" s="134" t="s">
        <v>1153</v>
      </c>
    </row>
    <row r="1529" spans="1:2">
      <c r="A1529" s="133" t="str">
        <f>"4225"</f>
        <v>4225</v>
      </c>
      <c r="B1529" s="134" t="s">
        <v>1152</v>
      </c>
    </row>
    <row r="1530" spans="1:2">
      <c r="A1530" s="133" t="str">
        <f>"4226"</f>
        <v>4226</v>
      </c>
      <c r="B1530" s="134" t="s">
        <v>1151</v>
      </c>
    </row>
    <row r="1531" spans="1:2">
      <c r="A1531" s="133" t="str">
        <f>"4227"</f>
        <v>4227</v>
      </c>
      <c r="B1531" s="134" t="s">
        <v>1150</v>
      </c>
    </row>
    <row r="1532" spans="1:2">
      <c r="A1532" s="133" t="str">
        <f>"4228"</f>
        <v>4228</v>
      </c>
      <c r="B1532" s="134" t="s">
        <v>1149</v>
      </c>
    </row>
    <row r="1533" spans="1:2">
      <c r="A1533" s="133" t="str">
        <f>"4229"</f>
        <v>4229</v>
      </c>
      <c r="B1533" s="134" t="s">
        <v>1148</v>
      </c>
    </row>
    <row r="1534" spans="1:2">
      <c r="A1534" s="133" t="str">
        <f>"4230"</f>
        <v>4230</v>
      </c>
      <c r="B1534" s="134" t="s">
        <v>1147</v>
      </c>
    </row>
    <row r="1535" spans="1:2">
      <c r="A1535" s="133" t="str">
        <f>"4231"</f>
        <v>4231</v>
      </c>
      <c r="B1535" s="134" t="s">
        <v>1146</v>
      </c>
    </row>
    <row r="1536" spans="1:2">
      <c r="A1536" s="133" t="str">
        <f>"4232"</f>
        <v>4232</v>
      </c>
      <c r="B1536" s="134" t="s">
        <v>1145</v>
      </c>
    </row>
    <row r="1537" spans="1:2">
      <c r="A1537" s="133" t="str">
        <f>"4233"</f>
        <v>4233</v>
      </c>
      <c r="B1537" s="134" t="s">
        <v>1144</v>
      </c>
    </row>
    <row r="1538" spans="1:2">
      <c r="A1538" s="133" t="str">
        <f>"4234"</f>
        <v>4234</v>
      </c>
      <c r="B1538" s="134" t="s">
        <v>1143</v>
      </c>
    </row>
    <row r="1539" spans="1:2">
      <c r="A1539" s="133" t="str">
        <f>"4235"</f>
        <v>4235</v>
      </c>
      <c r="B1539" s="134" t="s">
        <v>1142</v>
      </c>
    </row>
    <row r="1540" spans="1:2">
      <c r="A1540" s="133" t="str">
        <f>"4236"</f>
        <v>4236</v>
      </c>
      <c r="B1540" s="134" t="s">
        <v>1141</v>
      </c>
    </row>
    <row r="1541" spans="1:2">
      <c r="A1541" s="133" t="str">
        <f>"4237"</f>
        <v>4237</v>
      </c>
      <c r="B1541" s="134" t="s">
        <v>1140</v>
      </c>
    </row>
    <row r="1542" spans="1:2">
      <c r="A1542" s="133" t="str">
        <f>"4238"</f>
        <v>4238</v>
      </c>
      <c r="B1542" s="134" t="s">
        <v>1139</v>
      </c>
    </row>
    <row r="1543" spans="1:2">
      <c r="A1543" s="133" t="str">
        <f>"4239"</f>
        <v>4239</v>
      </c>
      <c r="B1543" s="134" t="s">
        <v>1138</v>
      </c>
    </row>
    <row r="1544" spans="1:2">
      <c r="A1544" s="133" t="str">
        <f>"4240"</f>
        <v>4240</v>
      </c>
      <c r="B1544" s="134" t="s">
        <v>1137</v>
      </c>
    </row>
    <row r="1545" spans="1:2">
      <c r="A1545" s="133" t="str">
        <f>"4241"</f>
        <v>4241</v>
      </c>
      <c r="B1545" s="134" t="s">
        <v>1136</v>
      </c>
    </row>
    <row r="1546" spans="1:2">
      <c r="A1546" s="133" t="str">
        <f>"4242"</f>
        <v>4242</v>
      </c>
      <c r="B1546" s="134" t="s">
        <v>1135</v>
      </c>
    </row>
    <row r="1547" spans="1:2">
      <c r="A1547" s="133" t="str">
        <f>"4243"</f>
        <v>4243</v>
      </c>
      <c r="B1547" s="134" t="s">
        <v>1134</v>
      </c>
    </row>
    <row r="1548" spans="1:2">
      <c r="A1548" s="133" t="str">
        <f>"4244"</f>
        <v>4244</v>
      </c>
      <c r="B1548" s="134" t="s">
        <v>1133</v>
      </c>
    </row>
    <row r="1549" spans="1:2">
      <c r="A1549" s="133" t="str">
        <f>"4245"</f>
        <v>4245</v>
      </c>
      <c r="B1549" s="134" t="s">
        <v>1132</v>
      </c>
    </row>
    <row r="1550" spans="1:2">
      <c r="A1550" s="133" t="str">
        <f>"4246"</f>
        <v>4246</v>
      </c>
      <c r="B1550" s="134" t="s">
        <v>1131</v>
      </c>
    </row>
    <row r="1551" spans="1:2">
      <c r="A1551" s="133" t="str">
        <f>"4247"</f>
        <v>4247</v>
      </c>
      <c r="B1551" s="134" t="s">
        <v>1130</v>
      </c>
    </row>
    <row r="1552" spans="1:2">
      <c r="A1552" s="133" t="str">
        <f>"4248"</f>
        <v>4248</v>
      </c>
      <c r="B1552" s="134" t="s">
        <v>1129</v>
      </c>
    </row>
    <row r="1553" spans="1:2">
      <c r="A1553" s="133" t="str">
        <f>"4249"</f>
        <v>4249</v>
      </c>
      <c r="B1553" s="134" t="s">
        <v>1128</v>
      </c>
    </row>
    <row r="1554" spans="1:2">
      <c r="A1554" s="133" t="str">
        <f>"4250"</f>
        <v>4250</v>
      </c>
      <c r="B1554" s="134" t="s">
        <v>1127</v>
      </c>
    </row>
    <row r="1555" spans="1:2">
      <c r="A1555" s="133" t="str">
        <f>"4251"</f>
        <v>4251</v>
      </c>
      <c r="B1555" s="134" t="s">
        <v>1126</v>
      </c>
    </row>
    <row r="1556" spans="1:2">
      <c r="A1556" s="133" t="str">
        <f>"4252"</f>
        <v>4252</v>
      </c>
      <c r="B1556" s="134" t="s">
        <v>1125</v>
      </c>
    </row>
    <row r="1557" spans="1:2">
      <c r="A1557" s="133" t="str">
        <f>"4253"</f>
        <v>4253</v>
      </c>
      <c r="B1557" s="134" t="s">
        <v>1124</v>
      </c>
    </row>
    <row r="1558" spans="1:2">
      <c r="A1558" s="133" t="str">
        <f>"4254"</f>
        <v>4254</v>
      </c>
      <c r="B1558" s="134" t="s">
        <v>1123</v>
      </c>
    </row>
    <row r="1559" spans="1:2">
      <c r="A1559" s="133" t="str">
        <f>"4255"</f>
        <v>4255</v>
      </c>
      <c r="B1559" s="134" t="s">
        <v>1122</v>
      </c>
    </row>
    <row r="1560" spans="1:2">
      <c r="A1560" s="133" t="str">
        <f>"4256"</f>
        <v>4256</v>
      </c>
      <c r="B1560" s="134" t="s">
        <v>1121</v>
      </c>
    </row>
    <row r="1561" spans="1:2">
      <c r="A1561" s="133" t="str">
        <f>"4257"</f>
        <v>4257</v>
      </c>
      <c r="B1561" s="134" t="s">
        <v>1120</v>
      </c>
    </row>
    <row r="1562" spans="1:2">
      <c r="A1562" s="133" t="str">
        <f>"4258"</f>
        <v>4258</v>
      </c>
      <c r="B1562" s="134" t="s">
        <v>1119</v>
      </c>
    </row>
    <row r="1563" spans="1:2">
      <c r="A1563" s="133" t="str">
        <f>"4259"</f>
        <v>4259</v>
      </c>
      <c r="B1563" s="134" t="s">
        <v>1118</v>
      </c>
    </row>
    <row r="1564" spans="1:2">
      <c r="A1564" s="133" t="str">
        <f>"4260"</f>
        <v>4260</v>
      </c>
      <c r="B1564" s="134" t="s">
        <v>1117</v>
      </c>
    </row>
    <row r="1565" spans="1:2">
      <c r="A1565" s="133" t="str">
        <f>"4261"</f>
        <v>4261</v>
      </c>
      <c r="B1565" s="134" t="s">
        <v>1116</v>
      </c>
    </row>
    <row r="1566" spans="1:2">
      <c r="A1566" s="133" t="str">
        <f>"4262"</f>
        <v>4262</v>
      </c>
      <c r="B1566" s="134" t="s">
        <v>1115</v>
      </c>
    </row>
    <row r="1567" spans="1:2">
      <c r="A1567" s="133" t="str">
        <f>"4263"</f>
        <v>4263</v>
      </c>
      <c r="B1567" s="134" t="s">
        <v>1114</v>
      </c>
    </row>
    <row r="1568" spans="1:2">
      <c r="A1568" s="133" t="str">
        <f>"4264"</f>
        <v>4264</v>
      </c>
      <c r="B1568" s="134" t="s">
        <v>1113</v>
      </c>
    </row>
    <row r="1569" spans="1:2">
      <c r="A1569" s="133" t="str">
        <f>"4265"</f>
        <v>4265</v>
      </c>
      <c r="B1569" s="134" t="s">
        <v>1112</v>
      </c>
    </row>
    <row r="1570" spans="1:2">
      <c r="A1570" s="133" t="str">
        <f>"4266"</f>
        <v>4266</v>
      </c>
      <c r="B1570" s="134" t="s">
        <v>1111</v>
      </c>
    </row>
    <row r="1571" spans="1:2">
      <c r="A1571" s="133" t="str">
        <f>"4267"</f>
        <v>4267</v>
      </c>
      <c r="B1571" s="134" t="s">
        <v>1110</v>
      </c>
    </row>
    <row r="1572" spans="1:2">
      <c r="A1572" s="133" t="str">
        <f>"4268"</f>
        <v>4268</v>
      </c>
      <c r="B1572" s="134" t="s">
        <v>1109</v>
      </c>
    </row>
    <row r="1573" spans="1:2">
      <c r="A1573" s="133" t="str">
        <f>"4269"</f>
        <v>4269</v>
      </c>
      <c r="B1573" s="134" t="s">
        <v>1108</v>
      </c>
    </row>
    <row r="1574" spans="1:2">
      <c r="A1574" s="133" t="str">
        <f>"4270"</f>
        <v>4270</v>
      </c>
      <c r="B1574" s="134" t="s">
        <v>1107</v>
      </c>
    </row>
    <row r="1575" spans="1:2">
      <c r="A1575" s="133" t="str">
        <f>"4271"</f>
        <v>4271</v>
      </c>
      <c r="B1575" s="134" t="s">
        <v>1106</v>
      </c>
    </row>
    <row r="1576" spans="1:2">
      <c r="A1576" s="133" t="str">
        <f>"4272"</f>
        <v>4272</v>
      </c>
      <c r="B1576" s="134" t="s">
        <v>1105</v>
      </c>
    </row>
    <row r="1577" spans="1:2">
      <c r="A1577" s="133" t="str">
        <f>"4273"</f>
        <v>4273</v>
      </c>
      <c r="B1577" s="134" t="s">
        <v>1104</v>
      </c>
    </row>
    <row r="1578" spans="1:2">
      <c r="A1578" s="133" t="str">
        <f>"4274"</f>
        <v>4274</v>
      </c>
      <c r="B1578" s="134" t="s">
        <v>1103</v>
      </c>
    </row>
    <row r="1579" spans="1:2">
      <c r="A1579" s="133" t="str">
        <f>"4275"</f>
        <v>4275</v>
      </c>
      <c r="B1579" s="134" t="s">
        <v>1102</v>
      </c>
    </row>
    <row r="1580" spans="1:2">
      <c r="A1580" s="133" t="str">
        <f>"4276"</f>
        <v>4276</v>
      </c>
      <c r="B1580" s="134" t="s">
        <v>1101</v>
      </c>
    </row>
    <row r="1581" spans="1:2">
      <c r="A1581" s="133" t="str">
        <f>"4277"</f>
        <v>4277</v>
      </c>
      <c r="B1581" s="134" t="s">
        <v>1100</v>
      </c>
    </row>
    <row r="1582" spans="1:2">
      <c r="A1582" s="133" t="str">
        <f>"4278"</f>
        <v>4278</v>
      </c>
      <c r="B1582" s="134" t="s">
        <v>1099</v>
      </c>
    </row>
    <row r="1583" spans="1:2">
      <c r="A1583" s="133" t="str">
        <f>"4279"</f>
        <v>4279</v>
      </c>
      <c r="B1583" s="134" t="s">
        <v>1098</v>
      </c>
    </row>
    <row r="1584" spans="1:2">
      <c r="A1584" s="133" t="str">
        <f>"4280"</f>
        <v>4280</v>
      </c>
      <c r="B1584" s="134" t="s">
        <v>1097</v>
      </c>
    </row>
    <row r="1585" spans="1:2">
      <c r="A1585" s="133" t="str">
        <f>"4281"</f>
        <v>4281</v>
      </c>
      <c r="B1585" s="134" t="s">
        <v>1096</v>
      </c>
    </row>
    <row r="1586" spans="1:2">
      <c r="A1586" s="133" t="str">
        <f>"4282"</f>
        <v>4282</v>
      </c>
      <c r="B1586" s="134" t="s">
        <v>1095</v>
      </c>
    </row>
    <row r="1587" spans="1:2">
      <c r="A1587" s="133" t="str">
        <f>"4283"</f>
        <v>4283</v>
      </c>
      <c r="B1587" s="134" t="s">
        <v>1094</v>
      </c>
    </row>
    <row r="1588" spans="1:2">
      <c r="A1588" s="133" t="str">
        <f>"4284"</f>
        <v>4284</v>
      </c>
      <c r="B1588" s="134" t="s">
        <v>1093</v>
      </c>
    </row>
    <row r="1589" spans="1:2">
      <c r="A1589" s="133" t="str">
        <f>"4285"</f>
        <v>4285</v>
      </c>
      <c r="B1589" s="134" t="s">
        <v>1092</v>
      </c>
    </row>
    <row r="1590" spans="1:2">
      <c r="A1590" s="133" t="str">
        <f>"4286"</f>
        <v>4286</v>
      </c>
      <c r="B1590" s="134" t="s">
        <v>1091</v>
      </c>
    </row>
    <row r="1591" spans="1:2">
      <c r="A1591" s="133" t="str">
        <f>"4287"</f>
        <v>4287</v>
      </c>
      <c r="B1591" s="134" t="s">
        <v>1090</v>
      </c>
    </row>
    <row r="1592" spans="1:2">
      <c r="A1592" s="133" t="str">
        <f>"4288"</f>
        <v>4288</v>
      </c>
      <c r="B1592" s="134" t="s">
        <v>1089</v>
      </c>
    </row>
    <row r="1593" spans="1:2">
      <c r="A1593" s="133" t="str">
        <f>"4289"</f>
        <v>4289</v>
      </c>
      <c r="B1593" s="134" t="s">
        <v>1088</v>
      </c>
    </row>
    <row r="1594" spans="1:2">
      <c r="A1594" s="133" t="str">
        <f>"4290"</f>
        <v>4290</v>
      </c>
      <c r="B1594" s="134" t="s">
        <v>1087</v>
      </c>
    </row>
    <row r="1595" spans="1:2">
      <c r="A1595" s="133" t="str">
        <f>"4291"</f>
        <v>4291</v>
      </c>
      <c r="B1595" s="134" t="s">
        <v>1086</v>
      </c>
    </row>
    <row r="1596" spans="1:2">
      <c r="A1596" s="133" t="str">
        <f>"4292"</f>
        <v>4292</v>
      </c>
      <c r="B1596" s="134" t="s">
        <v>1085</v>
      </c>
    </row>
    <row r="1597" spans="1:2">
      <c r="A1597" s="133" t="str">
        <f>"4293"</f>
        <v>4293</v>
      </c>
      <c r="B1597" s="134" t="s">
        <v>1084</v>
      </c>
    </row>
    <row r="1598" spans="1:2">
      <c r="A1598" s="133" t="str">
        <f>"4294"</f>
        <v>4294</v>
      </c>
      <c r="B1598" s="134" t="s">
        <v>1083</v>
      </c>
    </row>
    <row r="1599" spans="1:2">
      <c r="A1599" s="133" t="str">
        <f>"4295"</f>
        <v>4295</v>
      </c>
      <c r="B1599" s="134" t="s">
        <v>1082</v>
      </c>
    </row>
    <row r="1600" spans="1:2">
      <c r="A1600" s="133" t="str">
        <f>"4296"</f>
        <v>4296</v>
      </c>
      <c r="B1600" s="134" t="s">
        <v>1081</v>
      </c>
    </row>
    <row r="1601" spans="1:2">
      <c r="A1601" s="133" t="str">
        <f>"4297"</f>
        <v>4297</v>
      </c>
      <c r="B1601" s="134" t="s">
        <v>1080</v>
      </c>
    </row>
    <row r="1602" spans="1:2">
      <c r="A1602" s="133" t="str">
        <f>"4298"</f>
        <v>4298</v>
      </c>
      <c r="B1602" s="134" t="s">
        <v>1079</v>
      </c>
    </row>
    <row r="1603" spans="1:2">
      <c r="A1603" s="133" t="str">
        <f>"4299"</f>
        <v>4299</v>
      </c>
      <c r="B1603" s="134" t="s">
        <v>1078</v>
      </c>
    </row>
    <row r="1604" spans="1:2">
      <c r="A1604" s="133" t="str">
        <f>"4300"</f>
        <v>4300</v>
      </c>
      <c r="B1604" s="134" t="s">
        <v>1077</v>
      </c>
    </row>
    <row r="1605" spans="1:2">
      <c r="A1605" s="133" t="str">
        <f>"4301"</f>
        <v>4301</v>
      </c>
      <c r="B1605" s="134" t="s">
        <v>1076</v>
      </c>
    </row>
    <row r="1606" spans="1:2">
      <c r="A1606" s="133" t="str">
        <f>"4302"</f>
        <v>4302</v>
      </c>
      <c r="B1606" s="134" t="s">
        <v>1075</v>
      </c>
    </row>
    <row r="1607" spans="1:2">
      <c r="A1607" s="133" t="str">
        <f>"4303"</f>
        <v>4303</v>
      </c>
      <c r="B1607" s="134" t="s">
        <v>1074</v>
      </c>
    </row>
    <row r="1608" spans="1:2">
      <c r="A1608" s="133" t="str">
        <f>"4304"</f>
        <v>4304</v>
      </c>
      <c r="B1608" s="134" t="s">
        <v>1073</v>
      </c>
    </row>
    <row r="1609" spans="1:2">
      <c r="A1609" s="133" t="str">
        <f>"4305"</f>
        <v>4305</v>
      </c>
      <c r="B1609" s="134" t="s">
        <v>1072</v>
      </c>
    </row>
    <row r="1610" spans="1:2">
      <c r="A1610" s="133" t="str">
        <f>"4306"</f>
        <v>4306</v>
      </c>
      <c r="B1610" s="134" t="s">
        <v>1071</v>
      </c>
    </row>
    <row r="1611" spans="1:2">
      <c r="A1611" s="133" t="str">
        <f>"4307"</f>
        <v>4307</v>
      </c>
      <c r="B1611" s="134" t="s">
        <v>1070</v>
      </c>
    </row>
    <row r="1612" spans="1:2">
      <c r="A1612" s="133" t="str">
        <f>"4308"</f>
        <v>4308</v>
      </c>
      <c r="B1612" s="134" t="s">
        <v>1069</v>
      </c>
    </row>
    <row r="1613" spans="1:2">
      <c r="A1613" s="133" t="str">
        <f>"4309"</f>
        <v>4309</v>
      </c>
      <c r="B1613" s="134" t="s">
        <v>1068</v>
      </c>
    </row>
    <row r="1614" spans="1:2">
      <c r="A1614" s="133" t="str">
        <f>"4310"</f>
        <v>4310</v>
      </c>
      <c r="B1614" s="134" t="s">
        <v>1067</v>
      </c>
    </row>
    <row r="1615" spans="1:2">
      <c r="A1615" s="133" t="str">
        <f>"4311"</f>
        <v>4311</v>
      </c>
      <c r="B1615" s="134" t="s">
        <v>1066</v>
      </c>
    </row>
    <row r="1616" spans="1:2">
      <c r="A1616" s="133" t="str">
        <f>"4312"</f>
        <v>4312</v>
      </c>
      <c r="B1616" s="134" t="s">
        <v>1065</v>
      </c>
    </row>
    <row r="1617" spans="1:2">
      <c r="A1617" s="133" t="str">
        <f>"4313"</f>
        <v>4313</v>
      </c>
      <c r="B1617" s="134" t="s">
        <v>1064</v>
      </c>
    </row>
    <row r="1618" spans="1:2">
      <c r="A1618" s="133" t="str">
        <f>"4314"</f>
        <v>4314</v>
      </c>
      <c r="B1618" s="134" t="s">
        <v>1063</v>
      </c>
    </row>
    <row r="1619" spans="1:2">
      <c r="A1619" s="133" t="str">
        <f>"4315"</f>
        <v>4315</v>
      </c>
      <c r="B1619" s="134" t="s">
        <v>1062</v>
      </c>
    </row>
    <row r="1620" spans="1:2">
      <c r="A1620" s="133" t="str">
        <f>"4316"</f>
        <v>4316</v>
      </c>
      <c r="B1620" s="134" t="s">
        <v>1061</v>
      </c>
    </row>
    <row r="1621" spans="1:2">
      <c r="A1621" s="133" t="str">
        <f>"4317"</f>
        <v>4317</v>
      </c>
      <c r="B1621" s="134" t="s">
        <v>1060</v>
      </c>
    </row>
    <row r="1622" spans="1:2">
      <c r="A1622" s="133" t="str">
        <f>"4318"</f>
        <v>4318</v>
      </c>
      <c r="B1622" s="134" t="s">
        <v>1059</v>
      </c>
    </row>
    <row r="1623" spans="1:2">
      <c r="A1623" s="133" t="str">
        <f>"4319"</f>
        <v>4319</v>
      </c>
      <c r="B1623" s="134" t="s">
        <v>1058</v>
      </c>
    </row>
    <row r="1624" spans="1:2">
      <c r="A1624" s="133" t="str">
        <f>"4320"</f>
        <v>4320</v>
      </c>
      <c r="B1624" s="134" t="s">
        <v>1057</v>
      </c>
    </row>
    <row r="1625" spans="1:2">
      <c r="A1625" s="133" t="str">
        <f>"4321"</f>
        <v>4321</v>
      </c>
      <c r="B1625" s="134" t="s">
        <v>1056</v>
      </c>
    </row>
    <row r="1626" spans="1:2">
      <c r="A1626" s="133" t="str">
        <f>"4322"</f>
        <v>4322</v>
      </c>
      <c r="B1626" s="134" t="s">
        <v>1055</v>
      </c>
    </row>
    <row r="1627" spans="1:2">
      <c r="A1627" s="133" t="str">
        <f>"4323"</f>
        <v>4323</v>
      </c>
      <c r="B1627" s="134" t="s">
        <v>1054</v>
      </c>
    </row>
    <row r="1628" spans="1:2">
      <c r="A1628" s="133" t="str">
        <f>"4324"</f>
        <v>4324</v>
      </c>
      <c r="B1628" s="134" t="s">
        <v>1053</v>
      </c>
    </row>
    <row r="1629" spans="1:2">
      <c r="A1629" s="133" t="str">
        <f>"4325"</f>
        <v>4325</v>
      </c>
      <c r="B1629" s="134" t="s">
        <v>1052</v>
      </c>
    </row>
    <row r="1630" spans="1:2">
      <c r="A1630" s="133" t="str">
        <f>"4326"</f>
        <v>4326</v>
      </c>
      <c r="B1630" s="134" t="s">
        <v>1051</v>
      </c>
    </row>
    <row r="1631" spans="1:2">
      <c r="A1631" s="133" t="str">
        <f>"4327"</f>
        <v>4327</v>
      </c>
      <c r="B1631" s="134" t="s">
        <v>1050</v>
      </c>
    </row>
    <row r="1632" spans="1:2">
      <c r="A1632" s="133" t="str">
        <f>"4328"</f>
        <v>4328</v>
      </c>
      <c r="B1632" s="134" t="s">
        <v>1049</v>
      </c>
    </row>
    <row r="1633" spans="1:2">
      <c r="A1633" s="133" t="str">
        <f>"4329"</f>
        <v>4329</v>
      </c>
      <c r="B1633" s="134" t="s">
        <v>1048</v>
      </c>
    </row>
    <row r="1634" spans="1:2">
      <c r="A1634" s="133" t="str">
        <f>"4330"</f>
        <v>4330</v>
      </c>
      <c r="B1634" s="134" t="s">
        <v>1047</v>
      </c>
    </row>
    <row r="1635" spans="1:2">
      <c r="A1635" s="133" t="str">
        <f>"4331"</f>
        <v>4331</v>
      </c>
      <c r="B1635" s="134" t="s">
        <v>1046</v>
      </c>
    </row>
    <row r="1636" spans="1:2">
      <c r="A1636" s="133" t="str">
        <f>"4332"</f>
        <v>4332</v>
      </c>
      <c r="B1636" s="134" t="s">
        <v>1045</v>
      </c>
    </row>
    <row r="1637" spans="1:2">
      <c r="A1637" s="133" t="str">
        <f>"4333"</f>
        <v>4333</v>
      </c>
      <c r="B1637" s="134" t="s">
        <v>1044</v>
      </c>
    </row>
    <row r="1638" spans="1:2">
      <c r="A1638" s="133" t="str">
        <f>"4334"</f>
        <v>4334</v>
      </c>
      <c r="B1638" s="134" t="s">
        <v>1043</v>
      </c>
    </row>
    <row r="1639" spans="1:2">
      <c r="A1639" s="133" t="str">
        <f>"4335"</f>
        <v>4335</v>
      </c>
      <c r="B1639" s="134" t="s">
        <v>1042</v>
      </c>
    </row>
    <row r="1640" spans="1:2">
      <c r="A1640" s="133" t="str">
        <f>"4336"</f>
        <v>4336</v>
      </c>
      <c r="B1640" s="134" t="s">
        <v>1041</v>
      </c>
    </row>
    <row r="1641" spans="1:2">
      <c r="A1641" s="133" t="str">
        <f>"4337"</f>
        <v>4337</v>
      </c>
      <c r="B1641" s="134" t="s">
        <v>1040</v>
      </c>
    </row>
    <row r="1642" spans="1:2">
      <c r="A1642" s="133" t="str">
        <f>"4338"</f>
        <v>4338</v>
      </c>
      <c r="B1642" s="134" t="s">
        <v>1039</v>
      </c>
    </row>
    <row r="1643" spans="1:2">
      <c r="A1643" s="133" t="str">
        <f>"4339"</f>
        <v>4339</v>
      </c>
      <c r="B1643" s="134" t="s">
        <v>1038</v>
      </c>
    </row>
    <row r="1644" spans="1:2">
      <c r="A1644" s="133" t="str">
        <f>"4340"</f>
        <v>4340</v>
      </c>
      <c r="B1644" s="134" t="s">
        <v>1037</v>
      </c>
    </row>
    <row r="1645" spans="1:2">
      <c r="A1645" s="133" t="str">
        <f>"4341"</f>
        <v>4341</v>
      </c>
      <c r="B1645" s="134" t="s">
        <v>1036</v>
      </c>
    </row>
    <row r="1646" spans="1:2">
      <c r="A1646" s="133" t="str">
        <f>"4342"</f>
        <v>4342</v>
      </c>
      <c r="B1646" s="134" t="s">
        <v>1035</v>
      </c>
    </row>
    <row r="1647" spans="1:2">
      <c r="A1647" s="133" t="str">
        <f>"4343"</f>
        <v>4343</v>
      </c>
      <c r="B1647" s="134" t="s">
        <v>1034</v>
      </c>
    </row>
    <row r="1648" spans="1:2">
      <c r="A1648" s="133" t="str">
        <f>"4344"</f>
        <v>4344</v>
      </c>
      <c r="B1648" s="134" t="s">
        <v>1033</v>
      </c>
    </row>
    <row r="1649" spans="1:2">
      <c r="A1649" s="133" t="str">
        <f>"4345"</f>
        <v>4345</v>
      </c>
      <c r="B1649" s="134" t="s">
        <v>1032</v>
      </c>
    </row>
    <row r="1650" spans="1:2">
      <c r="A1650" s="133" t="str">
        <f>"4346"</f>
        <v>4346</v>
      </c>
      <c r="B1650" s="134" t="s">
        <v>1031</v>
      </c>
    </row>
    <row r="1651" spans="1:2">
      <c r="A1651" s="133" t="str">
        <f>"4347"</f>
        <v>4347</v>
      </c>
      <c r="B1651" s="134" t="s">
        <v>1030</v>
      </c>
    </row>
    <row r="1652" spans="1:2">
      <c r="A1652" s="133" t="str">
        <f>"4348"</f>
        <v>4348</v>
      </c>
      <c r="B1652" s="134" t="s">
        <v>1029</v>
      </c>
    </row>
    <row r="1653" spans="1:2">
      <c r="A1653" s="133" t="str">
        <f>"4349"</f>
        <v>4349</v>
      </c>
      <c r="B1653" s="134" t="s">
        <v>1028</v>
      </c>
    </row>
    <row r="1654" spans="1:2">
      <c r="A1654" s="133" t="str">
        <f>"4350"</f>
        <v>4350</v>
      </c>
      <c r="B1654" s="134" t="s">
        <v>1027</v>
      </c>
    </row>
    <row r="1655" spans="1:2">
      <c r="A1655" s="133" t="str">
        <f>"4351"</f>
        <v>4351</v>
      </c>
      <c r="B1655" s="134" t="s">
        <v>1026</v>
      </c>
    </row>
    <row r="1656" spans="1:2">
      <c r="A1656" s="133" t="str">
        <f>"4352"</f>
        <v>4352</v>
      </c>
      <c r="B1656" s="134" t="s">
        <v>1025</v>
      </c>
    </row>
    <row r="1657" spans="1:2">
      <c r="A1657" s="133" t="str">
        <f>"4353"</f>
        <v>4353</v>
      </c>
      <c r="B1657" s="134" t="s">
        <v>1024</v>
      </c>
    </row>
    <row r="1658" spans="1:2">
      <c r="A1658" s="133" t="str">
        <f>"4354"</f>
        <v>4354</v>
      </c>
      <c r="B1658" s="134" t="s">
        <v>1023</v>
      </c>
    </row>
    <row r="1659" spans="1:2">
      <c r="A1659" s="133" t="str">
        <f>"4355"</f>
        <v>4355</v>
      </c>
      <c r="B1659" s="134" t="s">
        <v>1022</v>
      </c>
    </row>
    <row r="1660" spans="1:2">
      <c r="A1660" s="133" t="str">
        <f>"4356"</f>
        <v>4356</v>
      </c>
      <c r="B1660" s="134" t="s">
        <v>1021</v>
      </c>
    </row>
    <row r="1661" spans="1:2">
      <c r="A1661" s="133" t="str">
        <f>"4357"</f>
        <v>4357</v>
      </c>
      <c r="B1661" s="134" t="s">
        <v>1020</v>
      </c>
    </row>
    <row r="1662" spans="1:2">
      <c r="A1662" s="133" t="str">
        <f>"4358"</f>
        <v>4358</v>
      </c>
      <c r="B1662" s="134" t="s">
        <v>1019</v>
      </c>
    </row>
    <row r="1663" spans="1:2">
      <c r="A1663" s="133" t="str">
        <f>"4359"</f>
        <v>4359</v>
      </c>
      <c r="B1663" s="134" t="s">
        <v>1018</v>
      </c>
    </row>
    <row r="1664" spans="1:2">
      <c r="A1664" s="133" t="str">
        <f>"4360"</f>
        <v>4360</v>
      </c>
      <c r="B1664" s="134" t="s">
        <v>1017</v>
      </c>
    </row>
    <row r="1665" spans="1:2">
      <c r="A1665" s="133" t="str">
        <f>"4361"</f>
        <v>4361</v>
      </c>
      <c r="B1665" s="134" t="s">
        <v>1016</v>
      </c>
    </row>
    <row r="1666" spans="1:2">
      <c r="A1666" s="133" t="str">
        <f>"4362"</f>
        <v>4362</v>
      </c>
      <c r="B1666" s="134" t="s">
        <v>1015</v>
      </c>
    </row>
    <row r="1667" spans="1:2">
      <c r="A1667" s="133" t="str">
        <f>"4363"</f>
        <v>4363</v>
      </c>
      <c r="B1667" s="134" t="s">
        <v>1014</v>
      </c>
    </row>
    <row r="1668" spans="1:2">
      <c r="A1668" s="133" t="str">
        <f>"4364"</f>
        <v>4364</v>
      </c>
      <c r="B1668" s="134" t="s">
        <v>1013</v>
      </c>
    </row>
    <row r="1669" spans="1:2">
      <c r="A1669" s="133" t="str">
        <f>"4365"</f>
        <v>4365</v>
      </c>
      <c r="B1669" s="134" t="s">
        <v>1012</v>
      </c>
    </row>
    <row r="1670" spans="1:2">
      <c r="A1670" s="133" t="str">
        <f>"4366"</f>
        <v>4366</v>
      </c>
      <c r="B1670" s="134" t="s">
        <v>1011</v>
      </c>
    </row>
    <row r="1671" spans="1:2">
      <c r="A1671" s="133" t="str">
        <f>"4367"</f>
        <v>4367</v>
      </c>
      <c r="B1671" s="134" t="s">
        <v>1010</v>
      </c>
    </row>
    <row r="1672" spans="1:2">
      <c r="A1672" s="133" t="str">
        <f>"4368"</f>
        <v>4368</v>
      </c>
      <c r="B1672" s="134" t="s">
        <v>1009</v>
      </c>
    </row>
    <row r="1673" spans="1:2">
      <c r="A1673" s="133" t="str">
        <f>"4369"</f>
        <v>4369</v>
      </c>
      <c r="B1673" s="134" t="s">
        <v>1008</v>
      </c>
    </row>
    <row r="1674" spans="1:2">
      <c r="A1674" s="133" t="str">
        <f>"4370"</f>
        <v>4370</v>
      </c>
      <c r="B1674" s="134" t="s">
        <v>1007</v>
      </c>
    </row>
    <row r="1675" spans="1:2">
      <c r="A1675" s="133" t="str">
        <f>"4371"</f>
        <v>4371</v>
      </c>
      <c r="B1675" s="134" t="s">
        <v>1006</v>
      </c>
    </row>
    <row r="1676" spans="1:2">
      <c r="A1676" s="133" t="str">
        <f>"4372"</f>
        <v>4372</v>
      </c>
      <c r="B1676" s="134" t="s">
        <v>1005</v>
      </c>
    </row>
    <row r="1677" spans="1:2">
      <c r="A1677" s="133" t="str">
        <f>"4373"</f>
        <v>4373</v>
      </c>
      <c r="B1677" s="134" t="s">
        <v>1004</v>
      </c>
    </row>
    <row r="1678" spans="1:2">
      <c r="A1678" s="133" t="str">
        <f>"4374"</f>
        <v>4374</v>
      </c>
      <c r="B1678" s="134" t="s">
        <v>1003</v>
      </c>
    </row>
    <row r="1679" spans="1:2">
      <c r="A1679" s="133" t="str">
        <f>"4375"</f>
        <v>4375</v>
      </c>
      <c r="B1679" s="134" t="s">
        <v>1002</v>
      </c>
    </row>
    <row r="1680" spans="1:2">
      <c r="A1680" s="133" t="str">
        <f>"4376"</f>
        <v>4376</v>
      </c>
      <c r="B1680" s="134" t="s">
        <v>1001</v>
      </c>
    </row>
    <row r="1681" spans="1:2">
      <c r="A1681" s="133" t="str">
        <f>"4377"</f>
        <v>4377</v>
      </c>
      <c r="B1681" s="134" t="s">
        <v>1000</v>
      </c>
    </row>
    <row r="1682" spans="1:2">
      <c r="A1682" s="133" t="str">
        <f>"4378"</f>
        <v>4378</v>
      </c>
      <c r="B1682" s="134" t="s">
        <v>999</v>
      </c>
    </row>
    <row r="1683" spans="1:2">
      <c r="A1683" s="133" t="str">
        <f>"4379"</f>
        <v>4379</v>
      </c>
      <c r="B1683" s="134" t="s">
        <v>998</v>
      </c>
    </row>
    <row r="1684" spans="1:2">
      <c r="A1684" s="133" t="str">
        <f>"4380"</f>
        <v>4380</v>
      </c>
      <c r="B1684" s="134" t="s">
        <v>997</v>
      </c>
    </row>
    <row r="1685" spans="1:2">
      <c r="A1685" s="133" t="str">
        <f>"4381"</f>
        <v>4381</v>
      </c>
      <c r="B1685" s="134" t="s">
        <v>996</v>
      </c>
    </row>
    <row r="1686" spans="1:2">
      <c r="A1686" s="133" t="str">
        <f>"4701"</f>
        <v>4701</v>
      </c>
      <c r="B1686" s="134" t="s">
        <v>995</v>
      </c>
    </row>
    <row r="1687" spans="1:2">
      <c r="A1687" s="133" t="str">
        <f>"4702"</f>
        <v>4702</v>
      </c>
      <c r="B1687" s="134" t="s">
        <v>994</v>
      </c>
    </row>
    <row r="1688" spans="1:2">
      <c r="A1688" s="133" t="str">
        <f>"4703"</f>
        <v>4703</v>
      </c>
      <c r="B1688" s="134" t="s">
        <v>993</v>
      </c>
    </row>
    <row r="1689" spans="1:2">
      <c r="A1689" s="133" t="str">
        <f>"4704"</f>
        <v>4704</v>
      </c>
      <c r="B1689" s="134" t="s">
        <v>992</v>
      </c>
    </row>
    <row r="1690" spans="1:2">
      <c r="A1690" s="133" t="str">
        <f>"4705"</f>
        <v>4705</v>
      </c>
      <c r="B1690" s="134" t="s">
        <v>991</v>
      </c>
    </row>
    <row r="1691" spans="1:2">
      <c r="A1691" s="133" t="str">
        <f>"4706"</f>
        <v>4706</v>
      </c>
      <c r="B1691" s="134" t="s">
        <v>990</v>
      </c>
    </row>
    <row r="1692" spans="1:2">
      <c r="A1692" s="133" t="str">
        <f>"4707"</f>
        <v>4707</v>
      </c>
      <c r="B1692" s="134" t="s">
        <v>989</v>
      </c>
    </row>
    <row r="1693" spans="1:2">
      <c r="A1693" s="133" t="str">
        <f>"4708"</f>
        <v>4708</v>
      </c>
      <c r="B1693" s="134" t="s">
        <v>988</v>
      </c>
    </row>
    <row r="1694" spans="1:2">
      <c r="A1694" s="133" t="str">
        <f>"4709"</f>
        <v>4709</v>
      </c>
      <c r="B1694" s="134" t="s">
        <v>537</v>
      </c>
    </row>
    <row r="1695" spans="1:2">
      <c r="A1695" s="133" t="str">
        <f>"4710"</f>
        <v>4710</v>
      </c>
      <c r="B1695" s="134" t="s">
        <v>987</v>
      </c>
    </row>
    <row r="1696" spans="1:2">
      <c r="A1696" s="133" t="str">
        <f>"4711"</f>
        <v>4711</v>
      </c>
      <c r="B1696" s="134" t="s">
        <v>986</v>
      </c>
    </row>
    <row r="1697" spans="1:2">
      <c r="A1697" s="133" t="str">
        <f>"4712"</f>
        <v>4712</v>
      </c>
      <c r="B1697" s="134" t="s">
        <v>985</v>
      </c>
    </row>
    <row r="1698" spans="1:2">
      <c r="A1698" s="133" t="str">
        <f>"4713"</f>
        <v>4713</v>
      </c>
      <c r="B1698" s="134" t="s">
        <v>984</v>
      </c>
    </row>
    <row r="1699" spans="1:2">
      <c r="A1699" s="133" t="str">
        <f>"4714"</f>
        <v>4714</v>
      </c>
      <c r="B1699" s="134" t="s">
        <v>983</v>
      </c>
    </row>
    <row r="1700" spans="1:2">
      <c r="A1700" s="133" t="str">
        <f>"4715"</f>
        <v>4715</v>
      </c>
      <c r="B1700" s="134" t="s">
        <v>982</v>
      </c>
    </row>
    <row r="1701" spans="1:2">
      <c r="A1701" s="133" t="str">
        <f>"4716"</f>
        <v>4716</v>
      </c>
      <c r="B1701" s="134" t="s">
        <v>981</v>
      </c>
    </row>
    <row r="1702" spans="1:2">
      <c r="A1702" s="133" t="str">
        <f>"4717"</f>
        <v>4717</v>
      </c>
      <c r="B1702" s="134" t="s">
        <v>980</v>
      </c>
    </row>
    <row r="1703" spans="1:2">
      <c r="A1703" s="133" t="str">
        <f>"4718"</f>
        <v>4718</v>
      </c>
      <c r="B1703" s="134" t="s">
        <v>979</v>
      </c>
    </row>
    <row r="1704" spans="1:2">
      <c r="A1704" s="133" t="str">
        <f>"4719"</f>
        <v>4719</v>
      </c>
      <c r="B1704" s="134" t="s">
        <v>978</v>
      </c>
    </row>
    <row r="1705" spans="1:2">
      <c r="A1705" s="133" t="str">
        <f>"4720"</f>
        <v>4720</v>
      </c>
      <c r="B1705" s="134" t="s">
        <v>977</v>
      </c>
    </row>
    <row r="1706" spans="1:2">
      <c r="A1706" s="133" t="str">
        <f>"4721"</f>
        <v>4721</v>
      </c>
      <c r="B1706" s="134" t="s">
        <v>976</v>
      </c>
    </row>
    <row r="1707" spans="1:2">
      <c r="A1707" s="133" t="str">
        <f>"4722"</f>
        <v>4722</v>
      </c>
      <c r="B1707" s="134" t="s">
        <v>975</v>
      </c>
    </row>
    <row r="1708" spans="1:2">
      <c r="A1708" s="133" t="str">
        <f>"4723"</f>
        <v>4723</v>
      </c>
      <c r="B1708" s="134" t="s">
        <v>974</v>
      </c>
    </row>
    <row r="1709" spans="1:2">
      <c r="A1709" s="133" t="str">
        <f>"4724"</f>
        <v>4724</v>
      </c>
      <c r="B1709" s="134" t="s">
        <v>973</v>
      </c>
    </row>
    <row r="1710" spans="1:2">
      <c r="A1710" s="133" t="str">
        <f>"4725"</f>
        <v>4725</v>
      </c>
      <c r="B1710" s="134" t="s">
        <v>521</v>
      </c>
    </row>
    <row r="1711" spans="1:2">
      <c r="A1711" s="133" t="str">
        <f>"4726"</f>
        <v>4726</v>
      </c>
      <c r="B1711" s="134" t="s">
        <v>972</v>
      </c>
    </row>
    <row r="1712" spans="1:2">
      <c r="A1712" s="133" t="str">
        <f>"4727"</f>
        <v>4727</v>
      </c>
      <c r="B1712" s="134" t="s">
        <v>532</v>
      </c>
    </row>
    <row r="1713" spans="1:2">
      <c r="A1713" s="133" t="str">
        <f>"4728"</f>
        <v>4728</v>
      </c>
      <c r="B1713" s="134" t="s">
        <v>971</v>
      </c>
    </row>
    <row r="1714" spans="1:2">
      <c r="A1714" s="133" t="str">
        <f>"4729"</f>
        <v>4729</v>
      </c>
      <c r="B1714" s="134" t="s">
        <v>970</v>
      </c>
    </row>
    <row r="1715" spans="1:2">
      <c r="A1715" s="133" t="str">
        <f>"4730"</f>
        <v>4730</v>
      </c>
      <c r="B1715" s="134" t="s">
        <v>530</v>
      </c>
    </row>
    <row r="1716" spans="1:2">
      <c r="A1716" s="133" t="str">
        <f>"4731"</f>
        <v>4731</v>
      </c>
      <c r="B1716" s="134" t="s">
        <v>969</v>
      </c>
    </row>
    <row r="1717" spans="1:2">
      <c r="A1717" s="133" t="str">
        <f>"4732"</f>
        <v>4732</v>
      </c>
      <c r="B1717" s="134" t="s">
        <v>535</v>
      </c>
    </row>
    <row r="1718" spans="1:2">
      <c r="A1718" s="133" t="str">
        <f>"4746"</f>
        <v>4746</v>
      </c>
      <c r="B1718" s="134" t="s">
        <v>968</v>
      </c>
    </row>
    <row r="1719" spans="1:2">
      <c r="A1719" s="133" t="str">
        <f>"4748"</f>
        <v>4748</v>
      </c>
      <c r="B1719" s="134" t="s">
        <v>967</v>
      </c>
    </row>
    <row r="1720" spans="1:2">
      <c r="A1720" s="133" t="str">
        <f>"4749"</f>
        <v>4749</v>
      </c>
      <c r="B1720" s="134" t="s">
        <v>966</v>
      </c>
    </row>
    <row r="1721" spans="1:2">
      <c r="A1721" s="133" t="str">
        <f>"4750"</f>
        <v>4750</v>
      </c>
      <c r="B1721" s="134" t="s">
        <v>965</v>
      </c>
    </row>
    <row r="1722" spans="1:2">
      <c r="A1722" s="133" t="str">
        <f>"4751"</f>
        <v>4751</v>
      </c>
      <c r="B1722" s="134" t="s">
        <v>964</v>
      </c>
    </row>
    <row r="1723" spans="1:2">
      <c r="A1723" s="133" t="str">
        <f>"4752"</f>
        <v>4752</v>
      </c>
      <c r="B1723" s="134" t="s">
        <v>963</v>
      </c>
    </row>
    <row r="1724" spans="1:2">
      <c r="A1724" s="133" t="str">
        <f>"4753"</f>
        <v>4753</v>
      </c>
      <c r="B1724" s="134" t="s">
        <v>962</v>
      </c>
    </row>
    <row r="1725" spans="1:2">
      <c r="A1725" s="133" t="str">
        <f>"4754"</f>
        <v>4754</v>
      </c>
      <c r="B1725" s="134" t="s">
        <v>961</v>
      </c>
    </row>
    <row r="1726" spans="1:2">
      <c r="A1726" s="133" t="str">
        <f>"4755"</f>
        <v>4755</v>
      </c>
      <c r="B1726" s="134" t="s">
        <v>960</v>
      </c>
    </row>
    <row r="1727" spans="1:2">
      <c r="A1727" s="133" t="str">
        <f>"4761"</f>
        <v>4761</v>
      </c>
      <c r="B1727" s="134" t="s">
        <v>959</v>
      </c>
    </row>
    <row r="1728" spans="1:2">
      <c r="A1728" s="133" t="str">
        <f>"4762"</f>
        <v>4762</v>
      </c>
      <c r="B1728" s="134" t="s">
        <v>958</v>
      </c>
    </row>
    <row r="1729" spans="1:2">
      <c r="A1729" s="133" t="str">
        <f>"4763"</f>
        <v>4763</v>
      </c>
      <c r="B1729" s="134" t="s">
        <v>957</v>
      </c>
    </row>
    <row r="1730" spans="1:2">
      <c r="A1730" s="133" t="str">
        <f>"4764"</f>
        <v>4764</v>
      </c>
      <c r="B1730" s="134" t="s">
        <v>956</v>
      </c>
    </row>
    <row r="1731" spans="1:2">
      <c r="A1731" s="133" t="str">
        <f>"4765"</f>
        <v>4765</v>
      </c>
      <c r="B1731" s="134" t="s">
        <v>955</v>
      </c>
    </row>
    <row r="1732" spans="1:2">
      <c r="A1732" s="133" t="str">
        <f>"4766"</f>
        <v>4766</v>
      </c>
      <c r="B1732" s="134" t="s">
        <v>954</v>
      </c>
    </row>
    <row r="1733" spans="1:2">
      <c r="A1733" s="133" t="str">
        <f>"4767"</f>
        <v>4767</v>
      </c>
      <c r="B1733" s="134" t="s">
        <v>953</v>
      </c>
    </row>
    <row r="1734" spans="1:2">
      <c r="A1734" s="133" t="str">
        <f>"4768"</f>
        <v>4768</v>
      </c>
      <c r="B1734" s="134" t="s">
        <v>952</v>
      </c>
    </row>
    <row r="1735" spans="1:2">
      <c r="A1735" s="133" t="str">
        <f>"4769"</f>
        <v>4769</v>
      </c>
      <c r="B1735" s="134" t="s">
        <v>951</v>
      </c>
    </row>
    <row r="1736" spans="1:2">
      <c r="A1736" s="133" t="str">
        <f>"4770"</f>
        <v>4770</v>
      </c>
      <c r="B1736" s="134" t="s">
        <v>950</v>
      </c>
    </row>
    <row r="1737" spans="1:2">
      <c r="A1737" s="133" t="str">
        <f>"4771"</f>
        <v>4771</v>
      </c>
      <c r="B1737" s="134" t="s">
        <v>949</v>
      </c>
    </row>
    <row r="1738" spans="1:2">
      <c r="A1738" s="133" t="str">
        <f>"4772"</f>
        <v>4772</v>
      </c>
      <c r="B1738" s="134" t="s">
        <v>948</v>
      </c>
    </row>
    <row r="1739" spans="1:2">
      <c r="A1739" s="133" t="str">
        <f>"4773"</f>
        <v>4773</v>
      </c>
      <c r="B1739" s="134" t="s">
        <v>947</v>
      </c>
    </row>
    <row r="1740" spans="1:2">
      <c r="A1740" s="133" t="str">
        <f>"4774"</f>
        <v>4774</v>
      </c>
      <c r="B1740" s="134" t="s">
        <v>946</v>
      </c>
    </row>
    <row r="1741" spans="1:2">
      <c r="A1741" s="133" t="str">
        <f>"4775"</f>
        <v>4775</v>
      </c>
      <c r="B1741" s="134" t="s">
        <v>945</v>
      </c>
    </row>
    <row r="1742" spans="1:2">
      <c r="A1742" s="133" t="str">
        <f>"4776"</f>
        <v>4776</v>
      </c>
      <c r="B1742" s="134" t="s">
        <v>944</v>
      </c>
    </row>
    <row r="1743" spans="1:2">
      <c r="A1743" s="133" t="str">
        <f>"4777"</f>
        <v>4777</v>
      </c>
      <c r="B1743" s="134" t="s">
        <v>943</v>
      </c>
    </row>
    <row r="1744" spans="1:2">
      <c r="A1744" s="133" t="str">
        <f>"4778"</f>
        <v>4778</v>
      </c>
      <c r="B1744" s="134" t="s">
        <v>942</v>
      </c>
    </row>
    <row r="1745" spans="1:2">
      <c r="A1745" s="133" t="str">
        <f>"4779"</f>
        <v>4779</v>
      </c>
      <c r="B1745" s="134" t="s">
        <v>941</v>
      </c>
    </row>
    <row r="1746" spans="1:2">
      <c r="A1746" s="133" t="str">
        <f>"4780"</f>
        <v>4780</v>
      </c>
      <c r="B1746" s="134" t="s">
        <v>940</v>
      </c>
    </row>
    <row r="1747" spans="1:2">
      <c r="A1747" s="133" t="str">
        <f>"4781"</f>
        <v>4781</v>
      </c>
      <c r="B1747" s="134" t="s">
        <v>939</v>
      </c>
    </row>
    <row r="1748" spans="1:2">
      <c r="A1748" s="133" t="str">
        <f>"4782"</f>
        <v>4782</v>
      </c>
      <c r="B1748" s="134" t="s">
        <v>938</v>
      </c>
    </row>
    <row r="1749" spans="1:2">
      <c r="A1749" s="133" t="str">
        <f>"4783"</f>
        <v>4783</v>
      </c>
      <c r="B1749" s="134" t="s">
        <v>937</v>
      </c>
    </row>
    <row r="1750" spans="1:2">
      <c r="A1750" s="133" t="str">
        <f>"4784"</f>
        <v>4784</v>
      </c>
      <c r="B1750" s="134" t="s">
        <v>936</v>
      </c>
    </row>
    <row r="1751" spans="1:2">
      <c r="A1751" s="133" t="str">
        <f>"4785"</f>
        <v>4785</v>
      </c>
      <c r="B1751" s="134" t="s">
        <v>935</v>
      </c>
    </row>
    <row r="1752" spans="1:2">
      <c r="A1752" s="133" t="str">
        <f>"4786"</f>
        <v>4786</v>
      </c>
      <c r="B1752" s="134" t="s">
        <v>934</v>
      </c>
    </row>
    <row r="1753" spans="1:2">
      <c r="A1753" s="133" t="str">
        <f>"4787"</f>
        <v>4787</v>
      </c>
      <c r="B1753" s="134" t="s">
        <v>933</v>
      </c>
    </row>
    <row r="1754" spans="1:2">
      <c r="A1754" s="133" t="str">
        <f>"4788"</f>
        <v>4788</v>
      </c>
      <c r="B1754" s="134" t="s">
        <v>932</v>
      </c>
    </row>
    <row r="1755" spans="1:2">
      <c r="A1755" s="133" t="str">
        <f>"4789"</f>
        <v>4789</v>
      </c>
      <c r="B1755" s="134" t="s">
        <v>931</v>
      </c>
    </row>
    <row r="1756" spans="1:2">
      <c r="A1756" s="133" t="str">
        <f>"4790"</f>
        <v>4790</v>
      </c>
      <c r="B1756" s="134" t="s">
        <v>930</v>
      </c>
    </row>
    <row r="1757" spans="1:2">
      <c r="A1757" s="133" t="str">
        <f>"4791"</f>
        <v>4791</v>
      </c>
      <c r="B1757" s="134" t="s">
        <v>929</v>
      </c>
    </row>
    <row r="1758" spans="1:2">
      <c r="A1758" s="133" t="str">
        <f>"4792"</f>
        <v>4792</v>
      </c>
      <c r="B1758" s="134" t="s">
        <v>928</v>
      </c>
    </row>
    <row r="1759" spans="1:2">
      <c r="A1759" s="133" t="str">
        <f>"4793"</f>
        <v>4793</v>
      </c>
      <c r="B1759" s="134" t="s">
        <v>927</v>
      </c>
    </row>
    <row r="1760" spans="1:2">
      <c r="A1760" s="133" t="str">
        <f>"4794"</f>
        <v>4794</v>
      </c>
      <c r="B1760" s="134" t="s">
        <v>926</v>
      </c>
    </row>
    <row r="1761" spans="1:2">
      <c r="A1761" s="133" t="str">
        <f>"4795"</f>
        <v>4795</v>
      </c>
      <c r="B1761" s="134" t="s">
        <v>925</v>
      </c>
    </row>
    <row r="1762" spans="1:2">
      <c r="A1762" s="133" t="str">
        <f>"4796"</f>
        <v>4796</v>
      </c>
      <c r="B1762" s="134" t="s">
        <v>924</v>
      </c>
    </row>
    <row r="1763" spans="1:2">
      <c r="A1763" s="133" t="str">
        <f>"4797"</f>
        <v>4797</v>
      </c>
      <c r="B1763" s="134" t="s">
        <v>923</v>
      </c>
    </row>
    <row r="1764" spans="1:2">
      <c r="A1764" s="133" t="str">
        <f>"4798"</f>
        <v>4798</v>
      </c>
      <c r="B1764" s="134" t="s">
        <v>922</v>
      </c>
    </row>
    <row r="1765" spans="1:2">
      <c r="A1765" s="133" t="str">
        <f>"4800"</f>
        <v>4800</v>
      </c>
      <c r="B1765" s="134" t="s">
        <v>921</v>
      </c>
    </row>
    <row r="1766" spans="1:2">
      <c r="A1766" s="133" t="str">
        <f>"4801"</f>
        <v>4801</v>
      </c>
      <c r="B1766" s="134" t="s">
        <v>920</v>
      </c>
    </row>
    <row r="1767" spans="1:2">
      <c r="A1767" s="133" t="str">
        <f>"4802"</f>
        <v>4802</v>
      </c>
      <c r="B1767" s="134" t="s">
        <v>919</v>
      </c>
    </row>
    <row r="1768" spans="1:2">
      <c r="A1768" s="133" t="str">
        <f>"4803"</f>
        <v>4803</v>
      </c>
      <c r="B1768" s="134" t="s">
        <v>918</v>
      </c>
    </row>
    <row r="1769" spans="1:2">
      <c r="A1769" s="133" t="str">
        <f>"4804"</f>
        <v>4804</v>
      </c>
      <c r="B1769" s="134" t="s">
        <v>917</v>
      </c>
    </row>
    <row r="1770" spans="1:2">
      <c r="A1770" s="133" t="str">
        <f>"5000"</f>
        <v>5000</v>
      </c>
      <c r="B1770" s="134" t="s">
        <v>916</v>
      </c>
    </row>
    <row r="1771" spans="1:2">
      <c r="A1771" s="133" t="str">
        <f>"5001"</f>
        <v>5001</v>
      </c>
      <c r="B1771" s="134" t="s">
        <v>915</v>
      </c>
    </row>
    <row r="1772" spans="1:2">
      <c r="A1772" s="133" t="str">
        <f>"5002"</f>
        <v>5002</v>
      </c>
      <c r="B1772" s="134" t="s">
        <v>914</v>
      </c>
    </row>
    <row r="1773" spans="1:2">
      <c r="A1773" s="133" t="str">
        <f>"5003"</f>
        <v>5003</v>
      </c>
      <c r="B1773" s="134" t="s">
        <v>913</v>
      </c>
    </row>
    <row r="1774" spans="1:2">
      <c r="A1774" s="133" t="str">
        <f>"5004"</f>
        <v>5004</v>
      </c>
      <c r="B1774" s="134" t="s">
        <v>912</v>
      </c>
    </row>
    <row r="1775" spans="1:2">
      <c r="A1775" s="133" t="str">
        <f>"5005"</f>
        <v>5005</v>
      </c>
      <c r="B1775" s="134" t="s">
        <v>911</v>
      </c>
    </row>
    <row r="1776" spans="1:2">
      <c r="A1776" s="133" t="str">
        <f>"5006"</f>
        <v>5006</v>
      </c>
      <c r="B1776" s="134" t="s">
        <v>910</v>
      </c>
    </row>
    <row r="1777" spans="1:2">
      <c r="A1777" s="133" t="str">
        <f>"5007"</f>
        <v>5007</v>
      </c>
      <c r="B1777" s="134" t="s">
        <v>909</v>
      </c>
    </row>
    <row r="1778" spans="1:2">
      <c r="A1778" s="133" t="str">
        <f>"5008"</f>
        <v>5008</v>
      </c>
      <c r="B1778" s="134" t="s">
        <v>908</v>
      </c>
    </row>
    <row r="1779" spans="1:2">
      <c r="A1779" s="133" t="str">
        <f>"5009"</f>
        <v>5009</v>
      </c>
      <c r="B1779" s="134" t="s">
        <v>907</v>
      </c>
    </row>
    <row r="1780" spans="1:2">
      <c r="A1780" s="133" t="str">
        <f>"5010"</f>
        <v>5010</v>
      </c>
      <c r="B1780" s="134" t="s">
        <v>906</v>
      </c>
    </row>
    <row r="1781" spans="1:2">
      <c r="A1781" s="133" t="str">
        <f>"5011"</f>
        <v>5011</v>
      </c>
      <c r="B1781" s="134" t="s">
        <v>905</v>
      </c>
    </row>
    <row r="1782" spans="1:2">
      <c r="A1782" s="133" t="str">
        <f>"5012"</f>
        <v>5012</v>
      </c>
      <c r="B1782" s="134" t="s">
        <v>904</v>
      </c>
    </row>
    <row r="1783" spans="1:2">
      <c r="A1783" s="133" t="str">
        <f>"5013"</f>
        <v>5013</v>
      </c>
      <c r="B1783" s="134" t="s">
        <v>903</v>
      </c>
    </row>
    <row r="1784" spans="1:2">
      <c r="A1784" s="133" t="str">
        <f>"5014"</f>
        <v>5014</v>
      </c>
      <c r="B1784" s="134" t="s">
        <v>902</v>
      </c>
    </row>
    <row r="1785" spans="1:2">
      <c r="A1785" s="133" t="str">
        <f>"5015"</f>
        <v>5015</v>
      </c>
      <c r="B1785" s="134" t="s">
        <v>901</v>
      </c>
    </row>
    <row r="1786" spans="1:2">
      <c r="A1786" s="133" t="str">
        <f>"5016"</f>
        <v>5016</v>
      </c>
      <c r="B1786" s="134" t="s">
        <v>900</v>
      </c>
    </row>
    <row r="1787" spans="1:2">
      <c r="A1787" s="133" t="str">
        <f>"5017"</f>
        <v>5017</v>
      </c>
      <c r="B1787" s="134" t="s">
        <v>899</v>
      </c>
    </row>
    <row r="1788" spans="1:2">
      <c r="A1788" s="133" t="str">
        <f>"5018"</f>
        <v>5018</v>
      </c>
      <c r="B1788" s="134" t="s">
        <v>880</v>
      </c>
    </row>
    <row r="1789" spans="1:2">
      <c r="A1789" s="133" t="str">
        <f>"5019"</f>
        <v>5019</v>
      </c>
      <c r="B1789" s="134" t="s">
        <v>898</v>
      </c>
    </row>
    <row r="1790" spans="1:2">
      <c r="A1790" s="133" t="str">
        <f>"5020"</f>
        <v>5020</v>
      </c>
      <c r="B1790" s="134" t="s">
        <v>897</v>
      </c>
    </row>
    <row r="1791" spans="1:2">
      <c r="A1791" s="133" t="str">
        <f>"5021"</f>
        <v>5021</v>
      </c>
      <c r="B1791" s="134" t="s">
        <v>896</v>
      </c>
    </row>
    <row r="1792" spans="1:2">
      <c r="A1792" s="133" t="str">
        <f>"5022"</f>
        <v>5022</v>
      </c>
      <c r="B1792" s="134" t="s">
        <v>895</v>
      </c>
    </row>
    <row r="1793" spans="1:2">
      <c r="A1793" s="133" t="str">
        <f>"5023"</f>
        <v>5023</v>
      </c>
      <c r="B1793" s="134" t="s">
        <v>894</v>
      </c>
    </row>
    <row r="1794" spans="1:2">
      <c r="A1794" s="133" t="str">
        <f>"5024"</f>
        <v>5024</v>
      </c>
      <c r="B1794" s="134" t="s">
        <v>893</v>
      </c>
    </row>
    <row r="1795" spans="1:2">
      <c r="A1795" s="133" t="str">
        <f>"5025"</f>
        <v>5025</v>
      </c>
      <c r="B1795" s="134" t="s">
        <v>892</v>
      </c>
    </row>
    <row r="1796" spans="1:2">
      <c r="A1796" s="133" t="str">
        <f>"5026"</f>
        <v>5026</v>
      </c>
      <c r="B1796" s="134" t="s">
        <v>891</v>
      </c>
    </row>
    <row r="1797" spans="1:2">
      <c r="A1797" s="133" t="str">
        <f>"5027"</f>
        <v>5027</v>
      </c>
      <c r="B1797" s="134" t="s">
        <v>890</v>
      </c>
    </row>
    <row r="1798" spans="1:2">
      <c r="A1798" s="133" t="str">
        <f>"5028"</f>
        <v>5028</v>
      </c>
      <c r="B1798" s="134" t="s">
        <v>889</v>
      </c>
    </row>
    <row r="1799" spans="1:2">
      <c r="A1799" s="133" t="str">
        <f>"5029"</f>
        <v>5029</v>
      </c>
      <c r="B1799" s="134" t="s">
        <v>888</v>
      </c>
    </row>
    <row r="1800" spans="1:2">
      <c r="A1800" s="133" t="str">
        <f>"5030"</f>
        <v>5030</v>
      </c>
      <c r="B1800" s="134" t="s">
        <v>887</v>
      </c>
    </row>
    <row r="1801" spans="1:2">
      <c r="A1801" s="133" t="str">
        <f>"5031"</f>
        <v>5031</v>
      </c>
      <c r="B1801" s="134" t="s">
        <v>886</v>
      </c>
    </row>
    <row r="1802" spans="1:2">
      <c r="A1802" s="133" t="str">
        <f>"5032"</f>
        <v>5032</v>
      </c>
      <c r="B1802" s="134" t="s">
        <v>885</v>
      </c>
    </row>
    <row r="1803" spans="1:2">
      <c r="A1803" s="133" t="str">
        <f>"5033"</f>
        <v>5033</v>
      </c>
      <c r="B1803" s="134" t="s">
        <v>884</v>
      </c>
    </row>
    <row r="1804" spans="1:2">
      <c r="A1804" s="133" t="str">
        <f>"5034"</f>
        <v>5034</v>
      </c>
      <c r="B1804" s="134" t="s">
        <v>883</v>
      </c>
    </row>
    <row r="1805" spans="1:2">
      <c r="A1805" s="133" t="str">
        <f>"5035"</f>
        <v>5035</v>
      </c>
      <c r="B1805" s="134" t="s">
        <v>882</v>
      </c>
    </row>
    <row r="1806" spans="1:2">
      <c r="A1806" s="133" t="str">
        <f>"5036"</f>
        <v>5036</v>
      </c>
      <c r="B1806" s="134" t="s">
        <v>881</v>
      </c>
    </row>
    <row r="1807" spans="1:2">
      <c r="A1807" s="133" t="str">
        <f>"5037"</f>
        <v>5037</v>
      </c>
      <c r="B1807" s="134" t="s">
        <v>880</v>
      </c>
    </row>
    <row r="1808" spans="1:2">
      <c r="A1808" s="133" t="str">
        <f>"5038"</f>
        <v>5038</v>
      </c>
      <c r="B1808" s="134" t="s">
        <v>879</v>
      </c>
    </row>
    <row r="1809" spans="1:2">
      <c r="A1809" s="133" t="str">
        <f>"5039"</f>
        <v>5039</v>
      </c>
      <c r="B1809" s="134" t="s">
        <v>878</v>
      </c>
    </row>
    <row r="1810" spans="1:2">
      <c r="A1810" s="133" t="str">
        <f>"5040"</f>
        <v>5040</v>
      </c>
      <c r="B1810" s="134" t="s">
        <v>877</v>
      </c>
    </row>
    <row r="1811" spans="1:2">
      <c r="A1811" s="133" t="str">
        <f>"5041"</f>
        <v>5041</v>
      </c>
      <c r="B1811" s="134" t="s">
        <v>876</v>
      </c>
    </row>
    <row r="1812" spans="1:2">
      <c r="A1812" s="133" t="str">
        <f>"5042"</f>
        <v>5042</v>
      </c>
      <c r="B1812" s="134" t="s">
        <v>875</v>
      </c>
    </row>
    <row r="1813" spans="1:2">
      <c r="A1813" s="133" t="str">
        <f>"5043"</f>
        <v>5043</v>
      </c>
      <c r="B1813" s="134" t="s">
        <v>874</v>
      </c>
    </row>
    <row r="1814" spans="1:2">
      <c r="A1814" s="133" t="str">
        <f>"5044"</f>
        <v>5044</v>
      </c>
      <c r="B1814" s="134" t="s">
        <v>873</v>
      </c>
    </row>
    <row r="1815" spans="1:2">
      <c r="A1815" s="133" t="str">
        <f>"5045"</f>
        <v>5045</v>
      </c>
      <c r="B1815" s="134" t="s">
        <v>872</v>
      </c>
    </row>
    <row r="1816" spans="1:2">
      <c r="A1816" s="133" t="str">
        <f>"5046"</f>
        <v>5046</v>
      </c>
      <c r="B1816" s="134" t="s">
        <v>871</v>
      </c>
    </row>
    <row r="1817" spans="1:2">
      <c r="A1817" s="133" t="str">
        <f>"5047"</f>
        <v>5047</v>
      </c>
      <c r="B1817" s="134" t="s">
        <v>870</v>
      </c>
    </row>
    <row r="1818" spans="1:2">
      <c r="A1818" s="133" t="str">
        <f>"5048"</f>
        <v>5048</v>
      </c>
      <c r="B1818" s="134" t="s">
        <v>869</v>
      </c>
    </row>
    <row r="1819" spans="1:2">
      <c r="A1819" s="133" t="str">
        <f>"5049"</f>
        <v>5049</v>
      </c>
      <c r="B1819" s="134" t="s">
        <v>868</v>
      </c>
    </row>
    <row r="1820" spans="1:2">
      <c r="A1820" s="133" t="str">
        <f>"5050"</f>
        <v>5050</v>
      </c>
      <c r="B1820" s="134" t="s">
        <v>867</v>
      </c>
    </row>
    <row r="1821" spans="1:2">
      <c r="A1821" s="133" t="str">
        <f>"5051"</f>
        <v>5051</v>
      </c>
      <c r="B1821" s="134" t="s">
        <v>866</v>
      </c>
    </row>
    <row r="1822" spans="1:2">
      <c r="A1822" s="133" t="str">
        <f>"5052"</f>
        <v>5052</v>
      </c>
      <c r="B1822" s="134" t="s">
        <v>865</v>
      </c>
    </row>
    <row r="1823" spans="1:2">
      <c r="A1823" s="133" t="str">
        <f>"5053"</f>
        <v>5053</v>
      </c>
      <c r="B1823" s="134" t="s">
        <v>864</v>
      </c>
    </row>
    <row r="1824" spans="1:2">
      <c r="A1824" s="133" t="str">
        <f>"5054"</f>
        <v>5054</v>
      </c>
      <c r="B1824" s="134" t="s">
        <v>863</v>
      </c>
    </row>
    <row r="1825" spans="1:2">
      <c r="A1825" s="133" t="str">
        <f>"5055"</f>
        <v>5055</v>
      </c>
      <c r="B1825" s="134" t="s">
        <v>862</v>
      </c>
    </row>
    <row r="1826" spans="1:2">
      <c r="A1826" s="133" t="str">
        <f>"5056"</f>
        <v>5056</v>
      </c>
      <c r="B1826" s="134" t="s">
        <v>861</v>
      </c>
    </row>
    <row r="1827" spans="1:2">
      <c r="A1827" s="133" t="str">
        <f>"5057"</f>
        <v>5057</v>
      </c>
      <c r="B1827" s="134" t="s">
        <v>860</v>
      </c>
    </row>
    <row r="1828" spans="1:2">
      <c r="A1828" s="133" t="str">
        <f>"5058"</f>
        <v>5058</v>
      </c>
      <c r="B1828" s="134" t="s">
        <v>859</v>
      </c>
    </row>
    <row r="1829" spans="1:2">
      <c r="A1829" s="133" t="str">
        <f>"5059"</f>
        <v>5059</v>
      </c>
      <c r="B1829" s="134" t="s">
        <v>858</v>
      </c>
    </row>
    <row r="1830" spans="1:2">
      <c r="A1830" s="133" t="str">
        <f>"5060"</f>
        <v>5060</v>
      </c>
      <c r="B1830" s="134" t="s">
        <v>857</v>
      </c>
    </row>
    <row r="1831" spans="1:2">
      <c r="A1831" s="133" t="str">
        <f>"5061"</f>
        <v>5061</v>
      </c>
      <c r="B1831" s="134" t="s">
        <v>856</v>
      </c>
    </row>
    <row r="1832" spans="1:2">
      <c r="A1832" s="133" t="str">
        <f>"5062"</f>
        <v>5062</v>
      </c>
      <c r="B1832" s="134" t="s">
        <v>855</v>
      </c>
    </row>
    <row r="1833" spans="1:2">
      <c r="A1833" s="133" t="str">
        <f>"5063"</f>
        <v>5063</v>
      </c>
      <c r="B1833" s="134" t="s">
        <v>854</v>
      </c>
    </row>
    <row r="1834" spans="1:2">
      <c r="A1834" s="133" t="str">
        <f>"5064"</f>
        <v>5064</v>
      </c>
      <c r="B1834" s="134" t="s">
        <v>853</v>
      </c>
    </row>
    <row r="1835" spans="1:2">
      <c r="A1835" s="133" t="str">
        <f>"5065"</f>
        <v>5065</v>
      </c>
      <c r="B1835" s="134" t="s">
        <v>852</v>
      </c>
    </row>
    <row r="1836" spans="1:2">
      <c r="A1836" s="133" t="str">
        <f>"5066"</f>
        <v>5066</v>
      </c>
      <c r="B1836" s="134" t="s">
        <v>851</v>
      </c>
    </row>
    <row r="1837" spans="1:2">
      <c r="A1837" s="133" t="str">
        <f>"5067"</f>
        <v>5067</v>
      </c>
      <c r="B1837" s="134" t="s">
        <v>850</v>
      </c>
    </row>
    <row r="1838" spans="1:2">
      <c r="A1838" s="133" t="str">
        <f>"5068"</f>
        <v>5068</v>
      </c>
      <c r="B1838" s="134" t="s">
        <v>849</v>
      </c>
    </row>
    <row r="1839" spans="1:2">
      <c r="A1839" s="133" t="str">
        <f>"5069"</f>
        <v>5069</v>
      </c>
      <c r="B1839" s="134" t="s">
        <v>848</v>
      </c>
    </row>
    <row r="1840" spans="1:2">
      <c r="A1840" s="133" t="str">
        <f>"5070"</f>
        <v>5070</v>
      </c>
      <c r="B1840" s="134" t="s">
        <v>847</v>
      </c>
    </row>
    <row r="1841" spans="1:2">
      <c r="A1841" s="133" t="str">
        <f>"5071"</f>
        <v>5071</v>
      </c>
      <c r="B1841" s="134" t="s">
        <v>846</v>
      </c>
    </row>
    <row r="1842" spans="1:2">
      <c r="A1842" s="133" t="str">
        <f>"5072"</f>
        <v>5072</v>
      </c>
      <c r="B1842" s="134" t="s">
        <v>845</v>
      </c>
    </row>
    <row r="1843" spans="1:2">
      <c r="A1843" s="133" t="str">
        <f>"5073"</f>
        <v>5073</v>
      </c>
      <c r="B1843" s="134" t="s">
        <v>844</v>
      </c>
    </row>
    <row r="1844" spans="1:2">
      <c r="A1844" s="133" t="str">
        <f>"5074"</f>
        <v>5074</v>
      </c>
      <c r="B1844" s="134" t="s">
        <v>843</v>
      </c>
    </row>
    <row r="1845" spans="1:2">
      <c r="A1845" s="133" t="str">
        <f>"5075"</f>
        <v>5075</v>
      </c>
      <c r="B1845" s="134" t="s">
        <v>842</v>
      </c>
    </row>
    <row r="1846" spans="1:2">
      <c r="A1846" s="133" t="str">
        <f>"5076"</f>
        <v>5076</v>
      </c>
      <c r="B1846" s="134" t="s">
        <v>841</v>
      </c>
    </row>
    <row r="1847" spans="1:2">
      <c r="A1847" s="133" t="str">
        <f>"5077"</f>
        <v>5077</v>
      </c>
      <c r="B1847" s="134" t="s">
        <v>840</v>
      </c>
    </row>
    <row r="1848" spans="1:2">
      <c r="A1848" s="133" t="str">
        <f>"5078"</f>
        <v>5078</v>
      </c>
      <c r="B1848" s="134" t="s">
        <v>839</v>
      </c>
    </row>
    <row r="1849" spans="1:2">
      <c r="A1849" s="133" t="str">
        <f>"5079"</f>
        <v>5079</v>
      </c>
      <c r="B1849" s="134" t="s">
        <v>838</v>
      </c>
    </row>
    <row r="1850" spans="1:2">
      <c r="A1850" s="133" t="str">
        <f>"5080"</f>
        <v>5080</v>
      </c>
      <c r="B1850" s="134" t="s">
        <v>837</v>
      </c>
    </row>
    <row r="1851" spans="1:2">
      <c r="A1851" s="133" t="str">
        <f>"5081"</f>
        <v>5081</v>
      </c>
      <c r="B1851" s="134" t="s">
        <v>836</v>
      </c>
    </row>
    <row r="1852" spans="1:2">
      <c r="A1852" s="133" t="str">
        <f>"5082"</f>
        <v>5082</v>
      </c>
      <c r="B1852" s="134" t="s">
        <v>835</v>
      </c>
    </row>
    <row r="1853" spans="1:2">
      <c r="A1853" s="133" t="str">
        <f>"5083"</f>
        <v>5083</v>
      </c>
      <c r="B1853" s="134" t="s">
        <v>834</v>
      </c>
    </row>
    <row r="1854" spans="1:2">
      <c r="A1854" s="133" t="str">
        <f>"5084"</f>
        <v>5084</v>
      </c>
      <c r="B1854" s="134" t="s">
        <v>833</v>
      </c>
    </row>
    <row r="1855" spans="1:2">
      <c r="A1855" s="133" t="str">
        <f>"5085"</f>
        <v>5085</v>
      </c>
      <c r="B1855" s="134" t="s">
        <v>832</v>
      </c>
    </row>
    <row r="1856" spans="1:2">
      <c r="A1856" s="133" t="str">
        <f>"5086"</f>
        <v>5086</v>
      </c>
      <c r="B1856" s="134" t="s">
        <v>831</v>
      </c>
    </row>
    <row r="1857" spans="1:2">
      <c r="A1857" s="133" t="str">
        <f>"5087"</f>
        <v>5087</v>
      </c>
      <c r="B1857" s="134" t="s">
        <v>830</v>
      </c>
    </row>
    <row r="1858" spans="1:2">
      <c r="A1858" s="133" t="str">
        <f>"5088"</f>
        <v>5088</v>
      </c>
      <c r="B1858" s="134" t="s">
        <v>829</v>
      </c>
    </row>
    <row r="1859" spans="1:2">
      <c r="A1859" s="133" t="str">
        <f>"5089"</f>
        <v>5089</v>
      </c>
      <c r="B1859" s="134" t="s">
        <v>828</v>
      </c>
    </row>
    <row r="1860" spans="1:2">
      <c r="A1860" s="133" t="str">
        <f>"5090"</f>
        <v>5090</v>
      </c>
      <c r="B1860" s="134" t="s">
        <v>827</v>
      </c>
    </row>
    <row r="1861" spans="1:2">
      <c r="A1861" s="133" t="str">
        <f>"5091"</f>
        <v>5091</v>
      </c>
      <c r="B1861" s="134" t="s">
        <v>826</v>
      </c>
    </row>
    <row r="1862" spans="1:2">
      <c r="A1862" s="133" t="str">
        <f>"5092"</f>
        <v>5092</v>
      </c>
      <c r="B1862" s="134" t="s">
        <v>825</v>
      </c>
    </row>
    <row r="1863" spans="1:2">
      <c r="A1863" s="133" t="str">
        <f>"5093"</f>
        <v>5093</v>
      </c>
      <c r="B1863" s="134" t="s">
        <v>824</v>
      </c>
    </row>
    <row r="1864" spans="1:2">
      <c r="A1864" s="133" t="str">
        <f>"5094"</f>
        <v>5094</v>
      </c>
      <c r="B1864" s="134" t="s">
        <v>823</v>
      </c>
    </row>
    <row r="1865" spans="1:2">
      <c r="A1865" s="133" t="str">
        <f>"5095"</f>
        <v>5095</v>
      </c>
      <c r="B1865" s="134" t="s">
        <v>822</v>
      </c>
    </row>
    <row r="1866" spans="1:2">
      <c r="A1866" s="133" t="str">
        <f>"5096"</f>
        <v>5096</v>
      </c>
      <c r="B1866" s="134" t="s">
        <v>821</v>
      </c>
    </row>
    <row r="1867" spans="1:2">
      <c r="A1867" s="133" t="str">
        <f>"5097"</f>
        <v>5097</v>
      </c>
      <c r="B1867" s="134" t="s">
        <v>820</v>
      </c>
    </row>
    <row r="1868" spans="1:2">
      <c r="A1868" s="133" t="str">
        <f>"5098"</f>
        <v>5098</v>
      </c>
      <c r="B1868" s="134" t="s">
        <v>819</v>
      </c>
    </row>
    <row r="1869" spans="1:2">
      <c r="A1869" s="133" t="str">
        <f>"5099"</f>
        <v>5099</v>
      </c>
      <c r="B1869" s="134" t="s">
        <v>818</v>
      </c>
    </row>
    <row r="1870" spans="1:2">
      <c r="A1870" s="133" t="str">
        <f>"5100"</f>
        <v>5100</v>
      </c>
      <c r="B1870" s="134" t="s">
        <v>817</v>
      </c>
    </row>
    <row r="1871" spans="1:2">
      <c r="A1871" s="133" t="str">
        <f>"5101"</f>
        <v>5101</v>
      </c>
      <c r="B1871" s="134" t="s">
        <v>816</v>
      </c>
    </row>
    <row r="1872" spans="1:2">
      <c r="A1872" s="133" t="str">
        <f>"5102"</f>
        <v>5102</v>
      </c>
      <c r="B1872" s="134" t="s">
        <v>815</v>
      </c>
    </row>
    <row r="1873" spans="1:2">
      <c r="A1873" s="133" t="str">
        <f>"5103"</f>
        <v>5103</v>
      </c>
      <c r="B1873" s="134" t="s">
        <v>814</v>
      </c>
    </row>
    <row r="1874" spans="1:2">
      <c r="A1874" s="133" t="str">
        <f>"5104"</f>
        <v>5104</v>
      </c>
      <c r="B1874" s="134" t="s">
        <v>813</v>
      </c>
    </row>
    <row r="1875" spans="1:2">
      <c r="A1875" s="133" t="str">
        <f>"5105"</f>
        <v>5105</v>
      </c>
      <c r="B1875" s="134" t="s">
        <v>812</v>
      </c>
    </row>
    <row r="1876" spans="1:2">
      <c r="A1876" s="133" t="str">
        <f>"5106"</f>
        <v>5106</v>
      </c>
      <c r="B1876" s="134" t="s">
        <v>811</v>
      </c>
    </row>
    <row r="1877" spans="1:2">
      <c r="A1877" s="133" t="str">
        <f>"5107"</f>
        <v>5107</v>
      </c>
      <c r="B1877" s="134" t="s">
        <v>810</v>
      </c>
    </row>
    <row r="1878" spans="1:2">
      <c r="A1878" s="133" t="str">
        <f>"5108"</f>
        <v>5108</v>
      </c>
      <c r="B1878" s="134" t="s">
        <v>809</v>
      </c>
    </row>
    <row r="1879" spans="1:2">
      <c r="A1879" s="133" t="str">
        <f>"5109"</f>
        <v>5109</v>
      </c>
      <c r="B1879" s="134" t="s">
        <v>808</v>
      </c>
    </row>
    <row r="1880" spans="1:2">
      <c r="A1880" s="133" t="str">
        <f>"5110"</f>
        <v>5110</v>
      </c>
      <c r="B1880" s="134" t="s">
        <v>807</v>
      </c>
    </row>
    <row r="1881" spans="1:2">
      <c r="A1881" s="133" t="str">
        <f>"5111"</f>
        <v>5111</v>
      </c>
      <c r="B1881" s="134" t="s">
        <v>806</v>
      </c>
    </row>
    <row r="1882" spans="1:2">
      <c r="A1882" s="133" t="str">
        <f>"5112"</f>
        <v>5112</v>
      </c>
      <c r="B1882" s="134" t="s">
        <v>805</v>
      </c>
    </row>
    <row r="1883" spans="1:2">
      <c r="A1883" s="133" t="str">
        <f>"5113"</f>
        <v>5113</v>
      </c>
      <c r="B1883" s="134" t="s">
        <v>804</v>
      </c>
    </row>
    <row r="1884" spans="1:2">
      <c r="A1884" s="133" t="str">
        <f>"5114"</f>
        <v>5114</v>
      </c>
      <c r="B1884" s="134" t="s">
        <v>803</v>
      </c>
    </row>
    <row r="1885" spans="1:2">
      <c r="A1885" s="133" t="str">
        <f>"5115"</f>
        <v>5115</v>
      </c>
      <c r="B1885" s="134" t="s">
        <v>802</v>
      </c>
    </row>
    <row r="1886" spans="1:2">
      <c r="A1886" s="133" t="str">
        <f>"5116"</f>
        <v>5116</v>
      </c>
      <c r="B1886" s="134" t="s">
        <v>801</v>
      </c>
    </row>
    <row r="1887" spans="1:2">
      <c r="A1887" s="133" t="str">
        <f>"5117"</f>
        <v>5117</v>
      </c>
      <c r="B1887" s="134" t="s">
        <v>800</v>
      </c>
    </row>
    <row r="1888" spans="1:2">
      <c r="A1888" s="133" t="str">
        <f>"5118"</f>
        <v>5118</v>
      </c>
      <c r="B1888" s="134" t="s">
        <v>799</v>
      </c>
    </row>
    <row r="1889" spans="1:2">
      <c r="A1889" s="133" t="str">
        <f>"5119"</f>
        <v>5119</v>
      </c>
      <c r="B1889" s="134" t="s">
        <v>798</v>
      </c>
    </row>
    <row r="1890" spans="1:2">
      <c r="A1890" s="133" t="str">
        <f>"5200"</f>
        <v>5200</v>
      </c>
      <c r="B1890" s="134" t="s">
        <v>797</v>
      </c>
    </row>
    <row r="1891" spans="1:2">
      <c r="A1891" s="133" t="str">
        <f>"5201"</f>
        <v>5201</v>
      </c>
      <c r="B1891" s="134" t="s">
        <v>796</v>
      </c>
    </row>
    <row r="1892" spans="1:2">
      <c r="A1892" s="133" t="str">
        <f>"6000"</f>
        <v>6000</v>
      </c>
      <c r="B1892" s="134" t="s">
        <v>795</v>
      </c>
    </row>
    <row r="1893" spans="1:2">
      <c r="A1893" s="133" t="str">
        <f>"6001"</f>
        <v>6001</v>
      </c>
      <c r="B1893" s="134" t="s">
        <v>794</v>
      </c>
    </row>
    <row r="1894" spans="1:2">
      <c r="A1894" s="133" t="str">
        <f>"6002"</f>
        <v>6002</v>
      </c>
      <c r="B1894" s="134" t="s">
        <v>793</v>
      </c>
    </row>
    <row r="1895" spans="1:2">
      <c r="A1895" s="133" t="str">
        <f>"6003"</f>
        <v>6003</v>
      </c>
      <c r="B1895" s="134" t="s">
        <v>792</v>
      </c>
    </row>
    <row r="1896" spans="1:2">
      <c r="A1896" s="133" t="str">
        <f>"6004"</f>
        <v>6004</v>
      </c>
      <c r="B1896" s="134" t="s">
        <v>791</v>
      </c>
    </row>
    <row r="1897" spans="1:2">
      <c r="A1897" s="133" t="str">
        <f>"6005"</f>
        <v>6005</v>
      </c>
      <c r="B1897" s="134" t="s">
        <v>790</v>
      </c>
    </row>
    <row r="1898" spans="1:2">
      <c r="A1898" s="133" t="str">
        <f>"6006"</f>
        <v>6006</v>
      </c>
      <c r="B1898" s="134" t="s">
        <v>789</v>
      </c>
    </row>
    <row r="1899" spans="1:2">
      <c r="A1899" s="133" t="str">
        <f>"6007"</f>
        <v>6007</v>
      </c>
      <c r="B1899" s="134" t="s">
        <v>788</v>
      </c>
    </row>
    <row r="1900" spans="1:2">
      <c r="A1900" s="133" t="str">
        <f>"6008"</f>
        <v>6008</v>
      </c>
      <c r="B1900" s="134" t="s">
        <v>787</v>
      </c>
    </row>
    <row r="1901" spans="1:2">
      <c r="A1901" s="133" t="str">
        <f>"6009"</f>
        <v>6009</v>
      </c>
      <c r="B1901" s="134" t="s">
        <v>786</v>
      </c>
    </row>
    <row r="1902" spans="1:2">
      <c r="A1902" s="133" t="str">
        <f>"6010"</f>
        <v>6010</v>
      </c>
      <c r="B1902" s="134" t="s">
        <v>785</v>
      </c>
    </row>
    <row r="1903" spans="1:2">
      <c r="A1903" s="133" t="str">
        <f>"6011"</f>
        <v>6011</v>
      </c>
      <c r="B1903" s="134" t="s">
        <v>784</v>
      </c>
    </row>
    <row r="1904" spans="1:2">
      <c r="A1904" s="133" t="str">
        <f>"6012"</f>
        <v>6012</v>
      </c>
      <c r="B1904" s="134" t="s">
        <v>783</v>
      </c>
    </row>
    <row r="1905" spans="1:2">
      <c r="A1905" s="133" t="str">
        <f>"6013"</f>
        <v>6013</v>
      </c>
      <c r="B1905" s="134" t="s">
        <v>782</v>
      </c>
    </row>
    <row r="1906" spans="1:2">
      <c r="A1906" s="133" t="str">
        <f>"6014"</f>
        <v>6014</v>
      </c>
      <c r="B1906" s="134" t="s">
        <v>781</v>
      </c>
    </row>
    <row r="1907" spans="1:2">
      <c r="A1907" s="133" t="str">
        <f>"6015"</f>
        <v>6015</v>
      </c>
      <c r="B1907" s="134" t="s">
        <v>780</v>
      </c>
    </row>
    <row r="1908" spans="1:2">
      <c r="A1908" s="133" t="str">
        <f>"6016"</f>
        <v>6016</v>
      </c>
      <c r="B1908" s="134" t="s">
        <v>779</v>
      </c>
    </row>
    <row r="1909" spans="1:2">
      <c r="A1909" s="133" t="str">
        <f>"6017"</f>
        <v>6017</v>
      </c>
      <c r="B1909" s="134" t="s">
        <v>778</v>
      </c>
    </row>
    <row r="1910" spans="1:2">
      <c r="A1910" s="133" t="str">
        <f>"6018"</f>
        <v>6018</v>
      </c>
      <c r="B1910" s="134" t="s">
        <v>777</v>
      </c>
    </row>
    <row r="1911" spans="1:2">
      <c r="A1911" s="133" t="str">
        <f>"6019"</f>
        <v>6019</v>
      </c>
      <c r="B1911" s="134" t="s">
        <v>776</v>
      </c>
    </row>
    <row r="1912" spans="1:2">
      <c r="A1912" s="133" t="str">
        <f>"6020"</f>
        <v>6020</v>
      </c>
      <c r="B1912" s="134" t="s">
        <v>775</v>
      </c>
    </row>
    <row r="1913" spans="1:2">
      <c r="A1913" s="133" t="str">
        <f>"6021"</f>
        <v>6021</v>
      </c>
      <c r="B1913" s="134" t="s">
        <v>774</v>
      </c>
    </row>
    <row r="1914" spans="1:2">
      <c r="A1914" s="133" t="str">
        <f>"6022"</f>
        <v>6022</v>
      </c>
      <c r="B1914" s="134" t="s">
        <v>773</v>
      </c>
    </row>
    <row r="1915" spans="1:2">
      <c r="A1915" s="133" t="str">
        <f>"6023"</f>
        <v>6023</v>
      </c>
      <c r="B1915" s="134" t="s">
        <v>772</v>
      </c>
    </row>
    <row r="1916" spans="1:2">
      <c r="A1916" s="133" t="str">
        <f>"6024"</f>
        <v>6024</v>
      </c>
      <c r="B1916" s="134" t="s">
        <v>771</v>
      </c>
    </row>
    <row r="1917" spans="1:2">
      <c r="A1917" s="133" t="str">
        <f>"6025"</f>
        <v>6025</v>
      </c>
      <c r="B1917" s="134" t="s">
        <v>770</v>
      </c>
    </row>
    <row r="1918" spans="1:2">
      <c r="A1918" s="133" t="str">
        <f>"6026"</f>
        <v>6026</v>
      </c>
      <c r="B1918" s="134" t="s">
        <v>769</v>
      </c>
    </row>
    <row r="1919" spans="1:2">
      <c r="A1919" s="133" t="str">
        <f>"6027"</f>
        <v>6027</v>
      </c>
      <c r="B1919" s="134" t="s">
        <v>768</v>
      </c>
    </row>
    <row r="1920" spans="1:2">
      <c r="A1920" s="133" t="str">
        <f>"6028"</f>
        <v>6028</v>
      </c>
      <c r="B1920" s="134" t="s">
        <v>767</v>
      </c>
    </row>
    <row r="1921" spans="1:2">
      <c r="A1921" s="133" t="str">
        <f>"6029"</f>
        <v>6029</v>
      </c>
      <c r="B1921" s="134" t="s">
        <v>766</v>
      </c>
    </row>
    <row r="1922" spans="1:2">
      <c r="A1922" s="133" t="str">
        <f>"6030"</f>
        <v>6030</v>
      </c>
      <c r="B1922" s="134" t="s">
        <v>765</v>
      </c>
    </row>
    <row r="1923" spans="1:2">
      <c r="A1923" s="133" t="str">
        <f>"6031"</f>
        <v>6031</v>
      </c>
      <c r="B1923" s="134" t="s">
        <v>764</v>
      </c>
    </row>
    <row r="1924" spans="1:2">
      <c r="A1924" s="133" t="str">
        <f>"6032"</f>
        <v>6032</v>
      </c>
      <c r="B1924" s="134" t="s">
        <v>763</v>
      </c>
    </row>
    <row r="1925" spans="1:2">
      <c r="A1925" s="133" t="str">
        <f>"6033"</f>
        <v>6033</v>
      </c>
      <c r="B1925" s="134" t="s">
        <v>762</v>
      </c>
    </row>
    <row r="1926" spans="1:2">
      <c r="A1926" s="133" t="str">
        <f>"6034"</f>
        <v>6034</v>
      </c>
      <c r="B1926" s="134" t="s">
        <v>761</v>
      </c>
    </row>
    <row r="1927" spans="1:2">
      <c r="A1927" s="133" t="str">
        <f>"6035"</f>
        <v>6035</v>
      </c>
      <c r="B1927" s="134" t="s">
        <v>760</v>
      </c>
    </row>
    <row r="1928" spans="1:2">
      <c r="A1928" s="133" t="str">
        <f>"6036"</f>
        <v>6036</v>
      </c>
      <c r="B1928" s="134" t="s">
        <v>759</v>
      </c>
    </row>
    <row r="1929" spans="1:2">
      <c r="A1929" s="133" t="str">
        <f>"6037"</f>
        <v>6037</v>
      </c>
      <c r="B1929" s="134" t="s">
        <v>758</v>
      </c>
    </row>
    <row r="1930" spans="1:2">
      <c r="A1930" s="133" t="str">
        <f>"6038"</f>
        <v>6038</v>
      </c>
      <c r="B1930" s="134" t="s">
        <v>757</v>
      </c>
    </row>
    <row r="1931" spans="1:2">
      <c r="A1931" s="133" t="str">
        <f>"6039"</f>
        <v>6039</v>
      </c>
      <c r="B1931" s="134" t="s">
        <v>756</v>
      </c>
    </row>
    <row r="1932" spans="1:2">
      <c r="A1932" s="133" t="str">
        <f>"6040"</f>
        <v>6040</v>
      </c>
      <c r="B1932" s="134" t="s">
        <v>755</v>
      </c>
    </row>
    <row r="1933" spans="1:2">
      <c r="A1933" s="133" t="str">
        <f>"6041"</f>
        <v>6041</v>
      </c>
      <c r="B1933" s="134" t="s">
        <v>754</v>
      </c>
    </row>
    <row r="1934" spans="1:2">
      <c r="A1934" s="133" t="str">
        <f>"6042"</f>
        <v>6042</v>
      </c>
      <c r="B1934" s="134" t="s">
        <v>753</v>
      </c>
    </row>
    <row r="1935" spans="1:2">
      <c r="A1935" s="133" t="str">
        <f>"6043"</f>
        <v>6043</v>
      </c>
      <c r="B1935" s="134" t="s">
        <v>752</v>
      </c>
    </row>
    <row r="1936" spans="1:2">
      <c r="A1936" s="133" t="str">
        <f>"6044"</f>
        <v>6044</v>
      </c>
      <c r="B1936" s="134" t="s">
        <v>751</v>
      </c>
    </row>
    <row r="1937" spans="1:2">
      <c r="A1937" s="133" t="str">
        <f>"6045"</f>
        <v>6045</v>
      </c>
      <c r="B1937" s="134" t="s">
        <v>750</v>
      </c>
    </row>
    <row r="1938" spans="1:2">
      <c r="A1938" s="133" t="str">
        <f>"6046"</f>
        <v>6046</v>
      </c>
      <c r="B1938" s="134" t="s">
        <v>749</v>
      </c>
    </row>
    <row r="1939" spans="1:2">
      <c r="A1939" s="133" t="str">
        <f>"6047"</f>
        <v>6047</v>
      </c>
      <c r="B1939" s="134" t="s">
        <v>748</v>
      </c>
    </row>
    <row r="1940" spans="1:2">
      <c r="A1940" s="133" t="str">
        <f>"6048"</f>
        <v>6048</v>
      </c>
      <c r="B1940" s="134" t="s">
        <v>747</v>
      </c>
    </row>
    <row r="1941" spans="1:2">
      <c r="A1941" s="133" t="str">
        <f>"6049"</f>
        <v>6049</v>
      </c>
      <c r="B1941" s="134" t="s">
        <v>746</v>
      </c>
    </row>
    <row r="1942" spans="1:2">
      <c r="A1942" s="133" t="str">
        <f>"6050"</f>
        <v>6050</v>
      </c>
      <c r="B1942" s="134" t="s">
        <v>745</v>
      </c>
    </row>
    <row r="1943" spans="1:2">
      <c r="A1943" s="133" t="str">
        <f>"6051"</f>
        <v>6051</v>
      </c>
      <c r="B1943" s="134" t="s">
        <v>744</v>
      </c>
    </row>
    <row r="1944" spans="1:2">
      <c r="A1944" s="133" t="str">
        <f>"6052"</f>
        <v>6052</v>
      </c>
      <c r="B1944" s="134" t="s">
        <v>743</v>
      </c>
    </row>
    <row r="1945" spans="1:2">
      <c r="A1945" s="133" t="str">
        <f>"6053"</f>
        <v>6053</v>
      </c>
      <c r="B1945" s="134" t="s">
        <v>742</v>
      </c>
    </row>
    <row r="1946" spans="1:2">
      <c r="A1946" s="133" t="str">
        <f>"6054"</f>
        <v>6054</v>
      </c>
      <c r="B1946" s="134" t="s">
        <v>741</v>
      </c>
    </row>
    <row r="1947" spans="1:2">
      <c r="A1947" s="133" t="str">
        <f>"6055"</f>
        <v>6055</v>
      </c>
      <c r="B1947" s="134" t="s">
        <v>740</v>
      </c>
    </row>
    <row r="1948" spans="1:2">
      <c r="A1948" s="133" t="str">
        <f>"6056"</f>
        <v>6056</v>
      </c>
      <c r="B1948" s="134" t="s">
        <v>739</v>
      </c>
    </row>
    <row r="1949" spans="1:2">
      <c r="A1949" s="133" t="str">
        <f>"6057"</f>
        <v>6057</v>
      </c>
      <c r="B1949" s="134" t="s">
        <v>738</v>
      </c>
    </row>
    <row r="1950" spans="1:2">
      <c r="A1950" s="133" t="str">
        <f>"6058"</f>
        <v>6058</v>
      </c>
      <c r="B1950" s="134" t="s">
        <v>737</v>
      </c>
    </row>
    <row r="1951" spans="1:2">
      <c r="A1951" s="133" t="str">
        <f>"6059"</f>
        <v>6059</v>
      </c>
      <c r="B1951" s="134" t="s">
        <v>736</v>
      </c>
    </row>
    <row r="1952" spans="1:2">
      <c r="A1952" s="133" t="str">
        <f>"6060"</f>
        <v>6060</v>
      </c>
      <c r="B1952" s="134" t="s">
        <v>735</v>
      </c>
    </row>
    <row r="1953" spans="1:2">
      <c r="A1953" s="133" t="str">
        <f>"6061"</f>
        <v>6061</v>
      </c>
      <c r="B1953" s="134" t="s">
        <v>734</v>
      </c>
    </row>
    <row r="1954" spans="1:2">
      <c r="A1954" s="133" t="str">
        <f>"6062"</f>
        <v>6062</v>
      </c>
      <c r="B1954" s="134" t="s">
        <v>733</v>
      </c>
    </row>
    <row r="1955" spans="1:2">
      <c r="A1955" s="133" t="str">
        <f>"6063"</f>
        <v>6063</v>
      </c>
      <c r="B1955" s="134" t="s">
        <v>732</v>
      </c>
    </row>
    <row r="1956" spans="1:2">
      <c r="A1956" s="133" t="str">
        <f>"6064"</f>
        <v>6064</v>
      </c>
      <c r="B1956" s="134" t="s">
        <v>731</v>
      </c>
    </row>
    <row r="1957" spans="1:2">
      <c r="A1957" s="133" t="str">
        <f>"6065"</f>
        <v>6065</v>
      </c>
      <c r="B1957" s="134" t="s">
        <v>730</v>
      </c>
    </row>
    <row r="1958" spans="1:2">
      <c r="A1958" s="133" t="str">
        <f>"6066"</f>
        <v>6066</v>
      </c>
      <c r="B1958" s="134" t="s">
        <v>729</v>
      </c>
    </row>
    <row r="1959" spans="1:2">
      <c r="A1959" s="133" t="str">
        <f>"6067"</f>
        <v>6067</v>
      </c>
      <c r="B1959" s="134" t="s">
        <v>728</v>
      </c>
    </row>
    <row r="1960" spans="1:2">
      <c r="A1960" s="133" t="str">
        <f>"6068"</f>
        <v>6068</v>
      </c>
      <c r="B1960" s="134" t="s">
        <v>727</v>
      </c>
    </row>
    <row r="1961" spans="1:2">
      <c r="A1961" s="133" t="str">
        <f>"6069"</f>
        <v>6069</v>
      </c>
      <c r="B1961" s="134" t="s">
        <v>726</v>
      </c>
    </row>
    <row r="1962" spans="1:2">
      <c r="A1962" s="133" t="str">
        <f>"6070"</f>
        <v>6070</v>
      </c>
      <c r="B1962" s="134" t="s">
        <v>725</v>
      </c>
    </row>
    <row r="1963" spans="1:2">
      <c r="A1963" s="133" t="str">
        <f>"6071"</f>
        <v>6071</v>
      </c>
      <c r="B1963" s="134" t="s">
        <v>724</v>
      </c>
    </row>
    <row r="1964" spans="1:2">
      <c r="A1964" s="133" t="str">
        <f>"6072"</f>
        <v>6072</v>
      </c>
      <c r="B1964" s="134" t="s">
        <v>723</v>
      </c>
    </row>
    <row r="1965" spans="1:2">
      <c r="A1965" s="133" t="str">
        <f>"6073"</f>
        <v>6073</v>
      </c>
      <c r="B1965" s="134" t="s">
        <v>722</v>
      </c>
    </row>
    <row r="1966" spans="1:2">
      <c r="A1966" s="133" t="str">
        <f>"6074"</f>
        <v>6074</v>
      </c>
      <c r="B1966" s="134" t="s">
        <v>721</v>
      </c>
    </row>
    <row r="1967" spans="1:2">
      <c r="A1967" s="133" t="str">
        <f>"6075"</f>
        <v>6075</v>
      </c>
      <c r="B1967" s="134" t="s">
        <v>720</v>
      </c>
    </row>
    <row r="1968" spans="1:2">
      <c r="A1968" s="133" t="str">
        <f>"6076"</f>
        <v>6076</v>
      </c>
      <c r="B1968" s="134" t="s">
        <v>719</v>
      </c>
    </row>
    <row r="1969" spans="1:2">
      <c r="A1969" s="133" t="str">
        <f>"6077"</f>
        <v>6077</v>
      </c>
      <c r="B1969" s="134" t="s">
        <v>718</v>
      </c>
    </row>
    <row r="1970" spans="1:2">
      <c r="A1970" s="133" t="str">
        <f>"6078"</f>
        <v>6078</v>
      </c>
      <c r="B1970" s="134" t="s">
        <v>717</v>
      </c>
    </row>
    <row r="1971" spans="1:2">
      <c r="A1971" s="133" t="str">
        <f>"6079"</f>
        <v>6079</v>
      </c>
      <c r="B1971" s="134" t="s">
        <v>716</v>
      </c>
    </row>
    <row r="1972" spans="1:2">
      <c r="A1972" s="133" t="str">
        <f>"6080"</f>
        <v>6080</v>
      </c>
      <c r="B1972" s="134" t="s">
        <v>715</v>
      </c>
    </row>
    <row r="1973" spans="1:2">
      <c r="A1973" s="133" t="str">
        <f>"7000"</f>
        <v>7000</v>
      </c>
      <c r="B1973" s="134" t="s">
        <v>714</v>
      </c>
    </row>
    <row r="1974" spans="1:2">
      <c r="A1974" s="133" t="str">
        <f>"7001"</f>
        <v>7001</v>
      </c>
      <c r="B1974" s="134" t="s">
        <v>713</v>
      </c>
    </row>
    <row r="1975" spans="1:2">
      <c r="A1975" s="133" t="str">
        <f>"7002"</f>
        <v>7002</v>
      </c>
      <c r="B1975" s="134" t="s">
        <v>712</v>
      </c>
    </row>
    <row r="1976" spans="1:2">
      <c r="A1976" s="133" t="str">
        <f>"7003"</f>
        <v>7003</v>
      </c>
      <c r="B1976" s="134" t="s">
        <v>711</v>
      </c>
    </row>
    <row r="1977" spans="1:2">
      <c r="A1977" s="133" t="str">
        <f>"7004"</f>
        <v>7004</v>
      </c>
      <c r="B1977" s="134" t="s">
        <v>710</v>
      </c>
    </row>
    <row r="1978" spans="1:2">
      <c r="A1978" s="133" t="str">
        <f>"7005"</f>
        <v>7005</v>
      </c>
      <c r="B1978" s="134" t="s">
        <v>709</v>
      </c>
    </row>
    <row r="1979" spans="1:2">
      <c r="A1979" s="133" t="str">
        <f>"7006"</f>
        <v>7006</v>
      </c>
      <c r="B1979" s="134" t="s">
        <v>708</v>
      </c>
    </row>
    <row r="1980" spans="1:2">
      <c r="A1980" s="133" t="str">
        <f>"7007"</f>
        <v>7007</v>
      </c>
      <c r="B1980" s="134" t="s">
        <v>707</v>
      </c>
    </row>
    <row r="1981" spans="1:2">
      <c r="A1981" s="133" t="str">
        <f>"7008"</f>
        <v>7008</v>
      </c>
      <c r="B1981" s="134" t="s">
        <v>706</v>
      </c>
    </row>
    <row r="1982" spans="1:2">
      <c r="A1982" s="133" t="str">
        <f>"7009"</f>
        <v>7009</v>
      </c>
      <c r="B1982" s="134" t="s">
        <v>705</v>
      </c>
    </row>
    <row r="1983" spans="1:2">
      <c r="A1983" s="133" t="str">
        <f>"7010"</f>
        <v>7010</v>
      </c>
      <c r="B1983" s="134" t="s">
        <v>704</v>
      </c>
    </row>
    <row r="1984" spans="1:2">
      <c r="A1984" s="133" t="str">
        <f>"7011"</f>
        <v>7011</v>
      </c>
      <c r="B1984" s="134" t="s">
        <v>703</v>
      </c>
    </row>
    <row r="1985" spans="1:2">
      <c r="A1985" s="133" t="str">
        <f>"7012"</f>
        <v>7012</v>
      </c>
      <c r="B1985" s="134" t="s">
        <v>702</v>
      </c>
    </row>
    <row r="1986" spans="1:2">
      <c r="A1986" s="133" t="str">
        <f>"7013"</f>
        <v>7013</v>
      </c>
      <c r="B1986" s="134" t="s">
        <v>701</v>
      </c>
    </row>
    <row r="1987" spans="1:2">
      <c r="A1987" s="133" t="str">
        <f>"7014"</f>
        <v>7014</v>
      </c>
      <c r="B1987" s="134" t="s">
        <v>700</v>
      </c>
    </row>
    <row r="1988" spans="1:2">
      <c r="A1988" s="133" t="str">
        <f>"7015"</f>
        <v>7015</v>
      </c>
      <c r="B1988" s="134" t="s">
        <v>699</v>
      </c>
    </row>
    <row r="1989" spans="1:2">
      <c r="A1989" s="133" t="str">
        <f>"7016"</f>
        <v>7016</v>
      </c>
      <c r="B1989" s="134" t="s">
        <v>698</v>
      </c>
    </row>
    <row r="1990" spans="1:2">
      <c r="A1990" s="133" t="str">
        <f>"7017"</f>
        <v>7017</v>
      </c>
      <c r="B1990" s="134" t="s">
        <v>697</v>
      </c>
    </row>
    <row r="1991" spans="1:2">
      <c r="A1991" s="133" t="str">
        <f>"7018"</f>
        <v>7018</v>
      </c>
      <c r="B1991" s="134" t="s">
        <v>696</v>
      </c>
    </row>
    <row r="1992" spans="1:2">
      <c r="A1992" s="133" t="str">
        <f>"7019"</f>
        <v>7019</v>
      </c>
      <c r="B1992" s="134" t="s">
        <v>695</v>
      </c>
    </row>
    <row r="1993" spans="1:2">
      <c r="A1993" s="133" t="str">
        <f>"7020"</f>
        <v>7020</v>
      </c>
      <c r="B1993" s="134" t="s">
        <v>694</v>
      </c>
    </row>
    <row r="1994" spans="1:2">
      <c r="A1994" s="133" t="str">
        <f>"7021"</f>
        <v>7021</v>
      </c>
      <c r="B1994" s="134" t="s">
        <v>693</v>
      </c>
    </row>
    <row r="1995" spans="1:2">
      <c r="A1995" s="133" t="str">
        <f>"7022"</f>
        <v>7022</v>
      </c>
      <c r="B1995" s="134" t="s">
        <v>665</v>
      </c>
    </row>
    <row r="1996" spans="1:2">
      <c r="A1996" s="133" t="str">
        <f>"7023"</f>
        <v>7023</v>
      </c>
      <c r="B1996" s="134" t="s">
        <v>665</v>
      </c>
    </row>
    <row r="1997" spans="1:2">
      <c r="A1997" s="133" t="str">
        <f>"7024"</f>
        <v>7024</v>
      </c>
      <c r="B1997" s="134" t="s">
        <v>665</v>
      </c>
    </row>
    <row r="1998" spans="1:2">
      <c r="A1998" s="133" t="str">
        <f>"7025"</f>
        <v>7025</v>
      </c>
      <c r="B1998" s="134" t="s">
        <v>692</v>
      </c>
    </row>
    <row r="1999" spans="1:2">
      <c r="A1999" s="133" t="str">
        <f>"7026"</f>
        <v>7026</v>
      </c>
      <c r="B1999" s="134" t="s">
        <v>691</v>
      </c>
    </row>
    <row r="2000" spans="1:2">
      <c r="A2000" s="133" t="str">
        <f>"7027"</f>
        <v>7027</v>
      </c>
      <c r="B2000" s="134" t="s">
        <v>690</v>
      </c>
    </row>
    <row r="2001" spans="1:2">
      <c r="A2001" s="133" t="str">
        <f>"7028"</f>
        <v>7028</v>
      </c>
      <c r="B2001" s="134" t="s">
        <v>689</v>
      </c>
    </row>
    <row r="2002" spans="1:2">
      <c r="A2002" s="133" t="str">
        <f>"7029"</f>
        <v>7029</v>
      </c>
      <c r="B2002" s="134" t="s">
        <v>688</v>
      </c>
    </row>
    <row r="2003" spans="1:2">
      <c r="A2003" s="133" t="str">
        <f>"7030"</f>
        <v>7030</v>
      </c>
      <c r="B2003" s="134" t="s">
        <v>687</v>
      </c>
    </row>
    <row r="2004" spans="1:2">
      <c r="A2004" s="133" t="str">
        <f>"7031"</f>
        <v>7031</v>
      </c>
      <c r="B2004" s="134" t="s">
        <v>686</v>
      </c>
    </row>
    <row r="2005" spans="1:2">
      <c r="A2005" s="133" t="str">
        <f>"7032"</f>
        <v>7032</v>
      </c>
      <c r="B2005" s="134" t="s">
        <v>685</v>
      </c>
    </row>
    <row r="2006" spans="1:2">
      <c r="A2006" s="133" t="str">
        <f>"7033"</f>
        <v>7033</v>
      </c>
      <c r="B2006" s="134" t="s">
        <v>684</v>
      </c>
    </row>
    <row r="2007" spans="1:2">
      <c r="A2007" s="133" t="str">
        <f>"7034"</f>
        <v>7034</v>
      </c>
      <c r="B2007" s="134" t="s">
        <v>683</v>
      </c>
    </row>
    <row r="2008" spans="1:2">
      <c r="A2008" s="133" t="str">
        <f>"7036"</f>
        <v>7036</v>
      </c>
      <c r="B2008" s="134" t="s">
        <v>682</v>
      </c>
    </row>
    <row r="2009" spans="1:2">
      <c r="A2009" s="133" t="str">
        <f>"7037"</f>
        <v>7037</v>
      </c>
      <c r="B2009" s="134" t="s">
        <v>681</v>
      </c>
    </row>
    <row r="2010" spans="1:2">
      <c r="A2010" s="133" t="str">
        <f>"7038"</f>
        <v>7038</v>
      </c>
      <c r="B2010" s="134" t="s">
        <v>680</v>
      </c>
    </row>
    <row r="2011" spans="1:2">
      <c r="A2011" s="133" t="str">
        <f>"7039"</f>
        <v>7039</v>
      </c>
      <c r="B2011" s="134" t="s">
        <v>679</v>
      </c>
    </row>
    <row r="2012" spans="1:2">
      <c r="A2012" s="133" t="str">
        <f>"7040"</f>
        <v>7040</v>
      </c>
      <c r="B2012" s="134" t="s">
        <v>678</v>
      </c>
    </row>
    <row r="2013" spans="1:2">
      <c r="A2013" s="133" t="str">
        <f>"7041"</f>
        <v>7041</v>
      </c>
      <c r="B2013" s="134" t="s">
        <v>677</v>
      </c>
    </row>
    <row r="2014" spans="1:2">
      <c r="A2014" s="133" t="str">
        <f>"7042"</f>
        <v>7042</v>
      </c>
      <c r="B2014" s="134" t="s">
        <v>676</v>
      </c>
    </row>
    <row r="2015" spans="1:2">
      <c r="A2015" s="133" t="str">
        <f>"7043"</f>
        <v>7043</v>
      </c>
      <c r="B2015" s="134" t="s">
        <v>675</v>
      </c>
    </row>
    <row r="2016" spans="1:2">
      <c r="A2016" s="133" t="str">
        <f>"7044"</f>
        <v>7044</v>
      </c>
      <c r="B2016" s="134" t="s">
        <v>674</v>
      </c>
    </row>
    <row r="2017" spans="1:2">
      <c r="A2017" s="133" t="str">
        <f>"7045"</f>
        <v>7045</v>
      </c>
      <c r="B2017" s="134" t="s">
        <v>673</v>
      </c>
    </row>
    <row r="2018" spans="1:2">
      <c r="A2018" s="133" t="str">
        <f>"7101"</f>
        <v>7101</v>
      </c>
      <c r="B2018" s="134" t="s">
        <v>672</v>
      </c>
    </row>
    <row r="2019" spans="1:2">
      <c r="A2019" s="133" t="str">
        <f>"7102"</f>
        <v>7102</v>
      </c>
      <c r="B2019" s="134" t="s">
        <v>671</v>
      </c>
    </row>
    <row r="2020" spans="1:2">
      <c r="A2020" s="133" t="str">
        <f>"7103"</f>
        <v>7103</v>
      </c>
      <c r="B2020" s="134" t="s">
        <v>670</v>
      </c>
    </row>
    <row r="2021" spans="1:2">
      <c r="A2021" s="133" t="str">
        <f>"7104"</f>
        <v>7104</v>
      </c>
      <c r="B2021" s="134" t="s">
        <v>669</v>
      </c>
    </row>
    <row r="2022" spans="1:2">
      <c r="A2022" s="133" t="str">
        <f>"7105"</f>
        <v>7105</v>
      </c>
      <c r="B2022" s="134" t="s">
        <v>668</v>
      </c>
    </row>
    <row r="2023" spans="1:2">
      <c r="A2023" s="133" t="str">
        <f>"7106"</f>
        <v>7106</v>
      </c>
      <c r="B2023" s="134" t="s">
        <v>667</v>
      </c>
    </row>
    <row r="2024" spans="1:2">
      <c r="A2024" s="133" t="str">
        <f>"7107"</f>
        <v>7107</v>
      </c>
      <c r="B2024" s="134" t="s">
        <v>666</v>
      </c>
    </row>
    <row r="2025" spans="1:2">
      <c r="A2025" s="133" t="str">
        <f>"7499"</f>
        <v>7499</v>
      </c>
      <c r="B2025" s="134" t="s">
        <v>665</v>
      </c>
    </row>
    <row r="2026" spans="1:2">
      <c r="A2026" s="133" t="str">
        <f>"7501"</f>
        <v>7501</v>
      </c>
      <c r="B2026" s="134" t="s">
        <v>664</v>
      </c>
    </row>
    <row r="2027" spans="1:2">
      <c r="A2027" s="133" t="str">
        <f>"7502"</f>
        <v>7502</v>
      </c>
      <c r="B2027" s="134" t="s">
        <v>663</v>
      </c>
    </row>
    <row r="2028" spans="1:2">
      <c r="A2028" s="133" t="str">
        <f>"7503"</f>
        <v>7503</v>
      </c>
      <c r="B2028" s="134" t="s">
        <v>662</v>
      </c>
    </row>
    <row r="2029" spans="1:2">
      <c r="A2029" s="133" t="str">
        <f>"7504"</f>
        <v>7504</v>
      </c>
      <c r="B2029" s="134" t="s">
        <v>661</v>
      </c>
    </row>
    <row r="2030" spans="1:2">
      <c r="A2030" s="133" t="str">
        <f>"7505"</f>
        <v>7505</v>
      </c>
      <c r="B2030" s="134" t="s">
        <v>660</v>
      </c>
    </row>
    <row r="2031" spans="1:2">
      <c r="A2031" s="133" t="str">
        <f>"7506"</f>
        <v>7506</v>
      </c>
      <c r="B2031" s="134" t="s">
        <v>659</v>
      </c>
    </row>
    <row r="2032" spans="1:2">
      <c r="A2032" s="133" t="str">
        <f>"7507"</f>
        <v>7507</v>
      </c>
      <c r="B2032" s="134" t="s">
        <v>658</v>
      </c>
    </row>
    <row r="2033" spans="1:2">
      <c r="A2033" s="133" t="str">
        <f>"7508"</f>
        <v>7508</v>
      </c>
      <c r="B2033" s="134" t="s">
        <v>657</v>
      </c>
    </row>
    <row r="2034" spans="1:2">
      <c r="A2034" s="133" t="str">
        <f>"7509"</f>
        <v>7509</v>
      </c>
      <c r="B2034" s="134" t="s">
        <v>656</v>
      </c>
    </row>
    <row r="2035" spans="1:2">
      <c r="A2035" s="133" t="str">
        <f>"7510"</f>
        <v>7510</v>
      </c>
      <c r="B2035" s="134" t="s">
        <v>655</v>
      </c>
    </row>
    <row r="2036" spans="1:2">
      <c r="A2036" s="133" t="str">
        <f>"7511"</f>
        <v>7511</v>
      </c>
      <c r="B2036" s="134" t="s">
        <v>654</v>
      </c>
    </row>
    <row r="2037" spans="1:2">
      <c r="A2037" s="133" t="str">
        <f>"7512"</f>
        <v>7512</v>
      </c>
      <c r="B2037" s="134" t="s">
        <v>653</v>
      </c>
    </row>
    <row r="2038" spans="1:2">
      <c r="A2038" s="133" t="str">
        <f>"7513"</f>
        <v>7513</v>
      </c>
      <c r="B2038" s="134" t="s">
        <v>652</v>
      </c>
    </row>
    <row r="2039" spans="1:2">
      <c r="A2039" s="133" t="str">
        <f>"7514"</f>
        <v>7514</v>
      </c>
      <c r="B2039" s="134" t="s">
        <v>651</v>
      </c>
    </row>
    <row r="2040" spans="1:2">
      <c r="A2040" s="133" t="str">
        <f>"7515"</f>
        <v>7515</v>
      </c>
      <c r="B2040" s="134" t="s">
        <v>650</v>
      </c>
    </row>
    <row r="2041" spans="1:2">
      <c r="A2041" s="133" t="str">
        <f>"7516"</f>
        <v>7516</v>
      </c>
      <c r="B2041" s="134" t="s">
        <v>649</v>
      </c>
    </row>
    <row r="2042" spans="1:2">
      <c r="A2042" s="133" t="str">
        <f>"7517"</f>
        <v>7517</v>
      </c>
      <c r="B2042" s="134" t="s">
        <v>648</v>
      </c>
    </row>
    <row r="2043" spans="1:2">
      <c r="A2043" s="133" t="str">
        <f>"7518"</f>
        <v>7518</v>
      </c>
      <c r="B2043" s="134" t="s">
        <v>647</v>
      </c>
    </row>
    <row r="2044" spans="1:2">
      <c r="A2044" s="133" t="str">
        <f>"7519"</f>
        <v>7519</v>
      </c>
      <c r="B2044" s="134" t="s">
        <v>646</v>
      </c>
    </row>
    <row r="2045" spans="1:2">
      <c r="A2045" s="133" t="str">
        <f>"7520"</f>
        <v>7520</v>
      </c>
      <c r="B2045" s="134" t="s">
        <v>645</v>
      </c>
    </row>
    <row r="2046" spans="1:2">
      <c r="A2046" s="133" t="str">
        <f>"7521"</f>
        <v>7521</v>
      </c>
      <c r="B2046" s="134" t="s">
        <v>644</v>
      </c>
    </row>
    <row r="2047" spans="1:2">
      <c r="A2047" s="133" t="str">
        <f>"7522"</f>
        <v>7522</v>
      </c>
      <c r="B2047" s="134" t="s">
        <v>643</v>
      </c>
    </row>
    <row r="2048" spans="1:2">
      <c r="A2048" s="133" t="str">
        <f>"7523"</f>
        <v>7523</v>
      </c>
      <c r="B2048" s="134" t="s">
        <v>642</v>
      </c>
    </row>
    <row r="2049" spans="1:2">
      <c r="A2049" s="133" t="str">
        <f>"7524"</f>
        <v>7524</v>
      </c>
      <c r="B2049" s="134" t="s">
        <v>641</v>
      </c>
    </row>
    <row r="2050" spans="1:2">
      <c r="A2050" s="133" t="str">
        <f>"7525"</f>
        <v>7525</v>
      </c>
      <c r="B2050" s="134" t="s">
        <v>640</v>
      </c>
    </row>
    <row r="2051" spans="1:2">
      <c r="A2051" s="133" t="str">
        <f>"7526"</f>
        <v>7526</v>
      </c>
      <c r="B2051" s="134" t="s">
        <v>639</v>
      </c>
    </row>
    <row r="2052" spans="1:2">
      <c r="A2052" s="133" t="str">
        <f>"7527"</f>
        <v>7527</v>
      </c>
      <c r="B2052" s="134" t="s">
        <v>638</v>
      </c>
    </row>
    <row r="2053" spans="1:2">
      <c r="A2053" s="133" t="str">
        <f>"7528"</f>
        <v>7528</v>
      </c>
      <c r="B2053" s="134" t="s">
        <v>637</v>
      </c>
    </row>
    <row r="2054" spans="1:2">
      <c r="A2054" s="133" t="str">
        <f>"7529"</f>
        <v>7529</v>
      </c>
      <c r="B2054" s="134" t="s">
        <v>636</v>
      </c>
    </row>
    <row r="2055" spans="1:2">
      <c r="A2055" s="133" t="str">
        <f>"7530"</f>
        <v>7530</v>
      </c>
      <c r="B2055" s="134" t="s">
        <v>635</v>
      </c>
    </row>
    <row r="2056" spans="1:2">
      <c r="A2056" s="133" t="str">
        <f>"7531"</f>
        <v>7531</v>
      </c>
      <c r="B2056" s="134" t="s">
        <v>634</v>
      </c>
    </row>
    <row r="2057" spans="1:2">
      <c r="A2057" s="133" t="str">
        <f>"7532"</f>
        <v>7532</v>
      </c>
      <c r="B2057" s="134" t="s">
        <v>633</v>
      </c>
    </row>
    <row r="2058" spans="1:2">
      <c r="A2058" s="133" t="str">
        <f>"7533"</f>
        <v>7533</v>
      </c>
      <c r="B2058" s="134" t="s">
        <v>632</v>
      </c>
    </row>
    <row r="2059" spans="1:2">
      <c r="A2059" s="133" t="str">
        <f>"7534"</f>
        <v>7534</v>
      </c>
      <c r="B2059" s="134" t="s">
        <v>631</v>
      </c>
    </row>
    <row r="2060" spans="1:2">
      <c r="A2060" s="133" t="str">
        <f>"7535"</f>
        <v>7535</v>
      </c>
      <c r="B2060" s="134" t="s">
        <v>630</v>
      </c>
    </row>
    <row r="2061" spans="1:2">
      <c r="A2061" s="133" t="str">
        <f>"7536"</f>
        <v>7536</v>
      </c>
      <c r="B2061" s="134" t="s">
        <v>629</v>
      </c>
    </row>
    <row r="2062" spans="1:2">
      <c r="A2062" s="133" t="str">
        <f>"7537"</f>
        <v>7537</v>
      </c>
      <c r="B2062" s="134" t="s">
        <v>628</v>
      </c>
    </row>
    <row r="2063" spans="1:2">
      <c r="A2063" s="133" t="str">
        <f>"7538"</f>
        <v>7538</v>
      </c>
      <c r="B2063" s="134" t="s">
        <v>627</v>
      </c>
    </row>
    <row r="2064" spans="1:2">
      <c r="A2064" s="133" t="str">
        <f>"7539"</f>
        <v>7539</v>
      </c>
      <c r="B2064" s="134" t="s">
        <v>626</v>
      </c>
    </row>
    <row r="2065" spans="1:2">
      <c r="A2065" s="133" t="str">
        <f>"7540"</f>
        <v>7540</v>
      </c>
      <c r="B2065" s="134" t="s">
        <v>625</v>
      </c>
    </row>
    <row r="2066" spans="1:2">
      <c r="A2066" s="133" t="str">
        <f>"7541"</f>
        <v>7541</v>
      </c>
      <c r="B2066" s="134" t="s">
        <v>624</v>
      </c>
    </row>
    <row r="2067" spans="1:2">
      <c r="A2067" s="133" t="str">
        <f>"7542"</f>
        <v>7542</v>
      </c>
      <c r="B2067" s="134" t="s">
        <v>623</v>
      </c>
    </row>
    <row r="2068" spans="1:2">
      <c r="A2068" s="133" t="str">
        <f>"7543"</f>
        <v>7543</v>
      </c>
      <c r="B2068" s="134" t="s">
        <v>622</v>
      </c>
    </row>
    <row r="2069" spans="1:2">
      <c r="A2069" s="133" t="str">
        <f>"7544"</f>
        <v>7544</v>
      </c>
      <c r="B2069" s="134" t="s">
        <v>621</v>
      </c>
    </row>
    <row r="2070" spans="1:2">
      <c r="A2070" s="133" t="str">
        <f>"7545"</f>
        <v>7545</v>
      </c>
      <c r="B2070" s="134" t="s">
        <v>620</v>
      </c>
    </row>
    <row r="2071" spans="1:2">
      <c r="A2071" s="133" t="str">
        <f>"7546"</f>
        <v>7546</v>
      </c>
      <c r="B2071" s="134" t="s">
        <v>619</v>
      </c>
    </row>
    <row r="2072" spans="1:2">
      <c r="A2072" s="133" t="str">
        <f>"7547"</f>
        <v>7547</v>
      </c>
      <c r="B2072" s="134" t="s">
        <v>618</v>
      </c>
    </row>
    <row r="2073" spans="1:2">
      <c r="A2073" s="133" t="str">
        <f>"7548"</f>
        <v>7548</v>
      </c>
      <c r="B2073" s="134" t="s">
        <v>617</v>
      </c>
    </row>
    <row r="2074" spans="1:2">
      <c r="A2074" s="133" t="str">
        <f>"7549"</f>
        <v>7549</v>
      </c>
      <c r="B2074" s="134" t="s">
        <v>616</v>
      </c>
    </row>
    <row r="2075" spans="1:2">
      <c r="A2075" s="133" t="str">
        <f>"7550"</f>
        <v>7550</v>
      </c>
      <c r="B2075" s="134" t="s">
        <v>615</v>
      </c>
    </row>
    <row r="2076" spans="1:2">
      <c r="A2076" s="133" t="str">
        <f>"7551"</f>
        <v>7551</v>
      </c>
      <c r="B2076" s="134" t="s">
        <v>614</v>
      </c>
    </row>
    <row r="2077" spans="1:2">
      <c r="A2077" s="133" t="str">
        <f>"7552"</f>
        <v>7552</v>
      </c>
      <c r="B2077" s="134" t="s">
        <v>613</v>
      </c>
    </row>
    <row r="2078" spans="1:2">
      <c r="A2078" s="133" t="str">
        <f>"7553"</f>
        <v>7553</v>
      </c>
      <c r="B2078" s="134" t="s">
        <v>612</v>
      </c>
    </row>
    <row r="2079" spans="1:2">
      <c r="A2079" s="133" t="str">
        <f>"7554"</f>
        <v>7554</v>
      </c>
      <c r="B2079" s="134" t="s">
        <v>611</v>
      </c>
    </row>
    <row r="2080" spans="1:2">
      <c r="A2080" s="133" t="str">
        <f>"7555"</f>
        <v>7555</v>
      </c>
      <c r="B2080" s="134" t="s">
        <v>610</v>
      </c>
    </row>
    <row r="2081" spans="1:2">
      <c r="A2081" s="133" t="str">
        <f>"7556"</f>
        <v>7556</v>
      </c>
      <c r="B2081" s="134" t="s">
        <v>609</v>
      </c>
    </row>
    <row r="2082" spans="1:2">
      <c r="A2082" s="133" t="str">
        <f>"7557"</f>
        <v>7557</v>
      </c>
      <c r="B2082" s="134" t="s">
        <v>363</v>
      </c>
    </row>
    <row r="2083" spans="1:2">
      <c r="A2083" s="133" t="str">
        <f>"7558"</f>
        <v>7558</v>
      </c>
      <c r="B2083" s="134" t="s">
        <v>364</v>
      </c>
    </row>
    <row r="2084" spans="1:2">
      <c r="A2084" s="133" t="str">
        <f>"7559"</f>
        <v>7559</v>
      </c>
      <c r="B2084" s="134" t="s">
        <v>362</v>
      </c>
    </row>
    <row r="2085" spans="1:2">
      <c r="A2085" s="133" t="str">
        <f>"7560"</f>
        <v>7560</v>
      </c>
      <c r="B2085" s="134" t="s">
        <v>608</v>
      </c>
    </row>
    <row r="2086" spans="1:2">
      <c r="A2086" s="133" t="str">
        <f>"7561"</f>
        <v>7561</v>
      </c>
      <c r="B2086" s="134" t="s">
        <v>607</v>
      </c>
    </row>
    <row r="2087" spans="1:2">
      <c r="A2087" s="133" t="str">
        <f>"7562"</f>
        <v>7562</v>
      </c>
      <c r="B2087" s="134" t="s">
        <v>606</v>
      </c>
    </row>
    <row r="2088" spans="1:2">
      <c r="A2088" s="133" t="str">
        <f>"7563"</f>
        <v>7563</v>
      </c>
      <c r="B2088" s="134" t="s">
        <v>605</v>
      </c>
    </row>
    <row r="2089" spans="1:2">
      <c r="A2089" s="133" t="str">
        <f>"7564"</f>
        <v>7564</v>
      </c>
      <c r="B2089" s="134" t="s">
        <v>604</v>
      </c>
    </row>
    <row r="2090" spans="1:2">
      <c r="A2090" s="133" t="str">
        <f>"7565"</f>
        <v>7565</v>
      </c>
      <c r="B2090" s="134" t="s">
        <v>603</v>
      </c>
    </row>
    <row r="2091" spans="1:2">
      <c r="A2091" s="133" t="str">
        <f>"7566"</f>
        <v>7566</v>
      </c>
      <c r="B2091" s="134" t="s">
        <v>602</v>
      </c>
    </row>
    <row r="2092" spans="1:2">
      <c r="A2092" s="133" t="str">
        <f>"7567"</f>
        <v>7567</v>
      </c>
      <c r="B2092" s="134" t="s">
        <v>601</v>
      </c>
    </row>
    <row r="2093" spans="1:2">
      <c r="A2093" s="133" t="str">
        <f>"7568"</f>
        <v>7568</v>
      </c>
      <c r="B2093" s="134" t="s">
        <v>600</v>
      </c>
    </row>
    <row r="2094" spans="1:2">
      <c r="A2094" s="133" t="str">
        <f>"7569"</f>
        <v>7569</v>
      </c>
      <c r="B2094" s="134" t="s">
        <v>599</v>
      </c>
    </row>
    <row r="2095" spans="1:2">
      <c r="A2095" s="133" t="str">
        <f>"7570"</f>
        <v>7570</v>
      </c>
      <c r="B2095" s="134" t="s">
        <v>598</v>
      </c>
    </row>
    <row r="2096" spans="1:2">
      <c r="A2096" s="133" t="str">
        <f>"7571"</f>
        <v>7571</v>
      </c>
      <c r="B2096" s="134" t="s">
        <v>597</v>
      </c>
    </row>
    <row r="2097" spans="1:2">
      <c r="A2097" s="133" t="str">
        <f>"7572"</f>
        <v>7572</v>
      </c>
      <c r="B2097" s="134" t="s">
        <v>596</v>
      </c>
    </row>
    <row r="2098" spans="1:2">
      <c r="A2098" s="133" t="str">
        <f>"7573"</f>
        <v>7573</v>
      </c>
      <c r="B2098" s="134" t="s">
        <v>595</v>
      </c>
    </row>
    <row r="2099" spans="1:2">
      <c r="A2099" s="133" t="str">
        <f>"7574"</f>
        <v>7574</v>
      </c>
      <c r="B2099" s="134" t="s">
        <v>594</v>
      </c>
    </row>
    <row r="2100" spans="1:2">
      <c r="A2100" s="133" t="str">
        <f>"7575"</f>
        <v>7575</v>
      </c>
      <c r="B2100" s="134" t="s">
        <v>593</v>
      </c>
    </row>
    <row r="2101" spans="1:2">
      <c r="A2101" s="133" t="str">
        <f>"7576"</f>
        <v>7576</v>
      </c>
      <c r="B2101" s="134" t="s">
        <v>592</v>
      </c>
    </row>
    <row r="2102" spans="1:2">
      <c r="A2102" s="133" t="str">
        <f>"7577"</f>
        <v>7577</v>
      </c>
      <c r="B2102" s="134" t="s">
        <v>591</v>
      </c>
    </row>
    <row r="2103" spans="1:2">
      <c r="A2103" s="133" t="str">
        <f>"7578"</f>
        <v>7578</v>
      </c>
      <c r="B2103" s="134" t="s">
        <v>590</v>
      </c>
    </row>
    <row r="2104" spans="1:2">
      <c r="A2104" s="133" t="str">
        <f>"7579"</f>
        <v>7579</v>
      </c>
      <c r="B2104" s="134" t="s">
        <v>589</v>
      </c>
    </row>
    <row r="2105" spans="1:2">
      <c r="A2105" s="133" t="str">
        <f>"7580"</f>
        <v>7580</v>
      </c>
      <c r="B2105" s="134" t="s">
        <v>588</v>
      </c>
    </row>
    <row r="2106" spans="1:2">
      <c r="A2106" s="133" t="str">
        <f>"7581"</f>
        <v>7581</v>
      </c>
      <c r="B2106" s="134" t="s">
        <v>587</v>
      </c>
    </row>
    <row r="2107" spans="1:2">
      <c r="A2107" s="133" t="str">
        <f>"7582"</f>
        <v>7582</v>
      </c>
      <c r="B2107" s="134" t="s">
        <v>586</v>
      </c>
    </row>
    <row r="2108" spans="1:2">
      <c r="A2108" s="133" t="str">
        <f>"7583"</f>
        <v>7583</v>
      </c>
      <c r="B2108" s="134" t="s">
        <v>585</v>
      </c>
    </row>
    <row r="2109" spans="1:2">
      <c r="A2109" s="133" t="str">
        <f>"7584"</f>
        <v>7584</v>
      </c>
      <c r="B2109" s="134" t="s">
        <v>584</v>
      </c>
    </row>
    <row r="2110" spans="1:2">
      <c r="A2110" s="133" t="str">
        <f>"7585"</f>
        <v>7585</v>
      </c>
      <c r="B2110" s="134" t="s">
        <v>583</v>
      </c>
    </row>
    <row r="2111" spans="1:2">
      <c r="A2111" s="133" t="str">
        <f>"7586"</f>
        <v>7586</v>
      </c>
      <c r="B2111" s="134" t="s">
        <v>582</v>
      </c>
    </row>
    <row r="2112" spans="1:2">
      <c r="A2112" s="133" t="str">
        <f>"7587"</f>
        <v>7587</v>
      </c>
      <c r="B2112" s="134" t="s">
        <v>581</v>
      </c>
    </row>
    <row r="2113" spans="1:2">
      <c r="A2113" s="133" t="str">
        <f>"7588"</f>
        <v>7588</v>
      </c>
      <c r="B2113" s="134" t="s">
        <v>580</v>
      </c>
    </row>
    <row r="2114" spans="1:2">
      <c r="A2114" s="133" t="str">
        <f>"7589"</f>
        <v>7589</v>
      </c>
      <c r="B2114" s="134" t="s">
        <v>579</v>
      </c>
    </row>
    <row r="2115" spans="1:2">
      <c r="A2115" s="133" t="str">
        <f>"7590"</f>
        <v>7590</v>
      </c>
      <c r="B2115" s="134" t="s">
        <v>578</v>
      </c>
    </row>
    <row r="2116" spans="1:2">
      <c r="A2116" s="133" t="str">
        <f>"7591"</f>
        <v>7591</v>
      </c>
      <c r="B2116" s="134" t="s">
        <v>577</v>
      </c>
    </row>
    <row r="2117" spans="1:2">
      <c r="A2117" s="133" t="str">
        <f>"7592"</f>
        <v>7592</v>
      </c>
      <c r="B2117" s="134" t="s">
        <v>576</v>
      </c>
    </row>
    <row r="2118" spans="1:2">
      <c r="A2118" s="133" t="str">
        <f>"7593"</f>
        <v>7593</v>
      </c>
      <c r="B2118" s="134" t="s">
        <v>575</v>
      </c>
    </row>
    <row r="2119" spans="1:2">
      <c r="A2119" s="133" t="str">
        <f>"7594"</f>
        <v>7594</v>
      </c>
      <c r="B2119" s="134" t="s">
        <v>574</v>
      </c>
    </row>
    <row r="2120" spans="1:2">
      <c r="A2120" s="133" t="str">
        <f>"7595"</f>
        <v>7595</v>
      </c>
      <c r="B2120" s="134" t="s">
        <v>573</v>
      </c>
    </row>
    <row r="2121" spans="1:2">
      <c r="A2121" s="133" t="str">
        <f>"7596"</f>
        <v>7596</v>
      </c>
      <c r="B2121" s="134" t="s">
        <v>572</v>
      </c>
    </row>
    <row r="2122" spans="1:2">
      <c r="A2122" s="133" t="str">
        <f>"7597"</f>
        <v>7597</v>
      </c>
      <c r="B2122" s="134" t="s">
        <v>571</v>
      </c>
    </row>
    <row r="2123" spans="1:2">
      <c r="A2123" s="133" t="str">
        <f>"7598"</f>
        <v>7598</v>
      </c>
      <c r="B2123" s="134" t="s">
        <v>570</v>
      </c>
    </row>
    <row r="2124" spans="1:2">
      <c r="A2124" s="133" t="str">
        <f>"7599"</f>
        <v>7599</v>
      </c>
      <c r="B2124" s="134" t="s">
        <v>569</v>
      </c>
    </row>
    <row r="2125" spans="1:2">
      <c r="A2125" s="133" t="str">
        <f>"8000"</f>
        <v>8000</v>
      </c>
      <c r="B2125" s="134" t="s">
        <v>568</v>
      </c>
    </row>
    <row r="2126" spans="1:2">
      <c r="A2126" s="133" t="str">
        <f>"8010"</f>
        <v>8010</v>
      </c>
      <c r="B2126" s="134" t="s">
        <v>567</v>
      </c>
    </row>
    <row r="2127" spans="1:2">
      <c r="A2127" s="133" t="str">
        <f>"8011"</f>
        <v>8011</v>
      </c>
      <c r="B2127" s="134" t="s">
        <v>566</v>
      </c>
    </row>
    <row r="2128" spans="1:2">
      <c r="A2128" s="133" t="str">
        <f>"8012"</f>
        <v>8012</v>
      </c>
      <c r="B2128" s="134" t="s">
        <v>565</v>
      </c>
    </row>
    <row r="2129" spans="1:2">
      <c r="A2129" s="133" t="str">
        <f>"8013"</f>
        <v>8013</v>
      </c>
      <c r="B2129" s="134" t="s">
        <v>564</v>
      </c>
    </row>
    <row r="2130" spans="1:2">
      <c r="A2130" s="133" t="str">
        <f>"8014"</f>
        <v>8014</v>
      </c>
      <c r="B2130" s="134" t="s">
        <v>563</v>
      </c>
    </row>
    <row r="2131" spans="1:2">
      <c r="A2131" s="133" t="str">
        <f>"8015"</f>
        <v>8015</v>
      </c>
      <c r="B2131" s="134" t="s">
        <v>562</v>
      </c>
    </row>
    <row r="2132" spans="1:2">
      <c r="A2132" s="133" t="str">
        <f>"8016"</f>
        <v>8016</v>
      </c>
      <c r="B2132" s="134" t="s">
        <v>561</v>
      </c>
    </row>
    <row r="2133" spans="1:2">
      <c r="A2133" s="133" t="str">
        <f>"8017"</f>
        <v>8017</v>
      </c>
      <c r="B2133" s="134" t="s">
        <v>560</v>
      </c>
    </row>
    <row r="2134" spans="1:2">
      <c r="A2134" s="133" t="str">
        <f>"8018"</f>
        <v>8018</v>
      </c>
      <c r="B2134" s="134" t="s">
        <v>559</v>
      </c>
    </row>
    <row r="2135" spans="1:2">
      <c r="A2135" s="133" t="str">
        <f>"8019"</f>
        <v>8019</v>
      </c>
      <c r="B2135" s="134" t="s">
        <v>558</v>
      </c>
    </row>
    <row r="2136" spans="1:2">
      <c r="A2136" s="133" t="str">
        <f>"8020"</f>
        <v>8020</v>
      </c>
      <c r="B2136" s="134" t="s">
        <v>557</v>
      </c>
    </row>
    <row r="2137" spans="1:2">
      <c r="A2137" s="133" t="str">
        <f>"8021"</f>
        <v>8021</v>
      </c>
      <c r="B2137" s="134" t="s">
        <v>556</v>
      </c>
    </row>
    <row r="2138" spans="1:2">
      <c r="A2138" s="133" t="str">
        <f>"8022"</f>
        <v>8022</v>
      </c>
      <c r="B2138" s="134" t="s">
        <v>555</v>
      </c>
    </row>
    <row r="2139" spans="1:2">
      <c r="A2139" s="133" t="str">
        <f>"8023"</f>
        <v>8023</v>
      </c>
      <c r="B2139" s="134" t="s">
        <v>554</v>
      </c>
    </row>
    <row r="2140" spans="1:2">
      <c r="A2140" s="133" t="str">
        <f>"8024"</f>
        <v>8024</v>
      </c>
      <c r="B2140" s="134" t="s">
        <v>553</v>
      </c>
    </row>
    <row r="2141" spans="1:2">
      <c r="A2141" s="133" t="str">
        <f>"8025"</f>
        <v>8025</v>
      </c>
      <c r="B2141" s="134" t="s">
        <v>552</v>
      </c>
    </row>
    <row r="2142" spans="1:2">
      <c r="A2142" s="133" t="str">
        <f>"8026"</f>
        <v>8026</v>
      </c>
      <c r="B2142" s="134" t="s">
        <v>551</v>
      </c>
    </row>
    <row r="2143" spans="1:2">
      <c r="A2143" s="133" t="str">
        <f>"8027"</f>
        <v>8027</v>
      </c>
      <c r="B2143" s="134" t="s">
        <v>550</v>
      </c>
    </row>
    <row r="2144" spans="1:2">
      <c r="A2144" s="133" t="str">
        <f>"8028"</f>
        <v>8028</v>
      </c>
      <c r="B2144" s="134" t="s">
        <v>549</v>
      </c>
    </row>
    <row r="2145" spans="1:2">
      <c r="A2145" s="133" t="str">
        <f>"8029"</f>
        <v>8029</v>
      </c>
      <c r="B2145" s="134" t="s">
        <v>548</v>
      </c>
    </row>
    <row r="2146" spans="1:2">
      <c r="A2146" s="133" t="str">
        <f>"8030"</f>
        <v>8030</v>
      </c>
      <c r="B2146" s="134" t="s">
        <v>547</v>
      </c>
    </row>
    <row r="2147" spans="1:2">
      <c r="A2147" s="133" t="str">
        <f>"8031"</f>
        <v>8031</v>
      </c>
      <c r="B2147" s="134" t="s">
        <v>546</v>
      </c>
    </row>
    <row r="2148" spans="1:2">
      <c r="A2148" s="133" t="str">
        <f>"8032"</f>
        <v>8032</v>
      </c>
      <c r="B2148" s="134" t="s">
        <v>545</v>
      </c>
    </row>
    <row r="2149" spans="1:2">
      <c r="A2149" s="133" t="str">
        <f>"8033"</f>
        <v>8033</v>
      </c>
      <c r="B2149" s="134" t="s">
        <v>544</v>
      </c>
    </row>
    <row r="2150" spans="1:2">
      <c r="A2150" s="133" t="str">
        <f>"8034"</f>
        <v>8034</v>
      </c>
      <c r="B2150" s="134" t="s">
        <v>543</v>
      </c>
    </row>
    <row r="2151" spans="1:2">
      <c r="A2151" s="133" t="str">
        <f>"8035"</f>
        <v>8035</v>
      </c>
      <c r="B2151" s="134" t="s">
        <v>542</v>
      </c>
    </row>
    <row r="2152" spans="1:2">
      <c r="A2152" s="133" t="str">
        <f>"8036"</f>
        <v>8036</v>
      </c>
      <c r="B2152" s="134" t="s">
        <v>541</v>
      </c>
    </row>
    <row r="2153" spans="1:2">
      <c r="A2153" s="133" t="str">
        <f>"8037"</f>
        <v>8037</v>
      </c>
      <c r="B2153" s="134" t="s">
        <v>540</v>
      </c>
    </row>
    <row r="2154" spans="1:2">
      <c r="A2154" s="133" t="str">
        <f>"8038"</f>
        <v>8038</v>
      </c>
      <c r="B2154" s="134" t="s">
        <v>539</v>
      </c>
    </row>
    <row r="2155" spans="1:2">
      <c r="A2155" s="133" t="str">
        <f>"8401"</f>
        <v>8401</v>
      </c>
      <c r="B2155" s="134" t="s">
        <v>538</v>
      </c>
    </row>
    <row r="2156" spans="1:2">
      <c r="A2156" s="133" t="str">
        <f>"8402"</f>
        <v>8402</v>
      </c>
      <c r="B2156" s="134" t="s">
        <v>537</v>
      </c>
    </row>
    <row r="2157" spans="1:2">
      <c r="A2157" s="133" t="str">
        <f>"8403"</f>
        <v>8403</v>
      </c>
      <c r="B2157" s="134" t="s">
        <v>536</v>
      </c>
    </row>
    <row r="2158" spans="1:2">
      <c r="A2158" s="133" t="str">
        <f>"8404"</f>
        <v>8404</v>
      </c>
      <c r="B2158" s="134" t="s">
        <v>535</v>
      </c>
    </row>
    <row r="2159" spans="1:2">
      <c r="A2159" s="133" t="str">
        <f>"8405"</f>
        <v>8405</v>
      </c>
      <c r="B2159" s="134" t="s">
        <v>534</v>
      </c>
    </row>
    <row r="2160" spans="1:2">
      <c r="A2160" s="133" t="str">
        <f>"8406"</f>
        <v>8406</v>
      </c>
      <c r="B2160" s="134" t="s">
        <v>517</v>
      </c>
    </row>
    <row r="2161" spans="1:2">
      <c r="A2161" s="133" t="str">
        <f>"8407"</f>
        <v>8407</v>
      </c>
      <c r="B2161" s="134" t="s">
        <v>533</v>
      </c>
    </row>
    <row r="2162" spans="1:2">
      <c r="A2162" s="133" t="str">
        <f>"8408"</f>
        <v>8408</v>
      </c>
      <c r="B2162" s="134" t="s">
        <v>532</v>
      </c>
    </row>
    <row r="2163" spans="1:2">
      <c r="A2163" s="133" t="str">
        <f>"8409"</f>
        <v>8409</v>
      </c>
      <c r="B2163" s="134" t="s">
        <v>531</v>
      </c>
    </row>
    <row r="2164" spans="1:2">
      <c r="A2164" s="133" t="str">
        <f>"8410"</f>
        <v>8410</v>
      </c>
      <c r="B2164" s="134" t="s">
        <v>530</v>
      </c>
    </row>
    <row r="2165" spans="1:2">
      <c r="A2165" s="133" t="str">
        <f>"8411"</f>
        <v>8411</v>
      </c>
      <c r="B2165" s="134" t="s">
        <v>529</v>
      </c>
    </row>
    <row r="2166" spans="1:2">
      <c r="A2166" s="133" t="str">
        <f>"8412"</f>
        <v>8412</v>
      </c>
      <c r="B2166" s="134" t="s">
        <v>528</v>
      </c>
    </row>
    <row r="2167" spans="1:2">
      <c r="A2167" s="133" t="str">
        <f>"8413"</f>
        <v>8413</v>
      </c>
      <c r="B2167" s="134" t="s">
        <v>527</v>
      </c>
    </row>
    <row r="2168" spans="1:2">
      <c r="A2168" s="133" t="str">
        <f>"8414"</f>
        <v>8414</v>
      </c>
      <c r="B2168" s="134" t="s">
        <v>526</v>
      </c>
    </row>
    <row r="2169" spans="1:2">
      <c r="A2169" s="133" t="str">
        <f>"8415"</f>
        <v>8415</v>
      </c>
      <c r="B2169" s="134" t="s">
        <v>525</v>
      </c>
    </row>
    <row r="2170" spans="1:2">
      <c r="A2170" s="133" t="str">
        <f>"8416"</f>
        <v>8416</v>
      </c>
      <c r="B2170" s="134" t="s">
        <v>524</v>
      </c>
    </row>
    <row r="2171" spans="1:2">
      <c r="A2171" s="133" t="str">
        <f>"8417"</f>
        <v>8417</v>
      </c>
      <c r="B2171" s="134" t="s">
        <v>523</v>
      </c>
    </row>
    <row r="2172" spans="1:2">
      <c r="A2172" s="133" t="str">
        <f>"8418"</f>
        <v>8418</v>
      </c>
      <c r="B2172" s="134" t="s">
        <v>522</v>
      </c>
    </row>
    <row r="2173" spans="1:2">
      <c r="A2173" s="133" t="str">
        <f>"8419"</f>
        <v>8419</v>
      </c>
      <c r="B2173" s="134" t="s">
        <v>521</v>
      </c>
    </row>
    <row r="2174" spans="1:2">
      <c r="A2174" s="133" t="str">
        <f>"8420"</f>
        <v>8420</v>
      </c>
      <c r="B2174" s="134" t="s">
        <v>520</v>
      </c>
    </row>
    <row r="2175" spans="1:2">
      <c r="A2175" s="133" t="str">
        <f>"8421"</f>
        <v>8421</v>
      </c>
      <c r="B2175" s="134" t="s">
        <v>519</v>
      </c>
    </row>
    <row r="2176" spans="1:2">
      <c r="A2176" s="133" t="str">
        <f>"8422"</f>
        <v>8422</v>
      </c>
      <c r="B2176" s="134" t="s">
        <v>518</v>
      </c>
    </row>
    <row r="2177" spans="1:2">
      <c r="A2177" s="133" t="str">
        <f>"8423"</f>
        <v>8423</v>
      </c>
      <c r="B2177" s="134" t="s">
        <v>517</v>
      </c>
    </row>
    <row r="2178" spans="1:2">
      <c r="A2178" s="133" t="str">
        <f>"8424"</f>
        <v>8424</v>
      </c>
      <c r="B2178" s="134" t="s">
        <v>516</v>
      </c>
    </row>
    <row r="2179" spans="1:2">
      <c r="A2179" s="133" t="str">
        <f>"8425"</f>
        <v>8425</v>
      </c>
      <c r="B2179" s="134" t="s">
        <v>515</v>
      </c>
    </row>
    <row r="2180" spans="1:2">
      <c r="A2180" s="133" t="str">
        <f>"8426"</f>
        <v>8426</v>
      </c>
      <c r="B2180" s="134" t="s">
        <v>514</v>
      </c>
    </row>
    <row r="2181" spans="1:2">
      <c r="A2181" s="133" t="str">
        <f>"8427"</f>
        <v>8427</v>
      </c>
      <c r="B2181" s="134" t="s">
        <v>513</v>
      </c>
    </row>
    <row r="2182" spans="1:2">
      <c r="A2182" s="133" t="str">
        <f>"8428"</f>
        <v>8428</v>
      </c>
      <c r="B2182" s="134" t="s">
        <v>512</v>
      </c>
    </row>
    <row r="2183" spans="1:2">
      <c r="A2183" s="133" t="str">
        <f>"8429"</f>
        <v>8429</v>
      </c>
      <c r="B2183" s="134" t="s">
        <v>511</v>
      </c>
    </row>
    <row r="2184" spans="1:2">
      <c r="A2184" s="133" t="str">
        <f>"8430"</f>
        <v>8430</v>
      </c>
      <c r="B2184" s="134" t="s">
        <v>510</v>
      </c>
    </row>
    <row r="2185" spans="1:2">
      <c r="A2185" s="133" t="str">
        <f>"8431"</f>
        <v>8431</v>
      </c>
      <c r="B2185" s="134" t="s">
        <v>509</v>
      </c>
    </row>
    <row r="2186" spans="1:2">
      <c r="A2186" s="133" t="str">
        <f>"8432"</f>
        <v>8432</v>
      </c>
      <c r="B2186" s="134" t="s">
        <v>508</v>
      </c>
    </row>
    <row r="2187" spans="1:2">
      <c r="A2187" s="133" t="str">
        <f>"8433"</f>
        <v>8433</v>
      </c>
      <c r="B2187" s="134" t="s">
        <v>507</v>
      </c>
    </row>
    <row r="2188" spans="1:2">
      <c r="A2188" s="133" t="str">
        <f>"8434"</f>
        <v>8434</v>
      </c>
      <c r="B2188" s="134" t="s">
        <v>506</v>
      </c>
    </row>
    <row r="2189" spans="1:2">
      <c r="A2189" s="133" t="str">
        <f>"8435"</f>
        <v>8435</v>
      </c>
      <c r="B2189" s="134" t="s">
        <v>505</v>
      </c>
    </row>
    <row r="2190" spans="1:2">
      <c r="A2190" s="133" t="str">
        <f>"8436"</f>
        <v>8436</v>
      </c>
      <c r="B2190" s="134" t="s">
        <v>504</v>
      </c>
    </row>
    <row r="2191" spans="1:2">
      <c r="A2191" s="133" t="str">
        <f>"8437"</f>
        <v>8437</v>
      </c>
      <c r="B2191" s="134" t="s">
        <v>503</v>
      </c>
    </row>
    <row r="2192" spans="1:2">
      <c r="A2192" s="133" t="str">
        <f>"8438"</f>
        <v>8438</v>
      </c>
      <c r="B2192" s="134" t="s">
        <v>502</v>
      </c>
    </row>
    <row r="2193" spans="1:2">
      <c r="A2193" s="133" t="str">
        <f>"8439"</f>
        <v>8439</v>
      </c>
      <c r="B2193" s="134" t="s">
        <v>501</v>
      </c>
    </row>
    <row r="2194" spans="1:2">
      <c r="A2194" s="133" t="str">
        <f>"8440"</f>
        <v>8440</v>
      </c>
      <c r="B2194" s="134" t="s">
        <v>500</v>
      </c>
    </row>
    <row r="2195" spans="1:2">
      <c r="A2195" s="133" t="str">
        <f>"8441"</f>
        <v>8441</v>
      </c>
      <c r="B2195" s="134" t="s">
        <v>499</v>
      </c>
    </row>
    <row r="2196" spans="1:2">
      <c r="A2196" s="133" t="str">
        <f>"8888"</f>
        <v>8888</v>
      </c>
      <c r="B2196" s="134" t="s">
        <v>498</v>
      </c>
    </row>
    <row r="2197" spans="1:2">
      <c r="A2197" s="133" t="str">
        <f>"8900"</f>
        <v>8900</v>
      </c>
      <c r="B2197" s="134" t="s">
        <v>497</v>
      </c>
    </row>
    <row r="2198" spans="1:2">
      <c r="A2198" s="133" t="str">
        <f>"9000"</f>
        <v>9000</v>
      </c>
      <c r="B2198" s="134" t="s">
        <v>496</v>
      </c>
    </row>
    <row r="2199" spans="1:2">
      <c r="A2199" s="133" t="str">
        <f>"9001"</f>
        <v>9001</v>
      </c>
      <c r="B2199" s="134" t="s">
        <v>495</v>
      </c>
    </row>
    <row r="2200" spans="1:2">
      <c r="A2200" s="133" t="str">
        <f>"9002"</f>
        <v>9002</v>
      </c>
      <c r="B2200" s="134" t="s">
        <v>494</v>
      </c>
    </row>
    <row r="2201" spans="1:2">
      <c r="A2201" s="133" t="str">
        <f>"9003"</f>
        <v>9003</v>
      </c>
      <c r="B2201" s="134" t="s">
        <v>493</v>
      </c>
    </row>
    <row r="2202" spans="1:2">
      <c r="A2202" s="133" t="str">
        <f>"9004"</f>
        <v>9004</v>
      </c>
      <c r="B2202" s="134" t="s">
        <v>492</v>
      </c>
    </row>
    <row r="2203" spans="1:2">
      <c r="A2203" s="133" t="str">
        <f>"9005"</f>
        <v>9005</v>
      </c>
      <c r="B2203" s="134" t="s">
        <v>491</v>
      </c>
    </row>
    <row r="2204" spans="1:2">
      <c r="A2204" s="133" t="str">
        <f>"9007"</f>
        <v>9007</v>
      </c>
      <c r="B2204" s="134" t="s">
        <v>490</v>
      </c>
    </row>
    <row r="2205" spans="1:2">
      <c r="A2205" s="133" t="str">
        <f>"9008"</f>
        <v>9008</v>
      </c>
      <c r="B2205" s="134" t="s">
        <v>489</v>
      </c>
    </row>
    <row r="2206" spans="1:2">
      <c r="A2206" s="133" t="str">
        <f>"9009"</f>
        <v>9009</v>
      </c>
      <c r="B2206" s="134" t="s">
        <v>488</v>
      </c>
    </row>
    <row r="2207" spans="1:2">
      <c r="A2207" s="133" t="str">
        <f>"9100"</f>
        <v>9100</v>
      </c>
      <c r="B2207" s="134" t="s">
        <v>487</v>
      </c>
    </row>
    <row r="2208" spans="1:2">
      <c r="A2208" s="133" t="str">
        <f>"9999"</f>
        <v>9999</v>
      </c>
      <c r="B2208" s="134" t="s">
        <v>486</v>
      </c>
    </row>
    <row r="2209" spans="1:2">
      <c r="A2209" s="133" t="str">
        <f>"Y001"</f>
        <v>Y001</v>
      </c>
      <c r="B2209" s="134" t="s">
        <v>485</v>
      </c>
    </row>
    <row r="2210" spans="1:2">
      <c r="A2210" s="133" t="str">
        <f>"Y002"</f>
        <v>Y002</v>
      </c>
      <c r="B2210" s="134" t="s">
        <v>484</v>
      </c>
    </row>
    <row r="2211" spans="1:2">
      <c r="A2211" s="133" t="str">
        <f>"Y003"</f>
        <v>Y003</v>
      </c>
      <c r="B2211" s="134" t="s">
        <v>483</v>
      </c>
    </row>
    <row r="2212" spans="1:2">
      <c r="A2212" s="133" t="str">
        <f>"Y004"</f>
        <v>Y004</v>
      </c>
      <c r="B2212" s="134" t="s">
        <v>482</v>
      </c>
    </row>
    <row r="2213" spans="1:2">
      <c r="A2213" s="133" t="str">
        <f>"Y005"</f>
        <v>Y005</v>
      </c>
      <c r="B2213" s="134" t="s">
        <v>481</v>
      </c>
    </row>
    <row r="2214" spans="1:2">
      <c r="A2214" s="133" t="str">
        <f>"Y006"</f>
        <v>Y006</v>
      </c>
      <c r="B2214" s="134" t="s">
        <v>480</v>
      </c>
    </row>
    <row r="2215" spans="1:2">
      <c r="A2215" s="133" t="str">
        <f>"Y007"</f>
        <v>Y007</v>
      </c>
      <c r="B2215" s="134" t="s">
        <v>479</v>
      </c>
    </row>
    <row r="2216" spans="1:2">
      <c r="A2216" s="133" t="str">
        <f>"Y008"</f>
        <v>Y008</v>
      </c>
      <c r="B2216" s="134" t="s">
        <v>478</v>
      </c>
    </row>
    <row r="2217" spans="1:2">
      <c r="A2217" s="133" t="str">
        <f>"Y009"</f>
        <v>Y009</v>
      </c>
      <c r="B2217" s="134" t="s">
        <v>477</v>
      </c>
    </row>
    <row r="2218" spans="1:2">
      <c r="A2218" s="133" t="str">
        <f>"Y010"</f>
        <v>Y010</v>
      </c>
      <c r="B2218" s="134" t="s">
        <v>476</v>
      </c>
    </row>
    <row r="2219" spans="1:2">
      <c r="A2219" s="133" t="str">
        <f>"Y011"</f>
        <v>Y011</v>
      </c>
      <c r="B2219" s="134" t="s">
        <v>475</v>
      </c>
    </row>
    <row r="2220" spans="1:2">
      <c r="A2220" s="133" t="str">
        <f>"Y012"</f>
        <v>Y012</v>
      </c>
      <c r="B2220" s="134" t="s">
        <v>474</v>
      </c>
    </row>
    <row r="2221" spans="1:2">
      <c r="A2221" s="133" t="str">
        <f>"Y013"</f>
        <v>Y013</v>
      </c>
      <c r="B2221" s="134" t="s">
        <v>473</v>
      </c>
    </row>
    <row r="2222" spans="1:2">
      <c r="A2222" s="133" t="str">
        <f>"Y014"</f>
        <v>Y014</v>
      </c>
      <c r="B2222" s="134" t="s">
        <v>472</v>
      </c>
    </row>
    <row r="2223" spans="1:2">
      <c r="A2223" s="133" t="str">
        <f>"Y015"</f>
        <v>Y015</v>
      </c>
      <c r="B2223" s="134" t="s">
        <v>471</v>
      </c>
    </row>
    <row r="2224" spans="1:2">
      <c r="A2224" s="133" t="str">
        <f>"Y016"</f>
        <v>Y016</v>
      </c>
      <c r="B2224" s="134" t="s">
        <v>470</v>
      </c>
    </row>
    <row r="2225" spans="1:2">
      <c r="A2225" s="133" t="str">
        <f>"Y017"</f>
        <v>Y017</v>
      </c>
      <c r="B2225" s="134" t="s">
        <v>469</v>
      </c>
    </row>
    <row r="2226" spans="1:2">
      <c r="A2226" s="133" t="str">
        <f>"Y018"</f>
        <v>Y018</v>
      </c>
      <c r="B2226" s="134" t="s">
        <v>468</v>
      </c>
    </row>
    <row r="2227" spans="1:2">
      <c r="A2227" s="133" t="str">
        <f>"Y019"</f>
        <v>Y019</v>
      </c>
      <c r="B2227" s="134" t="s">
        <v>467</v>
      </c>
    </row>
    <row r="2228" spans="1:2">
      <c r="A2228" s="133" t="str">
        <f>"Y020"</f>
        <v>Y020</v>
      </c>
      <c r="B2228" s="134" t="s">
        <v>466</v>
      </c>
    </row>
    <row r="2229" spans="1:2">
      <c r="A2229" s="133" t="str">
        <f>"Y021"</f>
        <v>Y021</v>
      </c>
      <c r="B2229" s="134" t="s">
        <v>465</v>
      </c>
    </row>
    <row r="2230" spans="1:2">
      <c r="A2230" s="133" t="str">
        <f>"Y022"</f>
        <v>Y022</v>
      </c>
      <c r="B2230" s="134" t="s">
        <v>464</v>
      </c>
    </row>
    <row r="2231" spans="1:2">
      <c r="A2231" s="133" t="str">
        <f>"Y023"</f>
        <v>Y023</v>
      </c>
      <c r="B2231" s="134" t="s">
        <v>463</v>
      </c>
    </row>
    <row r="2232" spans="1:2">
      <c r="A2232" s="133" t="str">
        <f>"Y024"</f>
        <v>Y024</v>
      </c>
      <c r="B2232" s="134" t="s">
        <v>462</v>
      </c>
    </row>
    <row r="2233" spans="1:2">
      <c r="A2233" s="133" t="str">
        <f>"Y025"</f>
        <v>Y025</v>
      </c>
      <c r="B2233" s="134" t="s">
        <v>461</v>
      </c>
    </row>
    <row r="2234" spans="1:2">
      <c r="A2234" s="133" t="str">
        <f>"Y026"</f>
        <v>Y026</v>
      </c>
      <c r="B2234" s="134" t="s">
        <v>460</v>
      </c>
    </row>
    <row r="2235" spans="1:2">
      <c r="A2235" s="133" t="str">
        <f>"Y027"</f>
        <v>Y027</v>
      </c>
      <c r="B2235" s="134" t="s">
        <v>459</v>
      </c>
    </row>
    <row r="2236" spans="1:2">
      <c r="A2236" s="133" t="str">
        <f>"Y028"</f>
        <v>Y028</v>
      </c>
      <c r="B2236" s="134" t="s">
        <v>458</v>
      </c>
    </row>
    <row r="2237" spans="1:2">
      <c r="A2237" s="133" t="str">
        <f>"Y029"</f>
        <v>Y029</v>
      </c>
      <c r="B2237" s="134" t="s">
        <v>457</v>
      </c>
    </row>
    <row r="2238" spans="1:2">
      <c r="A2238" s="133" t="str">
        <f>"Y030"</f>
        <v>Y030</v>
      </c>
      <c r="B2238" s="134" t="s">
        <v>456</v>
      </c>
    </row>
    <row r="2239" spans="1:2">
      <c r="A2239" s="133" t="str">
        <f>"Y031"</f>
        <v>Y031</v>
      </c>
      <c r="B2239" s="134" t="s">
        <v>455</v>
      </c>
    </row>
    <row r="2240" spans="1:2">
      <c r="A2240" s="133" t="str">
        <f>"Y032"</f>
        <v>Y032</v>
      </c>
      <c r="B2240" s="134" t="s">
        <v>454</v>
      </c>
    </row>
    <row r="2241" spans="1:2">
      <c r="A2241" s="133" t="str">
        <f>"Y098"</f>
        <v>Y098</v>
      </c>
      <c r="B2241" s="134" t="s">
        <v>453</v>
      </c>
    </row>
    <row r="2242" spans="1:2" ht="14.25" thickBot="1">
      <c r="A2242" s="135" t="str">
        <f>"Y099"</f>
        <v>Y099</v>
      </c>
      <c r="B2242" s="136" t="s">
        <v>452</v>
      </c>
    </row>
  </sheetData>
  <phoneticPr fontId="1" type="noConversion"/>
  <hyperlinks>
    <hyperlink ref="A1" location="별첨11" display="목록으로 이동" xr:uid="{0BCC4389-79D4-4667-86C4-5234C99F8922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64F3-C9EE-4013-9DE5-650145D10121}">
  <dimension ref="A1:S22"/>
  <sheetViews>
    <sheetView zoomScaleNormal="100" workbookViewId="0">
      <selection activeCell="A3" sqref="A3:A22"/>
    </sheetView>
  </sheetViews>
  <sheetFormatPr defaultRowHeight="13.5"/>
  <cols>
    <col min="1" max="1" width="13.375" style="129" bestFit="1" customWidth="1"/>
    <col min="2" max="2" width="38.375" style="129" customWidth="1"/>
    <col min="3" max="10" width="9" style="64"/>
    <col min="11" max="19" width="9" style="65"/>
    <col min="20" max="16384" width="9" style="64"/>
  </cols>
  <sheetData>
    <row r="1" spans="1:2" ht="17.25" thickBot="1">
      <c r="A1" s="125" t="s">
        <v>4606</v>
      </c>
    </row>
    <row r="2" spans="1:2" ht="14.25" thickBot="1">
      <c r="A2" s="130" t="s">
        <v>448</v>
      </c>
      <c r="B2" s="139" t="s">
        <v>2676</v>
      </c>
    </row>
    <row r="3" spans="1:2">
      <c r="A3" s="140" t="s">
        <v>2675</v>
      </c>
      <c r="B3" s="141" t="s">
        <v>2674</v>
      </c>
    </row>
    <row r="4" spans="1:2">
      <c r="A4" s="142" t="s">
        <v>2673</v>
      </c>
      <c r="B4" s="143" t="s">
        <v>2672</v>
      </c>
    </row>
    <row r="5" spans="1:2">
      <c r="A5" s="142" t="s">
        <v>2671</v>
      </c>
      <c r="B5" s="143" t="s">
        <v>2670</v>
      </c>
    </row>
    <row r="6" spans="1:2">
      <c r="A6" s="142" t="s">
        <v>2669</v>
      </c>
      <c r="B6" s="143" t="s">
        <v>2668</v>
      </c>
    </row>
    <row r="7" spans="1:2">
      <c r="A7" s="142" t="s">
        <v>2667</v>
      </c>
      <c r="B7" s="143" t="s">
        <v>2666</v>
      </c>
    </row>
    <row r="8" spans="1:2">
      <c r="A8" s="142" t="s">
        <v>2665</v>
      </c>
      <c r="B8" s="143" t="s">
        <v>2664</v>
      </c>
    </row>
    <row r="9" spans="1:2">
      <c r="A9" s="142" t="s">
        <v>2663</v>
      </c>
      <c r="B9" s="143" t="s">
        <v>2662</v>
      </c>
    </row>
    <row r="10" spans="1:2">
      <c r="A10" s="142" t="s">
        <v>2661</v>
      </c>
      <c r="B10" s="143" t="s">
        <v>2660</v>
      </c>
    </row>
    <row r="11" spans="1:2">
      <c r="A11" s="142" t="s">
        <v>2659</v>
      </c>
      <c r="B11" s="143" t="s">
        <v>2658</v>
      </c>
    </row>
    <row r="12" spans="1:2">
      <c r="A12" s="142" t="s">
        <v>2657</v>
      </c>
      <c r="B12" s="143" t="s">
        <v>2656</v>
      </c>
    </row>
    <row r="13" spans="1:2">
      <c r="A13" s="142" t="s">
        <v>2655</v>
      </c>
      <c r="B13" s="143" t="s">
        <v>2654</v>
      </c>
    </row>
    <row r="14" spans="1:2">
      <c r="A14" s="142" t="s">
        <v>2653</v>
      </c>
      <c r="B14" s="143" t="s">
        <v>2652</v>
      </c>
    </row>
    <row r="15" spans="1:2">
      <c r="A15" s="142" t="s">
        <v>2651</v>
      </c>
      <c r="B15" s="143" t="s">
        <v>2650</v>
      </c>
    </row>
    <row r="16" spans="1:2">
      <c r="A16" s="142" t="s">
        <v>2649</v>
      </c>
      <c r="B16" s="143" t="s">
        <v>2648</v>
      </c>
    </row>
    <row r="17" spans="1:2">
      <c r="A17" s="142" t="s">
        <v>2647</v>
      </c>
      <c r="B17" s="143" t="s">
        <v>2646</v>
      </c>
    </row>
    <row r="18" spans="1:2">
      <c r="A18" s="142" t="s">
        <v>2645</v>
      </c>
      <c r="B18" s="143" t="s">
        <v>2644</v>
      </c>
    </row>
    <row r="19" spans="1:2">
      <c r="A19" s="142" t="s">
        <v>2643</v>
      </c>
      <c r="B19" s="143" t="s">
        <v>2642</v>
      </c>
    </row>
    <row r="20" spans="1:2">
      <c r="A20" s="142" t="s">
        <v>2641</v>
      </c>
      <c r="B20" s="143" t="s">
        <v>2640</v>
      </c>
    </row>
    <row r="21" spans="1:2">
      <c r="A21" s="142" t="s">
        <v>2639</v>
      </c>
      <c r="B21" s="143" t="s">
        <v>2638</v>
      </c>
    </row>
    <row r="22" spans="1:2" ht="14.25" thickBot="1">
      <c r="A22" s="144" t="s">
        <v>2637</v>
      </c>
      <c r="B22" s="145" t="s">
        <v>2636</v>
      </c>
    </row>
  </sheetData>
  <phoneticPr fontId="1" type="noConversion"/>
  <hyperlinks>
    <hyperlink ref="A1" location="별첨2" display="목록으로 이동" xr:uid="{D394E534-A67E-463F-A1CF-5714AB739077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499A-F6DB-4359-850C-7EE543F11DB7}">
  <dimension ref="A1:S134"/>
  <sheetViews>
    <sheetView zoomScaleNormal="100" workbookViewId="0">
      <selection activeCell="B10" sqref="B10"/>
    </sheetView>
  </sheetViews>
  <sheetFormatPr defaultRowHeight="13.5"/>
  <cols>
    <col min="1" max="1" width="11.5" style="146" bestFit="1" customWidth="1"/>
    <col min="2" max="2" width="25.875" style="146" bestFit="1" customWidth="1"/>
    <col min="3" max="4" width="27.625" style="146" bestFit="1" customWidth="1"/>
    <col min="5" max="10" width="9" style="68"/>
    <col min="11" max="19" width="9" style="81"/>
    <col min="20" max="16384" width="9" style="68"/>
  </cols>
  <sheetData>
    <row r="1" spans="1:19" ht="17.25" thickBot="1">
      <c r="A1" s="125" t="s">
        <v>4606</v>
      </c>
    </row>
    <row r="2" spans="1:19" s="64" customFormat="1" ht="14.25" thickBot="1">
      <c r="A2" s="130" t="s">
        <v>444</v>
      </c>
      <c r="B2" s="147" t="s">
        <v>2811</v>
      </c>
      <c r="C2" s="147" t="s">
        <v>2810</v>
      </c>
      <c r="D2" s="139" t="s">
        <v>2809</v>
      </c>
      <c r="K2" s="65"/>
      <c r="L2" s="65"/>
      <c r="M2" s="65"/>
      <c r="N2" s="65"/>
      <c r="O2" s="65"/>
      <c r="P2" s="65"/>
      <c r="Q2" s="65"/>
      <c r="R2" s="65"/>
      <c r="S2" s="65"/>
    </row>
    <row r="3" spans="1:19">
      <c r="A3" s="148">
        <v>1016</v>
      </c>
      <c r="B3" s="149" t="s">
        <v>2808</v>
      </c>
      <c r="C3" s="150" t="s">
        <v>340</v>
      </c>
      <c r="D3" s="151" t="s">
        <v>340</v>
      </c>
    </row>
    <row r="4" spans="1:19">
      <c r="A4" s="152">
        <v>1020</v>
      </c>
      <c r="B4" s="153" t="s">
        <v>2807</v>
      </c>
      <c r="C4" s="154" t="s">
        <v>446</v>
      </c>
      <c r="D4" s="155" t="s">
        <v>446</v>
      </c>
    </row>
    <row r="5" spans="1:19">
      <c r="A5" s="152">
        <v>1033</v>
      </c>
      <c r="B5" s="153" t="s">
        <v>2806</v>
      </c>
      <c r="C5" s="154" t="s">
        <v>446</v>
      </c>
      <c r="D5" s="155" t="s">
        <v>446</v>
      </c>
    </row>
    <row r="6" spans="1:19">
      <c r="A6" s="152">
        <v>1047</v>
      </c>
      <c r="B6" s="153" t="s">
        <v>2805</v>
      </c>
      <c r="C6" s="154" t="s">
        <v>446</v>
      </c>
      <c r="D6" s="155" t="s">
        <v>446</v>
      </c>
    </row>
    <row r="7" spans="1:19">
      <c r="A7" s="152">
        <v>1051</v>
      </c>
      <c r="B7" s="153" t="s">
        <v>2804</v>
      </c>
      <c r="C7" s="154" t="s">
        <v>446</v>
      </c>
      <c r="D7" s="155" t="s">
        <v>446</v>
      </c>
    </row>
    <row r="8" spans="1:19">
      <c r="A8" s="152">
        <v>1081</v>
      </c>
      <c r="B8" s="67" t="s">
        <v>2803</v>
      </c>
      <c r="C8" s="154" t="s">
        <v>446</v>
      </c>
      <c r="D8" s="155" t="s">
        <v>446</v>
      </c>
    </row>
    <row r="9" spans="1:19">
      <c r="A9" s="152">
        <v>1095</v>
      </c>
      <c r="B9" s="153" t="s">
        <v>2802</v>
      </c>
      <c r="C9" s="154" t="s">
        <v>446</v>
      </c>
      <c r="D9" s="155" t="s">
        <v>446</v>
      </c>
    </row>
    <row r="10" spans="1:19">
      <c r="A10" s="152">
        <v>1171</v>
      </c>
      <c r="B10" s="153" t="s">
        <v>2801</v>
      </c>
      <c r="C10" s="154" t="s">
        <v>446</v>
      </c>
      <c r="D10" s="155" t="s">
        <v>446</v>
      </c>
    </row>
    <row r="11" spans="1:19">
      <c r="A11" s="152">
        <v>1184</v>
      </c>
      <c r="B11" s="67" t="s">
        <v>2800</v>
      </c>
      <c r="C11" s="154" t="s">
        <v>446</v>
      </c>
      <c r="D11" s="155" t="s">
        <v>446</v>
      </c>
    </row>
    <row r="12" spans="1:19">
      <c r="A12" s="152">
        <v>1211</v>
      </c>
      <c r="B12" s="153" t="s">
        <v>2799</v>
      </c>
      <c r="C12" s="154" t="s">
        <v>446</v>
      </c>
      <c r="D12" s="155" t="s">
        <v>446</v>
      </c>
    </row>
    <row r="13" spans="1:19">
      <c r="A13" s="152">
        <v>1225</v>
      </c>
      <c r="B13" s="153" t="s">
        <v>2798</v>
      </c>
      <c r="C13" s="154" t="s">
        <v>446</v>
      </c>
      <c r="D13" s="155" t="s">
        <v>446</v>
      </c>
    </row>
    <row r="14" spans="1:19">
      <c r="A14" s="152">
        <v>1260</v>
      </c>
      <c r="B14" s="153" t="s">
        <v>2797</v>
      </c>
      <c r="C14" s="154" t="s">
        <v>446</v>
      </c>
      <c r="D14" s="155" t="s">
        <v>446</v>
      </c>
    </row>
    <row r="15" spans="1:19">
      <c r="A15" s="152">
        <v>1291</v>
      </c>
      <c r="B15" s="67" t="s">
        <v>2796</v>
      </c>
      <c r="C15" s="154" t="s">
        <v>446</v>
      </c>
      <c r="D15" s="155" t="s">
        <v>446</v>
      </c>
    </row>
    <row r="16" spans="1:19">
      <c r="A16" s="152">
        <v>1292</v>
      </c>
      <c r="B16" s="67" t="s">
        <v>2795</v>
      </c>
      <c r="C16" s="154" t="s">
        <v>446</v>
      </c>
      <c r="D16" s="155" t="s">
        <v>446</v>
      </c>
    </row>
    <row r="17" spans="1:4">
      <c r="A17" s="152">
        <v>1314</v>
      </c>
      <c r="B17" s="153" t="s">
        <v>2794</v>
      </c>
      <c r="C17" s="154" t="s">
        <v>446</v>
      </c>
      <c r="D17" s="155" t="s">
        <v>446</v>
      </c>
    </row>
    <row r="18" spans="1:4">
      <c r="A18" s="152">
        <v>1328</v>
      </c>
      <c r="B18" s="153" t="s">
        <v>2793</v>
      </c>
      <c r="C18" s="154" t="s">
        <v>446</v>
      </c>
      <c r="D18" s="155" t="s">
        <v>446</v>
      </c>
    </row>
    <row r="19" spans="1:4">
      <c r="A19" s="152">
        <v>1345</v>
      </c>
      <c r="B19" s="153" t="s">
        <v>2792</v>
      </c>
      <c r="C19" s="154" t="s">
        <v>446</v>
      </c>
      <c r="D19" s="155" t="s">
        <v>446</v>
      </c>
    </row>
    <row r="20" spans="1:4">
      <c r="A20" s="152">
        <v>1359</v>
      </c>
      <c r="B20" s="153" t="s">
        <v>2791</v>
      </c>
      <c r="C20" s="154" t="s">
        <v>446</v>
      </c>
      <c r="D20" s="155" t="s">
        <v>446</v>
      </c>
    </row>
    <row r="21" spans="1:4">
      <c r="A21" s="152">
        <v>1376</v>
      </c>
      <c r="B21" s="153" t="s">
        <v>2790</v>
      </c>
      <c r="C21" s="154" t="s">
        <v>446</v>
      </c>
      <c r="D21" s="155" t="s">
        <v>446</v>
      </c>
    </row>
    <row r="22" spans="1:4">
      <c r="A22" s="152">
        <v>1393</v>
      </c>
      <c r="B22" s="153" t="s">
        <v>2789</v>
      </c>
      <c r="C22" s="154" t="s">
        <v>446</v>
      </c>
      <c r="D22" s="155" t="s">
        <v>446</v>
      </c>
    </row>
    <row r="23" spans="1:4">
      <c r="A23" s="152">
        <v>1510</v>
      </c>
      <c r="B23" s="153" t="s">
        <v>2788</v>
      </c>
      <c r="C23" s="154" t="s">
        <v>446</v>
      </c>
      <c r="D23" s="155" t="s">
        <v>446</v>
      </c>
    </row>
    <row r="24" spans="1:4">
      <c r="A24" s="152">
        <v>1537</v>
      </c>
      <c r="B24" s="153" t="s">
        <v>2787</v>
      </c>
      <c r="C24" s="154" t="s">
        <v>446</v>
      </c>
      <c r="D24" s="155" t="s">
        <v>446</v>
      </c>
    </row>
    <row r="25" spans="1:4">
      <c r="A25" s="152">
        <v>1541</v>
      </c>
      <c r="B25" s="153" t="s">
        <v>2786</v>
      </c>
      <c r="C25" s="154" t="s">
        <v>446</v>
      </c>
      <c r="D25" s="155" t="s">
        <v>446</v>
      </c>
    </row>
    <row r="26" spans="1:4">
      <c r="A26" s="152">
        <v>1571</v>
      </c>
      <c r="B26" s="153" t="s">
        <v>2785</v>
      </c>
      <c r="C26" s="154" t="s">
        <v>446</v>
      </c>
      <c r="D26" s="155" t="s">
        <v>446</v>
      </c>
    </row>
    <row r="27" spans="1:4">
      <c r="A27" s="152">
        <v>1599</v>
      </c>
      <c r="B27" s="153" t="s">
        <v>2784</v>
      </c>
      <c r="C27" s="154" t="s">
        <v>446</v>
      </c>
      <c r="D27" s="155" t="s">
        <v>446</v>
      </c>
    </row>
    <row r="28" spans="1:4">
      <c r="A28" s="152">
        <v>1688</v>
      </c>
      <c r="B28" s="153" t="s">
        <v>2783</v>
      </c>
      <c r="C28" s="154" t="s">
        <v>446</v>
      </c>
      <c r="D28" s="155" t="s">
        <v>446</v>
      </c>
    </row>
    <row r="29" spans="1:4">
      <c r="A29" s="152">
        <v>1763</v>
      </c>
      <c r="B29" s="153" t="s">
        <v>2782</v>
      </c>
      <c r="C29" s="154" t="s">
        <v>446</v>
      </c>
      <c r="D29" s="155" t="s">
        <v>446</v>
      </c>
    </row>
    <row r="30" spans="1:4">
      <c r="A30" s="152">
        <v>1780</v>
      </c>
      <c r="B30" s="153" t="s">
        <v>2781</v>
      </c>
      <c r="C30" s="154" t="s">
        <v>446</v>
      </c>
      <c r="D30" s="155" t="s">
        <v>446</v>
      </c>
    </row>
    <row r="31" spans="1:4">
      <c r="A31" s="152">
        <v>1835</v>
      </c>
      <c r="B31" s="153" t="s">
        <v>2780</v>
      </c>
      <c r="C31" s="154" t="s">
        <v>446</v>
      </c>
      <c r="D31" s="155" t="s">
        <v>446</v>
      </c>
    </row>
    <row r="32" spans="1:4">
      <c r="A32" s="152">
        <v>1852</v>
      </c>
      <c r="B32" s="153" t="s">
        <v>2779</v>
      </c>
      <c r="C32" s="154" t="s">
        <v>446</v>
      </c>
      <c r="D32" s="155" t="s">
        <v>446</v>
      </c>
    </row>
    <row r="33" spans="1:4">
      <c r="A33" s="152">
        <v>1897</v>
      </c>
      <c r="B33" s="153" t="s">
        <v>2778</v>
      </c>
      <c r="C33" s="154" t="s">
        <v>446</v>
      </c>
      <c r="D33" s="155" t="s">
        <v>446</v>
      </c>
    </row>
    <row r="34" spans="1:4">
      <c r="A34" s="152">
        <v>1938</v>
      </c>
      <c r="B34" s="153" t="s">
        <v>2777</v>
      </c>
      <c r="C34" s="154" t="s">
        <v>446</v>
      </c>
      <c r="D34" s="155" t="s">
        <v>446</v>
      </c>
    </row>
    <row r="35" spans="1:4">
      <c r="A35" s="152">
        <v>1990</v>
      </c>
      <c r="B35" s="153" t="s">
        <v>2776</v>
      </c>
      <c r="C35" s="154" t="s">
        <v>446</v>
      </c>
      <c r="D35" s="155" t="s">
        <v>446</v>
      </c>
    </row>
    <row r="36" spans="1:4">
      <c r="A36" s="152">
        <v>2018</v>
      </c>
      <c r="B36" s="153" t="s">
        <v>2775</v>
      </c>
      <c r="C36" s="154" t="s">
        <v>446</v>
      </c>
      <c r="D36" s="155" t="s">
        <v>446</v>
      </c>
    </row>
    <row r="37" spans="1:4">
      <c r="A37" s="152">
        <v>2066</v>
      </c>
      <c r="B37" s="153" t="s">
        <v>2774</v>
      </c>
      <c r="C37" s="154" t="s">
        <v>446</v>
      </c>
      <c r="D37" s="155" t="s">
        <v>446</v>
      </c>
    </row>
    <row r="38" spans="1:4">
      <c r="A38" s="152">
        <v>2083</v>
      </c>
      <c r="B38" s="153" t="s">
        <v>2773</v>
      </c>
      <c r="C38" s="154" t="s">
        <v>446</v>
      </c>
      <c r="D38" s="155" t="s">
        <v>446</v>
      </c>
    </row>
    <row r="39" spans="1:4">
      <c r="A39" s="152">
        <v>2097</v>
      </c>
      <c r="B39" s="153" t="s">
        <v>2772</v>
      </c>
      <c r="C39" s="154" t="s">
        <v>446</v>
      </c>
      <c r="D39" s="155" t="s">
        <v>446</v>
      </c>
    </row>
    <row r="40" spans="1:4">
      <c r="A40" s="152">
        <v>2107</v>
      </c>
      <c r="B40" s="153" t="s">
        <v>2771</v>
      </c>
      <c r="C40" s="154" t="s">
        <v>446</v>
      </c>
      <c r="D40" s="155" t="s">
        <v>446</v>
      </c>
    </row>
    <row r="41" spans="1:4">
      <c r="A41" s="152">
        <v>2258</v>
      </c>
      <c r="B41" s="153" t="s">
        <v>2770</v>
      </c>
      <c r="C41" s="154" t="s">
        <v>446</v>
      </c>
      <c r="D41" s="155" t="s">
        <v>446</v>
      </c>
    </row>
    <row r="42" spans="1:4">
      <c r="A42" s="152">
        <v>2508</v>
      </c>
      <c r="B42" s="153" t="s">
        <v>2769</v>
      </c>
      <c r="C42" s="154" t="s">
        <v>446</v>
      </c>
      <c r="D42" s="155" t="s">
        <v>446</v>
      </c>
    </row>
    <row r="43" spans="1:4">
      <c r="A43" s="152">
        <v>2539</v>
      </c>
      <c r="B43" s="153" t="s">
        <v>2768</v>
      </c>
      <c r="C43" s="154" t="s">
        <v>446</v>
      </c>
      <c r="D43" s="155" t="s">
        <v>446</v>
      </c>
    </row>
    <row r="44" spans="1:4">
      <c r="A44" s="152">
        <v>2556</v>
      </c>
      <c r="B44" s="153" t="s">
        <v>2767</v>
      </c>
      <c r="C44" s="154" t="s">
        <v>446</v>
      </c>
      <c r="D44" s="155" t="s">
        <v>446</v>
      </c>
    </row>
    <row r="45" spans="1:4">
      <c r="A45" s="152">
        <v>2560</v>
      </c>
      <c r="B45" s="153" t="s">
        <v>2766</v>
      </c>
      <c r="C45" s="154" t="s">
        <v>446</v>
      </c>
      <c r="D45" s="155" t="s">
        <v>446</v>
      </c>
    </row>
    <row r="46" spans="1:4">
      <c r="A46" s="152">
        <v>2573</v>
      </c>
      <c r="B46" s="153" t="s">
        <v>2765</v>
      </c>
      <c r="C46" s="154" t="s">
        <v>446</v>
      </c>
      <c r="D46" s="155" t="s">
        <v>446</v>
      </c>
    </row>
    <row r="47" spans="1:4">
      <c r="A47" s="152">
        <v>2587</v>
      </c>
      <c r="B47" s="153" t="s">
        <v>2764</v>
      </c>
      <c r="C47" s="154" t="s">
        <v>446</v>
      </c>
      <c r="D47" s="155" t="s">
        <v>446</v>
      </c>
    </row>
    <row r="48" spans="1:4">
      <c r="A48" s="152">
        <v>2601</v>
      </c>
      <c r="B48" s="153" t="s">
        <v>2763</v>
      </c>
      <c r="C48" s="154" t="s">
        <v>446</v>
      </c>
      <c r="D48" s="155" t="s">
        <v>446</v>
      </c>
    </row>
    <row r="49" spans="1:4">
      <c r="A49" s="152">
        <v>2602</v>
      </c>
      <c r="B49" s="153" t="s">
        <v>2762</v>
      </c>
      <c r="C49" s="154" t="s">
        <v>446</v>
      </c>
      <c r="D49" s="155" t="s">
        <v>446</v>
      </c>
    </row>
    <row r="50" spans="1:4">
      <c r="A50" s="152">
        <v>2603</v>
      </c>
      <c r="B50" s="153" t="s">
        <v>2761</v>
      </c>
      <c r="C50" s="154" t="s">
        <v>446</v>
      </c>
      <c r="D50" s="155" t="s">
        <v>446</v>
      </c>
    </row>
    <row r="51" spans="1:4">
      <c r="A51" s="152">
        <v>2630</v>
      </c>
      <c r="B51" s="153" t="s">
        <v>2760</v>
      </c>
      <c r="C51" s="154" t="s">
        <v>446</v>
      </c>
      <c r="D51" s="155" t="s">
        <v>446</v>
      </c>
    </row>
    <row r="52" spans="1:4">
      <c r="A52" s="152">
        <v>2651</v>
      </c>
      <c r="B52" s="153" t="s">
        <v>2759</v>
      </c>
      <c r="C52" s="154" t="s">
        <v>446</v>
      </c>
      <c r="D52" s="155" t="s">
        <v>446</v>
      </c>
    </row>
    <row r="53" spans="1:4">
      <c r="A53" s="152">
        <v>2660</v>
      </c>
      <c r="B53" s="153" t="s">
        <v>2758</v>
      </c>
      <c r="C53" s="154" t="s">
        <v>446</v>
      </c>
      <c r="D53" s="155" t="s">
        <v>446</v>
      </c>
    </row>
    <row r="54" spans="1:4">
      <c r="A54" s="156">
        <v>2676</v>
      </c>
      <c r="B54" s="67" t="s">
        <v>2757</v>
      </c>
      <c r="C54" s="154" t="s">
        <v>446</v>
      </c>
      <c r="D54" s="155" t="s">
        <v>446</v>
      </c>
    </row>
    <row r="55" spans="1:4">
      <c r="A55" s="156">
        <v>2677</v>
      </c>
      <c r="B55" s="67" t="s">
        <v>2756</v>
      </c>
      <c r="C55" s="154" t="s">
        <v>446</v>
      </c>
      <c r="D55" s="155" t="s">
        <v>446</v>
      </c>
    </row>
    <row r="56" spans="1:4">
      <c r="A56" s="156">
        <v>2678</v>
      </c>
      <c r="B56" s="67" t="s">
        <v>2755</v>
      </c>
      <c r="C56" s="154" t="s">
        <v>446</v>
      </c>
      <c r="D56" s="155" t="s">
        <v>446</v>
      </c>
    </row>
    <row r="57" spans="1:4">
      <c r="A57" s="156">
        <v>2679</v>
      </c>
      <c r="B57" s="67" t="s">
        <v>2754</v>
      </c>
      <c r="C57" s="154" t="s">
        <v>446</v>
      </c>
      <c r="D57" s="155" t="s">
        <v>446</v>
      </c>
    </row>
    <row r="58" spans="1:4">
      <c r="A58" s="152">
        <v>8070</v>
      </c>
      <c r="B58" s="153" t="s">
        <v>2753</v>
      </c>
      <c r="C58" s="154" t="s">
        <v>446</v>
      </c>
      <c r="D58" s="155" t="s">
        <v>446</v>
      </c>
    </row>
    <row r="59" spans="1:4">
      <c r="A59" s="152">
        <v>8201</v>
      </c>
      <c r="B59" s="153" t="s">
        <v>2752</v>
      </c>
      <c r="C59" s="154" t="s">
        <v>446</v>
      </c>
      <c r="D59" s="155" t="s">
        <v>446</v>
      </c>
    </row>
    <row r="60" spans="1:4">
      <c r="A60" s="152">
        <v>8245</v>
      </c>
      <c r="B60" s="153" t="s">
        <v>2751</v>
      </c>
      <c r="C60" s="154" t="s">
        <v>446</v>
      </c>
      <c r="D60" s="155" t="s">
        <v>446</v>
      </c>
    </row>
    <row r="61" spans="1:4">
      <c r="A61" s="152">
        <v>8259</v>
      </c>
      <c r="B61" s="153" t="s">
        <v>2750</v>
      </c>
      <c r="C61" s="154" t="s">
        <v>446</v>
      </c>
      <c r="D61" s="155" t="s">
        <v>446</v>
      </c>
    </row>
    <row r="62" spans="1:4">
      <c r="A62" s="152">
        <v>8509</v>
      </c>
      <c r="B62" s="153" t="s">
        <v>2749</v>
      </c>
      <c r="C62" s="154" t="s">
        <v>446</v>
      </c>
      <c r="D62" s="155" t="s">
        <v>446</v>
      </c>
    </row>
    <row r="63" spans="1:4">
      <c r="A63" s="152">
        <v>8511</v>
      </c>
      <c r="B63" s="153" t="s">
        <v>2748</v>
      </c>
      <c r="C63" s="154" t="s">
        <v>446</v>
      </c>
      <c r="D63" s="155" t="s">
        <v>446</v>
      </c>
    </row>
    <row r="64" spans="1:4">
      <c r="A64" s="152">
        <v>8512</v>
      </c>
      <c r="B64" s="153" t="s">
        <v>2747</v>
      </c>
      <c r="C64" s="154" t="s">
        <v>446</v>
      </c>
      <c r="D64" s="155" t="s">
        <v>446</v>
      </c>
    </row>
    <row r="65" spans="1:4">
      <c r="A65" s="152">
        <v>8526</v>
      </c>
      <c r="B65" s="153" t="s">
        <v>2746</v>
      </c>
      <c r="C65" s="154" t="s">
        <v>446</v>
      </c>
      <c r="D65" s="155" t="s">
        <v>446</v>
      </c>
    </row>
    <row r="66" spans="1:4">
      <c r="A66" s="152">
        <v>8543</v>
      </c>
      <c r="B66" s="153" t="s">
        <v>2745</v>
      </c>
      <c r="C66" s="154" t="s">
        <v>446</v>
      </c>
      <c r="D66" s="155" t="s">
        <v>446</v>
      </c>
    </row>
    <row r="67" spans="1:4">
      <c r="A67" s="152">
        <v>8557</v>
      </c>
      <c r="B67" s="153" t="s">
        <v>2744</v>
      </c>
      <c r="C67" s="154" t="s">
        <v>446</v>
      </c>
      <c r="D67" s="155" t="s">
        <v>446</v>
      </c>
    </row>
    <row r="68" spans="1:4">
      <c r="A68" s="152">
        <v>8574</v>
      </c>
      <c r="B68" s="153" t="s">
        <v>2743</v>
      </c>
      <c r="C68" s="154" t="s">
        <v>446</v>
      </c>
      <c r="D68" s="155" t="s">
        <v>446</v>
      </c>
    </row>
    <row r="69" spans="1:4">
      <c r="A69" s="152">
        <v>8588</v>
      </c>
      <c r="B69" s="153" t="s">
        <v>2742</v>
      </c>
      <c r="C69" s="154" t="s">
        <v>446</v>
      </c>
      <c r="D69" s="155" t="s">
        <v>446</v>
      </c>
    </row>
    <row r="70" spans="1:4">
      <c r="A70" s="152">
        <v>8591</v>
      </c>
      <c r="B70" s="153" t="s">
        <v>2741</v>
      </c>
      <c r="C70" s="154" t="s">
        <v>446</v>
      </c>
      <c r="D70" s="155" t="s">
        <v>446</v>
      </c>
    </row>
    <row r="71" spans="1:4">
      <c r="A71" s="152">
        <v>8677</v>
      </c>
      <c r="B71" s="153" t="s">
        <v>2740</v>
      </c>
      <c r="C71" s="154" t="s">
        <v>446</v>
      </c>
      <c r="D71" s="155" t="s">
        <v>446</v>
      </c>
    </row>
    <row r="72" spans="1:4">
      <c r="A72" s="152">
        <v>8680</v>
      </c>
      <c r="B72" s="153" t="s">
        <v>2739</v>
      </c>
      <c r="C72" s="154" t="s">
        <v>446</v>
      </c>
      <c r="D72" s="155" t="s">
        <v>446</v>
      </c>
    </row>
    <row r="73" spans="1:4">
      <c r="A73" s="152">
        <v>8694</v>
      </c>
      <c r="B73" s="153" t="s">
        <v>2738</v>
      </c>
      <c r="C73" s="154" t="s">
        <v>446</v>
      </c>
      <c r="D73" s="155" t="s">
        <v>446</v>
      </c>
    </row>
    <row r="74" spans="1:4">
      <c r="A74" s="152">
        <v>8704</v>
      </c>
      <c r="B74" s="153" t="s">
        <v>2737</v>
      </c>
      <c r="C74" s="154" t="s">
        <v>446</v>
      </c>
      <c r="D74" s="155" t="s">
        <v>446</v>
      </c>
    </row>
    <row r="75" spans="1:4">
      <c r="A75" s="152">
        <v>8718</v>
      </c>
      <c r="B75" s="153" t="s">
        <v>2736</v>
      </c>
      <c r="C75" s="154" t="s">
        <v>446</v>
      </c>
      <c r="D75" s="155" t="s">
        <v>446</v>
      </c>
    </row>
    <row r="76" spans="1:4">
      <c r="A76" s="152">
        <v>8735</v>
      </c>
      <c r="B76" s="153" t="s">
        <v>2735</v>
      </c>
      <c r="C76" s="154" t="s">
        <v>446</v>
      </c>
      <c r="D76" s="155" t="s">
        <v>446</v>
      </c>
    </row>
    <row r="77" spans="1:4">
      <c r="A77" s="152">
        <v>8749</v>
      </c>
      <c r="B77" s="153" t="s">
        <v>2734</v>
      </c>
      <c r="C77" s="154" t="s">
        <v>446</v>
      </c>
      <c r="D77" s="155" t="s">
        <v>446</v>
      </c>
    </row>
    <row r="78" spans="1:4">
      <c r="A78" s="152">
        <v>8770</v>
      </c>
      <c r="B78" s="153" t="s">
        <v>2733</v>
      </c>
      <c r="C78" s="154" t="s">
        <v>446</v>
      </c>
      <c r="D78" s="155" t="s">
        <v>446</v>
      </c>
    </row>
    <row r="79" spans="1:4">
      <c r="A79" s="152">
        <v>8783</v>
      </c>
      <c r="B79" s="153" t="s">
        <v>2732</v>
      </c>
      <c r="C79" s="154" t="s">
        <v>446</v>
      </c>
      <c r="D79" s="155" t="s">
        <v>446</v>
      </c>
    </row>
    <row r="80" spans="1:4">
      <c r="A80" s="152">
        <v>8797</v>
      </c>
      <c r="B80" s="153" t="s">
        <v>2731</v>
      </c>
      <c r="C80" s="154" t="s">
        <v>446</v>
      </c>
      <c r="D80" s="155" t="s">
        <v>446</v>
      </c>
    </row>
    <row r="81" spans="1:4">
      <c r="A81" s="152">
        <v>8869</v>
      </c>
      <c r="B81" s="153" t="s">
        <v>2730</v>
      </c>
      <c r="C81" s="154" t="s">
        <v>446</v>
      </c>
      <c r="D81" s="155" t="s">
        <v>446</v>
      </c>
    </row>
    <row r="82" spans="1:4">
      <c r="A82" s="152">
        <v>8880</v>
      </c>
      <c r="B82" s="153" t="s">
        <v>2729</v>
      </c>
      <c r="C82" s="154" t="s">
        <v>446</v>
      </c>
      <c r="D82" s="155" t="s">
        <v>446</v>
      </c>
    </row>
    <row r="83" spans="1:4">
      <c r="A83" s="152">
        <v>8893</v>
      </c>
      <c r="B83" s="153" t="s">
        <v>2728</v>
      </c>
      <c r="C83" s="154" t="s">
        <v>446</v>
      </c>
      <c r="D83" s="155" t="s">
        <v>446</v>
      </c>
    </row>
    <row r="84" spans="1:4">
      <c r="A84" s="152">
        <v>8895</v>
      </c>
      <c r="B84" s="153" t="s">
        <v>2727</v>
      </c>
      <c r="C84" s="154" t="s">
        <v>446</v>
      </c>
      <c r="D84" s="155" t="s">
        <v>446</v>
      </c>
    </row>
    <row r="85" spans="1:4">
      <c r="A85" s="152">
        <v>8900</v>
      </c>
      <c r="B85" s="153" t="s">
        <v>2726</v>
      </c>
      <c r="C85" s="154" t="s">
        <v>446</v>
      </c>
      <c r="D85" s="155" t="s">
        <v>446</v>
      </c>
    </row>
    <row r="86" spans="1:4">
      <c r="A86" s="152">
        <v>8961</v>
      </c>
      <c r="B86" s="153" t="s">
        <v>2725</v>
      </c>
      <c r="C86" s="154" t="s">
        <v>446</v>
      </c>
      <c r="D86" s="155" t="s">
        <v>446</v>
      </c>
    </row>
    <row r="87" spans="1:4">
      <c r="A87" s="152">
        <v>8975</v>
      </c>
      <c r="B87" s="153" t="s">
        <v>2724</v>
      </c>
      <c r="C87" s="154" t="s">
        <v>446</v>
      </c>
      <c r="D87" s="155" t="s">
        <v>446</v>
      </c>
    </row>
    <row r="88" spans="1:4">
      <c r="A88" s="152">
        <v>8989</v>
      </c>
      <c r="B88" s="153" t="s">
        <v>2723</v>
      </c>
      <c r="C88" s="154" t="s">
        <v>446</v>
      </c>
      <c r="D88" s="155" t="s">
        <v>446</v>
      </c>
    </row>
    <row r="89" spans="1:4">
      <c r="A89" s="152">
        <v>8990</v>
      </c>
      <c r="B89" s="153" t="s">
        <v>2722</v>
      </c>
      <c r="C89" s="154" t="s">
        <v>446</v>
      </c>
      <c r="D89" s="155" t="s">
        <v>446</v>
      </c>
    </row>
    <row r="90" spans="1:4">
      <c r="A90" s="152">
        <v>9009</v>
      </c>
      <c r="B90" s="153" t="s">
        <v>2721</v>
      </c>
      <c r="C90" s="154" t="s">
        <v>446</v>
      </c>
      <c r="D90" s="155" t="s">
        <v>446</v>
      </c>
    </row>
    <row r="91" spans="1:4">
      <c r="A91" s="152">
        <v>9011</v>
      </c>
      <c r="B91" s="153" t="s">
        <v>2720</v>
      </c>
      <c r="C91" s="154" t="s">
        <v>446</v>
      </c>
      <c r="D91" s="155" t="s">
        <v>446</v>
      </c>
    </row>
    <row r="92" spans="1:4">
      <c r="A92" s="152">
        <v>9014</v>
      </c>
      <c r="B92" s="153" t="s">
        <v>2719</v>
      </c>
      <c r="C92" s="154" t="s">
        <v>446</v>
      </c>
      <c r="D92" s="155" t="s">
        <v>446</v>
      </c>
    </row>
    <row r="93" spans="1:4">
      <c r="A93" s="152">
        <v>9015</v>
      </c>
      <c r="B93" s="67" t="s">
        <v>2718</v>
      </c>
      <c r="C93" s="154" t="s">
        <v>446</v>
      </c>
      <c r="D93" s="155" t="s">
        <v>446</v>
      </c>
    </row>
    <row r="94" spans="1:4">
      <c r="A94" s="152">
        <v>9016</v>
      </c>
      <c r="B94" s="67" t="s">
        <v>2717</v>
      </c>
      <c r="C94" s="154" t="s">
        <v>446</v>
      </c>
      <c r="D94" s="155" t="s">
        <v>446</v>
      </c>
    </row>
    <row r="95" spans="1:4">
      <c r="A95" s="152">
        <v>9305</v>
      </c>
      <c r="B95" s="153" t="s">
        <v>2716</v>
      </c>
      <c r="C95" s="154" t="s">
        <v>446</v>
      </c>
      <c r="D95" s="155" t="s">
        <v>446</v>
      </c>
    </row>
    <row r="96" spans="1:4">
      <c r="A96" s="152">
        <v>9322</v>
      </c>
      <c r="B96" s="153" t="s">
        <v>2715</v>
      </c>
      <c r="C96" s="154" t="s">
        <v>446</v>
      </c>
      <c r="D96" s="155" t="s">
        <v>446</v>
      </c>
    </row>
    <row r="97" spans="1:4">
      <c r="A97" s="152">
        <v>9456</v>
      </c>
      <c r="B97" s="153" t="s">
        <v>2714</v>
      </c>
      <c r="C97" s="154" t="s">
        <v>446</v>
      </c>
      <c r="D97" s="155" t="s">
        <v>446</v>
      </c>
    </row>
    <row r="98" spans="1:4">
      <c r="A98" s="152">
        <v>9601</v>
      </c>
      <c r="B98" s="153" t="s">
        <v>2713</v>
      </c>
      <c r="C98" s="154" t="s">
        <v>79</v>
      </c>
      <c r="D98" s="155" t="s">
        <v>446</v>
      </c>
    </row>
    <row r="99" spans="1:4">
      <c r="A99" s="152">
        <v>9603</v>
      </c>
      <c r="B99" s="153" t="s">
        <v>2712</v>
      </c>
      <c r="C99" s="154" t="s">
        <v>446</v>
      </c>
      <c r="D99" s="155" t="s">
        <v>446</v>
      </c>
    </row>
    <row r="100" spans="1:4">
      <c r="A100" s="152">
        <v>9616</v>
      </c>
      <c r="B100" s="153" t="s">
        <v>2711</v>
      </c>
      <c r="C100" s="154" t="s">
        <v>446</v>
      </c>
      <c r="D100" s="155" t="s">
        <v>446</v>
      </c>
    </row>
    <row r="101" spans="1:4">
      <c r="A101" s="152">
        <v>9617</v>
      </c>
      <c r="B101" s="153" t="s">
        <v>2710</v>
      </c>
      <c r="C101" s="154" t="s">
        <v>446</v>
      </c>
      <c r="D101" s="155" t="s">
        <v>446</v>
      </c>
    </row>
    <row r="102" spans="1:4">
      <c r="A102" s="152">
        <v>9620</v>
      </c>
      <c r="B102" s="153" t="s">
        <v>2709</v>
      </c>
      <c r="C102" s="154" t="s">
        <v>446</v>
      </c>
      <c r="D102" s="155" t="s">
        <v>446</v>
      </c>
    </row>
    <row r="103" spans="1:4">
      <c r="A103" s="152">
        <v>9621</v>
      </c>
      <c r="B103" s="153" t="s">
        <v>2708</v>
      </c>
      <c r="C103" s="154" t="s">
        <v>446</v>
      </c>
      <c r="D103" s="155" t="s">
        <v>446</v>
      </c>
    </row>
    <row r="104" spans="1:4">
      <c r="A104" s="152">
        <v>9622</v>
      </c>
      <c r="B104" s="153" t="s">
        <v>2707</v>
      </c>
      <c r="C104" s="154" t="s">
        <v>446</v>
      </c>
      <c r="D104" s="155" t="s">
        <v>446</v>
      </c>
    </row>
    <row r="105" spans="1:4">
      <c r="A105" s="152">
        <v>9623</v>
      </c>
      <c r="B105" s="153" t="s">
        <v>2706</v>
      </c>
      <c r="C105" s="154" t="s">
        <v>446</v>
      </c>
      <c r="D105" s="155" t="s">
        <v>446</v>
      </c>
    </row>
    <row r="106" spans="1:4">
      <c r="A106" s="152">
        <v>9624</v>
      </c>
      <c r="B106" s="67" t="s">
        <v>2705</v>
      </c>
      <c r="C106" s="154" t="s">
        <v>446</v>
      </c>
      <c r="D106" s="155" t="s">
        <v>446</v>
      </c>
    </row>
    <row r="107" spans="1:4">
      <c r="A107" s="152">
        <v>9712</v>
      </c>
      <c r="B107" s="153" t="s">
        <v>2704</v>
      </c>
      <c r="C107" s="154" t="s">
        <v>446</v>
      </c>
      <c r="D107" s="155" t="s">
        <v>446</v>
      </c>
    </row>
    <row r="108" spans="1:4">
      <c r="A108" s="152">
        <v>9721</v>
      </c>
      <c r="B108" s="153" t="s">
        <v>2703</v>
      </c>
      <c r="C108" s="154" t="s">
        <v>446</v>
      </c>
      <c r="D108" s="155" t="s">
        <v>446</v>
      </c>
    </row>
    <row r="109" spans="1:4">
      <c r="A109" s="152">
        <v>9725</v>
      </c>
      <c r="B109" s="153" t="s">
        <v>2702</v>
      </c>
      <c r="C109" s="154" t="s">
        <v>446</v>
      </c>
      <c r="D109" s="155" t="s">
        <v>446</v>
      </c>
    </row>
    <row r="110" spans="1:4">
      <c r="A110" s="152">
        <v>9726</v>
      </c>
      <c r="B110" s="153" t="s">
        <v>2701</v>
      </c>
      <c r="C110" s="154" t="s">
        <v>446</v>
      </c>
      <c r="D110" s="155" t="s">
        <v>446</v>
      </c>
    </row>
    <row r="111" spans="1:4">
      <c r="A111" s="152">
        <v>9727</v>
      </c>
      <c r="B111" s="153" t="s">
        <v>2700</v>
      </c>
      <c r="C111" s="154" t="s">
        <v>446</v>
      </c>
      <c r="D111" s="155" t="s">
        <v>446</v>
      </c>
    </row>
    <row r="112" spans="1:4">
      <c r="A112" s="152">
        <v>9733</v>
      </c>
      <c r="B112" s="153" t="s">
        <v>2699</v>
      </c>
      <c r="C112" s="154" t="s">
        <v>446</v>
      </c>
      <c r="D112" s="155" t="s">
        <v>446</v>
      </c>
    </row>
    <row r="113" spans="1:4">
      <c r="A113" s="152">
        <v>9735</v>
      </c>
      <c r="B113" s="153" t="s">
        <v>2698</v>
      </c>
      <c r="C113" s="154" t="s">
        <v>446</v>
      </c>
      <c r="D113" s="155" t="s">
        <v>446</v>
      </c>
    </row>
    <row r="114" spans="1:4">
      <c r="A114" s="152">
        <v>9736</v>
      </c>
      <c r="B114" s="153" t="s">
        <v>2697</v>
      </c>
      <c r="C114" s="154" t="s">
        <v>446</v>
      </c>
      <c r="D114" s="155" t="s">
        <v>446</v>
      </c>
    </row>
    <row r="115" spans="1:4">
      <c r="A115" s="152">
        <v>9738</v>
      </c>
      <c r="B115" s="153" t="s">
        <v>2696</v>
      </c>
      <c r="C115" s="154" t="s">
        <v>446</v>
      </c>
      <c r="D115" s="155" t="s">
        <v>446</v>
      </c>
    </row>
    <row r="116" spans="1:4">
      <c r="A116" s="152">
        <v>9743</v>
      </c>
      <c r="B116" s="153" t="s">
        <v>2695</v>
      </c>
      <c r="C116" s="154" t="s">
        <v>446</v>
      </c>
      <c r="D116" s="155" t="s">
        <v>446</v>
      </c>
    </row>
    <row r="117" spans="1:4">
      <c r="A117" s="152">
        <v>9744</v>
      </c>
      <c r="B117" s="153" t="s">
        <v>2694</v>
      </c>
      <c r="C117" s="154" t="s">
        <v>446</v>
      </c>
      <c r="D117" s="155" t="s">
        <v>446</v>
      </c>
    </row>
    <row r="118" spans="1:4">
      <c r="A118" s="152">
        <v>9745</v>
      </c>
      <c r="B118" s="153" t="s">
        <v>2693</v>
      </c>
      <c r="C118" s="154" t="s">
        <v>446</v>
      </c>
      <c r="D118" s="155" t="s">
        <v>446</v>
      </c>
    </row>
    <row r="119" spans="1:4">
      <c r="A119" s="152">
        <v>9746</v>
      </c>
      <c r="B119" s="153" t="s">
        <v>2692</v>
      </c>
      <c r="C119" s="154" t="s">
        <v>446</v>
      </c>
      <c r="D119" s="155" t="s">
        <v>446</v>
      </c>
    </row>
    <row r="120" spans="1:4">
      <c r="A120" s="152">
        <v>9749</v>
      </c>
      <c r="B120" s="153" t="s">
        <v>2691</v>
      </c>
      <c r="C120" s="154" t="s">
        <v>446</v>
      </c>
      <c r="D120" s="155" t="s">
        <v>446</v>
      </c>
    </row>
    <row r="121" spans="1:4">
      <c r="A121" s="152">
        <v>9758</v>
      </c>
      <c r="B121" s="153" t="s">
        <v>2690</v>
      </c>
      <c r="C121" s="154" t="s">
        <v>446</v>
      </c>
      <c r="D121" s="155" t="s">
        <v>446</v>
      </c>
    </row>
    <row r="122" spans="1:4">
      <c r="A122" s="152">
        <v>9764</v>
      </c>
      <c r="B122" s="67" t="s">
        <v>2689</v>
      </c>
      <c r="C122" s="154" t="s">
        <v>446</v>
      </c>
      <c r="D122" s="155" t="s">
        <v>446</v>
      </c>
    </row>
    <row r="123" spans="1:4">
      <c r="A123" s="152">
        <v>9765</v>
      </c>
      <c r="B123" s="67" t="s">
        <v>2688</v>
      </c>
      <c r="C123" s="154" t="s">
        <v>447</v>
      </c>
      <c r="D123" s="155" t="s">
        <v>447</v>
      </c>
    </row>
    <row r="124" spans="1:4">
      <c r="A124" s="152">
        <v>9781</v>
      </c>
      <c r="B124" s="153" t="s">
        <v>2687</v>
      </c>
      <c r="C124" s="154" t="s">
        <v>446</v>
      </c>
      <c r="D124" s="155" t="s">
        <v>446</v>
      </c>
    </row>
    <row r="125" spans="1:4">
      <c r="A125" s="152">
        <v>9801</v>
      </c>
      <c r="B125" s="153" t="s">
        <v>2686</v>
      </c>
      <c r="C125" s="154" t="s">
        <v>446</v>
      </c>
      <c r="D125" s="155" t="s">
        <v>446</v>
      </c>
    </row>
    <row r="126" spans="1:4">
      <c r="A126" s="152">
        <v>9809</v>
      </c>
      <c r="B126" s="153" t="s">
        <v>2685</v>
      </c>
      <c r="C126" s="154" t="s">
        <v>446</v>
      </c>
      <c r="D126" s="155" t="s">
        <v>446</v>
      </c>
    </row>
    <row r="127" spans="1:4">
      <c r="A127" s="152">
        <v>9810</v>
      </c>
      <c r="B127" s="153" t="s">
        <v>2684</v>
      </c>
      <c r="C127" s="154" t="s">
        <v>446</v>
      </c>
      <c r="D127" s="155" t="s">
        <v>446</v>
      </c>
    </row>
    <row r="128" spans="1:4">
      <c r="A128" s="152">
        <v>9811</v>
      </c>
      <c r="B128" s="153" t="s">
        <v>2683</v>
      </c>
      <c r="C128" s="154" t="s">
        <v>446</v>
      </c>
      <c r="D128" s="155" t="s">
        <v>446</v>
      </c>
    </row>
    <row r="129" spans="1:4">
      <c r="A129" s="152">
        <v>9812</v>
      </c>
      <c r="B129" s="153" t="s">
        <v>2682</v>
      </c>
      <c r="C129" s="154" t="s">
        <v>446</v>
      </c>
      <c r="D129" s="155" t="s">
        <v>446</v>
      </c>
    </row>
    <row r="130" spans="1:4">
      <c r="A130" s="152">
        <v>9824</v>
      </c>
      <c r="B130" s="153" t="s">
        <v>2681</v>
      </c>
      <c r="C130" s="154" t="s">
        <v>446</v>
      </c>
      <c r="D130" s="155" t="s">
        <v>446</v>
      </c>
    </row>
    <row r="131" spans="1:4">
      <c r="A131" s="152">
        <v>9828</v>
      </c>
      <c r="B131" s="153" t="s">
        <v>2680</v>
      </c>
      <c r="C131" s="154" t="s">
        <v>446</v>
      </c>
      <c r="D131" s="155" t="s">
        <v>446</v>
      </c>
    </row>
    <row r="132" spans="1:4">
      <c r="A132" s="152">
        <v>9911</v>
      </c>
      <c r="B132" s="153" t="s">
        <v>2679</v>
      </c>
      <c r="C132" s="154" t="s">
        <v>446</v>
      </c>
      <c r="D132" s="155" t="s">
        <v>446</v>
      </c>
    </row>
    <row r="133" spans="1:4">
      <c r="A133" s="152">
        <v>9938</v>
      </c>
      <c r="B133" s="153" t="s">
        <v>2678</v>
      </c>
      <c r="C133" s="154" t="s">
        <v>446</v>
      </c>
      <c r="D133" s="155" t="s">
        <v>446</v>
      </c>
    </row>
    <row r="134" spans="1:4" ht="14.25" thickBot="1">
      <c r="A134" s="157">
        <v>9956</v>
      </c>
      <c r="B134" s="158" t="s">
        <v>2677</v>
      </c>
      <c r="C134" s="159" t="s">
        <v>446</v>
      </c>
      <c r="D134" s="160" t="s">
        <v>446</v>
      </c>
    </row>
  </sheetData>
  <phoneticPr fontId="1" type="noConversion"/>
  <hyperlinks>
    <hyperlink ref="A1" location="별첨3" display="목록으로 이동" xr:uid="{E49A38C8-EA8E-4B9E-B6F5-FCC3DEF6BFD2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4880-97DE-437B-A41B-C92C3D50E4C2}">
  <dimension ref="A1:R48"/>
  <sheetViews>
    <sheetView zoomScaleNormal="100" workbookViewId="0">
      <selection activeCell="A3" sqref="A3:XFD48"/>
    </sheetView>
  </sheetViews>
  <sheetFormatPr defaultRowHeight="13.5"/>
  <cols>
    <col min="1" max="1" width="9" style="146"/>
    <col min="2" max="2" width="40.375" style="146" bestFit="1" customWidth="1"/>
    <col min="3" max="9" width="9" style="68"/>
    <col min="10" max="18" width="9" style="81"/>
    <col min="19" max="16384" width="9" style="68"/>
  </cols>
  <sheetData>
    <row r="1" spans="1:18" s="64" customFormat="1" ht="17.25" thickBot="1">
      <c r="A1" s="125" t="s">
        <v>4606</v>
      </c>
      <c r="B1" s="129"/>
      <c r="J1" s="65"/>
      <c r="K1" s="65"/>
      <c r="L1" s="65"/>
      <c r="M1" s="65"/>
      <c r="N1" s="65"/>
      <c r="O1" s="65"/>
      <c r="P1" s="65"/>
      <c r="Q1" s="65"/>
      <c r="R1" s="65"/>
    </row>
    <row r="2" spans="1:18" s="64" customFormat="1" ht="14.25" thickBot="1">
      <c r="A2" s="161" t="s">
        <v>2859</v>
      </c>
      <c r="B2" s="162" t="s">
        <v>2858</v>
      </c>
      <c r="J2" s="65"/>
      <c r="K2" s="65"/>
      <c r="L2" s="65"/>
      <c r="M2" s="65"/>
      <c r="N2" s="65"/>
      <c r="O2" s="65"/>
      <c r="P2" s="65"/>
      <c r="Q2" s="65"/>
      <c r="R2" s="65"/>
    </row>
    <row r="3" spans="1:18">
      <c r="A3" s="163">
        <v>1010</v>
      </c>
      <c r="B3" s="164" t="s">
        <v>2857</v>
      </c>
    </row>
    <row r="4" spans="1:18">
      <c r="A4" s="165">
        <v>1020</v>
      </c>
      <c r="B4" s="166" t="s">
        <v>2856</v>
      </c>
    </row>
    <row r="5" spans="1:18">
      <c r="A5" s="165">
        <v>2110</v>
      </c>
      <c r="B5" s="166" t="s">
        <v>2855</v>
      </c>
    </row>
    <row r="6" spans="1:18">
      <c r="A6" s="165">
        <v>2120</v>
      </c>
      <c r="B6" s="166" t="s">
        <v>2854</v>
      </c>
    </row>
    <row r="7" spans="1:18">
      <c r="A7" s="165">
        <v>2130</v>
      </c>
      <c r="B7" s="166" t="s">
        <v>2853</v>
      </c>
    </row>
    <row r="8" spans="1:18">
      <c r="A8" s="165">
        <v>2140</v>
      </c>
      <c r="B8" s="166" t="s">
        <v>2852</v>
      </c>
    </row>
    <row r="9" spans="1:18">
      <c r="A9" s="165">
        <v>2210</v>
      </c>
      <c r="B9" s="166" t="s">
        <v>2851</v>
      </c>
    </row>
    <row r="10" spans="1:18">
      <c r="A10" s="165">
        <v>2220</v>
      </c>
      <c r="B10" s="166" t="s">
        <v>2850</v>
      </c>
    </row>
    <row r="11" spans="1:18">
      <c r="A11" s="165">
        <v>2230</v>
      </c>
      <c r="B11" s="166" t="s">
        <v>2849</v>
      </c>
    </row>
    <row r="12" spans="1:18">
      <c r="A12" s="165">
        <v>2240</v>
      </c>
      <c r="B12" s="166" t="s">
        <v>2848</v>
      </c>
    </row>
    <row r="13" spans="1:18">
      <c r="A13" s="165">
        <v>3110</v>
      </c>
      <c r="B13" s="166" t="s">
        <v>2847</v>
      </c>
    </row>
    <row r="14" spans="1:18">
      <c r="A14" s="165">
        <v>3120</v>
      </c>
      <c r="B14" s="166" t="s">
        <v>2846</v>
      </c>
    </row>
    <row r="15" spans="1:18">
      <c r="A15" s="165">
        <v>3130</v>
      </c>
      <c r="B15" s="166" t="s">
        <v>2845</v>
      </c>
    </row>
    <row r="16" spans="1:18">
      <c r="A16" s="165">
        <v>3140</v>
      </c>
      <c r="B16" s="166" t="s">
        <v>2844</v>
      </c>
    </row>
    <row r="17" spans="1:2">
      <c r="A17" s="165">
        <v>3150</v>
      </c>
      <c r="B17" s="166" t="s">
        <v>2843</v>
      </c>
    </row>
    <row r="18" spans="1:2">
      <c r="A18" s="165">
        <v>3160</v>
      </c>
      <c r="B18" s="166" t="s">
        <v>2842</v>
      </c>
    </row>
    <row r="19" spans="1:2">
      <c r="A19" s="165">
        <v>3210</v>
      </c>
      <c r="B19" s="166" t="s">
        <v>2841</v>
      </c>
    </row>
    <row r="20" spans="1:2">
      <c r="A20" s="165">
        <v>3220</v>
      </c>
      <c r="B20" s="166" t="s">
        <v>2840</v>
      </c>
    </row>
    <row r="21" spans="1:2">
      <c r="A21" s="165">
        <v>3230</v>
      </c>
      <c r="B21" s="166" t="s">
        <v>2839</v>
      </c>
    </row>
    <row r="22" spans="1:2">
      <c r="A22" s="165">
        <v>3310</v>
      </c>
      <c r="B22" s="166" t="s">
        <v>2838</v>
      </c>
    </row>
    <row r="23" spans="1:2">
      <c r="A23" s="165">
        <v>3320</v>
      </c>
      <c r="B23" s="166" t="s">
        <v>2837</v>
      </c>
    </row>
    <row r="24" spans="1:2">
      <c r="A24" s="165">
        <v>3330</v>
      </c>
      <c r="B24" s="166" t="s">
        <v>2836</v>
      </c>
    </row>
    <row r="25" spans="1:2">
      <c r="A25" s="165">
        <v>3410</v>
      </c>
      <c r="B25" s="166" t="s">
        <v>2835</v>
      </c>
    </row>
    <row r="26" spans="1:2">
      <c r="A26" s="165">
        <v>3420</v>
      </c>
      <c r="B26" s="166" t="s">
        <v>2834</v>
      </c>
    </row>
    <row r="27" spans="1:2">
      <c r="A27" s="165">
        <v>3430</v>
      </c>
      <c r="B27" s="166" t="s">
        <v>2833</v>
      </c>
    </row>
    <row r="28" spans="1:2">
      <c r="A28" s="165">
        <v>3510</v>
      </c>
      <c r="B28" s="166" t="s">
        <v>2832</v>
      </c>
    </row>
    <row r="29" spans="1:2">
      <c r="A29" s="165">
        <v>3520</v>
      </c>
      <c r="B29" s="166" t="s">
        <v>2831</v>
      </c>
    </row>
    <row r="30" spans="1:2">
      <c r="A30" s="165">
        <v>3610</v>
      </c>
      <c r="B30" s="166" t="s">
        <v>2830</v>
      </c>
    </row>
    <row r="31" spans="1:2">
      <c r="A31" s="165">
        <v>3620</v>
      </c>
      <c r="B31" s="166" t="s">
        <v>2829</v>
      </c>
    </row>
    <row r="32" spans="1:2">
      <c r="A32" s="165">
        <v>3710</v>
      </c>
      <c r="B32" s="166" t="s">
        <v>2828</v>
      </c>
    </row>
    <row r="33" spans="1:2">
      <c r="A33" s="165">
        <v>4110</v>
      </c>
      <c r="B33" s="166" t="s">
        <v>2827</v>
      </c>
    </row>
    <row r="34" spans="1:2">
      <c r="A34" s="165">
        <v>4120</v>
      </c>
      <c r="B34" s="166" t="s">
        <v>2826</v>
      </c>
    </row>
    <row r="35" spans="1:2">
      <c r="A35" s="165">
        <v>5110</v>
      </c>
      <c r="B35" s="166" t="s">
        <v>2825</v>
      </c>
    </row>
    <row r="36" spans="1:2">
      <c r="A36" s="165">
        <v>5120</v>
      </c>
      <c r="B36" s="166" t="s">
        <v>2824</v>
      </c>
    </row>
    <row r="37" spans="1:2">
      <c r="A37" s="165">
        <v>5210</v>
      </c>
      <c r="B37" s="166" t="s">
        <v>2823</v>
      </c>
    </row>
    <row r="38" spans="1:2">
      <c r="A38" s="165">
        <v>5220</v>
      </c>
      <c r="B38" s="166" t="s">
        <v>2822</v>
      </c>
    </row>
    <row r="39" spans="1:2">
      <c r="A39" s="165">
        <v>5310</v>
      </c>
      <c r="B39" s="166" t="s">
        <v>2821</v>
      </c>
    </row>
    <row r="40" spans="1:2">
      <c r="A40" s="165">
        <v>5320</v>
      </c>
      <c r="B40" s="166" t="s">
        <v>2820</v>
      </c>
    </row>
    <row r="41" spans="1:2">
      <c r="A41" s="165">
        <v>5400</v>
      </c>
      <c r="B41" s="166" t="s">
        <v>2819</v>
      </c>
    </row>
    <row r="42" spans="1:2">
      <c r="A42" s="165">
        <v>5420</v>
      </c>
      <c r="B42" s="166" t="s">
        <v>2818</v>
      </c>
    </row>
    <row r="43" spans="1:2">
      <c r="A43" s="165">
        <v>5430</v>
      </c>
      <c r="B43" s="166" t="s">
        <v>2817</v>
      </c>
    </row>
    <row r="44" spans="1:2">
      <c r="A44" s="165">
        <v>5500</v>
      </c>
      <c r="B44" s="166" t="s">
        <v>2816</v>
      </c>
    </row>
    <row r="45" spans="1:2">
      <c r="A45" s="165">
        <v>5610</v>
      </c>
      <c r="B45" s="166" t="s">
        <v>2815</v>
      </c>
    </row>
    <row r="46" spans="1:2">
      <c r="A46" s="165">
        <v>5620</v>
      </c>
      <c r="B46" s="166" t="s">
        <v>2814</v>
      </c>
    </row>
    <row r="47" spans="1:2">
      <c r="A47" s="165">
        <v>5710</v>
      </c>
      <c r="B47" s="166" t="s">
        <v>2813</v>
      </c>
    </row>
    <row r="48" spans="1:2" ht="14.25" thickBot="1">
      <c r="A48" s="167">
        <v>5900</v>
      </c>
      <c r="B48" s="168" t="s">
        <v>2812</v>
      </c>
    </row>
  </sheetData>
  <phoneticPr fontId="1" type="noConversion"/>
  <hyperlinks>
    <hyperlink ref="A1" location="별첨4" display="목록으로 이동" xr:uid="{0E9A9BF4-EDBA-44A3-9F7F-08B8B9CE5F19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AEE1-8732-46E0-A79C-FCC0A435688D}">
  <sheetPr codeName="Sheet8"/>
  <dimension ref="A1:L23"/>
  <sheetViews>
    <sheetView zoomScale="85" zoomScaleNormal="85" workbookViewId="0">
      <selection activeCell="O26" sqref="O26"/>
    </sheetView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19.875" style="10" customWidth="1"/>
    <col min="10" max="10" width="11.5" style="10" customWidth="1"/>
    <col min="11" max="11" width="18.12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5059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7620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7628</v>
      </c>
      <c r="D4" s="404" t="s">
        <v>32</v>
      </c>
      <c r="E4" s="405"/>
      <c r="F4" s="406"/>
      <c r="G4" s="410" t="s">
        <v>131</v>
      </c>
      <c r="H4" s="411"/>
      <c r="I4" s="412"/>
      <c r="J4" s="115" t="s">
        <v>5263</v>
      </c>
      <c r="K4" s="410"/>
      <c r="L4" s="413"/>
    </row>
    <row r="5" spans="1:12" ht="27" customHeight="1" thickBot="1">
      <c r="A5" s="395" t="s">
        <v>34</v>
      </c>
      <c r="B5" s="396"/>
      <c r="C5" s="120">
        <v>1656</v>
      </c>
      <c r="D5" s="397" t="s">
        <v>35</v>
      </c>
      <c r="E5" s="398"/>
      <c r="F5" s="399"/>
      <c r="G5" s="414" t="s">
        <v>282</v>
      </c>
      <c r="H5" s="415"/>
      <c r="I5" s="416"/>
      <c r="J5" s="118" t="s">
        <v>36</v>
      </c>
      <c r="K5" s="417" t="str">
        <f>VLOOKUP(G4,목록!E13:$G$82,3,FALSE)</f>
        <v>SLP870806BW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35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27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271</v>
      </c>
      <c r="C10" s="373"/>
      <c r="D10" s="206">
        <v>4</v>
      </c>
      <c r="E10" s="228" t="s">
        <v>4</v>
      </c>
      <c r="F10" s="235" t="s">
        <v>5</v>
      </c>
      <c r="G10" s="209" t="s">
        <v>446</v>
      </c>
      <c r="H10" s="209" t="s">
        <v>446</v>
      </c>
      <c r="I10" s="366" t="s">
        <v>5026</v>
      </c>
      <c r="J10" s="367"/>
      <c r="K10" s="367"/>
      <c r="L10" s="276" t="str">
        <f ca="1">IFERROR(_xlfn.TEXTJOIN(CHAR(10), TRUE, OFFSET('&lt;별첨9&gt;전체코드'!E:E, MATCH(B10,'&lt;별첨9&gt;전체코드'!A:A,0)-1, 0, COUNTIF('&lt;별첨9&gt;전체코드'!A:A,B10), 1)), "")</f>
        <v>&lt;별첨2&gt; 참조</v>
      </c>
    </row>
    <row r="11" spans="1:12" ht="15" customHeight="1">
      <c r="A11" s="210">
        <v>3</v>
      </c>
      <c r="B11" s="373" t="s">
        <v>272</v>
      </c>
      <c r="C11" s="373"/>
      <c r="D11" s="206">
        <v>4</v>
      </c>
      <c r="E11" s="228" t="s">
        <v>4</v>
      </c>
      <c r="F11" s="235" t="s">
        <v>5</v>
      </c>
      <c r="G11" s="209" t="s">
        <v>446</v>
      </c>
      <c r="H11" s="209" t="s">
        <v>446</v>
      </c>
      <c r="I11" s="366" t="s">
        <v>4916</v>
      </c>
      <c r="J11" s="367"/>
      <c r="K11" s="367"/>
      <c r="L11" s="276" t="str">
        <f ca="1">IFERROR(_xlfn.TEXTJOIN(CHAR(10), TRUE, OFFSET('&lt;별첨9&gt;전체코드'!E:E, MATCH(B11,'&lt;별첨9&gt;전체코드'!A:A,0)-1, 0, COUNTIF('&lt;별첨9&gt;전체코드'!A:A,B11), 1)), "")</f>
        <v>&lt;별첨3&gt; 참조</v>
      </c>
    </row>
    <row r="12" spans="1:12" ht="15" customHeight="1">
      <c r="A12" s="210">
        <v>4</v>
      </c>
      <c r="B12" s="372" t="s">
        <v>276</v>
      </c>
      <c r="C12" s="372"/>
      <c r="D12" s="211">
        <v>1425</v>
      </c>
      <c r="E12" s="224"/>
      <c r="F12" s="235" t="s">
        <v>5</v>
      </c>
      <c r="G12" s="209" t="s">
        <v>446</v>
      </c>
      <c r="H12" s="209" t="s">
        <v>446</v>
      </c>
      <c r="I12" s="366" t="s">
        <v>5042</v>
      </c>
      <c r="J12" s="367"/>
      <c r="K12" s="367"/>
      <c r="L12" s="27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ht="121.5">
      <c r="A13" s="210">
        <v>5</v>
      </c>
      <c r="B13" s="373" t="s">
        <v>277</v>
      </c>
      <c r="C13" s="373"/>
      <c r="D13" s="206">
        <v>2</v>
      </c>
      <c r="E13" s="224" t="s">
        <v>234</v>
      </c>
      <c r="F13" s="235" t="s">
        <v>5</v>
      </c>
      <c r="G13" s="209" t="s">
        <v>446</v>
      </c>
      <c r="H13" s="209" t="s">
        <v>446</v>
      </c>
      <c r="I13" s="366" t="s">
        <v>5040</v>
      </c>
      <c r="J13" s="367"/>
      <c r="K13" s="367"/>
      <c r="L13" s="276" t="str">
        <f ca="1">IFERROR(_xlfn.TEXTJOIN(CHAR(10), TRUE, OFFSET('&lt;별첨9&gt;전체코드'!E:E, MATCH(B13,'&lt;별첨9&gt;전체코드'!A:A,0)-1, 0, COUNTIF('&lt;별첨9&gt;전체코드'!A:A,B13), 1)), "")</f>
        <v>00 : 해당없음
01 : 일반자금이체
02 : 수취인지정자금이체
03 : 콜직거래
04 : 콜중개거래
05 : 증권대금이체
06 : 당좌예금차기
07 : 콜상환(반환)
08 : 연계결제</v>
      </c>
    </row>
    <row r="14" spans="1:12" ht="15" customHeight="1">
      <c r="A14" s="210">
        <v>6</v>
      </c>
      <c r="B14" s="421" t="s">
        <v>283</v>
      </c>
      <c r="C14" s="421"/>
      <c r="D14" s="241">
        <v>5</v>
      </c>
      <c r="E14" s="224" t="s">
        <v>4</v>
      </c>
      <c r="F14" s="235" t="s">
        <v>5</v>
      </c>
      <c r="G14" s="209" t="s">
        <v>446</v>
      </c>
      <c r="H14" s="209" t="s">
        <v>446</v>
      </c>
      <c r="I14" s="366" t="s">
        <v>5049</v>
      </c>
      <c r="J14" s="367"/>
      <c r="K14" s="367"/>
      <c r="L14" s="27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ht="15" customHeight="1">
      <c r="A15" s="210">
        <v>7</v>
      </c>
      <c r="B15" s="373" t="s">
        <v>284</v>
      </c>
      <c r="C15" s="373"/>
      <c r="D15" s="206">
        <v>18</v>
      </c>
      <c r="E15" s="228" t="s">
        <v>4</v>
      </c>
      <c r="F15" s="235" t="s">
        <v>5</v>
      </c>
      <c r="G15" s="209" t="s">
        <v>446</v>
      </c>
      <c r="H15" s="209" t="s">
        <v>446</v>
      </c>
      <c r="I15" s="366" t="s">
        <v>5050</v>
      </c>
      <c r="J15" s="367"/>
      <c r="K15" s="367"/>
      <c r="L15" s="276" t="str">
        <f ca="1">IFERROR(_xlfn.TEXTJOIN(CHAR(10), TRUE, OFFSET('&lt;별첨9&gt;전체코드'!E:E, MATCH(B15,'&lt;별첨9&gt;전체코드'!A:A,0)-1, 0, COUNTIF('&lt;별첨9&gt;전체코드'!A:A,B15), 1)), "")</f>
        <v/>
      </c>
    </row>
    <row r="16" spans="1:12" ht="15" customHeight="1">
      <c r="A16" s="210">
        <v>8</v>
      </c>
      <c r="B16" s="373" t="s">
        <v>5043</v>
      </c>
      <c r="C16" s="373"/>
      <c r="D16" s="206">
        <v>5</v>
      </c>
      <c r="E16" s="228" t="s">
        <v>4</v>
      </c>
      <c r="F16" s="235" t="s">
        <v>5</v>
      </c>
      <c r="G16" s="209" t="s">
        <v>446</v>
      </c>
      <c r="H16" s="209" t="s">
        <v>446</v>
      </c>
      <c r="I16" s="366" t="s">
        <v>5051</v>
      </c>
      <c r="J16" s="367"/>
      <c r="K16" s="367"/>
      <c r="L16" s="276" t="str">
        <f ca="1">IFERROR(_xlfn.TEXTJOIN(CHAR(10), TRUE, OFFSET('&lt;별첨9&gt;전체코드'!E:E, MATCH(B16,'&lt;별첨9&gt;전체코드'!A:A,0)-1, 0, COUNTIF('&lt;별첨9&gt;전체코드'!A:A,B16), 1)), "")</f>
        <v/>
      </c>
    </row>
    <row r="17" spans="1:12" ht="15" customHeight="1">
      <c r="A17" s="210">
        <v>9</v>
      </c>
      <c r="B17" s="373" t="s">
        <v>5044</v>
      </c>
      <c r="C17" s="373"/>
      <c r="D17" s="206">
        <v>18</v>
      </c>
      <c r="E17" s="228" t="s">
        <v>4</v>
      </c>
      <c r="F17" s="235" t="s">
        <v>5</v>
      </c>
      <c r="G17" s="209" t="s">
        <v>446</v>
      </c>
      <c r="H17" s="209" t="s">
        <v>446</v>
      </c>
      <c r="I17" s="366" t="s">
        <v>5052</v>
      </c>
      <c r="J17" s="367"/>
      <c r="K17" s="367"/>
      <c r="L17" s="27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ht="15" customHeight="1">
      <c r="A18" s="210">
        <v>10</v>
      </c>
      <c r="B18" s="373" t="s">
        <v>5045</v>
      </c>
      <c r="C18" s="373"/>
      <c r="D18" s="206">
        <v>5</v>
      </c>
      <c r="E18" s="228" t="s">
        <v>4</v>
      </c>
      <c r="F18" s="235" t="s">
        <v>5</v>
      </c>
      <c r="G18" s="209" t="s">
        <v>446</v>
      </c>
      <c r="H18" s="209" t="s">
        <v>446</v>
      </c>
      <c r="I18" s="366" t="s">
        <v>5053</v>
      </c>
      <c r="J18" s="367"/>
      <c r="K18" s="367"/>
      <c r="L18" s="27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ht="15" customHeight="1">
      <c r="A19" s="210">
        <v>11</v>
      </c>
      <c r="B19" s="373" t="s">
        <v>5046</v>
      </c>
      <c r="C19" s="373"/>
      <c r="D19" s="206">
        <v>18</v>
      </c>
      <c r="E19" s="224" t="s">
        <v>4</v>
      </c>
      <c r="F19" s="235" t="s">
        <v>5</v>
      </c>
      <c r="G19" s="209" t="s">
        <v>446</v>
      </c>
      <c r="H19" s="209" t="s">
        <v>446</v>
      </c>
      <c r="I19" s="366" t="s">
        <v>5054</v>
      </c>
      <c r="J19" s="367"/>
      <c r="K19" s="367"/>
      <c r="L19" s="27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ht="15" customHeight="1">
      <c r="A20" s="210">
        <v>12</v>
      </c>
      <c r="B20" s="373" t="s">
        <v>5047</v>
      </c>
      <c r="C20" s="373"/>
      <c r="D20" s="206">
        <v>5</v>
      </c>
      <c r="E20" s="228" t="s">
        <v>4</v>
      </c>
      <c r="F20" s="235" t="s">
        <v>5</v>
      </c>
      <c r="G20" s="209" t="s">
        <v>446</v>
      </c>
      <c r="H20" s="209" t="s">
        <v>446</v>
      </c>
      <c r="I20" s="366" t="s">
        <v>5055</v>
      </c>
      <c r="J20" s="367"/>
      <c r="K20" s="367"/>
      <c r="L20" s="27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ht="15" customHeight="1">
      <c r="A21" s="210">
        <v>13</v>
      </c>
      <c r="B21" s="373" t="s">
        <v>5048</v>
      </c>
      <c r="C21" s="373"/>
      <c r="D21" s="206">
        <v>18</v>
      </c>
      <c r="E21" s="228" t="s">
        <v>4</v>
      </c>
      <c r="F21" s="235" t="s">
        <v>5</v>
      </c>
      <c r="G21" s="209" t="s">
        <v>446</v>
      </c>
      <c r="H21" s="209" t="s">
        <v>446</v>
      </c>
      <c r="I21" s="366" t="s">
        <v>5056</v>
      </c>
      <c r="J21" s="367"/>
      <c r="K21" s="367"/>
      <c r="L21" s="27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ht="54">
      <c r="A22" s="210">
        <v>14</v>
      </c>
      <c r="B22" s="373" t="s">
        <v>4855</v>
      </c>
      <c r="C22" s="373"/>
      <c r="D22" s="206">
        <v>1</v>
      </c>
      <c r="E22" s="224" t="s">
        <v>234</v>
      </c>
      <c r="F22" s="235" t="s">
        <v>5</v>
      </c>
      <c r="G22" s="209" t="s">
        <v>446</v>
      </c>
      <c r="H22" s="209" t="s">
        <v>446</v>
      </c>
      <c r="I22" s="366" t="s">
        <v>5057</v>
      </c>
      <c r="J22" s="367"/>
      <c r="K22" s="367"/>
      <c r="L22" s="276" t="str">
        <f ca="1">IFERROR(_xlfn.TEXTJOIN(CHAR(10), TRUE, OFFSET('&lt;별첨9&gt;전체코드'!E:E, MATCH(B22,'&lt;별첨9&gt;전체코드'!A:A,0)-1, 0, COUNTIF('&lt;별첨9&gt;전체코드'!A:A,B22), 1)), "")</f>
        <v>1 : 일치
2 : 이체불일치
3 : 수취불일치
4 : 전체불일치</v>
      </c>
    </row>
    <row r="23" spans="1:12" ht="15" customHeight="1" thickBot="1">
      <c r="A23" s="213">
        <v>15</v>
      </c>
      <c r="B23" s="420" t="s">
        <v>25</v>
      </c>
      <c r="C23" s="420"/>
      <c r="D23" s="223">
        <v>30</v>
      </c>
      <c r="E23" s="229" t="s">
        <v>26</v>
      </c>
      <c r="F23" s="240" t="s">
        <v>5</v>
      </c>
      <c r="G23" s="108" t="s">
        <v>4690</v>
      </c>
      <c r="H23" s="108" t="s">
        <v>4690</v>
      </c>
      <c r="I23" s="422" t="s">
        <v>254</v>
      </c>
      <c r="J23" s="423"/>
      <c r="K23" s="424"/>
      <c r="L23" s="198" t="str">
        <f ca="1">IFERROR(_xlfn.TEXTJOIN(CHAR(10), TRUE, OFFSET('&lt;별첨9&gt;전체코드'!E:E, MATCH(B23,'&lt;별첨9&gt;전체코드'!A:A,0)-1, 0, COUNTIF('&lt;별첨9&gt;전체코드'!A:A,B23), 1)), "")</f>
        <v/>
      </c>
    </row>
  </sheetData>
  <mergeCells count="45">
    <mergeCell ref="I17:K17"/>
    <mergeCell ref="I19:K19"/>
    <mergeCell ref="I21:K21"/>
    <mergeCell ref="I23:K23"/>
    <mergeCell ref="A2:L2"/>
    <mergeCell ref="A5:B5"/>
    <mergeCell ref="D5:F5"/>
    <mergeCell ref="A3:B3"/>
    <mergeCell ref="A4:B4"/>
    <mergeCell ref="D4:F4"/>
    <mergeCell ref="G5:I5"/>
    <mergeCell ref="K5:L5"/>
    <mergeCell ref="C3:L3"/>
    <mergeCell ref="G4:I4"/>
    <mergeCell ref="K4:L4"/>
    <mergeCell ref="B7:C7"/>
    <mergeCell ref="B8:C8"/>
    <mergeCell ref="B9:C9"/>
    <mergeCell ref="I8:K8"/>
    <mergeCell ref="B10:C10"/>
    <mergeCell ref="I7:K7"/>
    <mergeCell ref="I9:K9"/>
    <mergeCell ref="B11:C11"/>
    <mergeCell ref="B12:C12"/>
    <mergeCell ref="I10:K10"/>
    <mergeCell ref="I12:K12"/>
    <mergeCell ref="B13:C13"/>
    <mergeCell ref="I11:K11"/>
    <mergeCell ref="I13:K13"/>
    <mergeCell ref="B21:C21"/>
    <mergeCell ref="B22:C22"/>
    <mergeCell ref="B23:C23"/>
    <mergeCell ref="I22:K22"/>
    <mergeCell ref="B14:C14"/>
    <mergeCell ref="B15:C15"/>
    <mergeCell ref="I14:K14"/>
    <mergeCell ref="B19:C19"/>
    <mergeCell ref="B20:C20"/>
    <mergeCell ref="B16:C16"/>
    <mergeCell ref="B17:C17"/>
    <mergeCell ref="B18:C18"/>
    <mergeCell ref="I16:K16"/>
    <mergeCell ref="I18:K18"/>
    <mergeCell ref="I20:K20"/>
    <mergeCell ref="I15:K15"/>
  </mergeCells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BAAC-72B5-4B24-AEA7-F9462895BB98}">
  <dimension ref="A1:S21"/>
  <sheetViews>
    <sheetView zoomScaleNormal="100" workbookViewId="0">
      <selection activeCell="A3" sqref="A3:XFD21"/>
    </sheetView>
  </sheetViews>
  <sheetFormatPr defaultRowHeight="13.5"/>
  <cols>
    <col min="1" max="1" width="11.5" style="129" bestFit="1" customWidth="1"/>
    <col min="2" max="2" width="23.625" style="129" bestFit="1" customWidth="1"/>
    <col min="3" max="10" width="9" style="64"/>
    <col min="11" max="19" width="9" style="65"/>
    <col min="20" max="16384" width="9" style="64"/>
  </cols>
  <sheetData>
    <row r="1" spans="1:2" ht="17.25" thickBot="1">
      <c r="A1" s="125" t="s">
        <v>4606</v>
      </c>
    </row>
    <row r="2" spans="1:2" ht="14.25" thickBot="1">
      <c r="A2" s="126" t="s">
        <v>2879</v>
      </c>
      <c r="B2" s="169" t="s">
        <v>2878</v>
      </c>
    </row>
    <row r="3" spans="1:2">
      <c r="A3" s="170">
        <v>10</v>
      </c>
      <c r="B3" s="171" t="s">
        <v>2877</v>
      </c>
    </row>
    <row r="4" spans="1:2">
      <c r="A4" s="172">
        <v>11</v>
      </c>
      <c r="B4" s="173" t="s">
        <v>2864</v>
      </c>
    </row>
    <row r="5" spans="1:2">
      <c r="A5" s="172">
        <v>12</v>
      </c>
      <c r="B5" s="173" t="s">
        <v>2876</v>
      </c>
    </row>
    <row r="6" spans="1:2">
      <c r="A6" s="172">
        <v>13</v>
      </c>
      <c r="B6" s="173" t="s">
        <v>2875</v>
      </c>
    </row>
    <row r="7" spans="1:2">
      <c r="A7" s="172">
        <v>20</v>
      </c>
      <c r="B7" s="173" t="s">
        <v>2874</v>
      </c>
    </row>
    <row r="8" spans="1:2">
      <c r="A8" s="172">
        <v>21</v>
      </c>
      <c r="B8" s="173" t="s">
        <v>2873</v>
      </c>
    </row>
    <row r="9" spans="1:2">
      <c r="A9" s="172">
        <v>22</v>
      </c>
      <c r="B9" s="173" t="s">
        <v>2872</v>
      </c>
    </row>
    <row r="10" spans="1:2">
      <c r="A10" s="172">
        <v>23</v>
      </c>
      <c r="B10" s="173" t="s">
        <v>2871</v>
      </c>
    </row>
    <row r="11" spans="1:2">
      <c r="A11" s="172">
        <v>24</v>
      </c>
      <c r="B11" s="173" t="s">
        <v>2870</v>
      </c>
    </row>
    <row r="12" spans="1:2">
      <c r="A12" s="172">
        <v>30</v>
      </c>
      <c r="B12" s="173" t="s">
        <v>2869</v>
      </c>
    </row>
    <row r="13" spans="1:2">
      <c r="A13" s="172">
        <v>40</v>
      </c>
      <c r="B13" s="173" t="s">
        <v>2868</v>
      </c>
    </row>
    <row r="14" spans="1:2">
      <c r="A14" s="172">
        <v>41</v>
      </c>
      <c r="B14" s="173" t="s">
        <v>2867</v>
      </c>
    </row>
    <row r="15" spans="1:2">
      <c r="A15" s="172">
        <v>42</v>
      </c>
      <c r="B15" s="173" t="s">
        <v>2866</v>
      </c>
    </row>
    <row r="16" spans="1:2">
      <c r="A16" s="172">
        <v>51</v>
      </c>
      <c r="B16" s="173" t="s">
        <v>2865</v>
      </c>
    </row>
    <row r="17" spans="1:2">
      <c r="A17" s="172">
        <v>52</v>
      </c>
      <c r="B17" s="173" t="s">
        <v>2864</v>
      </c>
    </row>
    <row r="18" spans="1:2">
      <c r="A18" s="172">
        <v>60</v>
      </c>
      <c r="B18" s="173" t="s">
        <v>2863</v>
      </c>
    </row>
    <row r="19" spans="1:2">
      <c r="A19" s="172">
        <v>71</v>
      </c>
      <c r="B19" s="173" t="s">
        <v>2862</v>
      </c>
    </row>
    <row r="20" spans="1:2">
      <c r="A20" s="172">
        <v>72</v>
      </c>
      <c r="B20" s="173" t="s">
        <v>2861</v>
      </c>
    </row>
    <row r="21" spans="1:2" ht="14.25" thickBot="1">
      <c r="A21" s="174">
        <v>73</v>
      </c>
      <c r="B21" s="175" t="s">
        <v>2860</v>
      </c>
    </row>
  </sheetData>
  <phoneticPr fontId="1" type="noConversion"/>
  <hyperlinks>
    <hyperlink ref="A1" location="별첨5" display="목록으로 이동" xr:uid="{1D1C9073-4D0C-4A87-B4BF-E3ADE063756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7AC-3096-429C-9F25-1476A2FCCE33}">
  <dimension ref="A1:S27"/>
  <sheetViews>
    <sheetView zoomScaleNormal="100" workbookViewId="0">
      <selection activeCell="A3" sqref="A3:XFD27"/>
    </sheetView>
  </sheetViews>
  <sheetFormatPr defaultRowHeight="13.5"/>
  <cols>
    <col min="1" max="1" width="15.25" style="129" bestFit="1" customWidth="1"/>
    <col min="2" max="2" width="38.5" style="129" bestFit="1" customWidth="1"/>
    <col min="3" max="10" width="9" style="64"/>
    <col min="11" max="19" width="9" style="65"/>
    <col min="20" max="16384" width="9" style="64"/>
  </cols>
  <sheetData>
    <row r="1" spans="1:2" ht="17.25" thickBot="1">
      <c r="A1" s="125" t="s">
        <v>4606</v>
      </c>
    </row>
    <row r="2" spans="1:2" ht="14.25" thickBot="1">
      <c r="A2" s="126" t="s">
        <v>2928</v>
      </c>
      <c r="B2" s="169" t="s">
        <v>2927</v>
      </c>
    </row>
    <row r="3" spans="1:2">
      <c r="A3" s="75" t="s">
        <v>4758</v>
      </c>
      <c r="B3" s="176" t="s">
        <v>4786</v>
      </c>
    </row>
    <row r="4" spans="1:2">
      <c r="A4" s="127" t="s">
        <v>2926</v>
      </c>
      <c r="B4" s="171" t="s">
        <v>2925</v>
      </c>
    </row>
    <row r="5" spans="1:2">
      <c r="A5" s="75" t="s">
        <v>2924</v>
      </c>
      <c r="B5" s="176" t="s">
        <v>2923</v>
      </c>
    </row>
    <row r="6" spans="1:2">
      <c r="A6" s="75" t="s">
        <v>2922</v>
      </c>
      <c r="B6" s="176" t="s">
        <v>2921</v>
      </c>
    </row>
    <row r="7" spans="1:2">
      <c r="A7" s="75" t="s">
        <v>2920</v>
      </c>
      <c r="B7" s="176" t="s">
        <v>2919</v>
      </c>
    </row>
    <row r="8" spans="1:2">
      <c r="A8" s="75" t="s">
        <v>2918</v>
      </c>
      <c r="B8" s="176" t="s">
        <v>2917</v>
      </c>
    </row>
    <row r="9" spans="1:2">
      <c r="A9" s="75" t="s">
        <v>2916</v>
      </c>
      <c r="B9" s="176" t="s">
        <v>2915</v>
      </c>
    </row>
    <row r="10" spans="1:2">
      <c r="A10" s="75" t="s">
        <v>2914</v>
      </c>
      <c r="B10" s="176" t="s">
        <v>2913</v>
      </c>
    </row>
    <row r="11" spans="1:2">
      <c r="A11" s="75" t="s">
        <v>2912</v>
      </c>
      <c r="B11" s="176" t="s">
        <v>2911</v>
      </c>
    </row>
    <row r="12" spans="1:2">
      <c r="A12" s="75" t="s">
        <v>2910</v>
      </c>
      <c r="B12" s="176" t="s">
        <v>2909</v>
      </c>
    </row>
    <row r="13" spans="1:2">
      <c r="A13" s="75" t="s">
        <v>2908</v>
      </c>
      <c r="B13" s="176" t="s">
        <v>2907</v>
      </c>
    </row>
    <row r="14" spans="1:2">
      <c r="A14" s="75" t="s">
        <v>2906</v>
      </c>
      <c r="B14" s="176" t="s">
        <v>2905</v>
      </c>
    </row>
    <row r="15" spans="1:2">
      <c r="A15" s="75" t="s">
        <v>2904</v>
      </c>
      <c r="B15" s="176" t="s">
        <v>2903</v>
      </c>
    </row>
    <row r="16" spans="1:2">
      <c r="A16" s="75" t="s">
        <v>2902</v>
      </c>
      <c r="B16" s="176" t="s">
        <v>2901</v>
      </c>
    </row>
    <row r="17" spans="1:2">
      <c r="A17" s="75" t="s">
        <v>2900</v>
      </c>
      <c r="B17" s="176" t="s">
        <v>2899</v>
      </c>
    </row>
    <row r="18" spans="1:2">
      <c r="A18" s="75" t="s">
        <v>2898</v>
      </c>
      <c r="B18" s="176" t="s">
        <v>2897</v>
      </c>
    </row>
    <row r="19" spans="1:2">
      <c r="A19" s="75" t="s">
        <v>2896</v>
      </c>
      <c r="B19" s="176" t="s">
        <v>2895</v>
      </c>
    </row>
    <row r="20" spans="1:2">
      <c r="A20" s="75" t="s">
        <v>2894</v>
      </c>
      <c r="B20" s="176" t="s">
        <v>2893</v>
      </c>
    </row>
    <row r="21" spans="1:2">
      <c r="A21" s="75" t="s">
        <v>2892</v>
      </c>
      <c r="B21" s="176" t="s">
        <v>2891</v>
      </c>
    </row>
    <row r="22" spans="1:2">
      <c r="A22" s="75" t="s">
        <v>2890</v>
      </c>
      <c r="B22" s="176" t="s">
        <v>2889</v>
      </c>
    </row>
    <row r="23" spans="1:2">
      <c r="A23" s="75" t="s">
        <v>2888</v>
      </c>
      <c r="B23" s="176" t="s">
        <v>2887</v>
      </c>
    </row>
    <row r="24" spans="1:2">
      <c r="A24" s="75" t="s">
        <v>2886</v>
      </c>
      <c r="B24" s="176" t="s">
        <v>2885</v>
      </c>
    </row>
    <row r="25" spans="1:2">
      <c r="A25" s="75" t="s">
        <v>2884</v>
      </c>
      <c r="B25" s="176" t="s">
        <v>2883</v>
      </c>
    </row>
    <row r="26" spans="1:2">
      <c r="A26" s="75" t="s">
        <v>2882</v>
      </c>
      <c r="B26" s="176" t="s">
        <v>2881</v>
      </c>
    </row>
    <row r="27" spans="1:2" ht="14.25" thickBot="1">
      <c r="A27" s="128">
        <v>39</v>
      </c>
      <c r="B27" s="177" t="s">
        <v>2880</v>
      </c>
    </row>
  </sheetData>
  <phoneticPr fontId="1" type="noConversion"/>
  <hyperlinks>
    <hyperlink ref="A1" location="별첨6" display="목록으로 이동" xr:uid="{E13F8BE2-1BE1-48C4-87D6-66276405493E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8074-C918-4F98-A6BC-156E7DDD1191}">
  <dimension ref="A1:S90"/>
  <sheetViews>
    <sheetView topLeftCell="A70" zoomScaleNormal="100" workbookViewId="0">
      <selection activeCell="A3" sqref="A3:XFD90"/>
    </sheetView>
  </sheetViews>
  <sheetFormatPr defaultRowHeight="13.5"/>
  <cols>
    <col min="1" max="1" width="13.375" style="129" bestFit="1" customWidth="1"/>
    <col min="2" max="2" width="40" style="129" bestFit="1" customWidth="1"/>
    <col min="3" max="3" width="25.25" style="64" customWidth="1"/>
    <col min="4" max="10" width="9" style="64"/>
    <col min="11" max="19" width="9" style="65"/>
    <col min="20" max="16384" width="9" style="64"/>
  </cols>
  <sheetData>
    <row r="1" spans="1:5" ht="14.25" customHeight="1" thickBot="1">
      <c r="A1" s="178" t="s">
        <v>4612</v>
      </c>
    </row>
    <row r="2" spans="1:5" ht="14.25" thickBot="1">
      <c r="A2" s="130" t="s">
        <v>441</v>
      </c>
      <c r="B2" s="139" t="s">
        <v>4623</v>
      </c>
      <c r="C2" s="68"/>
      <c r="D2" s="68"/>
      <c r="E2" s="68"/>
    </row>
    <row r="3" spans="1:5">
      <c r="A3" s="179" t="s">
        <v>3104</v>
      </c>
      <c r="B3" s="180" t="s">
        <v>3103</v>
      </c>
      <c r="C3" s="68"/>
      <c r="D3" s="68"/>
      <c r="E3" s="68"/>
    </row>
    <row r="4" spans="1:5" ht="16.5">
      <c r="A4" s="181" t="s">
        <v>3102</v>
      </c>
      <c r="B4" s="182" t="s">
        <v>3101</v>
      </c>
      <c r="C4" s="9"/>
      <c r="D4" s="9"/>
      <c r="E4" s="9"/>
    </row>
    <row r="5" spans="1:5" ht="16.5">
      <c r="A5" s="181" t="s">
        <v>3100</v>
      </c>
      <c r="B5" s="182" t="s">
        <v>3099</v>
      </c>
      <c r="C5" s="9"/>
      <c r="D5" s="9"/>
      <c r="E5" s="9"/>
    </row>
    <row r="6" spans="1:5" ht="16.5">
      <c r="A6" s="181" t="s">
        <v>3098</v>
      </c>
      <c r="B6" s="182" t="s">
        <v>3097</v>
      </c>
      <c r="C6" s="9"/>
      <c r="D6" s="9"/>
      <c r="E6" s="9"/>
    </row>
    <row r="7" spans="1:5" ht="16.5">
      <c r="A7" s="181" t="s">
        <v>3096</v>
      </c>
      <c r="B7" s="182" t="s">
        <v>3095</v>
      </c>
      <c r="C7" s="9"/>
      <c r="D7" s="9"/>
      <c r="E7" s="9"/>
    </row>
    <row r="8" spans="1:5" ht="16.5">
      <c r="A8" s="181" t="s">
        <v>3094</v>
      </c>
      <c r="B8" s="182" t="s">
        <v>3093</v>
      </c>
      <c r="C8" s="9"/>
      <c r="D8" s="9"/>
      <c r="E8" s="9"/>
    </row>
    <row r="9" spans="1:5" ht="16.5">
      <c r="A9" s="181" t="s">
        <v>3092</v>
      </c>
      <c r="B9" s="182" t="s">
        <v>3091</v>
      </c>
      <c r="C9" s="9"/>
      <c r="D9" s="9"/>
      <c r="E9" s="9"/>
    </row>
    <row r="10" spans="1:5" ht="16.5">
      <c r="A10" s="181" t="s">
        <v>3090</v>
      </c>
      <c r="B10" s="182" t="s">
        <v>3089</v>
      </c>
      <c r="C10" s="9"/>
      <c r="D10" s="9"/>
      <c r="E10" s="9"/>
    </row>
    <row r="11" spans="1:5" ht="16.5">
      <c r="A11" s="181" t="s">
        <v>3088</v>
      </c>
      <c r="B11" s="182" t="s">
        <v>3087</v>
      </c>
      <c r="C11" s="9"/>
      <c r="D11" s="9"/>
      <c r="E11" s="9"/>
    </row>
    <row r="12" spans="1:5">
      <c r="A12" s="181" t="s">
        <v>3086</v>
      </c>
      <c r="B12" s="182" t="s">
        <v>3085</v>
      </c>
      <c r="C12" s="68"/>
      <c r="D12" s="68"/>
      <c r="E12" s="68"/>
    </row>
    <row r="13" spans="1:5">
      <c r="A13" s="183" t="s">
        <v>3084</v>
      </c>
      <c r="B13" s="184" t="s">
        <v>3083</v>
      </c>
      <c r="C13" s="68"/>
      <c r="D13" s="68"/>
      <c r="E13" s="68"/>
    </row>
    <row r="14" spans="1:5">
      <c r="A14" s="183" t="s">
        <v>3082</v>
      </c>
      <c r="B14" s="184" t="s">
        <v>3081</v>
      </c>
      <c r="C14" s="68"/>
      <c r="D14" s="68"/>
      <c r="E14" s="68"/>
    </row>
    <row r="15" spans="1:5">
      <c r="A15" s="183" t="s">
        <v>3080</v>
      </c>
      <c r="B15" s="184" t="s">
        <v>3079</v>
      </c>
    </row>
    <row r="16" spans="1:5">
      <c r="A16" s="183" t="s">
        <v>3078</v>
      </c>
      <c r="B16" s="184" t="s">
        <v>3077</v>
      </c>
    </row>
    <row r="17" spans="1:2">
      <c r="A17" s="183" t="s">
        <v>3058</v>
      </c>
      <c r="B17" s="184" t="s">
        <v>3057</v>
      </c>
    </row>
    <row r="18" spans="1:2">
      <c r="A18" s="183" t="s">
        <v>3076</v>
      </c>
      <c r="B18" s="185" t="s">
        <v>3075</v>
      </c>
    </row>
    <row r="19" spans="1:2">
      <c r="A19" s="186" t="s">
        <v>3074</v>
      </c>
      <c r="B19" s="182" t="s">
        <v>3073</v>
      </c>
    </row>
    <row r="20" spans="1:2">
      <c r="A20" s="186" t="s">
        <v>3072</v>
      </c>
      <c r="B20" s="182" t="s">
        <v>3071</v>
      </c>
    </row>
    <row r="21" spans="1:2">
      <c r="A21" s="186" t="s">
        <v>3070</v>
      </c>
      <c r="B21" s="182" t="s">
        <v>3069</v>
      </c>
    </row>
    <row r="22" spans="1:2">
      <c r="A22" s="186" t="s">
        <v>3068</v>
      </c>
      <c r="B22" s="182" t="s">
        <v>3067</v>
      </c>
    </row>
    <row r="23" spans="1:2">
      <c r="A23" s="183" t="s">
        <v>3066</v>
      </c>
      <c r="B23" s="184" t="s">
        <v>3065</v>
      </c>
    </row>
    <row r="24" spans="1:2">
      <c r="A24" s="183" t="s">
        <v>3064</v>
      </c>
      <c r="B24" s="184" t="s">
        <v>3063</v>
      </c>
    </row>
    <row r="25" spans="1:2">
      <c r="A25" s="183" t="s">
        <v>3062</v>
      </c>
      <c r="B25" s="184" t="s">
        <v>3061</v>
      </c>
    </row>
    <row r="26" spans="1:2">
      <c r="A26" s="183" t="s">
        <v>3060</v>
      </c>
      <c r="B26" s="184" t="s">
        <v>3059</v>
      </c>
    </row>
    <row r="27" spans="1:2">
      <c r="A27" s="183" t="s">
        <v>3050</v>
      </c>
      <c r="B27" s="184" t="s">
        <v>3049</v>
      </c>
    </row>
    <row r="28" spans="1:2">
      <c r="A28" s="183" t="s">
        <v>3056</v>
      </c>
      <c r="B28" s="185" t="s">
        <v>3055</v>
      </c>
    </row>
    <row r="29" spans="1:2">
      <c r="A29" s="186" t="s">
        <v>3054</v>
      </c>
      <c r="B29" s="182" t="s">
        <v>3053</v>
      </c>
    </row>
    <row r="30" spans="1:2">
      <c r="A30" s="186" t="s">
        <v>3052</v>
      </c>
      <c r="B30" s="182" t="s">
        <v>3051</v>
      </c>
    </row>
    <row r="31" spans="1:2">
      <c r="A31" s="186" t="s">
        <v>3048</v>
      </c>
      <c r="B31" s="182" t="s">
        <v>3047</v>
      </c>
    </row>
    <row r="32" spans="1:2">
      <c r="A32" s="186" t="s">
        <v>3046</v>
      </c>
      <c r="B32" s="182" t="s">
        <v>3045</v>
      </c>
    </row>
    <row r="33" spans="1:2">
      <c r="A33" s="186" t="s">
        <v>3044</v>
      </c>
      <c r="B33" s="182" t="s">
        <v>3043</v>
      </c>
    </row>
    <row r="34" spans="1:2">
      <c r="A34" s="186" t="s">
        <v>3042</v>
      </c>
      <c r="B34" s="182" t="s">
        <v>3041</v>
      </c>
    </row>
    <row r="35" spans="1:2">
      <c r="A35" s="186" t="s">
        <v>3040</v>
      </c>
      <c r="B35" s="182" t="s">
        <v>3039</v>
      </c>
    </row>
    <row r="36" spans="1:2">
      <c r="A36" s="186" t="s">
        <v>3038</v>
      </c>
      <c r="B36" s="182" t="s">
        <v>3037</v>
      </c>
    </row>
    <row r="37" spans="1:2">
      <c r="A37" s="186" t="s">
        <v>3036</v>
      </c>
      <c r="B37" s="182" t="s">
        <v>3035</v>
      </c>
    </row>
    <row r="38" spans="1:2">
      <c r="A38" s="183" t="s">
        <v>3034</v>
      </c>
      <c r="B38" s="184" t="s">
        <v>3033</v>
      </c>
    </row>
    <row r="39" spans="1:2">
      <c r="A39" s="183" t="s">
        <v>3032</v>
      </c>
      <c r="B39" s="184" t="s">
        <v>3031</v>
      </c>
    </row>
    <row r="40" spans="1:2">
      <c r="A40" s="183" t="s">
        <v>3030</v>
      </c>
      <c r="B40" s="184" t="s">
        <v>3029</v>
      </c>
    </row>
    <row r="41" spans="1:2">
      <c r="A41" s="183" t="s">
        <v>3028</v>
      </c>
      <c r="B41" s="184" t="s">
        <v>3027</v>
      </c>
    </row>
    <row r="42" spans="1:2">
      <c r="A42" s="183" t="s">
        <v>3026</v>
      </c>
      <c r="B42" s="184" t="s">
        <v>3025</v>
      </c>
    </row>
    <row r="43" spans="1:2">
      <c r="A43" s="186" t="s">
        <v>3024</v>
      </c>
      <c r="B43" s="182" t="s">
        <v>3023</v>
      </c>
    </row>
    <row r="44" spans="1:2">
      <c r="A44" s="186" t="s">
        <v>3022</v>
      </c>
      <c r="B44" s="182" t="s">
        <v>3021</v>
      </c>
    </row>
    <row r="45" spans="1:2">
      <c r="A45" s="186" t="s">
        <v>3020</v>
      </c>
      <c r="B45" s="182" t="s">
        <v>3019</v>
      </c>
    </row>
    <row r="46" spans="1:2">
      <c r="A46" s="186" t="s">
        <v>3018</v>
      </c>
      <c r="B46" s="182" t="s">
        <v>3017</v>
      </c>
    </row>
    <row r="47" spans="1:2">
      <c r="A47" s="186" t="s">
        <v>3016</v>
      </c>
      <c r="B47" s="182" t="s">
        <v>3015</v>
      </c>
    </row>
    <row r="48" spans="1:2">
      <c r="A48" s="186" t="s">
        <v>3014</v>
      </c>
      <c r="B48" s="182" t="s">
        <v>3013</v>
      </c>
    </row>
    <row r="49" spans="1:2">
      <c r="A49" s="186" t="s">
        <v>3012</v>
      </c>
      <c r="B49" s="182" t="s">
        <v>3011</v>
      </c>
    </row>
    <row r="50" spans="1:2">
      <c r="A50" s="186" t="s">
        <v>3010</v>
      </c>
      <c r="B50" s="182" t="s">
        <v>3009</v>
      </c>
    </row>
    <row r="51" spans="1:2">
      <c r="A51" s="186" t="s">
        <v>3008</v>
      </c>
      <c r="B51" s="182" t="s">
        <v>3007</v>
      </c>
    </row>
    <row r="52" spans="1:2">
      <c r="A52" s="183" t="s">
        <v>3006</v>
      </c>
      <c r="B52" s="184" t="s">
        <v>3005</v>
      </c>
    </row>
    <row r="53" spans="1:2">
      <c r="A53" s="183" t="s">
        <v>3004</v>
      </c>
      <c r="B53" s="184" t="s">
        <v>3003</v>
      </c>
    </row>
    <row r="54" spans="1:2">
      <c r="A54" s="183" t="s">
        <v>3002</v>
      </c>
      <c r="B54" s="184" t="s">
        <v>3001</v>
      </c>
    </row>
    <row r="55" spans="1:2">
      <c r="A55" s="183" t="s">
        <v>3000</v>
      </c>
      <c r="B55" s="184" t="s">
        <v>2999</v>
      </c>
    </row>
    <row r="56" spans="1:2">
      <c r="A56" s="183" t="s">
        <v>2998</v>
      </c>
      <c r="B56" s="184" t="s">
        <v>2997</v>
      </c>
    </row>
    <row r="57" spans="1:2">
      <c r="A57" s="183" t="s">
        <v>2996</v>
      </c>
      <c r="B57" s="185" t="s">
        <v>2995</v>
      </c>
    </row>
    <row r="58" spans="1:2">
      <c r="A58" s="186" t="s">
        <v>2994</v>
      </c>
      <c r="B58" s="182" t="s">
        <v>2993</v>
      </c>
    </row>
    <row r="59" spans="1:2">
      <c r="A59" s="186" t="s">
        <v>2992</v>
      </c>
      <c r="B59" s="182" t="s">
        <v>2991</v>
      </c>
    </row>
    <row r="60" spans="1:2">
      <c r="A60" s="186" t="s">
        <v>2990</v>
      </c>
      <c r="B60" s="182" t="s">
        <v>2989</v>
      </c>
    </row>
    <row r="61" spans="1:2">
      <c r="A61" s="186" t="s">
        <v>2988</v>
      </c>
      <c r="B61" s="182" t="s">
        <v>2987</v>
      </c>
    </row>
    <row r="62" spans="1:2">
      <c r="A62" s="186" t="s">
        <v>2986</v>
      </c>
      <c r="B62" s="182" t="s">
        <v>2985</v>
      </c>
    </row>
    <row r="63" spans="1:2">
      <c r="A63" s="186" t="s">
        <v>2984</v>
      </c>
      <c r="B63" s="182" t="s">
        <v>2983</v>
      </c>
    </row>
    <row r="64" spans="1:2">
      <c r="A64" s="186" t="s">
        <v>2982</v>
      </c>
      <c r="B64" s="182" t="s">
        <v>2981</v>
      </c>
    </row>
    <row r="65" spans="1:2">
      <c r="A65" s="186" t="s">
        <v>2980</v>
      </c>
      <c r="B65" s="182" t="s">
        <v>2979</v>
      </c>
    </row>
    <row r="66" spans="1:2">
      <c r="A66" s="186" t="s">
        <v>2978</v>
      </c>
      <c r="B66" s="182" t="s">
        <v>2977</v>
      </c>
    </row>
    <row r="67" spans="1:2">
      <c r="A67" s="183" t="s">
        <v>2976</v>
      </c>
      <c r="B67" s="184" t="s">
        <v>2975</v>
      </c>
    </row>
    <row r="68" spans="1:2">
      <c r="A68" s="183" t="s">
        <v>2974</v>
      </c>
      <c r="B68" s="184" t="s">
        <v>2973</v>
      </c>
    </row>
    <row r="69" spans="1:2">
      <c r="A69" s="183" t="s">
        <v>2972</v>
      </c>
      <c r="B69" s="184" t="s">
        <v>2971</v>
      </c>
    </row>
    <row r="70" spans="1:2">
      <c r="A70" s="183" t="s">
        <v>2970</v>
      </c>
      <c r="B70" s="184" t="s">
        <v>2969</v>
      </c>
    </row>
    <row r="71" spans="1:2">
      <c r="A71" s="183" t="s">
        <v>2968</v>
      </c>
      <c r="B71" s="184" t="s">
        <v>2967</v>
      </c>
    </row>
    <row r="72" spans="1:2">
      <c r="A72" s="183" t="s">
        <v>2966</v>
      </c>
      <c r="B72" s="184" t="s">
        <v>2965</v>
      </c>
    </row>
    <row r="73" spans="1:2">
      <c r="A73" s="186" t="s">
        <v>2964</v>
      </c>
      <c r="B73" s="182" t="s">
        <v>2963</v>
      </c>
    </row>
    <row r="74" spans="1:2">
      <c r="A74" s="186" t="s">
        <v>2962</v>
      </c>
      <c r="B74" s="182" t="s">
        <v>2961</v>
      </c>
    </row>
    <row r="75" spans="1:2">
      <c r="A75" s="186" t="s">
        <v>2960</v>
      </c>
      <c r="B75" s="182" t="s">
        <v>2959</v>
      </c>
    </row>
    <row r="76" spans="1:2">
      <c r="A76" s="186" t="s">
        <v>2958</v>
      </c>
      <c r="B76" s="182" t="s">
        <v>2957</v>
      </c>
    </row>
    <row r="77" spans="1:2">
      <c r="A77" s="186" t="s">
        <v>2956</v>
      </c>
      <c r="B77" s="182" t="s">
        <v>2955</v>
      </c>
    </row>
    <row r="78" spans="1:2">
      <c r="A78" s="186" t="s">
        <v>2954</v>
      </c>
      <c r="B78" s="182" t="s">
        <v>2953</v>
      </c>
    </row>
    <row r="79" spans="1:2">
      <c r="A79" s="186" t="s">
        <v>2952</v>
      </c>
      <c r="B79" s="182" t="s">
        <v>2951</v>
      </c>
    </row>
    <row r="80" spans="1:2">
      <c r="A80" s="186" t="s">
        <v>2950</v>
      </c>
      <c r="B80" s="182" t="s">
        <v>2949</v>
      </c>
    </row>
    <row r="81" spans="1:2">
      <c r="A81" s="186" t="s">
        <v>2948</v>
      </c>
      <c r="B81" s="182" t="s">
        <v>2947</v>
      </c>
    </row>
    <row r="82" spans="1:2">
      <c r="A82" s="186" t="s">
        <v>2946</v>
      </c>
      <c r="B82" s="182" t="s">
        <v>2945</v>
      </c>
    </row>
    <row r="83" spans="1:2">
      <c r="A83" s="183" t="s">
        <v>2944</v>
      </c>
      <c r="B83" s="184" t="s">
        <v>2943</v>
      </c>
    </row>
    <row r="84" spans="1:2">
      <c r="A84" s="183" t="s">
        <v>2942</v>
      </c>
      <c r="B84" s="184" t="s">
        <v>2941</v>
      </c>
    </row>
    <row r="85" spans="1:2">
      <c r="A85" s="183" t="s">
        <v>2940</v>
      </c>
      <c r="B85" s="184" t="s">
        <v>2939</v>
      </c>
    </row>
    <row r="86" spans="1:2">
      <c r="A86" s="183" t="s">
        <v>2938</v>
      </c>
      <c r="B86" s="184" t="s">
        <v>2937</v>
      </c>
    </row>
    <row r="87" spans="1:2">
      <c r="A87" s="183" t="s">
        <v>2936</v>
      </c>
      <c r="B87" s="184" t="s">
        <v>2935</v>
      </c>
    </row>
    <row r="88" spans="1:2">
      <c r="A88" s="183" t="s">
        <v>2934</v>
      </c>
      <c r="B88" s="185" t="s">
        <v>2933</v>
      </c>
    </row>
    <row r="89" spans="1:2">
      <c r="A89" s="183" t="s">
        <v>2932</v>
      </c>
      <c r="B89" s="187" t="s">
        <v>2931</v>
      </c>
    </row>
    <row r="90" spans="1:2" ht="14.25" thickBot="1">
      <c r="A90" s="188" t="s">
        <v>2930</v>
      </c>
      <c r="B90" s="189" t="s">
        <v>2929</v>
      </c>
    </row>
  </sheetData>
  <phoneticPr fontId="1" type="noConversion"/>
  <hyperlinks>
    <hyperlink ref="A1" location="별첨7" display="목록으로 이동" xr:uid="{CBAFCD7E-31C2-4E55-9E81-71D837597F9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3E4B-D7E8-42A6-A73B-C9593E1C9650}">
  <dimension ref="A1:S779"/>
  <sheetViews>
    <sheetView topLeftCell="A763" zoomScaleNormal="100" workbookViewId="0">
      <selection activeCell="A3" sqref="A3:XFD779"/>
    </sheetView>
  </sheetViews>
  <sheetFormatPr defaultRowHeight="13.5"/>
  <cols>
    <col min="1" max="1" width="13.75" style="129" bestFit="1" customWidth="1"/>
    <col min="2" max="2" width="33" style="129" bestFit="1" customWidth="1"/>
    <col min="3" max="10" width="9" style="64"/>
    <col min="11" max="19" width="9" style="65"/>
    <col min="20" max="16384" width="9" style="64"/>
  </cols>
  <sheetData>
    <row r="1" spans="1:2" ht="15.75" customHeight="1" thickBot="1">
      <c r="A1" s="178" t="s">
        <v>4606</v>
      </c>
    </row>
    <row r="2" spans="1:2" ht="14.25" thickBot="1">
      <c r="A2" s="130" t="s">
        <v>4617</v>
      </c>
      <c r="B2" s="139" t="s">
        <v>4622</v>
      </c>
    </row>
    <row r="3" spans="1:2">
      <c r="A3" s="73" t="s">
        <v>4604</v>
      </c>
      <c r="B3" s="74" t="s">
        <v>4603</v>
      </c>
    </row>
    <row r="4" spans="1:2">
      <c r="A4" s="69" t="s">
        <v>4602</v>
      </c>
      <c r="B4" s="70" t="s">
        <v>4601</v>
      </c>
    </row>
    <row r="5" spans="1:2">
      <c r="A5" s="69" t="s">
        <v>4600</v>
      </c>
      <c r="B5" s="70" t="s">
        <v>4599</v>
      </c>
    </row>
    <row r="6" spans="1:2">
      <c r="A6" s="69" t="s">
        <v>4598</v>
      </c>
      <c r="B6" s="70" t="s">
        <v>4597</v>
      </c>
    </row>
    <row r="7" spans="1:2">
      <c r="A7" s="69" t="s">
        <v>4596</v>
      </c>
      <c r="B7" s="70" t="s">
        <v>4595</v>
      </c>
    </row>
    <row r="8" spans="1:2">
      <c r="A8" s="69" t="s">
        <v>4594</v>
      </c>
      <c r="B8" s="70" t="s">
        <v>4593</v>
      </c>
    </row>
    <row r="9" spans="1:2">
      <c r="A9" s="69" t="s">
        <v>4592</v>
      </c>
      <c r="B9" s="70" t="s">
        <v>4591</v>
      </c>
    </row>
    <row r="10" spans="1:2">
      <c r="A10" s="69" t="s">
        <v>4590</v>
      </c>
      <c r="B10" s="70" t="s">
        <v>4589</v>
      </c>
    </row>
    <row r="11" spans="1:2">
      <c r="A11" s="69" t="s">
        <v>4588</v>
      </c>
      <c r="B11" s="70" t="s">
        <v>4587</v>
      </c>
    </row>
    <row r="12" spans="1:2">
      <c r="A12" s="69" t="s">
        <v>4586</v>
      </c>
      <c r="B12" s="70" t="s">
        <v>4585</v>
      </c>
    </row>
    <row r="13" spans="1:2">
      <c r="A13" s="69" t="s">
        <v>4584</v>
      </c>
      <c r="B13" s="70" t="s">
        <v>4583</v>
      </c>
    </row>
    <row r="14" spans="1:2">
      <c r="A14" s="69" t="s">
        <v>4582</v>
      </c>
      <c r="B14" s="70" t="s">
        <v>4581</v>
      </c>
    </row>
    <row r="15" spans="1:2">
      <c r="A15" s="69" t="s">
        <v>4580</v>
      </c>
      <c r="B15" s="70" t="s">
        <v>4579</v>
      </c>
    </row>
    <row r="16" spans="1:2">
      <c r="A16" s="69" t="s">
        <v>4578</v>
      </c>
      <c r="B16" s="70" t="s">
        <v>4577</v>
      </c>
    </row>
    <row r="17" spans="1:2">
      <c r="A17" s="69" t="s">
        <v>4576</v>
      </c>
      <c r="B17" s="70" t="s">
        <v>4575</v>
      </c>
    </row>
    <row r="18" spans="1:2">
      <c r="A18" s="69" t="s">
        <v>4574</v>
      </c>
      <c r="B18" s="70" t="s">
        <v>4573</v>
      </c>
    </row>
    <row r="19" spans="1:2">
      <c r="A19" s="69" t="s">
        <v>4572</v>
      </c>
      <c r="B19" s="70" t="s">
        <v>4571</v>
      </c>
    </row>
    <row r="20" spans="1:2">
      <c r="A20" s="69" t="s">
        <v>4570</v>
      </c>
      <c r="B20" s="70" t="s">
        <v>4569</v>
      </c>
    </row>
    <row r="21" spans="1:2">
      <c r="A21" s="69" t="s">
        <v>4568</v>
      </c>
      <c r="B21" s="70" t="s">
        <v>4567</v>
      </c>
    </row>
    <row r="22" spans="1:2">
      <c r="A22" s="69" t="s">
        <v>4566</v>
      </c>
      <c r="B22" s="70" t="s">
        <v>4565</v>
      </c>
    </row>
    <row r="23" spans="1:2">
      <c r="A23" s="69" t="s">
        <v>4564</v>
      </c>
      <c r="B23" s="70" t="s">
        <v>4563</v>
      </c>
    </row>
    <row r="24" spans="1:2">
      <c r="A24" s="69" t="s">
        <v>4562</v>
      </c>
      <c r="B24" s="70" t="s">
        <v>4561</v>
      </c>
    </row>
    <row r="25" spans="1:2">
      <c r="A25" s="69" t="s">
        <v>4560</v>
      </c>
      <c r="B25" s="70" t="s">
        <v>4559</v>
      </c>
    </row>
    <row r="26" spans="1:2">
      <c r="A26" s="69" t="s">
        <v>4558</v>
      </c>
      <c r="B26" s="70" t="s">
        <v>4557</v>
      </c>
    </row>
    <row r="27" spans="1:2">
      <c r="A27" s="69" t="s">
        <v>4556</v>
      </c>
      <c r="B27" s="70" t="s">
        <v>4555</v>
      </c>
    </row>
    <row r="28" spans="1:2">
      <c r="A28" s="69" t="s">
        <v>4554</v>
      </c>
      <c r="B28" s="70" t="s">
        <v>4553</v>
      </c>
    </row>
    <row r="29" spans="1:2">
      <c r="A29" s="69" t="s">
        <v>4552</v>
      </c>
      <c r="B29" s="70" t="s">
        <v>4551</v>
      </c>
    </row>
    <row r="30" spans="1:2">
      <c r="A30" s="69" t="s">
        <v>4550</v>
      </c>
      <c r="B30" s="70" t="s">
        <v>4549</v>
      </c>
    </row>
    <row r="31" spans="1:2">
      <c r="A31" s="69" t="s">
        <v>4548</v>
      </c>
      <c r="B31" s="70" t="s">
        <v>4547</v>
      </c>
    </row>
    <row r="32" spans="1:2">
      <c r="A32" s="69" t="s">
        <v>4546</v>
      </c>
      <c r="B32" s="70" t="s">
        <v>4545</v>
      </c>
    </row>
    <row r="33" spans="1:2">
      <c r="A33" s="69" t="s">
        <v>4544</v>
      </c>
      <c r="B33" s="70" t="s">
        <v>4543</v>
      </c>
    </row>
    <row r="34" spans="1:2">
      <c r="A34" s="69" t="s">
        <v>4542</v>
      </c>
      <c r="B34" s="70" t="s">
        <v>4541</v>
      </c>
    </row>
    <row r="35" spans="1:2">
      <c r="A35" s="69" t="s">
        <v>4540</v>
      </c>
      <c r="B35" s="70" t="s">
        <v>4539</v>
      </c>
    </row>
    <row r="36" spans="1:2">
      <c r="A36" s="69" t="s">
        <v>4538</v>
      </c>
      <c r="B36" s="70" t="s">
        <v>4537</v>
      </c>
    </row>
    <row r="37" spans="1:2">
      <c r="A37" s="69" t="s">
        <v>4536</v>
      </c>
      <c r="B37" s="70" t="s">
        <v>4535</v>
      </c>
    </row>
    <row r="38" spans="1:2">
      <c r="A38" s="69" t="s">
        <v>4534</v>
      </c>
      <c r="B38" s="70" t="s">
        <v>4533</v>
      </c>
    </row>
    <row r="39" spans="1:2">
      <c r="A39" s="69" t="s">
        <v>4532</v>
      </c>
      <c r="B39" s="70" t="s">
        <v>4531</v>
      </c>
    </row>
    <row r="40" spans="1:2">
      <c r="A40" s="69" t="s">
        <v>4530</v>
      </c>
      <c r="B40" s="70" t="s">
        <v>4529</v>
      </c>
    </row>
    <row r="41" spans="1:2">
      <c r="A41" s="69" t="s">
        <v>4528</v>
      </c>
      <c r="B41" s="70" t="s">
        <v>4527</v>
      </c>
    </row>
    <row r="42" spans="1:2">
      <c r="A42" s="69" t="s">
        <v>4526</v>
      </c>
      <c r="B42" s="70" t="s">
        <v>4525</v>
      </c>
    </row>
    <row r="43" spans="1:2">
      <c r="A43" s="69" t="s">
        <v>4524</v>
      </c>
      <c r="B43" s="70" t="s">
        <v>4523</v>
      </c>
    </row>
    <row r="44" spans="1:2">
      <c r="A44" s="69" t="s">
        <v>4522</v>
      </c>
      <c r="B44" s="70" t="s">
        <v>4521</v>
      </c>
    </row>
    <row r="45" spans="1:2">
      <c r="A45" s="69" t="s">
        <v>4520</v>
      </c>
      <c r="B45" s="70" t="s">
        <v>4519</v>
      </c>
    </row>
    <row r="46" spans="1:2">
      <c r="A46" s="69" t="s">
        <v>4518</v>
      </c>
      <c r="B46" s="70" t="s">
        <v>4517</v>
      </c>
    </row>
    <row r="47" spans="1:2">
      <c r="A47" s="69" t="s">
        <v>4516</v>
      </c>
      <c r="B47" s="70" t="s">
        <v>4515</v>
      </c>
    </row>
    <row r="48" spans="1:2">
      <c r="A48" s="69" t="s">
        <v>4514</v>
      </c>
      <c r="B48" s="70" t="s">
        <v>4513</v>
      </c>
    </row>
    <row r="49" spans="1:2">
      <c r="A49" s="69" t="s">
        <v>4512</v>
      </c>
      <c r="B49" s="70" t="s">
        <v>4511</v>
      </c>
    </row>
    <row r="50" spans="1:2">
      <c r="A50" s="69" t="s">
        <v>4510</v>
      </c>
      <c r="B50" s="70" t="s">
        <v>4509</v>
      </c>
    </row>
    <row r="51" spans="1:2">
      <c r="A51" s="69" t="s">
        <v>4508</v>
      </c>
      <c r="B51" s="70" t="s">
        <v>4507</v>
      </c>
    </row>
    <row r="52" spans="1:2">
      <c r="A52" s="69" t="s">
        <v>4506</v>
      </c>
      <c r="B52" s="70" t="s">
        <v>4505</v>
      </c>
    </row>
    <row r="53" spans="1:2">
      <c r="A53" s="69" t="s">
        <v>4504</v>
      </c>
      <c r="B53" s="70" t="s">
        <v>4503</v>
      </c>
    </row>
    <row r="54" spans="1:2">
      <c r="A54" s="69" t="s">
        <v>4502</v>
      </c>
      <c r="B54" s="70" t="s">
        <v>4501</v>
      </c>
    </row>
    <row r="55" spans="1:2">
      <c r="A55" s="69" t="s">
        <v>4500</v>
      </c>
      <c r="B55" s="70" t="s">
        <v>4499</v>
      </c>
    </row>
    <row r="56" spans="1:2">
      <c r="A56" s="69" t="s">
        <v>4498</v>
      </c>
      <c r="B56" s="70" t="s">
        <v>4497</v>
      </c>
    </row>
    <row r="57" spans="1:2">
      <c r="A57" s="69" t="s">
        <v>4496</v>
      </c>
      <c r="B57" s="70" t="s">
        <v>4495</v>
      </c>
    </row>
    <row r="58" spans="1:2">
      <c r="A58" s="69" t="s">
        <v>4494</v>
      </c>
      <c r="B58" s="70" t="s">
        <v>4493</v>
      </c>
    </row>
    <row r="59" spans="1:2">
      <c r="A59" s="69" t="s">
        <v>4492</v>
      </c>
      <c r="B59" s="70" t="s">
        <v>4491</v>
      </c>
    </row>
    <row r="60" spans="1:2">
      <c r="A60" s="69" t="s">
        <v>4490</v>
      </c>
      <c r="B60" s="70" t="s">
        <v>4489</v>
      </c>
    </row>
    <row r="61" spans="1:2">
      <c r="A61" s="69" t="s">
        <v>4488</v>
      </c>
      <c r="B61" s="70" t="s">
        <v>4487</v>
      </c>
    </row>
    <row r="62" spans="1:2">
      <c r="A62" s="69" t="s">
        <v>4486</v>
      </c>
      <c r="B62" s="70" t="s">
        <v>4485</v>
      </c>
    </row>
    <row r="63" spans="1:2">
      <c r="A63" s="69" t="s">
        <v>4484</v>
      </c>
      <c r="B63" s="70" t="s">
        <v>4483</v>
      </c>
    </row>
    <row r="64" spans="1:2">
      <c r="A64" s="69" t="s">
        <v>4482</v>
      </c>
      <c r="B64" s="70" t="s">
        <v>4481</v>
      </c>
    </row>
    <row r="65" spans="1:2">
      <c r="A65" s="69" t="s">
        <v>4480</v>
      </c>
      <c r="B65" s="70" t="s">
        <v>4479</v>
      </c>
    </row>
    <row r="66" spans="1:2">
      <c r="A66" s="69" t="s">
        <v>4478</v>
      </c>
      <c r="B66" s="70" t="s">
        <v>3694</v>
      </c>
    </row>
    <row r="67" spans="1:2">
      <c r="A67" s="69" t="s">
        <v>4477</v>
      </c>
      <c r="B67" s="70" t="s">
        <v>3692</v>
      </c>
    </row>
    <row r="68" spans="1:2">
      <c r="A68" s="69" t="s">
        <v>4476</v>
      </c>
      <c r="B68" s="70" t="s">
        <v>3690</v>
      </c>
    </row>
    <row r="69" spans="1:2">
      <c r="A69" s="69" t="s">
        <v>4475</v>
      </c>
      <c r="B69" s="70" t="s">
        <v>3688</v>
      </c>
    </row>
    <row r="70" spans="1:2">
      <c r="A70" s="69" t="s">
        <v>4474</v>
      </c>
      <c r="B70" s="70" t="s">
        <v>3686</v>
      </c>
    </row>
    <row r="71" spans="1:2">
      <c r="A71" s="69" t="s">
        <v>4473</v>
      </c>
      <c r="B71" s="70" t="s">
        <v>3684</v>
      </c>
    </row>
    <row r="72" spans="1:2">
      <c r="A72" s="69" t="s">
        <v>4472</v>
      </c>
      <c r="B72" s="70" t="s">
        <v>4471</v>
      </c>
    </row>
    <row r="73" spans="1:2">
      <c r="A73" s="69" t="s">
        <v>4470</v>
      </c>
      <c r="B73" s="70" t="s">
        <v>3680</v>
      </c>
    </row>
    <row r="74" spans="1:2">
      <c r="A74" s="69" t="s">
        <v>4469</v>
      </c>
      <c r="B74" s="70" t="s">
        <v>3678</v>
      </c>
    </row>
    <row r="75" spans="1:2">
      <c r="A75" s="69" t="s">
        <v>4468</v>
      </c>
      <c r="B75" s="70" t="s">
        <v>3676</v>
      </c>
    </row>
    <row r="76" spans="1:2">
      <c r="A76" s="69" t="s">
        <v>4467</v>
      </c>
      <c r="B76" s="70" t="s">
        <v>3674</v>
      </c>
    </row>
    <row r="77" spans="1:2">
      <c r="A77" s="69" t="s">
        <v>4466</v>
      </c>
      <c r="B77" s="70" t="s">
        <v>3672</v>
      </c>
    </row>
    <row r="78" spans="1:2">
      <c r="A78" s="69" t="s">
        <v>4465</v>
      </c>
      <c r="B78" s="70" t="s">
        <v>4464</v>
      </c>
    </row>
    <row r="79" spans="1:2">
      <c r="A79" s="69" t="s">
        <v>4463</v>
      </c>
      <c r="B79" s="70" t="s">
        <v>3670</v>
      </c>
    </row>
    <row r="80" spans="1:2">
      <c r="A80" s="69" t="s">
        <v>4462</v>
      </c>
      <c r="B80" s="70" t="s">
        <v>3668</v>
      </c>
    </row>
    <row r="81" spans="1:2">
      <c r="A81" s="69" t="s">
        <v>4461</v>
      </c>
      <c r="B81" s="70" t="s">
        <v>4460</v>
      </c>
    </row>
    <row r="82" spans="1:2">
      <c r="A82" s="69" t="s">
        <v>4459</v>
      </c>
      <c r="B82" s="70" t="s">
        <v>4458</v>
      </c>
    </row>
    <row r="83" spans="1:2">
      <c r="A83" s="69" t="s">
        <v>4457</v>
      </c>
      <c r="B83" s="70" t="s">
        <v>3666</v>
      </c>
    </row>
    <row r="84" spans="1:2">
      <c r="A84" s="69" t="s">
        <v>4456</v>
      </c>
      <c r="B84" s="70" t="s">
        <v>3664</v>
      </c>
    </row>
    <row r="85" spans="1:2">
      <c r="A85" s="69" t="s">
        <v>4455</v>
      </c>
      <c r="B85" s="70" t="s">
        <v>3662</v>
      </c>
    </row>
    <row r="86" spans="1:2">
      <c r="A86" s="69" t="s">
        <v>4454</v>
      </c>
      <c r="B86" s="70" t="s">
        <v>3660</v>
      </c>
    </row>
    <row r="87" spans="1:2">
      <c r="A87" s="69" t="s">
        <v>4453</v>
      </c>
      <c r="B87" s="70" t="s">
        <v>4452</v>
      </c>
    </row>
    <row r="88" spans="1:2">
      <c r="A88" s="69" t="s">
        <v>4451</v>
      </c>
      <c r="B88" s="70" t="s">
        <v>4422</v>
      </c>
    </row>
    <row r="89" spans="1:2">
      <c r="A89" s="69" t="s">
        <v>4450</v>
      </c>
      <c r="B89" s="70" t="s">
        <v>4449</v>
      </c>
    </row>
    <row r="90" spans="1:2">
      <c r="A90" s="69" t="s">
        <v>4448</v>
      </c>
      <c r="B90" s="70" t="s">
        <v>3658</v>
      </c>
    </row>
    <row r="91" spans="1:2">
      <c r="A91" s="69" t="s">
        <v>5071</v>
      </c>
      <c r="B91" s="70" t="s">
        <v>3656</v>
      </c>
    </row>
    <row r="92" spans="1:2">
      <c r="A92" s="69" t="s">
        <v>4447</v>
      </c>
      <c r="B92" s="70" t="s">
        <v>3654</v>
      </c>
    </row>
    <row r="93" spans="1:2">
      <c r="A93" s="69" t="s">
        <v>4446</v>
      </c>
      <c r="B93" s="70" t="s">
        <v>3652</v>
      </c>
    </row>
    <row r="94" spans="1:2">
      <c r="A94" s="69" t="s">
        <v>4445</v>
      </c>
      <c r="B94" s="70" t="s">
        <v>3650</v>
      </c>
    </row>
    <row r="95" spans="1:2">
      <c r="A95" s="69" t="s">
        <v>4444</v>
      </c>
      <c r="B95" s="70" t="s">
        <v>3648</v>
      </c>
    </row>
    <row r="96" spans="1:2">
      <c r="A96" s="69" t="s">
        <v>4443</v>
      </c>
      <c r="B96" s="70" t="s">
        <v>4442</v>
      </c>
    </row>
    <row r="97" spans="1:2">
      <c r="A97" s="69" t="s">
        <v>4441</v>
      </c>
      <c r="B97" s="70" t="s">
        <v>3646</v>
      </c>
    </row>
    <row r="98" spans="1:2">
      <c r="A98" s="69" t="s">
        <v>4440</v>
      </c>
      <c r="B98" s="70" t="s">
        <v>3644</v>
      </c>
    </row>
    <row r="99" spans="1:2">
      <c r="A99" s="69" t="s">
        <v>4439</v>
      </c>
      <c r="B99" s="70" t="s">
        <v>3642</v>
      </c>
    </row>
    <row r="100" spans="1:2">
      <c r="A100" s="69" t="s">
        <v>4438</v>
      </c>
      <c r="B100" s="70" t="s">
        <v>3640</v>
      </c>
    </row>
    <row r="101" spans="1:2">
      <c r="A101" s="69" t="s">
        <v>4437</v>
      </c>
      <c r="B101" s="70" t="s">
        <v>3638</v>
      </c>
    </row>
    <row r="102" spans="1:2">
      <c r="A102" s="69" t="s">
        <v>4436</v>
      </c>
      <c r="B102" s="70" t="s">
        <v>3636</v>
      </c>
    </row>
    <row r="103" spans="1:2">
      <c r="A103" s="69" t="s">
        <v>4435</v>
      </c>
      <c r="B103" s="70" t="s">
        <v>3634</v>
      </c>
    </row>
    <row r="104" spans="1:2">
      <c r="A104" s="69" t="s">
        <v>4434</v>
      </c>
      <c r="B104" s="70" t="s">
        <v>3632</v>
      </c>
    </row>
    <row r="105" spans="1:2">
      <c r="A105" s="69" t="s">
        <v>4433</v>
      </c>
      <c r="B105" s="70" t="s">
        <v>3630</v>
      </c>
    </row>
    <row r="106" spans="1:2">
      <c r="A106" s="69" t="s">
        <v>4432</v>
      </c>
      <c r="B106" s="70" t="s">
        <v>3628</v>
      </c>
    </row>
    <row r="107" spans="1:2">
      <c r="A107" s="69" t="s">
        <v>4431</v>
      </c>
      <c r="B107" s="70" t="s">
        <v>4430</v>
      </c>
    </row>
    <row r="108" spans="1:2">
      <c r="A108" s="69" t="s">
        <v>4429</v>
      </c>
      <c r="B108" s="70" t="s">
        <v>4428</v>
      </c>
    </row>
    <row r="109" spans="1:2">
      <c r="A109" s="69" t="s">
        <v>4427</v>
      </c>
      <c r="B109" s="70" t="s">
        <v>4426</v>
      </c>
    </row>
    <row r="110" spans="1:2">
      <c r="A110" s="69" t="s">
        <v>4425</v>
      </c>
      <c r="B110" s="70" t="s">
        <v>4424</v>
      </c>
    </row>
    <row r="111" spans="1:2">
      <c r="A111" s="69" t="s">
        <v>4423</v>
      </c>
      <c r="B111" s="70" t="s">
        <v>4422</v>
      </c>
    </row>
    <row r="112" spans="1:2">
      <c r="A112" s="69" t="s">
        <v>4421</v>
      </c>
      <c r="B112" s="70" t="s">
        <v>4420</v>
      </c>
    </row>
    <row r="113" spans="1:2">
      <c r="A113" s="69" t="s">
        <v>4419</v>
      </c>
      <c r="B113" s="70" t="s">
        <v>4418</v>
      </c>
    </row>
    <row r="114" spans="1:2">
      <c r="A114" s="69" t="s">
        <v>4417</v>
      </c>
      <c r="B114" s="70" t="s">
        <v>4416</v>
      </c>
    </row>
    <row r="115" spans="1:2">
      <c r="A115" s="69" t="s">
        <v>4415</v>
      </c>
      <c r="B115" s="70" t="s">
        <v>4118</v>
      </c>
    </row>
    <row r="116" spans="1:2">
      <c r="A116" s="69" t="s">
        <v>4414</v>
      </c>
      <c r="B116" s="70" t="s">
        <v>4413</v>
      </c>
    </row>
    <row r="117" spans="1:2">
      <c r="A117" s="69" t="s">
        <v>4412</v>
      </c>
      <c r="B117" s="70" t="s">
        <v>4411</v>
      </c>
    </row>
    <row r="118" spans="1:2">
      <c r="A118" s="69" t="s">
        <v>4410</v>
      </c>
      <c r="B118" s="70" t="s">
        <v>4409</v>
      </c>
    </row>
    <row r="119" spans="1:2">
      <c r="A119" s="69" t="s">
        <v>4408</v>
      </c>
      <c r="B119" s="70" t="s">
        <v>4407</v>
      </c>
    </row>
    <row r="120" spans="1:2">
      <c r="A120" s="69" t="s">
        <v>4406</v>
      </c>
      <c r="B120" s="70" t="s">
        <v>4405</v>
      </c>
    </row>
    <row r="121" spans="1:2">
      <c r="A121" s="69" t="s">
        <v>4404</v>
      </c>
      <c r="B121" s="70" t="s">
        <v>4403</v>
      </c>
    </row>
    <row r="122" spans="1:2">
      <c r="A122" s="69" t="s">
        <v>4402</v>
      </c>
      <c r="B122" s="70" t="s">
        <v>4401</v>
      </c>
    </row>
    <row r="123" spans="1:2">
      <c r="A123" s="69" t="s">
        <v>4400</v>
      </c>
      <c r="B123" s="70" t="s">
        <v>4399</v>
      </c>
    </row>
    <row r="124" spans="1:2">
      <c r="A124" s="69" t="s">
        <v>4398</v>
      </c>
      <c r="B124" s="70" t="s">
        <v>4397</v>
      </c>
    </row>
    <row r="125" spans="1:2">
      <c r="A125" s="69" t="s">
        <v>4396</v>
      </c>
      <c r="B125" s="70" t="s">
        <v>4395</v>
      </c>
    </row>
    <row r="126" spans="1:2">
      <c r="A126" s="69" t="s">
        <v>4394</v>
      </c>
      <c r="B126" s="70" t="s">
        <v>4393</v>
      </c>
    </row>
    <row r="127" spans="1:2">
      <c r="A127" s="69" t="s">
        <v>4392</v>
      </c>
      <c r="B127" s="70" t="s">
        <v>4391</v>
      </c>
    </row>
    <row r="128" spans="1:2">
      <c r="A128" s="69" t="s">
        <v>4390</v>
      </c>
      <c r="B128" s="70" t="s">
        <v>3624</v>
      </c>
    </row>
    <row r="129" spans="1:2">
      <c r="A129" s="69" t="s">
        <v>4389</v>
      </c>
      <c r="B129" s="70" t="s">
        <v>3622</v>
      </c>
    </row>
    <row r="130" spans="1:2">
      <c r="A130" s="69" t="s">
        <v>4388</v>
      </c>
      <c r="B130" s="70" t="s">
        <v>3620</v>
      </c>
    </row>
    <row r="131" spans="1:2">
      <c r="A131" s="69" t="s">
        <v>4387</v>
      </c>
      <c r="B131" s="70" t="s">
        <v>4386</v>
      </c>
    </row>
    <row r="132" spans="1:2">
      <c r="A132" s="69" t="s">
        <v>4385</v>
      </c>
      <c r="B132" s="70" t="s">
        <v>3618</v>
      </c>
    </row>
    <row r="133" spans="1:2">
      <c r="A133" s="69" t="s">
        <v>4384</v>
      </c>
      <c r="B133" s="70" t="s">
        <v>3616</v>
      </c>
    </row>
    <row r="134" spans="1:2">
      <c r="A134" s="69" t="s">
        <v>4383</v>
      </c>
      <c r="B134" s="70" t="s">
        <v>4382</v>
      </c>
    </row>
    <row r="135" spans="1:2">
      <c r="A135" s="69" t="s">
        <v>4381</v>
      </c>
      <c r="B135" s="70" t="s">
        <v>3614</v>
      </c>
    </row>
    <row r="136" spans="1:2">
      <c r="A136" s="69" t="s">
        <v>4380</v>
      </c>
      <c r="B136" s="70" t="s">
        <v>3612</v>
      </c>
    </row>
    <row r="137" spans="1:2">
      <c r="A137" s="69" t="s">
        <v>4379</v>
      </c>
      <c r="B137" s="70" t="s">
        <v>3610</v>
      </c>
    </row>
    <row r="138" spans="1:2">
      <c r="A138" s="69" t="s">
        <v>4378</v>
      </c>
      <c r="B138" s="70" t="s">
        <v>4377</v>
      </c>
    </row>
    <row r="139" spans="1:2">
      <c r="A139" s="69" t="s">
        <v>4376</v>
      </c>
      <c r="B139" s="70" t="s">
        <v>4375</v>
      </c>
    </row>
    <row r="140" spans="1:2">
      <c r="A140" s="69" t="s">
        <v>4374</v>
      </c>
      <c r="B140" s="70" t="s">
        <v>3604</v>
      </c>
    </row>
    <row r="141" spans="1:2">
      <c r="A141" s="69" t="s">
        <v>4373</v>
      </c>
      <c r="B141" s="70" t="s">
        <v>4372</v>
      </c>
    </row>
    <row r="142" spans="1:2">
      <c r="A142" s="69" t="s">
        <v>4371</v>
      </c>
      <c r="B142" s="70" t="s">
        <v>4370</v>
      </c>
    </row>
    <row r="143" spans="1:2">
      <c r="A143" s="69" t="s">
        <v>4369</v>
      </c>
      <c r="B143" s="70" t="s">
        <v>4368</v>
      </c>
    </row>
    <row r="144" spans="1:2">
      <c r="A144" s="69" t="s">
        <v>4367</v>
      </c>
      <c r="B144" s="70" t="s">
        <v>4366</v>
      </c>
    </row>
    <row r="145" spans="1:2">
      <c r="A145" s="69" t="s">
        <v>4365</v>
      </c>
      <c r="B145" s="70" t="s">
        <v>3602</v>
      </c>
    </row>
    <row r="146" spans="1:2">
      <c r="A146" s="69" t="s">
        <v>4364</v>
      </c>
      <c r="B146" s="70" t="s">
        <v>4363</v>
      </c>
    </row>
    <row r="147" spans="1:2">
      <c r="A147" s="69" t="s">
        <v>4362</v>
      </c>
      <c r="B147" s="70" t="s">
        <v>4361</v>
      </c>
    </row>
    <row r="148" spans="1:2">
      <c r="A148" s="69" t="s">
        <v>4360</v>
      </c>
      <c r="B148" s="70" t="s">
        <v>3600</v>
      </c>
    </row>
    <row r="149" spans="1:2">
      <c r="A149" s="69" t="s">
        <v>4359</v>
      </c>
      <c r="B149" s="70" t="s">
        <v>4358</v>
      </c>
    </row>
    <row r="150" spans="1:2">
      <c r="A150" s="69" t="s">
        <v>4357</v>
      </c>
      <c r="B150" s="70" t="s">
        <v>4356</v>
      </c>
    </row>
    <row r="151" spans="1:2">
      <c r="A151" s="69" t="s">
        <v>4355</v>
      </c>
      <c r="B151" s="70" t="s">
        <v>4354</v>
      </c>
    </row>
    <row r="152" spans="1:2">
      <c r="A152" s="69" t="s">
        <v>4353</v>
      </c>
      <c r="B152" s="70" t="s">
        <v>4352</v>
      </c>
    </row>
    <row r="153" spans="1:2">
      <c r="A153" s="69" t="s">
        <v>4351</v>
      </c>
      <c r="B153" s="70" t="s">
        <v>4350</v>
      </c>
    </row>
    <row r="154" spans="1:2">
      <c r="A154" s="69" t="s">
        <v>4349</v>
      </c>
      <c r="B154" s="70" t="s">
        <v>4348</v>
      </c>
    </row>
    <row r="155" spans="1:2">
      <c r="A155" s="69" t="s">
        <v>4347</v>
      </c>
      <c r="B155" s="70" t="s">
        <v>4346</v>
      </c>
    </row>
    <row r="156" spans="1:2">
      <c r="A156" s="69" t="s">
        <v>4345</v>
      </c>
      <c r="B156" s="70" t="s">
        <v>4344</v>
      </c>
    </row>
    <row r="157" spans="1:2">
      <c r="A157" s="69" t="s">
        <v>4343</v>
      </c>
      <c r="B157" s="70" t="s">
        <v>4342</v>
      </c>
    </row>
    <row r="158" spans="1:2">
      <c r="A158" s="69" t="s">
        <v>4341</v>
      </c>
      <c r="B158" s="70" t="s">
        <v>4340</v>
      </c>
    </row>
    <row r="159" spans="1:2">
      <c r="A159" s="69" t="s">
        <v>4339</v>
      </c>
      <c r="B159" s="70" t="s">
        <v>4338</v>
      </c>
    </row>
    <row r="160" spans="1:2">
      <c r="A160" s="69" t="s">
        <v>4337</v>
      </c>
      <c r="B160" s="70" t="s">
        <v>4336</v>
      </c>
    </row>
    <row r="161" spans="1:2">
      <c r="A161" s="69" t="s">
        <v>4335</v>
      </c>
      <c r="B161" s="70" t="s">
        <v>4334</v>
      </c>
    </row>
    <row r="162" spans="1:2">
      <c r="A162" s="69" t="s">
        <v>4333</v>
      </c>
      <c r="B162" s="70" t="s">
        <v>4332</v>
      </c>
    </row>
    <row r="163" spans="1:2">
      <c r="A163" s="69" t="s">
        <v>4331</v>
      </c>
      <c r="B163" s="70" t="s">
        <v>4330</v>
      </c>
    </row>
    <row r="164" spans="1:2">
      <c r="A164" s="69" t="s">
        <v>4329</v>
      </c>
      <c r="B164" s="70" t="s">
        <v>4328</v>
      </c>
    </row>
    <row r="165" spans="1:2">
      <c r="A165" s="69" t="s">
        <v>4327</v>
      </c>
      <c r="B165" s="70" t="s">
        <v>4326</v>
      </c>
    </row>
    <row r="166" spans="1:2">
      <c r="A166" s="69" t="s">
        <v>4325</v>
      </c>
      <c r="B166" s="70" t="s">
        <v>4324</v>
      </c>
    </row>
    <row r="167" spans="1:2">
      <c r="A167" s="69" t="s">
        <v>4323</v>
      </c>
      <c r="B167" s="70" t="s">
        <v>4322</v>
      </c>
    </row>
    <row r="168" spans="1:2">
      <c r="A168" s="69" t="s">
        <v>4321</v>
      </c>
      <c r="B168" s="70" t="s">
        <v>4320</v>
      </c>
    </row>
    <row r="169" spans="1:2">
      <c r="A169" s="69" t="s">
        <v>4319</v>
      </c>
      <c r="B169" s="70" t="s">
        <v>4318</v>
      </c>
    </row>
    <row r="170" spans="1:2">
      <c r="A170" s="69" t="s">
        <v>4317</v>
      </c>
      <c r="B170" s="70" t="s">
        <v>4316</v>
      </c>
    </row>
    <row r="171" spans="1:2">
      <c r="A171" s="69" t="s">
        <v>4315</v>
      </c>
      <c r="B171" s="70" t="s">
        <v>4314</v>
      </c>
    </row>
    <row r="172" spans="1:2">
      <c r="A172" s="69" t="s">
        <v>4313</v>
      </c>
      <c r="B172" s="70" t="s">
        <v>4312</v>
      </c>
    </row>
    <row r="173" spans="1:2">
      <c r="A173" s="69" t="s">
        <v>4311</v>
      </c>
      <c r="B173" s="70" t="s">
        <v>4310</v>
      </c>
    </row>
    <row r="174" spans="1:2">
      <c r="A174" s="69" t="s">
        <v>4309</v>
      </c>
      <c r="B174" s="70" t="s">
        <v>4308</v>
      </c>
    </row>
    <row r="175" spans="1:2">
      <c r="A175" s="69" t="s">
        <v>4307</v>
      </c>
      <c r="B175" s="70" t="s">
        <v>4306</v>
      </c>
    </row>
    <row r="176" spans="1:2">
      <c r="A176" s="69" t="s">
        <v>4305</v>
      </c>
      <c r="B176" s="70" t="s">
        <v>4304</v>
      </c>
    </row>
    <row r="177" spans="1:2">
      <c r="A177" s="69" t="s">
        <v>4303</v>
      </c>
      <c r="B177" s="70" t="s">
        <v>4302</v>
      </c>
    </row>
    <row r="178" spans="1:2">
      <c r="A178" s="69" t="s">
        <v>4301</v>
      </c>
      <c r="B178" s="70" t="s">
        <v>4300</v>
      </c>
    </row>
    <row r="179" spans="1:2">
      <c r="A179" s="69" t="s">
        <v>4299</v>
      </c>
      <c r="B179" s="70" t="s">
        <v>4298</v>
      </c>
    </row>
    <row r="180" spans="1:2">
      <c r="A180" s="69" t="s">
        <v>4297</v>
      </c>
      <c r="B180" s="70" t="s">
        <v>4296</v>
      </c>
    </row>
    <row r="181" spans="1:2">
      <c r="A181" s="69" t="s">
        <v>4295</v>
      </c>
      <c r="B181" s="70" t="s">
        <v>4294</v>
      </c>
    </row>
    <row r="182" spans="1:2">
      <c r="A182" s="69" t="s">
        <v>4293</v>
      </c>
      <c r="B182" s="70" t="s">
        <v>4292</v>
      </c>
    </row>
    <row r="183" spans="1:2">
      <c r="A183" s="69" t="s">
        <v>4291</v>
      </c>
      <c r="B183" s="70" t="s">
        <v>4290</v>
      </c>
    </row>
    <row r="184" spans="1:2">
      <c r="A184" s="69" t="s">
        <v>4289</v>
      </c>
      <c r="B184" s="70" t="s">
        <v>4288</v>
      </c>
    </row>
    <row r="185" spans="1:2">
      <c r="A185" s="69" t="s">
        <v>4287</v>
      </c>
      <c r="B185" s="70" t="s">
        <v>4286</v>
      </c>
    </row>
    <row r="186" spans="1:2">
      <c r="A186" s="69" t="s">
        <v>4285</v>
      </c>
      <c r="B186" s="70" t="s">
        <v>4284</v>
      </c>
    </row>
    <row r="187" spans="1:2">
      <c r="A187" s="69" t="s">
        <v>4283</v>
      </c>
      <c r="B187" s="70" t="s">
        <v>4282</v>
      </c>
    </row>
    <row r="188" spans="1:2">
      <c r="A188" s="69" t="s">
        <v>4281</v>
      </c>
      <c r="B188" s="70" t="s">
        <v>4280</v>
      </c>
    </row>
    <row r="189" spans="1:2">
      <c r="A189" s="69" t="s">
        <v>4279</v>
      </c>
      <c r="B189" s="70" t="s">
        <v>4278</v>
      </c>
    </row>
    <row r="190" spans="1:2">
      <c r="A190" s="69" t="s">
        <v>4277</v>
      </c>
      <c r="B190" s="70" t="s">
        <v>4276</v>
      </c>
    </row>
    <row r="191" spans="1:2">
      <c r="A191" s="69" t="s">
        <v>4275</v>
      </c>
      <c r="B191" s="70" t="s">
        <v>4274</v>
      </c>
    </row>
    <row r="192" spans="1:2">
      <c r="A192" s="69" t="s">
        <v>4273</v>
      </c>
      <c r="B192" s="70" t="s">
        <v>4272</v>
      </c>
    </row>
    <row r="193" spans="1:2">
      <c r="A193" s="69" t="s">
        <v>4271</v>
      </c>
      <c r="B193" s="70" t="s">
        <v>4270</v>
      </c>
    </row>
    <row r="194" spans="1:2">
      <c r="A194" s="69" t="s">
        <v>4269</v>
      </c>
      <c r="B194" s="70" t="s">
        <v>4268</v>
      </c>
    </row>
    <row r="195" spans="1:2">
      <c r="A195" s="69" t="s">
        <v>4267</v>
      </c>
      <c r="B195" s="70" t="s">
        <v>4266</v>
      </c>
    </row>
    <row r="196" spans="1:2">
      <c r="A196" s="69" t="s">
        <v>4265</v>
      </c>
      <c r="B196" s="70" t="s">
        <v>4264</v>
      </c>
    </row>
    <row r="197" spans="1:2">
      <c r="A197" s="69" t="s">
        <v>4263</v>
      </c>
      <c r="B197" s="70" t="s">
        <v>4262</v>
      </c>
    </row>
    <row r="198" spans="1:2">
      <c r="A198" s="69" t="s">
        <v>4261</v>
      </c>
      <c r="B198" s="70" t="s">
        <v>4260</v>
      </c>
    </row>
    <row r="199" spans="1:2">
      <c r="A199" s="69" t="s">
        <v>4259</v>
      </c>
      <c r="B199" s="70" t="s">
        <v>4258</v>
      </c>
    </row>
    <row r="200" spans="1:2">
      <c r="A200" s="69" t="s">
        <v>4257</v>
      </c>
      <c r="B200" s="70" t="s">
        <v>4256</v>
      </c>
    </row>
    <row r="201" spans="1:2">
      <c r="A201" s="69" t="s">
        <v>4255</v>
      </c>
      <c r="B201" s="70" t="s">
        <v>4254</v>
      </c>
    </row>
    <row r="202" spans="1:2">
      <c r="A202" s="69" t="s">
        <v>4253</v>
      </c>
      <c r="B202" s="70" t="s">
        <v>4252</v>
      </c>
    </row>
    <row r="203" spans="1:2">
      <c r="A203" s="69" t="s">
        <v>4251</v>
      </c>
      <c r="B203" s="70" t="s">
        <v>4250</v>
      </c>
    </row>
    <row r="204" spans="1:2">
      <c r="A204" s="69" t="s">
        <v>4249</v>
      </c>
      <c r="B204" s="70" t="s">
        <v>4248</v>
      </c>
    </row>
    <row r="205" spans="1:2">
      <c r="A205" s="69" t="s">
        <v>4247</v>
      </c>
      <c r="B205" s="70" t="s">
        <v>4246</v>
      </c>
    </row>
    <row r="206" spans="1:2">
      <c r="A206" s="69" t="s">
        <v>4245</v>
      </c>
      <c r="B206" s="70" t="s">
        <v>4244</v>
      </c>
    </row>
    <row r="207" spans="1:2">
      <c r="A207" s="69" t="s">
        <v>4243</v>
      </c>
      <c r="B207" s="70" t="s">
        <v>4242</v>
      </c>
    </row>
    <row r="208" spans="1:2">
      <c r="A208" s="69" t="s">
        <v>4241</v>
      </c>
      <c r="B208" s="70" t="s">
        <v>4240</v>
      </c>
    </row>
    <row r="209" spans="1:2">
      <c r="A209" s="69" t="s">
        <v>4239</v>
      </c>
      <c r="B209" s="70" t="s">
        <v>4238</v>
      </c>
    </row>
    <row r="210" spans="1:2">
      <c r="A210" s="69" t="s">
        <v>4237</v>
      </c>
      <c r="B210" s="70" t="s">
        <v>4236</v>
      </c>
    </row>
    <row r="211" spans="1:2">
      <c r="A211" s="69" t="s">
        <v>4235</v>
      </c>
      <c r="B211" s="70" t="s">
        <v>4234</v>
      </c>
    </row>
    <row r="212" spans="1:2">
      <c r="A212" s="69" t="s">
        <v>4233</v>
      </c>
      <c r="B212" s="70" t="s">
        <v>4232</v>
      </c>
    </row>
    <row r="213" spans="1:2">
      <c r="A213" s="69" t="s">
        <v>4231</v>
      </c>
      <c r="B213" s="70" t="s">
        <v>4230</v>
      </c>
    </row>
    <row r="214" spans="1:2">
      <c r="A214" s="69" t="s">
        <v>4229</v>
      </c>
      <c r="B214" s="70" t="s">
        <v>4228</v>
      </c>
    </row>
    <row r="215" spans="1:2">
      <c r="A215" s="69" t="s">
        <v>4227</v>
      </c>
      <c r="B215" s="70" t="s">
        <v>4226</v>
      </c>
    </row>
    <row r="216" spans="1:2">
      <c r="A216" s="69" t="s">
        <v>4225</v>
      </c>
      <c r="B216" s="70" t="s">
        <v>4224</v>
      </c>
    </row>
    <row r="217" spans="1:2">
      <c r="A217" s="69" t="s">
        <v>4223</v>
      </c>
      <c r="B217" s="70" t="s">
        <v>4222</v>
      </c>
    </row>
    <row r="218" spans="1:2">
      <c r="A218" s="69" t="s">
        <v>4221</v>
      </c>
      <c r="B218" s="70" t="s">
        <v>4220</v>
      </c>
    </row>
    <row r="219" spans="1:2">
      <c r="A219" s="69" t="s">
        <v>4219</v>
      </c>
      <c r="B219" s="70" t="s">
        <v>4218</v>
      </c>
    </row>
    <row r="220" spans="1:2">
      <c r="A220" s="69" t="s">
        <v>4217</v>
      </c>
      <c r="B220" s="70" t="s">
        <v>4216</v>
      </c>
    </row>
    <row r="221" spans="1:2">
      <c r="A221" s="69" t="s">
        <v>4215</v>
      </c>
      <c r="B221" s="70" t="s">
        <v>4214</v>
      </c>
    </row>
    <row r="222" spans="1:2">
      <c r="A222" s="69" t="s">
        <v>4213</v>
      </c>
      <c r="B222" s="70" t="s">
        <v>4212</v>
      </c>
    </row>
    <row r="223" spans="1:2">
      <c r="A223" s="69" t="s">
        <v>4211</v>
      </c>
      <c r="B223" s="70" t="s">
        <v>4210</v>
      </c>
    </row>
    <row r="224" spans="1:2">
      <c r="A224" s="69" t="s">
        <v>4209</v>
      </c>
      <c r="B224" s="70" t="s">
        <v>4208</v>
      </c>
    </row>
    <row r="225" spans="1:2">
      <c r="A225" s="69" t="s">
        <v>4207</v>
      </c>
      <c r="B225" s="70" t="s">
        <v>4206</v>
      </c>
    </row>
    <row r="226" spans="1:2">
      <c r="A226" s="69" t="s">
        <v>4205</v>
      </c>
      <c r="B226" s="70" t="s">
        <v>4204</v>
      </c>
    </row>
    <row r="227" spans="1:2">
      <c r="A227" s="69" t="s">
        <v>4203</v>
      </c>
      <c r="B227" s="70" t="s">
        <v>4202</v>
      </c>
    </row>
    <row r="228" spans="1:2">
      <c r="A228" s="69" t="s">
        <v>4201</v>
      </c>
      <c r="B228" s="70" t="s">
        <v>4200</v>
      </c>
    </row>
    <row r="229" spans="1:2">
      <c r="A229" s="69" t="s">
        <v>4199</v>
      </c>
      <c r="B229" s="70" t="s">
        <v>4198</v>
      </c>
    </row>
    <row r="230" spans="1:2">
      <c r="A230" s="69" t="s">
        <v>4197</v>
      </c>
      <c r="B230" s="70" t="s">
        <v>4196</v>
      </c>
    </row>
    <row r="231" spans="1:2">
      <c r="A231" s="69" t="s">
        <v>4195</v>
      </c>
      <c r="B231" s="70" t="s">
        <v>4194</v>
      </c>
    </row>
    <row r="232" spans="1:2">
      <c r="A232" s="69" t="s">
        <v>4193</v>
      </c>
      <c r="B232" s="70" t="s">
        <v>4192</v>
      </c>
    </row>
    <row r="233" spans="1:2">
      <c r="A233" s="69" t="s">
        <v>4191</v>
      </c>
      <c r="B233" s="70" t="s">
        <v>4190</v>
      </c>
    </row>
    <row r="234" spans="1:2">
      <c r="A234" s="69" t="s">
        <v>4189</v>
      </c>
      <c r="B234" s="70" t="s">
        <v>4188</v>
      </c>
    </row>
    <row r="235" spans="1:2">
      <c r="A235" s="69" t="s">
        <v>4187</v>
      </c>
      <c r="B235" s="70" t="s">
        <v>4186</v>
      </c>
    </row>
    <row r="236" spans="1:2">
      <c r="A236" s="69" t="s">
        <v>4185</v>
      </c>
      <c r="B236" s="70" t="s">
        <v>4184</v>
      </c>
    </row>
    <row r="237" spans="1:2">
      <c r="A237" s="69" t="s">
        <v>4183</v>
      </c>
      <c r="B237" s="70" t="s">
        <v>4182</v>
      </c>
    </row>
    <row r="238" spans="1:2">
      <c r="A238" s="69" t="s">
        <v>4181</v>
      </c>
      <c r="B238" s="70" t="s">
        <v>4180</v>
      </c>
    </row>
    <row r="239" spans="1:2">
      <c r="A239" s="69" t="s">
        <v>4179</v>
      </c>
      <c r="B239" s="70" t="s">
        <v>4178</v>
      </c>
    </row>
    <row r="240" spans="1:2">
      <c r="A240" s="69" t="s">
        <v>4177</v>
      </c>
      <c r="B240" s="70" t="s">
        <v>4176</v>
      </c>
    </row>
    <row r="241" spans="1:2">
      <c r="A241" s="69" t="s">
        <v>4175</v>
      </c>
      <c r="B241" s="70" t="s">
        <v>4174</v>
      </c>
    </row>
    <row r="242" spans="1:2">
      <c r="A242" s="69" t="s">
        <v>4173</v>
      </c>
      <c r="B242" s="70" t="s">
        <v>4172</v>
      </c>
    </row>
    <row r="243" spans="1:2">
      <c r="A243" s="69" t="s">
        <v>4171</v>
      </c>
      <c r="B243" s="70" t="s">
        <v>4170</v>
      </c>
    </row>
    <row r="244" spans="1:2">
      <c r="A244" s="69" t="s">
        <v>4169</v>
      </c>
      <c r="B244" s="70" t="s">
        <v>4168</v>
      </c>
    </row>
    <row r="245" spans="1:2">
      <c r="A245" s="69" t="s">
        <v>4167</v>
      </c>
      <c r="B245" s="70" t="s">
        <v>4166</v>
      </c>
    </row>
    <row r="246" spans="1:2">
      <c r="A246" s="69" t="s">
        <v>4165</v>
      </c>
      <c r="B246" s="70" t="s">
        <v>4164</v>
      </c>
    </row>
    <row r="247" spans="1:2">
      <c r="A247" s="69" t="s">
        <v>4163</v>
      </c>
      <c r="B247" s="70" t="s">
        <v>4162</v>
      </c>
    </row>
    <row r="248" spans="1:2">
      <c r="A248" s="69" t="s">
        <v>4161</v>
      </c>
      <c r="B248" s="70" t="s">
        <v>4160</v>
      </c>
    </row>
    <row r="249" spans="1:2">
      <c r="A249" s="69" t="s">
        <v>4159</v>
      </c>
      <c r="B249" s="70" t="s">
        <v>4158</v>
      </c>
    </row>
    <row r="250" spans="1:2">
      <c r="A250" s="69" t="s">
        <v>4157</v>
      </c>
      <c r="B250" s="70" t="s">
        <v>4156</v>
      </c>
    </row>
    <row r="251" spans="1:2">
      <c r="A251" s="69" t="s">
        <v>4155</v>
      </c>
      <c r="B251" s="70" t="s">
        <v>4154</v>
      </c>
    </row>
    <row r="252" spans="1:2">
      <c r="A252" s="69" t="s">
        <v>4153</v>
      </c>
      <c r="B252" s="70" t="s">
        <v>4152</v>
      </c>
    </row>
    <row r="253" spans="1:2">
      <c r="A253" s="69" t="s">
        <v>4151</v>
      </c>
      <c r="B253" s="70" t="s">
        <v>4150</v>
      </c>
    </row>
    <row r="254" spans="1:2">
      <c r="A254" s="69" t="s">
        <v>4149</v>
      </c>
      <c r="B254" s="70" t="s">
        <v>4148</v>
      </c>
    </row>
    <row r="255" spans="1:2">
      <c r="A255" s="69" t="s">
        <v>4147</v>
      </c>
      <c r="B255" s="70" t="s">
        <v>4146</v>
      </c>
    </row>
    <row r="256" spans="1:2">
      <c r="A256" s="69" t="s">
        <v>4145</v>
      </c>
      <c r="B256" s="70" t="s">
        <v>4144</v>
      </c>
    </row>
    <row r="257" spans="1:2">
      <c r="A257" s="69" t="s">
        <v>4143</v>
      </c>
      <c r="B257" s="70" t="s">
        <v>4142</v>
      </c>
    </row>
    <row r="258" spans="1:2">
      <c r="A258" s="69" t="s">
        <v>4141</v>
      </c>
      <c r="B258" s="70" t="s">
        <v>4140</v>
      </c>
    </row>
    <row r="259" spans="1:2">
      <c r="A259" s="69" t="s">
        <v>4139</v>
      </c>
      <c r="B259" s="70" t="s">
        <v>4138</v>
      </c>
    </row>
    <row r="260" spans="1:2">
      <c r="A260" s="69" t="s">
        <v>4137</v>
      </c>
      <c r="B260" s="70" t="s">
        <v>4136</v>
      </c>
    </row>
    <row r="261" spans="1:2">
      <c r="A261" s="69" t="s">
        <v>4135</v>
      </c>
      <c r="B261" s="70" t="s">
        <v>4134</v>
      </c>
    </row>
    <row r="262" spans="1:2">
      <c r="A262" s="69" t="s">
        <v>4133</v>
      </c>
      <c r="B262" s="70" t="s">
        <v>4132</v>
      </c>
    </row>
    <row r="263" spans="1:2">
      <c r="A263" s="69" t="s">
        <v>4131</v>
      </c>
      <c r="B263" s="70" t="s">
        <v>4130</v>
      </c>
    </row>
    <row r="264" spans="1:2">
      <c r="A264" s="69" t="s">
        <v>4129</v>
      </c>
      <c r="B264" s="70" t="s">
        <v>4128</v>
      </c>
    </row>
    <row r="265" spans="1:2">
      <c r="A265" s="69" t="s">
        <v>4127</v>
      </c>
      <c r="B265" s="70" t="s">
        <v>4126</v>
      </c>
    </row>
    <row r="266" spans="1:2">
      <c r="A266" s="69" t="s">
        <v>4125</v>
      </c>
      <c r="B266" s="70" t="s">
        <v>4124</v>
      </c>
    </row>
    <row r="267" spans="1:2">
      <c r="A267" s="69" t="s">
        <v>4123</v>
      </c>
      <c r="B267" s="70" t="s">
        <v>4122</v>
      </c>
    </row>
    <row r="268" spans="1:2">
      <c r="A268" s="69" t="s">
        <v>4121</v>
      </c>
      <c r="B268" s="70" t="s">
        <v>4120</v>
      </c>
    </row>
    <row r="269" spans="1:2">
      <c r="A269" s="69" t="s">
        <v>4119</v>
      </c>
      <c r="B269" s="70" t="s">
        <v>4118</v>
      </c>
    </row>
    <row r="270" spans="1:2">
      <c r="A270" s="69" t="s">
        <v>4117</v>
      </c>
      <c r="B270" s="70" t="s">
        <v>4116</v>
      </c>
    </row>
    <row r="271" spans="1:2">
      <c r="A271" s="69" t="s">
        <v>4115</v>
      </c>
      <c r="B271" s="70" t="s">
        <v>4114</v>
      </c>
    </row>
    <row r="272" spans="1:2">
      <c r="A272" s="69" t="s">
        <v>4113</v>
      </c>
      <c r="B272" s="70" t="s">
        <v>4112</v>
      </c>
    </row>
    <row r="273" spans="1:2">
      <c r="A273" s="69" t="s">
        <v>4111</v>
      </c>
      <c r="B273" s="70" t="s">
        <v>4110</v>
      </c>
    </row>
    <row r="274" spans="1:2">
      <c r="A274" s="69" t="s">
        <v>4109</v>
      </c>
      <c r="B274" s="70" t="s">
        <v>4108</v>
      </c>
    </row>
    <row r="275" spans="1:2">
      <c r="A275" s="69" t="s">
        <v>4107</v>
      </c>
      <c r="B275" s="70" t="s">
        <v>4106</v>
      </c>
    </row>
    <row r="276" spans="1:2">
      <c r="A276" s="69" t="s">
        <v>4105</v>
      </c>
      <c r="B276" s="70" t="s">
        <v>4104</v>
      </c>
    </row>
    <row r="277" spans="1:2">
      <c r="A277" s="69" t="s">
        <v>4103</v>
      </c>
      <c r="B277" s="70" t="s">
        <v>4102</v>
      </c>
    </row>
    <row r="278" spans="1:2">
      <c r="A278" s="69" t="s">
        <v>4101</v>
      </c>
      <c r="B278" s="70" t="s">
        <v>4100</v>
      </c>
    </row>
    <row r="279" spans="1:2">
      <c r="A279" s="69" t="s">
        <v>4099</v>
      </c>
      <c r="B279" s="70" t="s">
        <v>4098</v>
      </c>
    </row>
    <row r="280" spans="1:2">
      <c r="A280" s="69" t="s">
        <v>4097</v>
      </c>
      <c r="B280" s="70" t="s">
        <v>4096</v>
      </c>
    </row>
    <row r="281" spans="1:2">
      <c r="A281" s="69" t="s">
        <v>4095</v>
      </c>
      <c r="B281" s="70" t="s">
        <v>4094</v>
      </c>
    </row>
    <row r="282" spans="1:2">
      <c r="A282" s="69" t="s">
        <v>4093</v>
      </c>
      <c r="B282" s="70" t="s">
        <v>4092</v>
      </c>
    </row>
    <row r="283" spans="1:2">
      <c r="A283" s="69" t="s">
        <v>4091</v>
      </c>
      <c r="B283" s="70" t="s">
        <v>4090</v>
      </c>
    </row>
    <row r="284" spans="1:2">
      <c r="A284" s="69" t="s">
        <v>4089</v>
      </c>
      <c r="B284" s="70" t="s">
        <v>4088</v>
      </c>
    </row>
    <row r="285" spans="1:2">
      <c r="A285" s="69" t="s">
        <v>4087</v>
      </c>
      <c r="B285" s="70" t="s">
        <v>4086</v>
      </c>
    </row>
    <row r="286" spans="1:2">
      <c r="A286" s="69" t="s">
        <v>4085</v>
      </c>
      <c r="B286" s="70" t="s">
        <v>4084</v>
      </c>
    </row>
    <row r="287" spans="1:2">
      <c r="A287" s="69" t="s">
        <v>4083</v>
      </c>
      <c r="B287" s="70" t="s">
        <v>4082</v>
      </c>
    </row>
    <row r="288" spans="1:2">
      <c r="A288" s="69" t="s">
        <v>4081</v>
      </c>
      <c r="B288" s="70" t="s">
        <v>4080</v>
      </c>
    </row>
    <row r="289" spans="1:2">
      <c r="A289" s="69" t="s">
        <v>4079</v>
      </c>
      <c r="B289" s="70" t="s">
        <v>4078</v>
      </c>
    </row>
    <row r="290" spans="1:2">
      <c r="A290" s="69" t="s">
        <v>4077</v>
      </c>
      <c r="B290" s="70" t="s">
        <v>4076</v>
      </c>
    </row>
    <row r="291" spans="1:2">
      <c r="A291" s="69" t="s">
        <v>4075</v>
      </c>
      <c r="B291" s="70" t="s">
        <v>4074</v>
      </c>
    </row>
    <row r="292" spans="1:2">
      <c r="A292" s="69" t="s">
        <v>4073</v>
      </c>
      <c r="B292" s="70" t="s">
        <v>4072</v>
      </c>
    </row>
    <row r="293" spans="1:2">
      <c r="A293" s="69" t="s">
        <v>4071</v>
      </c>
      <c r="B293" s="70" t="s">
        <v>4070</v>
      </c>
    </row>
    <row r="294" spans="1:2">
      <c r="A294" s="69" t="s">
        <v>4069</v>
      </c>
      <c r="B294" s="70" t="s">
        <v>4068</v>
      </c>
    </row>
    <row r="295" spans="1:2">
      <c r="A295" s="69" t="s">
        <v>4067</v>
      </c>
      <c r="B295" s="70" t="s">
        <v>4066</v>
      </c>
    </row>
    <row r="296" spans="1:2">
      <c r="A296" s="69" t="s">
        <v>4065</v>
      </c>
      <c r="B296" s="70" t="s">
        <v>4064</v>
      </c>
    </row>
    <row r="297" spans="1:2">
      <c r="A297" s="69" t="s">
        <v>4063</v>
      </c>
      <c r="B297" s="70" t="s">
        <v>4062</v>
      </c>
    </row>
    <row r="298" spans="1:2">
      <c r="A298" s="69" t="s">
        <v>4061</v>
      </c>
      <c r="B298" s="70" t="s">
        <v>4060</v>
      </c>
    </row>
    <row r="299" spans="1:2">
      <c r="A299" s="69" t="s">
        <v>4059</v>
      </c>
      <c r="B299" s="70" t="s">
        <v>4058</v>
      </c>
    </row>
    <row r="300" spans="1:2">
      <c r="A300" s="69" t="s">
        <v>4057</v>
      </c>
      <c r="B300" s="70" t="s">
        <v>4056</v>
      </c>
    </row>
    <row r="301" spans="1:2">
      <c r="A301" s="69" t="s">
        <v>4055</v>
      </c>
      <c r="B301" s="70" t="s">
        <v>4054</v>
      </c>
    </row>
    <row r="302" spans="1:2">
      <c r="A302" s="69" t="s">
        <v>4053</v>
      </c>
      <c r="B302" s="70" t="s">
        <v>4052</v>
      </c>
    </row>
    <row r="303" spans="1:2">
      <c r="A303" s="69" t="s">
        <v>4051</v>
      </c>
      <c r="B303" s="70" t="s">
        <v>4050</v>
      </c>
    </row>
    <row r="304" spans="1:2">
      <c r="A304" s="69" t="s">
        <v>4049</v>
      </c>
      <c r="B304" s="70" t="s">
        <v>4048</v>
      </c>
    </row>
    <row r="305" spans="1:2">
      <c r="A305" s="69" t="s">
        <v>4047</v>
      </c>
      <c r="B305" s="70" t="s">
        <v>4046</v>
      </c>
    </row>
    <row r="306" spans="1:2">
      <c r="A306" s="69" t="s">
        <v>4045</v>
      </c>
      <c r="B306" s="70" t="s">
        <v>4044</v>
      </c>
    </row>
    <row r="307" spans="1:2">
      <c r="A307" s="69" t="s">
        <v>4043</v>
      </c>
      <c r="B307" s="70" t="s">
        <v>4042</v>
      </c>
    </row>
    <row r="308" spans="1:2">
      <c r="A308" s="69" t="s">
        <v>4041</v>
      </c>
      <c r="B308" s="70" t="s">
        <v>4040</v>
      </c>
    </row>
    <row r="309" spans="1:2">
      <c r="A309" s="69" t="s">
        <v>4039</v>
      </c>
      <c r="B309" s="70" t="s">
        <v>4038</v>
      </c>
    </row>
    <row r="310" spans="1:2">
      <c r="A310" s="69" t="s">
        <v>4037</v>
      </c>
      <c r="B310" s="70" t="s">
        <v>4036</v>
      </c>
    </row>
    <row r="311" spans="1:2">
      <c r="A311" s="69" t="s">
        <v>4035</v>
      </c>
      <c r="B311" s="70" t="s">
        <v>4034</v>
      </c>
    </row>
    <row r="312" spans="1:2">
      <c r="A312" s="69" t="s">
        <v>4033</v>
      </c>
      <c r="B312" s="70" t="s">
        <v>4032</v>
      </c>
    </row>
    <row r="313" spans="1:2">
      <c r="A313" s="69" t="s">
        <v>4031</v>
      </c>
      <c r="B313" s="70" t="s">
        <v>4030</v>
      </c>
    </row>
    <row r="314" spans="1:2">
      <c r="A314" s="69" t="s">
        <v>4029</v>
      </c>
      <c r="B314" s="70" t="s">
        <v>4028</v>
      </c>
    </row>
    <row r="315" spans="1:2">
      <c r="A315" s="69" t="s">
        <v>4027</v>
      </c>
      <c r="B315" s="70" t="s">
        <v>4026</v>
      </c>
    </row>
    <row r="316" spans="1:2">
      <c r="A316" s="69" t="s">
        <v>4025</v>
      </c>
      <c r="B316" s="70" t="s">
        <v>4024</v>
      </c>
    </row>
    <row r="317" spans="1:2">
      <c r="A317" s="69" t="s">
        <v>4023</v>
      </c>
      <c r="B317" s="70" t="s">
        <v>4022</v>
      </c>
    </row>
    <row r="318" spans="1:2">
      <c r="A318" s="69" t="s">
        <v>4021</v>
      </c>
      <c r="B318" s="70" t="s">
        <v>4020</v>
      </c>
    </row>
    <row r="319" spans="1:2">
      <c r="A319" s="69" t="s">
        <v>4019</v>
      </c>
      <c r="B319" s="70" t="s">
        <v>4018</v>
      </c>
    </row>
    <row r="320" spans="1:2">
      <c r="A320" s="69" t="s">
        <v>4017</v>
      </c>
      <c r="B320" s="70" t="s">
        <v>4016</v>
      </c>
    </row>
    <row r="321" spans="1:2">
      <c r="A321" s="69" t="s">
        <v>4015</v>
      </c>
      <c r="B321" s="70" t="s">
        <v>4014</v>
      </c>
    </row>
    <row r="322" spans="1:2">
      <c r="A322" s="69" t="s">
        <v>4013</v>
      </c>
      <c r="B322" s="70" t="s">
        <v>4012</v>
      </c>
    </row>
    <row r="323" spans="1:2">
      <c r="A323" s="69" t="s">
        <v>4011</v>
      </c>
      <c r="B323" s="70" t="s">
        <v>4010</v>
      </c>
    </row>
    <row r="324" spans="1:2">
      <c r="A324" s="69" t="s">
        <v>4009</v>
      </c>
      <c r="B324" s="70" t="s">
        <v>4008</v>
      </c>
    </row>
    <row r="325" spans="1:2">
      <c r="A325" s="69" t="s">
        <v>4007</v>
      </c>
      <c r="B325" s="70" t="s">
        <v>4006</v>
      </c>
    </row>
    <row r="326" spans="1:2">
      <c r="A326" s="69" t="s">
        <v>4005</v>
      </c>
      <c r="B326" s="70" t="s">
        <v>4004</v>
      </c>
    </row>
    <row r="327" spans="1:2">
      <c r="A327" s="69" t="s">
        <v>4003</v>
      </c>
      <c r="B327" s="70" t="s">
        <v>4002</v>
      </c>
    </row>
    <row r="328" spans="1:2">
      <c r="A328" s="69" t="s">
        <v>4001</v>
      </c>
      <c r="B328" s="70" t="s">
        <v>4000</v>
      </c>
    </row>
    <row r="329" spans="1:2">
      <c r="A329" s="69" t="s">
        <v>3999</v>
      </c>
      <c r="B329" s="70" t="s">
        <v>3998</v>
      </c>
    </row>
    <row r="330" spans="1:2">
      <c r="A330" s="69" t="s">
        <v>3997</v>
      </c>
      <c r="B330" s="70" t="s">
        <v>3996</v>
      </c>
    </row>
    <row r="331" spans="1:2">
      <c r="A331" s="69" t="s">
        <v>3995</v>
      </c>
      <c r="B331" s="70" t="s">
        <v>3994</v>
      </c>
    </row>
    <row r="332" spans="1:2">
      <c r="A332" s="69" t="s">
        <v>3993</v>
      </c>
      <c r="B332" s="70" t="s">
        <v>3992</v>
      </c>
    </row>
    <row r="333" spans="1:2">
      <c r="A333" s="69" t="s">
        <v>3991</v>
      </c>
      <c r="B333" s="70" t="s">
        <v>3990</v>
      </c>
    </row>
    <row r="334" spans="1:2">
      <c r="A334" s="69" t="s">
        <v>3989</v>
      </c>
      <c r="B334" s="70" t="s">
        <v>3988</v>
      </c>
    </row>
    <row r="335" spans="1:2">
      <c r="A335" s="69" t="s">
        <v>3987</v>
      </c>
      <c r="B335" s="70" t="s">
        <v>3986</v>
      </c>
    </row>
    <row r="336" spans="1:2">
      <c r="A336" s="69" t="s">
        <v>3985</v>
      </c>
      <c r="B336" s="70" t="s">
        <v>3984</v>
      </c>
    </row>
    <row r="337" spans="1:2">
      <c r="A337" s="69" t="s">
        <v>3983</v>
      </c>
      <c r="B337" s="70" t="s">
        <v>3982</v>
      </c>
    </row>
    <row r="338" spans="1:2">
      <c r="A338" s="69" t="s">
        <v>3981</v>
      </c>
      <c r="B338" s="70" t="s">
        <v>3980</v>
      </c>
    </row>
    <row r="339" spans="1:2">
      <c r="A339" s="69" t="s">
        <v>3979</v>
      </c>
      <c r="B339" s="70" t="s">
        <v>3978</v>
      </c>
    </row>
    <row r="340" spans="1:2">
      <c r="A340" s="69" t="s">
        <v>3977</v>
      </c>
      <c r="B340" s="70" t="s">
        <v>3976</v>
      </c>
    </row>
    <row r="341" spans="1:2">
      <c r="A341" s="69" t="s">
        <v>3975</v>
      </c>
      <c r="B341" s="70" t="s">
        <v>3974</v>
      </c>
    </row>
    <row r="342" spans="1:2">
      <c r="A342" s="69" t="s">
        <v>3973</v>
      </c>
      <c r="B342" s="70" t="s">
        <v>3972</v>
      </c>
    </row>
    <row r="343" spans="1:2">
      <c r="A343" s="69" t="s">
        <v>3971</v>
      </c>
      <c r="B343" s="70" t="s">
        <v>3970</v>
      </c>
    </row>
    <row r="344" spans="1:2">
      <c r="A344" s="69" t="s">
        <v>3969</v>
      </c>
      <c r="B344" s="70" t="s">
        <v>3968</v>
      </c>
    </row>
    <row r="345" spans="1:2">
      <c r="A345" s="69" t="s">
        <v>3967</v>
      </c>
      <c r="B345" s="70" t="s">
        <v>3966</v>
      </c>
    </row>
    <row r="346" spans="1:2">
      <c r="A346" s="69" t="s">
        <v>3965</v>
      </c>
      <c r="B346" s="70" t="s">
        <v>3964</v>
      </c>
    </row>
    <row r="347" spans="1:2">
      <c r="A347" s="69" t="s">
        <v>3963</v>
      </c>
      <c r="B347" s="70" t="s">
        <v>3962</v>
      </c>
    </row>
    <row r="348" spans="1:2">
      <c r="A348" s="69" t="s">
        <v>3961</v>
      </c>
      <c r="B348" s="70" t="s">
        <v>3960</v>
      </c>
    </row>
    <row r="349" spans="1:2">
      <c r="A349" s="69" t="s">
        <v>3959</v>
      </c>
      <c r="B349" s="70" t="s">
        <v>3958</v>
      </c>
    </row>
    <row r="350" spans="1:2">
      <c r="A350" s="69" t="s">
        <v>3957</v>
      </c>
      <c r="B350" s="70" t="s">
        <v>3956</v>
      </c>
    </row>
    <row r="351" spans="1:2">
      <c r="A351" s="69" t="s">
        <v>3955</v>
      </c>
      <c r="B351" s="70" t="s">
        <v>3954</v>
      </c>
    </row>
    <row r="352" spans="1:2">
      <c r="A352" s="69" t="s">
        <v>3953</v>
      </c>
      <c r="B352" s="70" t="s">
        <v>3952</v>
      </c>
    </row>
    <row r="353" spans="1:2">
      <c r="A353" s="69" t="s">
        <v>3951</v>
      </c>
      <c r="B353" s="70" t="s">
        <v>3950</v>
      </c>
    </row>
    <row r="354" spans="1:2">
      <c r="A354" s="69" t="s">
        <v>3949</v>
      </c>
      <c r="B354" s="70" t="s">
        <v>3948</v>
      </c>
    </row>
    <row r="355" spans="1:2">
      <c r="A355" s="69" t="s">
        <v>3947</v>
      </c>
      <c r="B355" s="70" t="s">
        <v>3946</v>
      </c>
    </row>
    <row r="356" spans="1:2">
      <c r="A356" s="69" t="s">
        <v>3945</v>
      </c>
      <c r="B356" s="70" t="s">
        <v>3944</v>
      </c>
    </row>
    <row r="357" spans="1:2">
      <c r="A357" s="69" t="s">
        <v>3943</v>
      </c>
      <c r="B357" s="70" t="s">
        <v>3942</v>
      </c>
    </row>
    <row r="358" spans="1:2">
      <c r="A358" s="69" t="s">
        <v>3941</v>
      </c>
      <c r="B358" s="70" t="s">
        <v>3940</v>
      </c>
    </row>
    <row r="359" spans="1:2">
      <c r="A359" s="69" t="s">
        <v>3939</v>
      </c>
      <c r="B359" s="70" t="s">
        <v>3938</v>
      </c>
    </row>
    <row r="360" spans="1:2">
      <c r="A360" s="69" t="s">
        <v>3937</v>
      </c>
      <c r="B360" s="70" t="s">
        <v>3936</v>
      </c>
    </row>
    <row r="361" spans="1:2">
      <c r="A361" s="69" t="s">
        <v>3935</v>
      </c>
      <c r="B361" s="70" t="s">
        <v>3934</v>
      </c>
    </row>
    <row r="362" spans="1:2">
      <c r="A362" s="69" t="s">
        <v>3933</v>
      </c>
      <c r="B362" s="70" t="s">
        <v>3932</v>
      </c>
    </row>
    <row r="363" spans="1:2">
      <c r="A363" s="69" t="s">
        <v>3931</v>
      </c>
      <c r="B363" s="70" t="s">
        <v>3930</v>
      </c>
    </row>
    <row r="364" spans="1:2">
      <c r="A364" s="69" t="s">
        <v>3929</v>
      </c>
      <c r="B364" s="70" t="s">
        <v>3928</v>
      </c>
    </row>
    <row r="365" spans="1:2">
      <c r="A365" s="69" t="s">
        <v>3927</v>
      </c>
      <c r="B365" s="70" t="s">
        <v>3926</v>
      </c>
    </row>
    <row r="366" spans="1:2">
      <c r="A366" s="69" t="s">
        <v>3925</v>
      </c>
      <c r="B366" s="70" t="s">
        <v>3924</v>
      </c>
    </row>
    <row r="367" spans="1:2">
      <c r="A367" s="69" t="s">
        <v>3923</v>
      </c>
      <c r="B367" s="70" t="s">
        <v>3922</v>
      </c>
    </row>
    <row r="368" spans="1:2">
      <c r="A368" s="69" t="s">
        <v>3921</v>
      </c>
      <c r="B368" s="70" t="s">
        <v>3920</v>
      </c>
    </row>
    <row r="369" spans="1:2">
      <c r="A369" s="69" t="s">
        <v>3919</v>
      </c>
      <c r="B369" s="70" t="s">
        <v>3918</v>
      </c>
    </row>
    <row r="370" spans="1:2">
      <c r="A370" s="69" t="s">
        <v>3917</v>
      </c>
      <c r="B370" s="70" t="s">
        <v>3916</v>
      </c>
    </row>
    <row r="371" spans="1:2">
      <c r="A371" s="69" t="s">
        <v>3915</v>
      </c>
      <c r="B371" s="70" t="s">
        <v>3914</v>
      </c>
    </row>
    <row r="372" spans="1:2">
      <c r="A372" s="69" t="s">
        <v>3913</v>
      </c>
      <c r="B372" s="70" t="s">
        <v>3912</v>
      </c>
    </row>
    <row r="373" spans="1:2">
      <c r="A373" s="69" t="s">
        <v>3911</v>
      </c>
      <c r="B373" s="70" t="s">
        <v>3910</v>
      </c>
    </row>
    <row r="374" spans="1:2">
      <c r="A374" s="69" t="s">
        <v>3909</v>
      </c>
      <c r="B374" s="70" t="s">
        <v>3750</v>
      </c>
    </row>
    <row r="375" spans="1:2">
      <c r="A375" s="69" t="s">
        <v>3908</v>
      </c>
      <c r="B375" s="70" t="s">
        <v>3748</v>
      </c>
    </row>
    <row r="376" spans="1:2">
      <c r="A376" s="69" t="s">
        <v>3907</v>
      </c>
      <c r="B376" s="70" t="s">
        <v>3906</v>
      </c>
    </row>
    <row r="377" spans="1:2">
      <c r="A377" s="69" t="s">
        <v>3905</v>
      </c>
      <c r="B377" s="70" t="s">
        <v>3904</v>
      </c>
    </row>
    <row r="378" spans="1:2">
      <c r="A378" s="69" t="s">
        <v>3903</v>
      </c>
      <c r="B378" s="70" t="s">
        <v>3902</v>
      </c>
    </row>
    <row r="379" spans="1:2">
      <c r="A379" s="69" t="s">
        <v>3901</v>
      </c>
      <c r="B379" s="70" t="s">
        <v>3900</v>
      </c>
    </row>
    <row r="380" spans="1:2">
      <c r="A380" s="69" t="s">
        <v>3899</v>
      </c>
      <c r="B380" s="70" t="s">
        <v>3898</v>
      </c>
    </row>
    <row r="381" spans="1:2">
      <c r="A381" s="69" t="s">
        <v>3897</v>
      </c>
      <c r="B381" s="70" t="s">
        <v>3896</v>
      </c>
    </row>
    <row r="382" spans="1:2">
      <c r="A382" s="69" t="s">
        <v>3895</v>
      </c>
      <c r="B382" s="70" t="s">
        <v>3894</v>
      </c>
    </row>
    <row r="383" spans="1:2">
      <c r="A383" s="69" t="s">
        <v>3893</v>
      </c>
      <c r="B383" s="70" t="s">
        <v>3892</v>
      </c>
    </row>
    <row r="384" spans="1:2">
      <c r="A384" s="69" t="s">
        <v>3891</v>
      </c>
      <c r="B384" s="70" t="s">
        <v>3890</v>
      </c>
    </row>
    <row r="385" spans="1:2">
      <c r="A385" s="69" t="s">
        <v>3889</v>
      </c>
      <c r="B385" s="70" t="s">
        <v>3888</v>
      </c>
    </row>
    <row r="386" spans="1:2">
      <c r="A386" s="69" t="s">
        <v>3887</v>
      </c>
      <c r="B386" s="70" t="s">
        <v>3886</v>
      </c>
    </row>
    <row r="387" spans="1:2">
      <c r="A387" s="69" t="s">
        <v>3885</v>
      </c>
      <c r="B387" s="70" t="s">
        <v>3884</v>
      </c>
    </row>
    <row r="388" spans="1:2">
      <c r="A388" s="69" t="s">
        <v>3883</v>
      </c>
      <c r="B388" s="70" t="s">
        <v>3882</v>
      </c>
    </row>
    <row r="389" spans="1:2">
      <c r="A389" s="69" t="s">
        <v>3881</v>
      </c>
      <c r="B389" s="70" t="s">
        <v>3880</v>
      </c>
    </row>
    <row r="390" spans="1:2">
      <c r="A390" s="69" t="s">
        <v>3879</v>
      </c>
      <c r="B390" s="70" t="s">
        <v>3878</v>
      </c>
    </row>
    <row r="391" spans="1:2">
      <c r="A391" s="69" t="s">
        <v>3877</v>
      </c>
      <c r="B391" s="70" t="s">
        <v>3876</v>
      </c>
    </row>
    <row r="392" spans="1:2">
      <c r="A392" s="69" t="s">
        <v>3875</v>
      </c>
      <c r="B392" s="70" t="s">
        <v>3874</v>
      </c>
    </row>
    <row r="393" spans="1:2">
      <c r="A393" s="69" t="s">
        <v>3873</v>
      </c>
      <c r="B393" s="70" t="s">
        <v>3872</v>
      </c>
    </row>
    <row r="394" spans="1:2">
      <c r="A394" s="69" t="s">
        <v>3871</v>
      </c>
      <c r="B394" s="70" t="s">
        <v>3870</v>
      </c>
    </row>
    <row r="395" spans="1:2">
      <c r="A395" s="69" t="s">
        <v>3869</v>
      </c>
      <c r="B395" s="70" t="s">
        <v>3868</v>
      </c>
    </row>
    <row r="396" spans="1:2">
      <c r="A396" s="69" t="s">
        <v>3867</v>
      </c>
      <c r="B396" s="70" t="s">
        <v>3866</v>
      </c>
    </row>
    <row r="397" spans="1:2">
      <c r="A397" s="69" t="s">
        <v>3865</v>
      </c>
      <c r="B397" s="70" t="s">
        <v>3864</v>
      </c>
    </row>
    <row r="398" spans="1:2">
      <c r="A398" s="69" t="s">
        <v>3863</v>
      </c>
      <c r="B398" s="70" t="s">
        <v>3862</v>
      </c>
    </row>
    <row r="399" spans="1:2">
      <c r="A399" s="69" t="s">
        <v>3861</v>
      </c>
      <c r="B399" s="70" t="s">
        <v>3860</v>
      </c>
    </row>
    <row r="400" spans="1:2">
      <c r="A400" s="69" t="s">
        <v>3859</v>
      </c>
      <c r="B400" s="70" t="s">
        <v>3858</v>
      </c>
    </row>
    <row r="401" spans="1:2">
      <c r="A401" s="69" t="s">
        <v>3857</v>
      </c>
      <c r="B401" s="70" t="s">
        <v>3856</v>
      </c>
    </row>
    <row r="402" spans="1:2">
      <c r="A402" s="69" t="s">
        <v>3855</v>
      </c>
      <c r="B402" s="70" t="s">
        <v>3854</v>
      </c>
    </row>
    <row r="403" spans="1:2">
      <c r="A403" s="69" t="s">
        <v>3853</v>
      </c>
      <c r="B403" s="70" t="s">
        <v>3852</v>
      </c>
    </row>
    <row r="404" spans="1:2">
      <c r="A404" s="69" t="s">
        <v>3851</v>
      </c>
      <c r="B404" s="70" t="s">
        <v>3850</v>
      </c>
    </row>
    <row r="405" spans="1:2">
      <c r="A405" s="69" t="s">
        <v>3849</v>
      </c>
      <c r="B405" s="70" t="s">
        <v>3848</v>
      </c>
    </row>
    <row r="406" spans="1:2">
      <c r="A406" s="69" t="s">
        <v>3847</v>
      </c>
      <c r="B406" s="70" t="s">
        <v>3846</v>
      </c>
    </row>
    <row r="407" spans="1:2">
      <c r="A407" s="69" t="s">
        <v>3845</v>
      </c>
      <c r="B407" s="70" t="s">
        <v>3844</v>
      </c>
    </row>
    <row r="408" spans="1:2">
      <c r="A408" s="69" t="s">
        <v>3843</v>
      </c>
      <c r="B408" s="70" t="s">
        <v>3842</v>
      </c>
    </row>
    <row r="409" spans="1:2">
      <c r="A409" s="69" t="s">
        <v>3841</v>
      </c>
      <c r="B409" s="70" t="s">
        <v>3840</v>
      </c>
    </row>
    <row r="410" spans="1:2">
      <c r="A410" s="69" t="s">
        <v>3839</v>
      </c>
      <c r="B410" s="70" t="s">
        <v>3838</v>
      </c>
    </row>
    <row r="411" spans="1:2">
      <c r="A411" s="69" t="s">
        <v>3837</v>
      </c>
      <c r="B411" s="70" t="s">
        <v>3836</v>
      </c>
    </row>
    <row r="412" spans="1:2">
      <c r="A412" s="69" t="s">
        <v>3835</v>
      </c>
      <c r="B412" s="70" t="s">
        <v>3834</v>
      </c>
    </row>
    <row r="413" spans="1:2">
      <c r="A413" s="69" t="s">
        <v>3833</v>
      </c>
      <c r="B413" s="70" t="s">
        <v>3832</v>
      </c>
    </row>
    <row r="414" spans="1:2">
      <c r="A414" s="69" t="s">
        <v>3831</v>
      </c>
      <c r="B414" s="70" t="s">
        <v>3830</v>
      </c>
    </row>
    <row r="415" spans="1:2">
      <c r="A415" s="69" t="s">
        <v>3829</v>
      </c>
      <c r="B415" s="70" t="s">
        <v>3828</v>
      </c>
    </row>
    <row r="416" spans="1:2">
      <c r="A416" s="69" t="s">
        <v>3827</v>
      </c>
      <c r="B416" s="70" t="s">
        <v>3826</v>
      </c>
    </row>
    <row r="417" spans="1:2">
      <c r="A417" s="69" t="s">
        <v>3825</v>
      </c>
      <c r="B417" s="70" t="s">
        <v>3824</v>
      </c>
    </row>
    <row r="418" spans="1:2">
      <c r="A418" s="69" t="s">
        <v>3823</v>
      </c>
      <c r="B418" s="70" t="s">
        <v>3822</v>
      </c>
    </row>
    <row r="419" spans="1:2">
      <c r="A419" s="69" t="s">
        <v>3821</v>
      </c>
      <c r="B419" s="70" t="s">
        <v>3820</v>
      </c>
    </row>
    <row r="420" spans="1:2">
      <c r="A420" s="69" t="s">
        <v>3819</v>
      </c>
      <c r="B420" s="70" t="s">
        <v>3818</v>
      </c>
    </row>
    <row r="421" spans="1:2">
      <c r="A421" s="69" t="s">
        <v>3817</v>
      </c>
      <c r="B421" s="70" t="s">
        <v>3816</v>
      </c>
    </row>
    <row r="422" spans="1:2">
      <c r="A422" s="69" t="s">
        <v>3815</v>
      </c>
      <c r="B422" s="70" t="s">
        <v>3814</v>
      </c>
    </row>
    <row r="423" spans="1:2">
      <c r="A423" s="69" t="s">
        <v>3813</v>
      </c>
      <c r="B423" s="70" t="s">
        <v>3812</v>
      </c>
    </row>
    <row r="424" spans="1:2">
      <c r="A424" s="69" t="s">
        <v>3811</v>
      </c>
      <c r="B424" s="70" t="s">
        <v>3810</v>
      </c>
    </row>
    <row r="425" spans="1:2">
      <c r="A425" s="69" t="s">
        <v>3809</v>
      </c>
      <c r="B425" s="70" t="s">
        <v>3808</v>
      </c>
    </row>
    <row r="426" spans="1:2">
      <c r="A426" s="69" t="s">
        <v>3807</v>
      </c>
      <c r="B426" s="70" t="s">
        <v>3806</v>
      </c>
    </row>
    <row r="427" spans="1:2">
      <c r="A427" s="69" t="s">
        <v>3805</v>
      </c>
      <c r="B427" s="70" t="s">
        <v>3804</v>
      </c>
    </row>
    <row r="428" spans="1:2">
      <c r="A428" s="69" t="s">
        <v>3803</v>
      </c>
      <c r="B428" s="70" t="s">
        <v>3802</v>
      </c>
    </row>
    <row r="429" spans="1:2">
      <c r="A429" s="69" t="s">
        <v>3801</v>
      </c>
      <c r="B429" s="70" t="s">
        <v>3800</v>
      </c>
    </row>
    <row r="430" spans="1:2">
      <c r="A430" s="69" t="s">
        <v>3799</v>
      </c>
      <c r="B430" s="70" t="s">
        <v>3798</v>
      </c>
    </row>
    <row r="431" spans="1:2">
      <c r="A431" s="69" t="s">
        <v>3797</v>
      </c>
      <c r="B431" s="70" t="s">
        <v>3796</v>
      </c>
    </row>
    <row r="432" spans="1:2">
      <c r="A432" s="69" t="s">
        <v>3795</v>
      </c>
      <c r="B432" s="70" t="s">
        <v>3794</v>
      </c>
    </row>
    <row r="433" spans="1:2">
      <c r="A433" s="69" t="s">
        <v>3793</v>
      </c>
      <c r="B433" s="70" t="s">
        <v>3792</v>
      </c>
    </row>
    <row r="434" spans="1:2">
      <c r="A434" s="69" t="s">
        <v>3791</v>
      </c>
      <c r="B434" s="70" t="s">
        <v>3790</v>
      </c>
    </row>
    <row r="435" spans="1:2">
      <c r="A435" s="69" t="s">
        <v>3789</v>
      </c>
      <c r="B435" s="70" t="s">
        <v>3788</v>
      </c>
    </row>
    <row r="436" spans="1:2">
      <c r="A436" s="69" t="s">
        <v>3787</v>
      </c>
      <c r="B436" s="70" t="s">
        <v>3786</v>
      </c>
    </row>
    <row r="437" spans="1:2">
      <c r="A437" s="69" t="s">
        <v>3785</v>
      </c>
      <c r="B437" s="70" t="s">
        <v>3784</v>
      </c>
    </row>
    <row r="438" spans="1:2">
      <c r="A438" s="69" t="s">
        <v>3783</v>
      </c>
      <c r="B438" s="70" t="s">
        <v>3782</v>
      </c>
    </row>
    <row r="439" spans="1:2">
      <c r="A439" s="69" t="s">
        <v>3781</v>
      </c>
      <c r="B439" s="70" t="s">
        <v>3780</v>
      </c>
    </row>
    <row r="440" spans="1:2">
      <c r="A440" s="69" t="s">
        <v>3779</v>
      </c>
      <c r="B440" s="70" t="s">
        <v>3778</v>
      </c>
    </row>
    <row r="441" spans="1:2">
      <c r="A441" s="69" t="s">
        <v>3777</v>
      </c>
      <c r="B441" s="70" t="s">
        <v>3776</v>
      </c>
    </row>
    <row r="442" spans="1:2">
      <c r="A442" s="69" t="s">
        <v>3775</v>
      </c>
      <c r="B442" s="70" t="s">
        <v>3774</v>
      </c>
    </row>
    <row r="443" spans="1:2">
      <c r="A443" s="69" t="s">
        <v>3773</v>
      </c>
      <c r="B443" s="70" t="s">
        <v>3772</v>
      </c>
    </row>
    <row r="444" spans="1:2">
      <c r="A444" s="69" t="s">
        <v>3771</v>
      </c>
      <c r="B444" s="70" t="s">
        <v>3770</v>
      </c>
    </row>
    <row r="445" spans="1:2">
      <c r="A445" s="69" t="s">
        <v>3769</v>
      </c>
      <c r="B445" s="70" t="s">
        <v>3768</v>
      </c>
    </row>
    <row r="446" spans="1:2">
      <c r="A446" s="69" t="s">
        <v>3767</v>
      </c>
      <c r="B446" s="70" t="s">
        <v>3766</v>
      </c>
    </row>
    <row r="447" spans="1:2">
      <c r="A447" s="69" t="s">
        <v>3765</v>
      </c>
      <c r="B447" s="70" t="s">
        <v>3764</v>
      </c>
    </row>
    <row r="448" spans="1:2">
      <c r="A448" s="69" t="s">
        <v>3763</v>
      </c>
      <c r="B448" s="70" t="s">
        <v>3762</v>
      </c>
    </row>
    <row r="449" spans="1:2">
      <c r="A449" s="69" t="s">
        <v>3761</v>
      </c>
      <c r="B449" s="70" t="s">
        <v>3760</v>
      </c>
    </row>
    <row r="450" spans="1:2">
      <c r="A450" s="69" t="s">
        <v>3759</v>
      </c>
      <c r="B450" s="70" t="s">
        <v>3758</v>
      </c>
    </row>
    <row r="451" spans="1:2">
      <c r="A451" s="69" t="s">
        <v>3757</v>
      </c>
      <c r="B451" s="70" t="s">
        <v>3756</v>
      </c>
    </row>
    <row r="452" spans="1:2">
      <c r="A452" s="69" t="s">
        <v>3755</v>
      </c>
      <c r="B452" s="70" t="s">
        <v>3754</v>
      </c>
    </row>
    <row r="453" spans="1:2">
      <c r="A453" s="69" t="s">
        <v>3753</v>
      </c>
      <c r="B453" s="70" t="s">
        <v>3752</v>
      </c>
    </row>
    <row r="454" spans="1:2">
      <c r="A454" s="69" t="s">
        <v>3751</v>
      </c>
      <c r="B454" s="70" t="s">
        <v>3750</v>
      </c>
    </row>
    <row r="455" spans="1:2">
      <c r="A455" s="69" t="s">
        <v>3749</v>
      </c>
      <c r="B455" s="70" t="s">
        <v>3748</v>
      </c>
    </row>
    <row r="456" spans="1:2">
      <c r="A456" s="69" t="s">
        <v>3747</v>
      </c>
      <c r="B456" s="70" t="s">
        <v>3746</v>
      </c>
    </row>
    <row r="457" spans="1:2">
      <c r="A457" s="69" t="s">
        <v>3745</v>
      </c>
      <c r="B457" s="70" t="s">
        <v>3744</v>
      </c>
    </row>
    <row r="458" spans="1:2">
      <c r="A458" s="69" t="s">
        <v>3743</v>
      </c>
      <c r="B458" s="70" t="s">
        <v>3742</v>
      </c>
    </row>
    <row r="459" spans="1:2">
      <c r="A459" s="69" t="s">
        <v>3741</v>
      </c>
      <c r="B459" s="70" t="s">
        <v>3740</v>
      </c>
    </row>
    <row r="460" spans="1:2">
      <c r="A460" s="69" t="s">
        <v>3739</v>
      </c>
      <c r="B460" s="70" t="s">
        <v>3738</v>
      </c>
    </row>
    <row r="461" spans="1:2">
      <c r="A461" s="69" t="s">
        <v>3737</v>
      </c>
      <c r="B461" s="70" t="s">
        <v>3736</v>
      </c>
    </row>
    <row r="462" spans="1:2">
      <c r="A462" s="69" t="s">
        <v>3735</v>
      </c>
      <c r="B462" s="70" t="s">
        <v>3734</v>
      </c>
    </row>
    <row r="463" spans="1:2">
      <c r="A463" s="69" t="s">
        <v>3733</v>
      </c>
      <c r="B463" s="70" t="s">
        <v>3732</v>
      </c>
    </row>
    <row r="464" spans="1:2">
      <c r="A464" s="69" t="s">
        <v>3731</v>
      </c>
      <c r="B464" s="70" t="s">
        <v>3730</v>
      </c>
    </row>
    <row r="465" spans="1:2">
      <c r="A465" s="69" t="s">
        <v>3729</v>
      </c>
      <c r="B465" s="70" t="s">
        <v>3728</v>
      </c>
    </row>
    <row r="466" spans="1:2">
      <c r="A466" s="69" t="s">
        <v>3727</v>
      </c>
      <c r="B466" s="70" t="s">
        <v>3726</v>
      </c>
    </row>
    <row r="467" spans="1:2">
      <c r="A467" s="69" t="s">
        <v>3725</v>
      </c>
      <c r="B467" s="70" t="s">
        <v>3724</v>
      </c>
    </row>
    <row r="468" spans="1:2">
      <c r="A468" s="69" t="s">
        <v>3723</v>
      </c>
      <c r="B468" s="70" t="s">
        <v>3722</v>
      </c>
    </row>
    <row r="469" spans="1:2">
      <c r="A469" s="69" t="s">
        <v>3721</v>
      </c>
      <c r="B469" s="70" t="s">
        <v>3720</v>
      </c>
    </row>
    <row r="470" spans="1:2">
      <c r="A470" s="69" t="s">
        <v>3719</v>
      </c>
      <c r="B470" s="70" t="s">
        <v>3718</v>
      </c>
    </row>
    <row r="471" spans="1:2">
      <c r="A471" s="69" t="s">
        <v>3717</v>
      </c>
      <c r="B471" s="70" t="s">
        <v>3716</v>
      </c>
    </row>
    <row r="472" spans="1:2">
      <c r="A472" s="69" t="s">
        <v>3715</v>
      </c>
      <c r="B472" s="70" t="s">
        <v>3714</v>
      </c>
    </row>
    <row r="473" spans="1:2">
      <c r="A473" s="69" t="s">
        <v>3713</v>
      </c>
      <c r="B473" s="70" t="s">
        <v>3712</v>
      </c>
    </row>
    <row r="474" spans="1:2">
      <c r="A474" s="69" t="s">
        <v>3711</v>
      </c>
      <c r="B474" s="70" t="s">
        <v>3710</v>
      </c>
    </row>
    <row r="475" spans="1:2">
      <c r="A475" s="69" t="s">
        <v>3709</v>
      </c>
      <c r="B475" s="70" t="s">
        <v>3708</v>
      </c>
    </row>
    <row r="476" spans="1:2">
      <c r="A476" s="69" t="s">
        <v>3707</v>
      </c>
      <c r="B476" s="70" t="s">
        <v>3706</v>
      </c>
    </row>
    <row r="477" spans="1:2">
      <c r="A477" s="69" t="s">
        <v>3705</v>
      </c>
      <c r="B477" s="70" t="s">
        <v>3704</v>
      </c>
    </row>
    <row r="478" spans="1:2">
      <c r="A478" s="69" t="s">
        <v>3703</v>
      </c>
      <c r="B478" s="70" t="s">
        <v>3702</v>
      </c>
    </row>
    <row r="479" spans="1:2">
      <c r="A479" s="69" t="s">
        <v>3701</v>
      </c>
      <c r="B479" s="70" t="s">
        <v>3700</v>
      </c>
    </row>
    <row r="480" spans="1:2">
      <c r="A480" s="69" t="s">
        <v>3699</v>
      </c>
      <c r="B480" s="70" t="s">
        <v>3698</v>
      </c>
    </row>
    <row r="481" spans="1:2">
      <c r="A481" s="69" t="s">
        <v>3697</v>
      </c>
      <c r="B481" s="70" t="s">
        <v>3696</v>
      </c>
    </row>
    <row r="482" spans="1:2">
      <c r="A482" s="69" t="s">
        <v>3695</v>
      </c>
      <c r="B482" s="70" t="s">
        <v>3694</v>
      </c>
    </row>
    <row r="483" spans="1:2">
      <c r="A483" s="69" t="s">
        <v>3693</v>
      </c>
      <c r="B483" s="70" t="s">
        <v>3692</v>
      </c>
    </row>
    <row r="484" spans="1:2">
      <c r="A484" s="69" t="s">
        <v>3691</v>
      </c>
      <c r="B484" s="70" t="s">
        <v>3690</v>
      </c>
    </row>
    <row r="485" spans="1:2">
      <c r="A485" s="69" t="s">
        <v>3689</v>
      </c>
      <c r="B485" s="70" t="s">
        <v>3688</v>
      </c>
    </row>
    <row r="486" spans="1:2">
      <c r="A486" s="69" t="s">
        <v>3687</v>
      </c>
      <c r="B486" s="70" t="s">
        <v>3686</v>
      </c>
    </row>
    <row r="487" spans="1:2">
      <c r="A487" s="69" t="s">
        <v>3685</v>
      </c>
      <c r="B487" s="70" t="s">
        <v>3684</v>
      </c>
    </row>
    <row r="488" spans="1:2">
      <c r="A488" s="69" t="s">
        <v>3683</v>
      </c>
      <c r="B488" s="70" t="s">
        <v>3682</v>
      </c>
    </row>
    <row r="489" spans="1:2">
      <c r="A489" s="69" t="s">
        <v>3681</v>
      </c>
      <c r="B489" s="70" t="s">
        <v>3680</v>
      </c>
    </row>
    <row r="490" spans="1:2">
      <c r="A490" s="69" t="s">
        <v>3679</v>
      </c>
      <c r="B490" s="70" t="s">
        <v>3678</v>
      </c>
    </row>
    <row r="491" spans="1:2">
      <c r="A491" s="69" t="s">
        <v>3677</v>
      </c>
      <c r="B491" s="70" t="s">
        <v>3676</v>
      </c>
    </row>
    <row r="492" spans="1:2">
      <c r="A492" s="69" t="s">
        <v>3675</v>
      </c>
      <c r="B492" s="70" t="s">
        <v>3674</v>
      </c>
    </row>
    <row r="493" spans="1:2">
      <c r="A493" s="69" t="s">
        <v>3673</v>
      </c>
      <c r="B493" s="70" t="s">
        <v>3672</v>
      </c>
    </row>
    <row r="494" spans="1:2">
      <c r="A494" s="69" t="s">
        <v>3671</v>
      </c>
      <c r="B494" s="70" t="s">
        <v>3670</v>
      </c>
    </row>
    <row r="495" spans="1:2">
      <c r="A495" s="69" t="s">
        <v>3669</v>
      </c>
      <c r="B495" s="70" t="s">
        <v>3668</v>
      </c>
    </row>
    <row r="496" spans="1:2">
      <c r="A496" s="69" t="s">
        <v>3667</v>
      </c>
      <c r="B496" s="70" t="s">
        <v>3666</v>
      </c>
    </row>
    <row r="497" spans="1:2">
      <c r="A497" s="69" t="s">
        <v>3665</v>
      </c>
      <c r="B497" s="70" t="s">
        <v>3664</v>
      </c>
    </row>
    <row r="498" spans="1:2">
      <c r="A498" s="69" t="s">
        <v>3663</v>
      </c>
      <c r="B498" s="70" t="s">
        <v>3662</v>
      </c>
    </row>
    <row r="499" spans="1:2">
      <c r="A499" s="69" t="s">
        <v>3661</v>
      </c>
      <c r="B499" s="70" t="s">
        <v>3660</v>
      </c>
    </row>
    <row r="500" spans="1:2">
      <c r="A500" s="69" t="s">
        <v>3659</v>
      </c>
      <c r="B500" s="70" t="s">
        <v>3658</v>
      </c>
    </row>
    <row r="501" spans="1:2">
      <c r="A501" s="69" t="s">
        <v>3657</v>
      </c>
      <c r="B501" s="70" t="s">
        <v>3656</v>
      </c>
    </row>
    <row r="502" spans="1:2">
      <c r="A502" s="69" t="s">
        <v>3655</v>
      </c>
      <c r="B502" s="70" t="s">
        <v>3654</v>
      </c>
    </row>
    <row r="503" spans="1:2">
      <c r="A503" s="69" t="s">
        <v>3653</v>
      </c>
      <c r="B503" s="70" t="s">
        <v>3652</v>
      </c>
    </row>
    <row r="504" spans="1:2">
      <c r="A504" s="69" t="s">
        <v>3651</v>
      </c>
      <c r="B504" s="70" t="s">
        <v>3650</v>
      </c>
    </row>
    <row r="505" spans="1:2">
      <c r="A505" s="69" t="s">
        <v>3649</v>
      </c>
      <c r="B505" s="70" t="s">
        <v>3648</v>
      </c>
    </row>
    <row r="506" spans="1:2">
      <c r="A506" s="69" t="s">
        <v>3647</v>
      </c>
      <c r="B506" s="70" t="s">
        <v>3646</v>
      </c>
    </row>
    <row r="507" spans="1:2">
      <c r="A507" s="69" t="s">
        <v>3645</v>
      </c>
      <c r="B507" s="70" t="s">
        <v>3644</v>
      </c>
    </row>
    <row r="508" spans="1:2">
      <c r="A508" s="69" t="s">
        <v>3643</v>
      </c>
      <c r="B508" s="70" t="s">
        <v>3642</v>
      </c>
    </row>
    <row r="509" spans="1:2">
      <c r="A509" s="69" t="s">
        <v>3641</v>
      </c>
      <c r="B509" s="70" t="s">
        <v>3640</v>
      </c>
    </row>
    <row r="510" spans="1:2">
      <c r="A510" s="69" t="s">
        <v>3639</v>
      </c>
      <c r="B510" s="70" t="s">
        <v>3638</v>
      </c>
    </row>
    <row r="511" spans="1:2">
      <c r="A511" s="69" t="s">
        <v>3637</v>
      </c>
      <c r="B511" s="70" t="s">
        <v>3636</v>
      </c>
    </row>
    <row r="512" spans="1:2">
      <c r="A512" s="69" t="s">
        <v>3635</v>
      </c>
      <c r="B512" s="70" t="s">
        <v>3634</v>
      </c>
    </row>
    <row r="513" spans="1:2">
      <c r="A513" s="69" t="s">
        <v>3633</v>
      </c>
      <c r="B513" s="70" t="s">
        <v>3632</v>
      </c>
    </row>
    <row r="514" spans="1:2">
      <c r="A514" s="69" t="s">
        <v>3631</v>
      </c>
      <c r="B514" s="70" t="s">
        <v>3630</v>
      </c>
    </row>
    <row r="515" spans="1:2">
      <c r="A515" s="69" t="s">
        <v>3629</v>
      </c>
      <c r="B515" s="70" t="s">
        <v>3628</v>
      </c>
    </row>
    <row r="516" spans="1:2">
      <c r="A516" s="69" t="s">
        <v>3627</v>
      </c>
      <c r="B516" s="70" t="s">
        <v>3626</v>
      </c>
    </row>
    <row r="517" spans="1:2">
      <c r="A517" s="69" t="s">
        <v>3625</v>
      </c>
      <c r="B517" s="70" t="s">
        <v>3624</v>
      </c>
    </row>
    <row r="518" spans="1:2">
      <c r="A518" s="69" t="s">
        <v>3623</v>
      </c>
      <c r="B518" s="70" t="s">
        <v>3622</v>
      </c>
    </row>
    <row r="519" spans="1:2">
      <c r="A519" s="69" t="s">
        <v>3621</v>
      </c>
      <c r="B519" s="70" t="s">
        <v>3620</v>
      </c>
    </row>
    <row r="520" spans="1:2">
      <c r="A520" s="69" t="s">
        <v>3619</v>
      </c>
      <c r="B520" s="70" t="s">
        <v>3618</v>
      </c>
    </row>
    <row r="521" spans="1:2">
      <c r="A521" s="69" t="s">
        <v>3617</v>
      </c>
      <c r="B521" s="70" t="s">
        <v>3616</v>
      </c>
    </row>
    <row r="522" spans="1:2">
      <c r="A522" s="69" t="s">
        <v>3615</v>
      </c>
      <c r="B522" s="70" t="s">
        <v>3614</v>
      </c>
    </row>
    <row r="523" spans="1:2">
      <c r="A523" s="69" t="s">
        <v>3613</v>
      </c>
      <c r="B523" s="70" t="s">
        <v>3612</v>
      </c>
    </row>
    <row r="524" spans="1:2">
      <c r="A524" s="69" t="s">
        <v>3611</v>
      </c>
      <c r="B524" s="70" t="s">
        <v>3610</v>
      </c>
    </row>
    <row r="525" spans="1:2">
      <c r="A525" s="69" t="s">
        <v>3609</v>
      </c>
      <c r="B525" s="70" t="s">
        <v>3608</v>
      </c>
    </row>
    <row r="526" spans="1:2">
      <c r="A526" s="69" t="s">
        <v>3607</v>
      </c>
      <c r="B526" s="70" t="s">
        <v>3606</v>
      </c>
    </row>
    <row r="527" spans="1:2">
      <c r="A527" s="69" t="s">
        <v>3605</v>
      </c>
      <c r="B527" s="70" t="s">
        <v>3604</v>
      </c>
    </row>
    <row r="528" spans="1:2">
      <c r="A528" s="69" t="s">
        <v>3603</v>
      </c>
      <c r="B528" s="70" t="s">
        <v>3602</v>
      </c>
    </row>
    <row r="529" spans="1:2">
      <c r="A529" s="69" t="s">
        <v>3601</v>
      </c>
      <c r="B529" s="70" t="s">
        <v>3600</v>
      </c>
    </row>
    <row r="530" spans="1:2">
      <c r="A530" s="69" t="s">
        <v>3599</v>
      </c>
      <c r="B530" s="70" t="s">
        <v>3598</v>
      </c>
    </row>
    <row r="531" spans="1:2">
      <c r="A531" s="69" t="s">
        <v>3597</v>
      </c>
      <c r="B531" s="70" t="s">
        <v>3596</v>
      </c>
    </row>
    <row r="532" spans="1:2">
      <c r="A532" s="69" t="s">
        <v>3595</v>
      </c>
      <c r="B532" s="70" t="s">
        <v>3594</v>
      </c>
    </row>
    <row r="533" spans="1:2">
      <c r="A533" s="69" t="s">
        <v>3593</v>
      </c>
      <c r="B533" s="70" t="s">
        <v>3592</v>
      </c>
    </row>
    <row r="534" spans="1:2">
      <c r="A534" s="69" t="s">
        <v>3591</v>
      </c>
      <c r="B534" s="70" t="s">
        <v>3590</v>
      </c>
    </row>
    <row r="535" spans="1:2">
      <c r="A535" s="69" t="s">
        <v>3589</v>
      </c>
      <c r="B535" s="70" t="s">
        <v>3588</v>
      </c>
    </row>
    <row r="536" spans="1:2">
      <c r="A536" s="69" t="s">
        <v>3587</v>
      </c>
      <c r="B536" s="70" t="s">
        <v>3586</v>
      </c>
    </row>
    <row r="537" spans="1:2">
      <c r="A537" s="69" t="s">
        <v>3585</v>
      </c>
      <c r="B537" s="70" t="s">
        <v>3584</v>
      </c>
    </row>
    <row r="538" spans="1:2">
      <c r="A538" s="69" t="s">
        <v>3583</v>
      </c>
      <c r="B538" s="70" t="s">
        <v>3582</v>
      </c>
    </row>
    <row r="539" spans="1:2">
      <c r="A539" s="69" t="s">
        <v>3581</v>
      </c>
      <c r="B539" s="70" t="s">
        <v>3580</v>
      </c>
    </row>
    <row r="540" spans="1:2">
      <c r="A540" s="69" t="s">
        <v>3579</v>
      </c>
      <c r="B540" s="70" t="s">
        <v>3578</v>
      </c>
    </row>
    <row r="541" spans="1:2">
      <c r="A541" s="69" t="s">
        <v>3577</v>
      </c>
      <c r="B541" s="70" t="s">
        <v>3576</v>
      </c>
    </row>
    <row r="542" spans="1:2">
      <c r="A542" s="69" t="s">
        <v>3575</v>
      </c>
      <c r="B542" s="70" t="s">
        <v>3574</v>
      </c>
    </row>
    <row r="543" spans="1:2">
      <c r="A543" s="69" t="s">
        <v>3573</v>
      </c>
      <c r="B543" s="70" t="s">
        <v>3572</v>
      </c>
    </row>
    <row r="544" spans="1:2">
      <c r="A544" s="69" t="s">
        <v>3571</v>
      </c>
      <c r="B544" s="70" t="s">
        <v>3570</v>
      </c>
    </row>
    <row r="545" spans="1:2">
      <c r="A545" s="69" t="s">
        <v>3569</v>
      </c>
      <c r="B545" s="70" t="s">
        <v>3568</v>
      </c>
    </row>
    <row r="546" spans="1:2">
      <c r="A546" s="69" t="s">
        <v>3567</v>
      </c>
      <c r="B546" s="70" t="s">
        <v>3566</v>
      </c>
    </row>
    <row r="547" spans="1:2">
      <c r="A547" s="69" t="s">
        <v>3565</v>
      </c>
      <c r="B547" s="70" t="s">
        <v>3564</v>
      </c>
    </row>
    <row r="548" spans="1:2">
      <c r="A548" s="69" t="s">
        <v>3563</v>
      </c>
      <c r="B548" s="70" t="s">
        <v>3562</v>
      </c>
    </row>
    <row r="549" spans="1:2">
      <c r="A549" s="69" t="s">
        <v>3561</v>
      </c>
      <c r="B549" s="70" t="s">
        <v>3560</v>
      </c>
    </row>
    <row r="550" spans="1:2">
      <c r="A550" s="69" t="s">
        <v>3559</v>
      </c>
      <c r="B550" s="70" t="s">
        <v>3558</v>
      </c>
    </row>
    <row r="551" spans="1:2">
      <c r="A551" s="69" t="s">
        <v>3557</v>
      </c>
      <c r="B551" s="70" t="s">
        <v>3556</v>
      </c>
    </row>
    <row r="552" spans="1:2">
      <c r="A552" s="69" t="s">
        <v>3555</v>
      </c>
      <c r="B552" s="70" t="s">
        <v>3554</v>
      </c>
    </row>
    <row r="553" spans="1:2">
      <c r="A553" s="69" t="s">
        <v>3553</v>
      </c>
      <c r="B553" s="70" t="s">
        <v>3552</v>
      </c>
    </row>
    <row r="554" spans="1:2">
      <c r="A554" s="69" t="s">
        <v>3551</v>
      </c>
      <c r="B554" s="70" t="s">
        <v>3550</v>
      </c>
    </row>
    <row r="555" spans="1:2">
      <c r="A555" s="69" t="s">
        <v>3549</v>
      </c>
      <c r="B555" s="70" t="s">
        <v>3548</v>
      </c>
    </row>
    <row r="556" spans="1:2">
      <c r="A556" s="69" t="s">
        <v>3547</v>
      </c>
      <c r="B556" s="70" t="s">
        <v>3546</v>
      </c>
    </row>
    <row r="557" spans="1:2">
      <c r="A557" s="69" t="s">
        <v>3545</v>
      </c>
      <c r="B557" s="70" t="s">
        <v>3544</v>
      </c>
    </row>
    <row r="558" spans="1:2">
      <c r="A558" s="69" t="s">
        <v>3543</v>
      </c>
      <c r="B558" s="70" t="s">
        <v>3542</v>
      </c>
    </row>
    <row r="559" spans="1:2">
      <c r="A559" s="69" t="s">
        <v>3541</v>
      </c>
      <c r="B559" s="70" t="s">
        <v>3540</v>
      </c>
    </row>
    <row r="560" spans="1:2">
      <c r="A560" s="69" t="s">
        <v>3539</v>
      </c>
      <c r="B560" s="70" t="s">
        <v>3538</v>
      </c>
    </row>
    <row r="561" spans="1:2">
      <c r="A561" s="69" t="s">
        <v>3537</v>
      </c>
      <c r="B561" s="70" t="s">
        <v>3536</v>
      </c>
    </row>
    <row r="562" spans="1:2">
      <c r="A562" s="69" t="s">
        <v>3535</v>
      </c>
      <c r="B562" s="70" t="s">
        <v>3534</v>
      </c>
    </row>
    <row r="563" spans="1:2">
      <c r="A563" s="69" t="s">
        <v>3533</v>
      </c>
      <c r="B563" s="70" t="s">
        <v>3532</v>
      </c>
    </row>
    <row r="564" spans="1:2">
      <c r="A564" s="69" t="s">
        <v>3531</v>
      </c>
      <c r="B564" s="70" t="s">
        <v>3530</v>
      </c>
    </row>
    <row r="565" spans="1:2">
      <c r="A565" s="69" t="s">
        <v>3529</v>
      </c>
      <c r="B565" s="70" t="s">
        <v>3528</v>
      </c>
    </row>
    <row r="566" spans="1:2">
      <c r="A566" s="69" t="s">
        <v>3527</v>
      </c>
      <c r="B566" s="70" t="s">
        <v>3526</v>
      </c>
    </row>
    <row r="567" spans="1:2">
      <c r="A567" s="69" t="s">
        <v>3525</v>
      </c>
      <c r="B567" s="70" t="s">
        <v>3524</v>
      </c>
    </row>
    <row r="568" spans="1:2">
      <c r="A568" s="69" t="s">
        <v>3523</v>
      </c>
      <c r="B568" s="70" t="s">
        <v>3522</v>
      </c>
    </row>
    <row r="569" spans="1:2">
      <c r="A569" s="69" t="s">
        <v>3521</v>
      </c>
      <c r="B569" s="70" t="s">
        <v>3520</v>
      </c>
    </row>
    <row r="570" spans="1:2">
      <c r="A570" s="69" t="s">
        <v>3519</v>
      </c>
      <c r="B570" s="70" t="s">
        <v>3518</v>
      </c>
    </row>
    <row r="571" spans="1:2">
      <c r="A571" s="69" t="s">
        <v>3517</v>
      </c>
      <c r="B571" s="70" t="s">
        <v>3516</v>
      </c>
    </row>
    <row r="572" spans="1:2">
      <c r="A572" s="69" t="s">
        <v>3515</v>
      </c>
      <c r="B572" s="70" t="s">
        <v>3514</v>
      </c>
    </row>
    <row r="573" spans="1:2">
      <c r="A573" s="69" t="s">
        <v>3513</v>
      </c>
      <c r="B573" s="70" t="s">
        <v>3512</v>
      </c>
    </row>
    <row r="574" spans="1:2">
      <c r="A574" s="69" t="s">
        <v>3511</v>
      </c>
      <c r="B574" s="70" t="s">
        <v>3510</v>
      </c>
    </row>
    <row r="575" spans="1:2">
      <c r="A575" s="69" t="s">
        <v>3509</v>
      </c>
      <c r="B575" s="70" t="s">
        <v>3508</v>
      </c>
    </row>
    <row r="576" spans="1:2">
      <c r="A576" s="69" t="s">
        <v>3507</v>
      </c>
      <c r="B576" s="70" t="s">
        <v>3494</v>
      </c>
    </row>
    <row r="577" spans="1:2">
      <c r="A577" s="69" t="s">
        <v>3506</v>
      </c>
      <c r="B577" s="70" t="s">
        <v>3492</v>
      </c>
    </row>
    <row r="578" spans="1:2">
      <c r="A578" s="69" t="s">
        <v>3505</v>
      </c>
      <c r="B578" s="70" t="s">
        <v>3504</v>
      </c>
    </row>
    <row r="579" spans="1:2">
      <c r="A579" s="69" t="s">
        <v>3503</v>
      </c>
      <c r="B579" s="70" t="s">
        <v>3502</v>
      </c>
    </row>
    <row r="580" spans="1:2">
      <c r="A580" s="69" t="s">
        <v>3501</v>
      </c>
      <c r="B580" s="70" t="s">
        <v>3500</v>
      </c>
    </row>
    <row r="581" spans="1:2">
      <c r="A581" s="69" t="s">
        <v>3499</v>
      </c>
      <c r="B581" s="70" t="s">
        <v>3498</v>
      </c>
    </row>
    <row r="582" spans="1:2">
      <c r="A582" s="69" t="s">
        <v>3497</v>
      </c>
      <c r="B582" s="70" t="s">
        <v>3496</v>
      </c>
    </row>
    <row r="583" spans="1:2">
      <c r="A583" s="69" t="s">
        <v>3495</v>
      </c>
      <c r="B583" s="70" t="s">
        <v>3494</v>
      </c>
    </row>
    <row r="584" spans="1:2">
      <c r="A584" s="69" t="s">
        <v>3493</v>
      </c>
      <c r="B584" s="70" t="s">
        <v>3492</v>
      </c>
    </row>
    <row r="585" spans="1:2">
      <c r="A585" s="69" t="s">
        <v>3491</v>
      </c>
      <c r="B585" s="70" t="s">
        <v>3490</v>
      </c>
    </row>
    <row r="586" spans="1:2">
      <c r="A586" s="69" t="s">
        <v>3489</v>
      </c>
      <c r="B586" s="70" t="s">
        <v>3488</v>
      </c>
    </row>
    <row r="587" spans="1:2">
      <c r="A587" s="69" t="s">
        <v>3487</v>
      </c>
      <c r="B587" s="70" t="s">
        <v>3486</v>
      </c>
    </row>
    <row r="588" spans="1:2">
      <c r="A588" s="69" t="s">
        <v>3485</v>
      </c>
      <c r="B588" s="70" t="s">
        <v>3484</v>
      </c>
    </row>
    <row r="589" spans="1:2">
      <c r="A589" s="69" t="s">
        <v>3483</v>
      </c>
      <c r="B589" s="70" t="s">
        <v>3482</v>
      </c>
    </row>
    <row r="590" spans="1:2">
      <c r="A590" s="69" t="s">
        <v>3481</v>
      </c>
      <c r="B590" s="70" t="s">
        <v>3480</v>
      </c>
    </row>
    <row r="591" spans="1:2">
      <c r="A591" s="69" t="s">
        <v>3479</v>
      </c>
      <c r="B591" s="70" t="s">
        <v>3478</v>
      </c>
    </row>
    <row r="592" spans="1:2">
      <c r="A592" s="69" t="s">
        <v>3477</v>
      </c>
      <c r="B592" s="70" t="s">
        <v>3476</v>
      </c>
    </row>
    <row r="593" spans="1:2">
      <c r="A593" s="69" t="s">
        <v>3475</v>
      </c>
      <c r="B593" s="70" t="s">
        <v>3474</v>
      </c>
    </row>
    <row r="594" spans="1:2">
      <c r="A594" s="69" t="s">
        <v>3473</v>
      </c>
      <c r="B594" s="70" t="s">
        <v>3472</v>
      </c>
    </row>
    <row r="595" spans="1:2">
      <c r="A595" s="69" t="s">
        <v>3471</v>
      </c>
      <c r="B595" s="70" t="s">
        <v>3470</v>
      </c>
    </row>
    <row r="596" spans="1:2">
      <c r="A596" s="69" t="s">
        <v>3469</v>
      </c>
      <c r="B596" s="70" t="s">
        <v>3468</v>
      </c>
    </row>
    <row r="597" spans="1:2">
      <c r="A597" s="69" t="s">
        <v>3467</v>
      </c>
      <c r="B597" s="70" t="s">
        <v>3466</v>
      </c>
    </row>
    <row r="598" spans="1:2">
      <c r="A598" s="69" t="s">
        <v>3465</v>
      </c>
      <c r="B598" s="70" t="s">
        <v>3464</v>
      </c>
    </row>
    <row r="599" spans="1:2">
      <c r="A599" s="69" t="s">
        <v>3463</v>
      </c>
      <c r="B599" s="70" t="s">
        <v>3462</v>
      </c>
    </row>
    <row r="600" spans="1:2">
      <c r="A600" s="69" t="s">
        <v>3461</v>
      </c>
      <c r="B600" s="70" t="s">
        <v>3460</v>
      </c>
    </row>
    <row r="601" spans="1:2">
      <c r="A601" s="69" t="s">
        <v>3459</v>
      </c>
      <c r="B601" s="70" t="s">
        <v>3405</v>
      </c>
    </row>
    <row r="602" spans="1:2">
      <c r="A602" s="69" t="s">
        <v>3458</v>
      </c>
      <c r="B602" s="70" t="s">
        <v>3457</v>
      </c>
    </row>
    <row r="603" spans="1:2">
      <c r="A603" s="69" t="s">
        <v>3456</v>
      </c>
      <c r="B603" s="70" t="s">
        <v>3443</v>
      </c>
    </row>
    <row r="604" spans="1:2">
      <c r="A604" s="69" t="s">
        <v>3455</v>
      </c>
      <c r="B604" s="70" t="s">
        <v>3439</v>
      </c>
    </row>
    <row r="605" spans="1:2">
      <c r="A605" s="69" t="s">
        <v>3454</v>
      </c>
      <c r="B605" s="70" t="s">
        <v>3453</v>
      </c>
    </row>
    <row r="606" spans="1:2">
      <c r="A606" s="69" t="s">
        <v>3452</v>
      </c>
      <c r="B606" s="70" t="s">
        <v>3451</v>
      </c>
    </row>
    <row r="607" spans="1:2">
      <c r="A607" s="69" t="s">
        <v>3450</v>
      </c>
      <c r="B607" s="70" t="s">
        <v>3449</v>
      </c>
    </row>
    <row r="608" spans="1:2">
      <c r="A608" s="69" t="s">
        <v>3448</v>
      </c>
      <c r="B608" s="70" t="s">
        <v>3447</v>
      </c>
    </row>
    <row r="609" spans="1:2">
      <c r="A609" s="69" t="s">
        <v>3446</v>
      </c>
      <c r="B609" s="70" t="s">
        <v>3445</v>
      </c>
    </row>
    <row r="610" spans="1:2">
      <c r="A610" s="69" t="s">
        <v>3444</v>
      </c>
      <c r="B610" s="70" t="s">
        <v>3443</v>
      </c>
    </row>
    <row r="611" spans="1:2">
      <c r="A611" s="69" t="s">
        <v>3442</v>
      </c>
      <c r="B611" s="70" t="s">
        <v>3441</v>
      </c>
    </row>
    <row r="612" spans="1:2">
      <c r="A612" s="69" t="s">
        <v>3440</v>
      </c>
      <c r="B612" s="70" t="s">
        <v>3439</v>
      </c>
    </row>
    <row r="613" spans="1:2">
      <c r="A613" s="69" t="s">
        <v>3438</v>
      </c>
      <c r="B613" s="70" t="s">
        <v>3437</v>
      </c>
    </row>
    <row r="614" spans="1:2">
      <c r="A614" s="69" t="s">
        <v>3436</v>
      </c>
      <c r="B614" s="70" t="s">
        <v>3435</v>
      </c>
    </row>
    <row r="615" spans="1:2">
      <c r="A615" s="69" t="s">
        <v>3434</v>
      </c>
      <c r="B615" s="70" t="s">
        <v>3433</v>
      </c>
    </row>
    <row r="616" spans="1:2">
      <c r="A616" s="69" t="s">
        <v>3432</v>
      </c>
      <c r="B616" s="70" t="s">
        <v>3431</v>
      </c>
    </row>
    <row r="617" spans="1:2">
      <c r="A617" s="69" t="s">
        <v>3430</v>
      </c>
      <c r="B617" s="70" t="s">
        <v>3429</v>
      </c>
    </row>
    <row r="618" spans="1:2">
      <c r="A618" s="69" t="s">
        <v>3428</v>
      </c>
      <c r="B618" s="70" t="s">
        <v>3427</v>
      </c>
    </row>
    <row r="619" spans="1:2">
      <c r="A619" s="69" t="s">
        <v>3426</v>
      </c>
      <c r="B619" s="70" t="s">
        <v>3425</v>
      </c>
    </row>
    <row r="620" spans="1:2">
      <c r="A620" s="69" t="s">
        <v>3424</v>
      </c>
      <c r="B620" s="70" t="s">
        <v>3423</v>
      </c>
    </row>
    <row r="621" spans="1:2">
      <c r="A621" s="69" t="s">
        <v>3422</v>
      </c>
      <c r="B621" s="70" t="s">
        <v>3421</v>
      </c>
    </row>
    <row r="622" spans="1:2">
      <c r="A622" s="69" t="s">
        <v>3420</v>
      </c>
      <c r="B622" s="70" t="s">
        <v>3419</v>
      </c>
    </row>
    <row r="623" spans="1:2">
      <c r="A623" s="69" t="s">
        <v>3418</v>
      </c>
      <c r="B623" s="70" t="s">
        <v>3417</v>
      </c>
    </row>
    <row r="624" spans="1:2">
      <c r="A624" s="69" t="s">
        <v>3416</v>
      </c>
      <c r="B624" s="70" t="s">
        <v>3415</v>
      </c>
    </row>
    <row r="625" spans="1:2">
      <c r="A625" s="69" t="s">
        <v>3414</v>
      </c>
      <c r="B625" s="70" t="s">
        <v>3413</v>
      </c>
    </row>
    <row r="626" spans="1:2">
      <c r="A626" s="69" t="s">
        <v>3412</v>
      </c>
      <c r="B626" s="70" t="s">
        <v>3411</v>
      </c>
    </row>
    <row r="627" spans="1:2">
      <c r="A627" s="69" t="s">
        <v>3410</v>
      </c>
      <c r="B627" s="70" t="s">
        <v>3409</v>
      </c>
    </row>
    <row r="628" spans="1:2">
      <c r="A628" s="69" t="s">
        <v>3408</v>
      </c>
      <c r="B628" s="70" t="s">
        <v>3407</v>
      </c>
    </row>
    <row r="629" spans="1:2">
      <c r="A629" s="69" t="s">
        <v>3406</v>
      </c>
      <c r="B629" s="70" t="s">
        <v>3405</v>
      </c>
    </row>
    <row r="630" spans="1:2">
      <c r="A630" s="69" t="s">
        <v>3404</v>
      </c>
      <c r="B630" s="70" t="s">
        <v>3403</v>
      </c>
    </row>
    <row r="631" spans="1:2">
      <c r="A631" s="69" t="s">
        <v>3402</v>
      </c>
      <c r="B631" s="70" t="s">
        <v>3401</v>
      </c>
    </row>
    <row r="632" spans="1:2">
      <c r="A632" s="69" t="s">
        <v>3400</v>
      </c>
      <c r="B632" s="70" t="s">
        <v>3399</v>
      </c>
    </row>
    <row r="633" spans="1:2">
      <c r="A633" s="69" t="s">
        <v>3398</v>
      </c>
      <c r="B633" s="70" t="s">
        <v>3397</v>
      </c>
    </row>
    <row r="634" spans="1:2">
      <c r="A634" s="69" t="s">
        <v>3396</v>
      </c>
      <c r="B634" s="70" t="s">
        <v>3395</v>
      </c>
    </row>
    <row r="635" spans="1:2">
      <c r="A635" s="69" t="s">
        <v>3394</v>
      </c>
      <c r="B635" s="70" t="s">
        <v>3393</v>
      </c>
    </row>
    <row r="636" spans="1:2">
      <c r="A636" s="69" t="s">
        <v>3392</v>
      </c>
      <c r="B636" s="70" t="s">
        <v>3391</v>
      </c>
    </row>
    <row r="637" spans="1:2">
      <c r="A637" s="69" t="s">
        <v>3390</v>
      </c>
      <c r="B637" s="70" t="s">
        <v>3389</v>
      </c>
    </row>
    <row r="638" spans="1:2">
      <c r="A638" s="69" t="s">
        <v>3388</v>
      </c>
      <c r="B638" s="70" t="s">
        <v>3387</v>
      </c>
    </row>
    <row r="639" spans="1:2">
      <c r="A639" s="69" t="s">
        <v>3386</v>
      </c>
      <c r="B639" s="70" t="s">
        <v>3385</v>
      </c>
    </row>
    <row r="640" spans="1:2">
      <c r="A640" s="69" t="s">
        <v>3384</v>
      </c>
      <c r="B640" s="70" t="s">
        <v>3383</v>
      </c>
    </row>
    <row r="641" spans="1:2">
      <c r="A641" s="69" t="s">
        <v>3382</v>
      </c>
      <c r="B641" s="70" t="s">
        <v>3381</v>
      </c>
    </row>
    <row r="642" spans="1:2">
      <c r="A642" s="69" t="s">
        <v>3380</v>
      </c>
      <c r="B642" s="70" t="s">
        <v>3379</v>
      </c>
    </row>
    <row r="643" spans="1:2">
      <c r="A643" s="69" t="s">
        <v>3378</v>
      </c>
      <c r="B643" s="70" t="s">
        <v>3377</v>
      </c>
    </row>
    <row r="644" spans="1:2">
      <c r="A644" s="69" t="s">
        <v>3376</v>
      </c>
      <c r="B644" s="70" t="s">
        <v>3375</v>
      </c>
    </row>
    <row r="645" spans="1:2">
      <c r="A645" s="69" t="s">
        <v>3374</v>
      </c>
      <c r="B645" s="70" t="s">
        <v>3373</v>
      </c>
    </row>
    <row r="646" spans="1:2">
      <c r="A646" s="69" t="s">
        <v>3372</v>
      </c>
      <c r="B646" s="70" t="s">
        <v>3371</v>
      </c>
    </row>
    <row r="647" spans="1:2">
      <c r="A647" s="69" t="s">
        <v>3370</v>
      </c>
      <c r="B647" s="70" t="s">
        <v>3369</v>
      </c>
    </row>
    <row r="648" spans="1:2">
      <c r="A648" s="69" t="s">
        <v>3368</v>
      </c>
      <c r="B648" s="70" t="s">
        <v>3367</v>
      </c>
    </row>
    <row r="649" spans="1:2">
      <c r="A649" s="69" t="s">
        <v>3366</v>
      </c>
      <c r="B649" s="70" t="s">
        <v>3365</v>
      </c>
    </row>
    <row r="650" spans="1:2">
      <c r="A650" s="69" t="s">
        <v>3364</v>
      </c>
      <c r="B650" s="70" t="s">
        <v>3363</v>
      </c>
    </row>
    <row r="651" spans="1:2">
      <c r="A651" s="69" t="s">
        <v>3362</v>
      </c>
      <c r="B651" s="70" t="s">
        <v>3361</v>
      </c>
    </row>
    <row r="652" spans="1:2">
      <c r="A652" s="69" t="s">
        <v>3360</v>
      </c>
      <c r="B652" s="70" t="s">
        <v>3359</v>
      </c>
    </row>
    <row r="653" spans="1:2">
      <c r="A653" s="69" t="s">
        <v>3358</v>
      </c>
      <c r="B653" s="70" t="s">
        <v>3357</v>
      </c>
    </row>
    <row r="654" spans="1:2">
      <c r="A654" s="69" t="s">
        <v>3356</v>
      </c>
      <c r="B654" s="70" t="s">
        <v>3355</v>
      </c>
    </row>
    <row r="655" spans="1:2">
      <c r="A655" s="69" t="s">
        <v>3354</v>
      </c>
      <c r="B655" s="70" t="s">
        <v>3353</v>
      </c>
    </row>
    <row r="656" spans="1:2">
      <c r="A656" s="69" t="s">
        <v>3352</v>
      </c>
      <c r="B656" s="70" t="s">
        <v>3351</v>
      </c>
    </row>
    <row r="657" spans="1:2">
      <c r="A657" s="69" t="s">
        <v>3350</v>
      </c>
      <c r="B657" s="70" t="s">
        <v>3349</v>
      </c>
    </row>
    <row r="658" spans="1:2">
      <c r="A658" s="69" t="s">
        <v>3348</v>
      </c>
      <c r="B658" s="70" t="s">
        <v>3347</v>
      </c>
    </row>
    <row r="659" spans="1:2">
      <c r="A659" s="69" t="s">
        <v>3346</v>
      </c>
      <c r="B659" s="70" t="s">
        <v>3345</v>
      </c>
    </row>
    <row r="660" spans="1:2">
      <c r="A660" s="69" t="s">
        <v>3344</v>
      </c>
      <c r="B660" s="70" t="s">
        <v>3343</v>
      </c>
    </row>
    <row r="661" spans="1:2">
      <c r="A661" s="69" t="s">
        <v>3342</v>
      </c>
      <c r="B661" s="70" t="s">
        <v>3341</v>
      </c>
    </row>
    <row r="662" spans="1:2">
      <c r="A662" s="69" t="s">
        <v>3340</v>
      </c>
      <c r="B662" s="70" t="s">
        <v>3339</v>
      </c>
    </row>
    <row r="663" spans="1:2">
      <c r="A663" s="69" t="s">
        <v>3338</v>
      </c>
      <c r="B663" s="70" t="s">
        <v>3337</v>
      </c>
    </row>
    <row r="664" spans="1:2">
      <c r="A664" s="69" t="s">
        <v>3336</v>
      </c>
      <c r="B664" s="70" t="s">
        <v>3335</v>
      </c>
    </row>
    <row r="665" spans="1:2">
      <c r="A665" s="69" t="s">
        <v>3334</v>
      </c>
      <c r="B665" s="70" t="s">
        <v>3333</v>
      </c>
    </row>
    <row r="666" spans="1:2">
      <c r="A666" s="69" t="s">
        <v>3332</v>
      </c>
      <c r="B666" s="70" t="s">
        <v>3331</v>
      </c>
    </row>
    <row r="667" spans="1:2">
      <c r="A667" s="69" t="s">
        <v>3330</v>
      </c>
      <c r="B667" s="70" t="s">
        <v>3329</v>
      </c>
    </row>
    <row r="668" spans="1:2">
      <c r="A668" s="69" t="s">
        <v>3328</v>
      </c>
      <c r="B668" s="70" t="s">
        <v>3327</v>
      </c>
    </row>
    <row r="669" spans="1:2">
      <c r="A669" s="69" t="s">
        <v>3326</v>
      </c>
      <c r="B669" s="70" t="s">
        <v>3325</v>
      </c>
    </row>
    <row r="670" spans="1:2">
      <c r="A670" s="69" t="s">
        <v>3324</v>
      </c>
      <c r="B670" s="70" t="s">
        <v>3323</v>
      </c>
    </row>
    <row r="671" spans="1:2">
      <c r="A671" s="69" t="s">
        <v>3322</v>
      </c>
      <c r="B671" s="70" t="s">
        <v>3321</v>
      </c>
    </row>
    <row r="672" spans="1:2">
      <c r="A672" s="69" t="s">
        <v>3320</v>
      </c>
      <c r="B672" s="70" t="s">
        <v>3319</v>
      </c>
    </row>
    <row r="673" spans="1:2">
      <c r="A673" s="69" t="s">
        <v>3318</v>
      </c>
      <c r="B673" s="70" t="s">
        <v>3317</v>
      </c>
    </row>
    <row r="674" spans="1:2">
      <c r="A674" s="69" t="s">
        <v>3316</v>
      </c>
      <c r="B674" s="70" t="s">
        <v>3315</v>
      </c>
    </row>
    <row r="675" spans="1:2">
      <c r="A675" s="69" t="s">
        <v>3314</v>
      </c>
      <c r="B675" s="70" t="s">
        <v>3313</v>
      </c>
    </row>
    <row r="676" spans="1:2">
      <c r="A676" s="69" t="s">
        <v>3312</v>
      </c>
      <c r="B676" s="70" t="s">
        <v>3311</v>
      </c>
    </row>
    <row r="677" spans="1:2">
      <c r="A677" s="69" t="s">
        <v>3310</v>
      </c>
      <c r="B677" s="70" t="s">
        <v>3309</v>
      </c>
    </row>
    <row r="678" spans="1:2">
      <c r="A678" s="69" t="s">
        <v>3308</v>
      </c>
      <c r="B678" s="70" t="s">
        <v>3307</v>
      </c>
    </row>
    <row r="679" spans="1:2">
      <c r="A679" s="69" t="s">
        <v>3306</v>
      </c>
      <c r="B679" s="70" t="s">
        <v>3305</v>
      </c>
    </row>
    <row r="680" spans="1:2">
      <c r="A680" s="69" t="s">
        <v>3304</v>
      </c>
      <c r="B680" s="70" t="s">
        <v>3303</v>
      </c>
    </row>
    <row r="681" spans="1:2">
      <c r="A681" s="69" t="s">
        <v>3302</v>
      </c>
      <c r="B681" s="70" t="s">
        <v>3301</v>
      </c>
    </row>
    <row r="682" spans="1:2">
      <c r="A682" s="69" t="s">
        <v>3300</v>
      </c>
      <c r="B682" s="70" t="s">
        <v>3299</v>
      </c>
    </row>
    <row r="683" spans="1:2">
      <c r="A683" s="69" t="s">
        <v>3298</v>
      </c>
      <c r="B683" s="70" t="s">
        <v>3297</v>
      </c>
    </row>
    <row r="684" spans="1:2">
      <c r="A684" s="69" t="s">
        <v>3296</v>
      </c>
      <c r="B684" s="70" t="s">
        <v>3295</v>
      </c>
    </row>
    <row r="685" spans="1:2">
      <c r="A685" s="69" t="s">
        <v>3294</v>
      </c>
      <c r="B685" s="70" t="s">
        <v>3293</v>
      </c>
    </row>
    <row r="686" spans="1:2">
      <c r="A686" s="69" t="s">
        <v>3292</v>
      </c>
      <c r="B686" s="70" t="s">
        <v>3291</v>
      </c>
    </row>
    <row r="687" spans="1:2">
      <c r="A687" s="69" t="s">
        <v>3290</v>
      </c>
      <c r="B687" s="70" t="s">
        <v>3289</v>
      </c>
    </row>
    <row r="688" spans="1:2">
      <c r="A688" s="69" t="s">
        <v>3288</v>
      </c>
      <c r="B688" s="70" t="s">
        <v>3287</v>
      </c>
    </row>
    <row r="689" spans="1:2">
      <c r="A689" s="69" t="s">
        <v>3286</v>
      </c>
      <c r="B689" s="70" t="s">
        <v>3285</v>
      </c>
    </row>
    <row r="690" spans="1:2">
      <c r="A690" s="69" t="s">
        <v>3284</v>
      </c>
      <c r="B690" s="70" t="s">
        <v>3283</v>
      </c>
    </row>
    <row r="691" spans="1:2">
      <c r="A691" s="69" t="s">
        <v>3282</v>
      </c>
      <c r="B691" s="70" t="s">
        <v>3281</v>
      </c>
    </row>
    <row r="692" spans="1:2">
      <c r="A692" s="69" t="s">
        <v>3280</v>
      </c>
      <c r="B692" s="70" t="s">
        <v>3279</v>
      </c>
    </row>
    <row r="693" spans="1:2">
      <c r="A693" s="69" t="s">
        <v>3278</v>
      </c>
      <c r="B693" s="70" t="s">
        <v>3277</v>
      </c>
    </row>
    <row r="694" spans="1:2">
      <c r="A694" s="69" t="s">
        <v>3276</v>
      </c>
      <c r="B694" s="70" t="s">
        <v>3275</v>
      </c>
    </row>
    <row r="695" spans="1:2">
      <c r="A695" s="69" t="s">
        <v>3274</v>
      </c>
      <c r="B695" s="70" t="s">
        <v>3273</v>
      </c>
    </row>
    <row r="696" spans="1:2">
      <c r="A696" s="69" t="s">
        <v>3272</v>
      </c>
      <c r="B696" s="70" t="s">
        <v>3271</v>
      </c>
    </row>
    <row r="697" spans="1:2">
      <c r="A697" s="69" t="s">
        <v>3270</v>
      </c>
      <c r="B697" s="70" t="s">
        <v>3269</v>
      </c>
    </row>
    <row r="698" spans="1:2">
      <c r="A698" s="69" t="s">
        <v>3268</v>
      </c>
      <c r="B698" s="70" t="s">
        <v>3267</v>
      </c>
    </row>
    <row r="699" spans="1:2">
      <c r="A699" s="69" t="s">
        <v>3266</v>
      </c>
      <c r="B699" s="70" t="s">
        <v>3265</v>
      </c>
    </row>
    <row r="700" spans="1:2">
      <c r="A700" s="69" t="s">
        <v>3264</v>
      </c>
      <c r="B700" s="70" t="s">
        <v>3263</v>
      </c>
    </row>
    <row r="701" spans="1:2">
      <c r="A701" s="69" t="s">
        <v>3262</v>
      </c>
      <c r="B701" s="70" t="s">
        <v>3261</v>
      </c>
    </row>
    <row r="702" spans="1:2">
      <c r="A702" s="69" t="s">
        <v>3260</v>
      </c>
      <c r="B702" s="70" t="s">
        <v>3259</v>
      </c>
    </row>
    <row r="703" spans="1:2">
      <c r="A703" s="69" t="s">
        <v>3258</v>
      </c>
      <c r="B703" s="70" t="s">
        <v>3257</v>
      </c>
    </row>
    <row r="704" spans="1:2">
      <c r="A704" s="69" t="s">
        <v>3256</v>
      </c>
      <c r="B704" s="70" t="s">
        <v>3255</v>
      </c>
    </row>
    <row r="705" spans="1:2">
      <c r="A705" s="69" t="s">
        <v>3254</v>
      </c>
      <c r="B705" s="70" t="s">
        <v>3253</v>
      </c>
    </row>
    <row r="706" spans="1:2">
      <c r="A706" s="69" t="s">
        <v>3252</v>
      </c>
      <c r="B706" s="70" t="s">
        <v>3251</v>
      </c>
    </row>
    <row r="707" spans="1:2">
      <c r="A707" s="69" t="s">
        <v>3250</v>
      </c>
      <c r="B707" s="70" t="s">
        <v>3249</v>
      </c>
    </row>
    <row r="708" spans="1:2">
      <c r="A708" s="69" t="s">
        <v>3248</v>
      </c>
      <c r="B708" s="70" t="s">
        <v>3247</v>
      </c>
    </row>
    <row r="709" spans="1:2">
      <c r="A709" s="69" t="s">
        <v>3246</v>
      </c>
      <c r="B709" s="70" t="s">
        <v>3245</v>
      </c>
    </row>
    <row r="710" spans="1:2">
      <c r="A710" s="69" t="s">
        <v>3244</v>
      </c>
      <c r="B710" s="70" t="s">
        <v>3243</v>
      </c>
    </row>
    <row r="711" spans="1:2">
      <c r="A711" s="69" t="s">
        <v>3242</v>
      </c>
      <c r="B711" s="70" t="s">
        <v>3241</v>
      </c>
    </row>
    <row r="712" spans="1:2">
      <c r="A712" s="69" t="s">
        <v>3240</v>
      </c>
      <c r="B712" s="70" t="s">
        <v>3239</v>
      </c>
    </row>
    <row r="713" spans="1:2">
      <c r="A713" s="69" t="s">
        <v>3238</v>
      </c>
      <c r="B713" s="70" t="s">
        <v>3237</v>
      </c>
    </row>
    <row r="714" spans="1:2">
      <c r="A714" s="69" t="s">
        <v>3236</v>
      </c>
      <c r="B714" s="70" t="s">
        <v>3235</v>
      </c>
    </row>
    <row r="715" spans="1:2">
      <c r="A715" s="69" t="s">
        <v>3234</v>
      </c>
      <c r="B715" s="70" t="s">
        <v>3233</v>
      </c>
    </row>
    <row r="716" spans="1:2">
      <c r="A716" s="69" t="s">
        <v>3232</v>
      </c>
      <c r="B716" s="70" t="s">
        <v>3231</v>
      </c>
    </row>
    <row r="717" spans="1:2">
      <c r="A717" s="69" t="s">
        <v>3230</v>
      </c>
      <c r="B717" s="70" t="s">
        <v>3229</v>
      </c>
    </row>
    <row r="718" spans="1:2">
      <c r="A718" s="69" t="s">
        <v>3228</v>
      </c>
      <c r="B718" s="70" t="s">
        <v>3227</v>
      </c>
    </row>
    <row r="719" spans="1:2">
      <c r="A719" s="69" t="s">
        <v>3226</v>
      </c>
      <c r="B719" s="70" t="s">
        <v>3225</v>
      </c>
    </row>
    <row r="720" spans="1:2">
      <c r="A720" s="69" t="s">
        <v>3224</v>
      </c>
      <c r="B720" s="70" t="s">
        <v>3223</v>
      </c>
    </row>
    <row r="721" spans="1:2">
      <c r="A721" s="69" t="s">
        <v>3222</v>
      </c>
      <c r="B721" s="70" t="s">
        <v>3221</v>
      </c>
    </row>
    <row r="722" spans="1:2">
      <c r="A722" s="69" t="s">
        <v>3220</v>
      </c>
      <c r="B722" s="70" t="s">
        <v>3219</v>
      </c>
    </row>
    <row r="723" spans="1:2">
      <c r="A723" s="69" t="s">
        <v>3218</v>
      </c>
      <c r="B723" s="70" t="s">
        <v>3217</v>
      </c>
    </row>
    <row r="724" spans="1:2">
      <c r="A724" s="69" t="s">
        <v>3216</v>
      </c>
      <c r="B724" s="70" t="s">
        <v>3215</v>
      </c>
    </row>
    <row r="725" spans="1:2">
      <c r="A725" s="69" t="s">
        <v>3214</v>
      </c>
      <c r="B725" s="70" t="s">
        <v>3213</v>
      </c>
    </row>
    <row r="726" spans="1:2">
      <c r="A726" s="69" t="s">
        <v>3212</v>
      </c>
      <c r="B726" s="70" t="s">
        <v>3211</v>
      </c>
    </row>
    <row r="727" spans="1:2">
      <c r="A727" s="69" t="s">
        <v>3210</v>
      </c>
      <c r="B727" s="70" t="s">
        <v>3209</v>
      </c>
    </row>
    <row r="728" spans="1:2">
      <c r="A728" s="69" t="s">
        <v>3208</v>
      </c>
      <c r="B728" s="70" t="s">
        <v>3207</v>
      </c>
    </row>
    <row r="729" spans="1:2">
      <c r="A729" s="69" t="s">
        <v>3206</v>
      </c>
      <c r="B729" s="70" t="s">
        <v>3205</v>
      </c>
    </row>
    <row r="730" spans="1:2">
      <c r="A730" s="69" t="s">
        <v>3204</v>
      </c>
      <c r="B730" s="70" t="s">
        <v>3203</v>
      </c>
    </row>
    <row r="731" spans="1:2">
      <c r="A731" s="69" t="s">
        <v>3202</v>
      </c>
      <c r="B731" s="70" t="s">
        <v>3201</v>
      </c>
    </row>
    <row r="732" spans="1:2">
      <c r="A732" s="69" t="s">
        <v>3200</v>
      </c>
      <c r="B732" s="70" t="s">
        <v>3199</v>
      </c>
    </row>
    <row r="733" spans="1:2">
      <c r="A733" s="69" t="s">
        <v>3198</v>
      </c>
      <c r="B733" s="70" t="s">
        <v>3197</v>
      </c>
    </row>
    <row r="734" spans="1:2">
      <c r="A734" s="69" t="s">
        <v>3196</v>
      </c>
      <c r="B734" s="70" t="s">
        <v>3195</v>
      </c>
    </row>
    <row r="735" spans="1:2">
      <c r="A735" s="69" t="s">
        <v>3194</v>
      </c>
      <c r="B735" s="70" t="s">
        <v>3193</v>
      </c>
    </row>
    <row r="736" spans="1:2">
      <c r="A736" s="69" t="s">
        <v>3192</v>
      </c>
      <c r="B736" s="70" t="s">
        <v>3191</v>
      </c>
    </row>
    <row r="737" spans="1:2">
      <c r="A737" s="69" t="s">
        <v>3190</v>
      </c>
      <c r="B737" s="70" t="s">
        <v>3189</v>
      </c>
    </row>
    <row r="738" spans="1:2">
      <c r="A738" s="69" t="s">
        <v>3188</v>
      </c>
      <c r="B738" s="70" t="s">
        <v>3187</v>
      </c>
    </row>
    <row r="739" spans="1:2">
      <c r="A739" s="69" t="s">
        <v>3186</v>
      </c>
      <c r="B739" s="70" t="s">
        <v>3185</v>
      </c>
    </row>
    <row r="740" spans="1:2">
      <c r="A740" s="69" t="s">
        <v>3184</v>
      </c>
      <c r="B740" s="70" t="s">
        <v>3183</v>
      </c>
    </row>
    <row r="741" spans="1:2">
      <c r="A741" s="69" t="s">
        <v>3182</v>
      </c>
      <c r="B741" s="70" t="s">
        <v>3181</v>
      </c>
    </row>
    <row r="742" spans="1:2">
      <c r="A742" s="69" t="s">
        <v>3180</v>
      </c>
      <c r="B742" s="70" t="s">
        <v>3179</v>
      </c>
    </row>
    <row r="743" spans="1:2">
      <c r="A743" s="69" t="s">
        <v>3178</v>
      </c>
      <c r="B743" s="70" t="s">
        <v>3177</v>
      </c>
    </row>
    <row r="744" spans="1:2">
      <c r="A744" s="69" t="s">
        <v>3176</v>
      </c>
      <c r="B744" s="70" t="s">
        <v>3175</v>
      </c>
    </row>
    <row r="745" spans="1:2">
      <c r="A745" s="69" t="s">
        <v>3174</v>
      </c>
      <c r="B745" s="70" t="s">
        <v>3173</v>
      </c>
    </row>
    <row r="746" spans="1:2">
      <c r="A746" s="69" t="s">
        <v>3172</v>
      </c>
      <c r="B746" s="70" t="s">
        <v>3171</v>
      </c>
    </row>
    <row r="747" spans="1:2">
      <c r="A747" s="69" t="s">
        <v>3170</v>
      </c>
      <c r="B747" s="70" t="s">
        <v>3169</v>
      </c>
    </row>
    <row r="748" spans="1:2">
      <c r="A748" s="69" t="s">
        <v>3168</v>
      </c>
      <c r="B748" s="70" t="s">
        <v>3167</v>
      </c>
    </row>
    <row r="749" spans="1:2">
      <c r="A749" s="69" t="s">
        <v>3166</v>
      </c>
      <c r="B749" s="70" t="s">
        <v>3165</v>
      </c>
    </row>
    <row r="750" spans="1:2">
      <c r="A750" s="69" t="s">
        <v>3164</v>
      </c>
      <c r="B750" s="70" t="s">
        <v>3163</v>
      </c>
    </row>
    <row r="751" spans="1:2">
      <c r="A751" s="69" t="s">
        <v>3162</v>
      </c>
      <c r="B751" s="70" t="s">
        <v>3161</v>
      </c>
    </row>
    <row r="752" spans="1:2">
      <c r="A752" s="69" t="s">
        <v>3160</v>
      </c>
      <c r="B752" s="70" t="s">
        <v>3159</v>
      </c>
    </row>
    <row r="753" spans="1:2">
      <c r="A753" s="69" t="s">
        <v>3158</v>
      </c>
      <c r="B753" s="70" t="s">
        <v>3157</v>
      </c>
    </row>
    <row r="754" spans="1:2">
      <c r="A754" s="69" t="s">
        <v>3156</v>
      </c>
      <c r="B754" s="70" t="s">
        <v>3155</v>
      </c>
    </row>
    <row r="755" spans="1:2">
      <c r="A755" s="69" t="s">
        <v>3154</v>
      </c>
      <c r="B755" s="70" t="s">
        <v>3153</v>
      </c>
    </row>
    <row r="756" spans="1:2">
      <c r="A756" s="69" t="s">
        <v>3152</v>
      </c>
      <c r="B756" s="70" t="s">
        <v>3151</v>
      </c>
    </row>
    <row r="757" spans="1:2">
      <c r="A757" s="69" t="s">
        <v>3150</v>
      </c>
      <c r="B757" s="70" t="s">
        <v>3149</v>
      </c>
    </row>
    <row r="758" spans="1:2">
      <c r="A758" s="69" t="s">
        <v>3148</v>
      </c>
      <c r="B758" s="70" t="s">
        <v>3147</v>
      </c>
    </row>
    <row r="759" spans="1:2">
      <c r="A759" s="69" t="s">
        <v>3146</v>
      </c>
      <c r="B759" s="70" t="s">
        <v>3145</v>
      </c>
    </row>
    <row r="760" spans="1:2">
      <c r="A760" s="69" t="s">
        <v>3144</v>
      </c>
      <c r="B760" s="70" t="s">
        <v>3143</v>
      </c>
    </row>
    <row r="761" spans="1:2">
      <c r="A761" s="69" t="s">
        <v>3142</v>
      </c>
      <c r="B761" s="70" t="s">
        <v>3141</v>
      </c>
    </row>
    <row r="762" spans="1:2">
      <c r="A762" s="69" t="s">
        <v>3140</v>
      </c>
      <c r="B762" s="70" t="s">
        <v>3139</v>
      </c>
    </row>
    <row r="763" spans="1:2">
      <c r="A763" s="69" t="s">
        <v>3138</v>
      </c>
      <c r="B763" s="70" t="s">
        <v>3137</v>
      </c>
    </row>
    <row r="764" spans="1:2">
      <c r="A764" s="69" t="s">
        <v>3136</v>
      </c>
      <c r="B764" s="70" t="s">
        <v>3135</v>
      </c>
    </row>
    <row r="765" spans="1:2">
      <c r="A765" s="69" t="s">
        <v>3134</v>
      </c>
      <c r="B765" s="70" t="s">
        <v>3133</v>
      </c>
    </row>
    <row r="766" spans="1:2">
      <c r="A766" s="69" t="s">
        <v>3132</v>
      </c>
      <c r="B766" s="70" t="s">
        <v>3131</v>
      </c>
    </row>
    <row r="767" spans="1:2">
      <c r="A767" s="69" t="s">
        <v>3130</v>
      </c>
      <c r="B767" s="70" t="s">
        <v>3129</v>
      </c>
    </row>
    <row r="768" spans="1:2">
      <c r="A768" s="69" t="s">
        <v>3128</v>
      </c>
      <c r="B768" s="70" t="s">
        <v>3127</v>
      </c>
    </row>
    <row r="769" spans="1:2">
      <c r="A769" s="69" t="s">
        <v>3126</v>
      </c>
      <c r="B769" s="70" t="s">
        <v>3125</v>
      </c>
    </row>
    <row r="770" spans="1:2">
      <c r="A770" s="69" t="s">
        <v>3124</v>
      </c>
      <c r="B770" s="70" t="s">
        <v>3123</v>
      </c>
    </row>
    <row r="771" spans="1:2">
      <c r="A771" s="69" t="s">
        <v>3122</v>
      </c>
      <c r="B771" s="70" t="s">
        <v>3121</v>
      </c>
    </row>
    <row r="772" spans="1:2">
      <c r="A772" s="69" t="s">
        <v>3120</v>
      </c>
      <c r="B772" s="70" t="s">
        <v>3119</v>
      </c>
    </row>
    <row r="773" spans="1:2">
      <c r="A773" s="69" t="s">
        <v>3118</v>
      </c>
      <c r="B773" s="70" t="s">
        <v>3117</v>
      </c>
    </row>
    <row r="774" spans="1:2">
      <c r="A774" s="69" t="s">
        <v>3116</v>
      </c>
      <c r="B774" s="70" t="s">
        <v>3115</v>
      </c>
    </row>
    <row r="775" spans="1:2">
      <c r="A775" s="69" t="s">
        <v>3114</v>
      </c>
      <c r="B775" s="70" t="s">
        <v>3113</v>
      </c>
    </row>
    <row r="776" spans="1:2">
      <c r="A776" s="69" t="s">
        <v>3112</v>
      </c>
      <c r="B776" s="70" t="s">
        <v>3111</v>
      </c>
    </row>
    <row r="777" spans="1:2">
      <c r="A777" s="69" t="s">
        <v>3110</v>
      </c>
      <c r="B777" s="70" t="s">
        <v>3109</v>
      </c>
    </row>
    <row r="778" spans="1:2">
      <c r="A778" s="69" t="s">
        <v>3108</v>
      </c>
      <c r="B778" s="70" t="s">
        <v>3107</v>
      </c>
    </row>
    <row r="779" spans="1:2" ht="14.25" thickBot="1">
      <c r="A779" s="71" t="s">
        <v>3106</v>
      </c>
      <c r="B779" s="72" t="s">
        <v>3105</v>
      </c>
    </row>
  </sheetData>
  <phoneticPr fontId="1" type="noConversion"/>
  <hyperlinks>
    <hyperlink ref="A1" location="별첨8" display="목록으로 이동" xr:uid="{00000000-0004-0000-0800-000000000000}"/>
  </hyperlink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13A6-20BF-48C0-8775-6B409AA95317}">
  <dimension ref="A1:F192"/>
  <sheetViews>
    <sheetView workbookViewId="0">
      <selection activeCell="A4" sqref="A4"/>
    </sheetView>
  </sheetViews>
  <sheetFormatPr defaultRowHeight="13.5"/>
  <cols>
    <col min="1" max="1" width="40.25" style="82" customWidth="1"/>
    <col min="2" max="2" width="27" style="194" bestFit="1" customWidth="1"/>
    <col min="3" max="3" width="8.875" style="26" customWidth="1"/>
    <col min="4" max="4" width="46.25" style="194" customWidth="1"/>
    <col min="5" max="5" width="102.375" style="124" customWidth="1"/>
    <col min="6" max="16384" width="9" style="14"/>
  </cols>
  <sheetData>
    <row r="1" spans="1:5" s="64" customFormat="1" ht="14.25" customHeight="1" thickBot="1">
      <c r="A1" s="244" t="s">
        <v>4606</v>
      </c>
      <c r="B1" s="129"/>
      <c r="C1" s="254"/>
      <c r="D1" s="129"/>
      <c r="E1" s="112"/>
    </row>
    <row r="2" spans="1:5" s="64" customFormat="1" ht="14.25" thickBot="1">
      <c r="A2" s="130" t="s">
        <v>4709</v>
      </c>
      <c r="B2" s="147" t="s">
        <v>4613</v>
      </c>
      <c r="C2" s="255" t="s">
        <v>4710</v>
      </c>
      <c r="D2" s="195" t="s">
        <v>4717</v>
      </c>
      <c r="E2" s="113" t="s">
        <v>4737</v>
      </c>
    </row>
    <row r="3" spans="1:5" s="64" customFormat="1">
      <c r="A3" s="190" t="s">
        <v>450</v>
      </c>
      <c r="B3" s="191" t="s">
        <v>4768</v>
      </c>
      <c r="C3" s="256"/>
      <c r="D3" s="191" t="s">
        <v>4657</v>
      </c>
      <c r="E3" s="122" t="str">
        <f>_xlfn.TEXTJOIN("",FALSE,C3:D3)</f>
        <v>&lt;별첨1&gt; 참조</v>
      </c>
    </row>
    <row r="4" spans="1:5" s="64" customFormat="1">
      <c r="A4" s="190" t="s">
        <v>448</v>
      </c>
      <c r="B4" s="191" t="s">
        <v>4771</v>
      </c>
      <c r="C4" s="256"/>
      <c r="D4" s="191" t="s">
        <v>4774</v>
      </c>
      <c r="E4" s="122" t="str">
        <f t="shared" ref="E4:E22" si="0">_xlfn.TEXTJOIN("",FALSE,C4:D4)</f>
        <v>&lt;별첨2&gt; 참조</v>
      </c>
    </row>
    <row r="5" spans="1:5" s="64" customFormat="1">
      <c r="A5" s="216" t="s">
        <v>4803</v>
      </c>
      <c r="B5" s="193" t="s">
        <v>4771</v>
      </c>
      <c r="C5" s="256"/>
      <c r="D5" s="193" t="s">
        <v>4774</v>
      </c>
      <c r="E5" s="122" t="str">
        <f t="shared" si="0"/>
        <v>&lt;별첨2&gt; 참조</v>
      </c>
    </row>
    <row r="6" spans="1:5" s="64" customFormat="1">
      <c r="A6" s="216" t="s">
        <v>4804</v>
      </c>
      <c r="B6" s="193" t="s">
        <v>4771</v>
      </c>
      <c r="C6" s="256"/>
      <c r="D6" s="193" t="s">
        <v>4774</v>
      </c>
      <c r="E6" s="122" t="str">
        <f t="shared" si="0"/>
        <v>&lt;별첨2&gt; 참조</v>
      </c>
    </row>
    <row r="7" spans="1:5" s="64" customFormat="1">
      <c r="A7" s="215" t="s">
        <v>4805</v>
      </c>
      <c r="B7" s="193" t="s">
        <v>4771</v>
      </c>
      <c r="C7" s="256"/>
      <c r="D7" s="193" t="s">
        <v>4774</v>
      </c>
      <c r="E7" s="122" t="str">
        <f t="shared" si="0"/>
        <v>&lt;별첨2&gt; 참조</v>
      </c>
    </row>
    <row r="8" spans="1:5" s="64" customFormat="1">
      <c r="A8" s="215" t="s">
        <v>4806</v>
      </c>
      <c r="B8" s="193" t="s">
        <v>4771</v>
      </c>
      <c r="C8" s="256"/>
      <c r="D8" s="193" t="s">
        <v>4774</v>
      </c>
      <c r="E8" s="122" t="str">
        <f t="shared" si="0"/>
        <v>&lt;별첨2&gt; 참조</v>
      </c>
    </row>
    <row r="9" spans="1:5" s="64" customFormat="1">
      <c r="A9" s="215" t="s">
        <v>4807</v>
      </c>
      <c r="B9" s="193" t="s">
        <v>4771</v>
      </c>
      <c r="C9" s="256"/>
      <c r="D9" s="193" t="s">
        <v>4774</v>
      </c>
      <c r="E9" s="122" t="str">
        <f t="shared" si="0"/>
        <v>&lt;별첨2&gt; 참조</v>
      </c>
    </row>
    <row r="10" spans="1:5" s="64" customFormat="1">
      <c r="A10" s="190" t="s">
        <v>4780</v>
      </c>
      <c r="B10" s="191" t="s">
        <v>4769</v>
      </c>
      <c r="C10" s="256"/>
      <c r="D10" s="191" t="s">
        <v>46</v>
      </c>
      <c r="E10" s="122" t="str">
        <f t="shared" si="0"/>
        <v>&lt;별첨3&gt; 참조</v>
      </c>
    </row>
    <row r="11" spans="1:5" s="64" customFormat="1">
      <c r="A11" s="190" t="s">
        <v>4781</v>
      </c>
      <c r="B11" s="191" t="s">
        <v>4769</v>
      </c>
      <c r="C11" s="256"/>
      <c r="D11" s="191" t="s">
        <v>46</v>
      </c>
      <c r="E11" s="122" t="str">
        <f t="shared" ref="E11" si="1">_xlfn.TEXTJOIN("",FALSE,C11:D11)</f>
        <v>&lt;별첨3&gt; 참조</v>
      </c>
    </row>
    <row r="12" spans="1:5" s="64" customFormat="1">
      <c r="A12" s="190" t="s">
        <v>4782</v>
      </c>
      <c r="B12" s="191" t="s">
        <v>4769</v>
      </c>
      <c r="C12" s="256"/>
      <c r="D12" s="191" t="s">
        <v>46</v>
      </c>
      <c r="E12" s="122" t="str">
        <f t="shared" ref="E12" si="2">_xlfn.TEXTJOIN("",FALSE,C12:D12)</f>
        <v>&lt;별첨3&gt; 참조</v>
      </c>
    </row>
    <row r="13" spans="1:5" s="64" customFormat="1">
      <c r="A13" s="190" t="s">
        <v>4783</v>
      </c>
      <c r="B13" s="191" t="s">
        <v>4769</v>
      </c>
      <c r="C13" s="256"/>
      <c r="D13" s="191" t="s">
        <v>46</v>
      </c>
      <c r="E13" s="122" t="str">
        <f t="shared" ref="E13:E17" si="3">_xlfn.TEXTJOIN("",FALSE,C13:D13)</f>
        <v>&lt;별첨3&gt; 참조</v>
      </c>
    </row>
    <row r="14" spans="1:5" s="64" customFormat="1">
      <c r="A14" s="215" t="s">
        <v>91</v>
      </c>
      <c r="B14" s="191" t="s">
        <v>4769</v>
      </c>
      <c r="C14" s="256"/>
      <c r="D14" s="193" t="s">
        <v>46</v>
      </c>
      <c r="E14" s="122" t="str">
        <f t="shared" si="3"/>
        <v>&lt;별첨3&gt; 참조</v>
      </c>
    </row>
    <row r="15" spans="1:5" s="64" customFormat="1">
      <c r="A15" s="215" t="s">
        <v>4802</v>
      </c>
      <c r="B15" s="191" t="s">
        <v>4769</v>
      </c>
      <c r="C15" s="256"/>
      <c r="D15" s="193" t="s">
        <v>46</v>
      </c>
      <c r="E15" s="122" t="str">
        <f t="shared" si="3"/>
        <v>&lt;별첨3&gt; 참조</v>
      </c>
    </row>
    <row r="16" spans="1:5" s="64" customFormat="1">
      <c r="A16" s="215" t="s">
        <v>336</v>
      </c>
      <c r="B16" s="191" t="s">
        <v>4769</v>
      </c>
      <c r="C16" s="256"/>
      <c r="D16" s="193" t="s">
        <v>46</v>
      </c>
      <c r="E16" s="122" t="str">
        <f t="shared" si="3"/>
        <v>&lt;별첨3&gt; 참조</v>
      </c>
    </row>
    <row r="17" spans="1:6" s="64" customFormat="1">
      <c r="A17" s="215" t="s">
        <v>270</v>
      </c>
      <c r="B17" s="191" t="s">
        <v>4769</v>
      </c>
      <c r="C17" s="256"/>
      <c r="D17" s="193" t="s">
        <v>46</v>
      </c>
      <c r="E17" s="122" t="str">
        <f t="shared" si="3"/>
        <v>&lt;별첨3&gt; 참조</v>
      </c>
    </row>
    <row r="18" spans="1:6" s="64" customFormat="1">
      <c r="A18" s="190" t="s">
        <v>4615</v>
      </c>
      <c r="B18" s="191" t="s">
        <v>4770</v>
      </c>
      <c r="C18" s="256"/>
      <c r="D18" s="191" t="s">
        <v>4775</v>
      </c>
      <c r="E18" s="122" t="str">
        <f t="shared" si="0"/>
        <v>&lt;별첨4&gt; 참조</v>
      </c>
    </row>
    <row r="19" spans="1:6" s="64" customFormat="1">
      <c r="A19" s="190" t="s">
        <v>4614</v>
      </c>
      <c r="B19" s="191" t="s">
        <v>4808</v>
      </c>
      <c r="C19" s="256"/>
      <c r="D19" s="191" t="s">
        <v>4776</v>
      </c>
      <c r="E19" s="122" t="str">
        <f t="shared" si="0"/>
        <v>&lt;별첨5&gt; 참조</v>
      </c>
    </row>
    <row r="20" spans="1:6" s="64" customFormat="1">
      <c r="A20" s="190" t="s">
        <v>4785</v>
      </c>
      <c r="B20" s="191" t="s">
        <v>4772</v>
      </c>
      <c r="C20" s="256"/>
      <c r="D20" s="191" t="s">
        <v>253</v>
      </c>
      <c r="E20" s="122" t="str">
        <f t="shared" si="0"/>
        <v>&lt;별첨6&gt; 참조</v>
      </c>
    </row>
    <row r="21" spans="1:6" s="64" customFormat="1">
      <c r="A21" s="190" t="s">
        <v>441</v>
      </c>
      <c r="B21" s="191" t="s">
        <v>4773</v>
      </c>
      <c r="C21" s="256"/>
      <c r="D21" s="191" t="s">
        <v>4777</v>
      </c>
      <c r="E21" s="122" t="str">
        <f t="shared" si="0"/>
        <v>&lt;별첨7&gt; 참조</v>
      </c>
    </row>
    <row r="22" spans="1:6" s="221" customFormat="1">
      <c r="A22" s="192" t="s">
        <v>439</v>
      </c>
      <c r="B22" s="193" t="s">
        <v>5072</v>
      </c>
      <c r="C22" s="256"/>
      <c r="D22" s="193" t="s">
        <v>4778</v>
      </c>
      <c r="E22" s="122" t="str">
        <f t="shared" si="0"/>
        <v>&lt;별첨8&gt; 참조</v>
      </c>
      <c r="F22" s="285"/>
    </row>
    <row r="23" spans="1:6" s="221" customFormat="1">
      <c r="A23" s="111" t="s">
        <v>327</v>
      </c>
      <c r="B23" s="110" t="s">
        <v>4711</v>
      </c>
      <c r="C23" s="256" t="s">
        <v>4713</v>
      </c>
      <c r="D23" s="121" t="s">
        <v>4715</v>
      </c>
      <c r="E23" s="122" t="str">
        <f t="shared" ref="E23:E90" si="4">_xlfn.TEXTJOIN(" : ",FALSE,C23:D23)</f>
        <v>1 : 신속</v>
      </c>
      <c r="F23" s="285"/>
    </row>
    <row r="24" spans="1:6" s="64" customFormat="1">
      <c r="A24" s="111" t="s">
        <v>327</v>
      </c>
      <c r="B24" s="110" t="s">
        <v>4711</v>
      </c>
      <c r="C24" s="256" t="s">
        <v>4714</v>
      </c>
      <c r="D24" s="121" t="s">
        <v>4716</v>
      </c>
      <c r="E24" s="122" t="str">
        <f t="shared" si="4"/>
        <v>2 : 보통</v>
      </c>
    </row>
    <row r="25" spans="1:6" s="64" customFormat="1">
      <c r="A25" s="218" t="s">
        <v>231</v>
      </c>
      <c r="B25" s="193" t="s">
        <v>4711</v>
      </c>
      <c r="C25" s="256" t="s">
        <v>4713</v>
      </c>
      <c r="D25" s="219" t="s">
        <v>4812</v>
      </c>
      <c r="E25" s="122" t="str">
        <f t="shared" si="4"/>
        <v>1 : 신속</v>
      </c>
    </row>
    <row r="26" spans="1:6" s="64" customFormat="1">
      <c r="A26" s="218" t="s">
        <v>231</v>
      </c>
      <c r="B26" s="193" t="s">
        <v>4711</v>
      </c>
      <c r="C26" s="256" t="s">
        <v>4714</v>
      </c>
      <c r="D26" s="219" t="s">
        <v>4813</v>
      </c>
      <c r="E26" s="122" t="str">
        <f t="shared" si="4"/>
        <v>2 : 보통</v>
      </c>
    </row>
    <row r="27" spans="1:6" s="64" customFormat="1">
      <c r="A27" s="215" t="s">
        <v>232</v>
      </c>
      <c r="B27" s="220" t="s">
        <v>4711</v>
      </c>
      <c r="C27" s="256" t="s">
        <v>4713</v>
      </c>
      <c r="D27" s="219" t="s">
        <v>4812</v>
      </c>
      <c r="E27" s="122" t="str">
        <f t="shared" si="4"/>
        <v>1 : 신속</v>
      </c>
    </row>
    <row r="28" spans="1:6" s="64" customFormat="1">
      <c r="A28" s="215" t="s">
        <v>232</v>
      </c>
      <c r="B28" s="220" t="s">
        <v>4711</v>
      </c>
      <c r="C28" s="256" t="s">
        <v>4714</v>
      </c>
      <c r="D28" s="219" t="s">
        <v>4813</v>
      </c>
      <c r="E28" s="122" t="str">
        <f t="shared" si="4"/>
        <v>2 : 보통</v>
      </c>
    </row>
    <row r="29" spans="1:6" s="64" customFormat="1">
      <c r="A29" s="218" t="s">
        <v>4814</v>
      </c>
      <c r="B29" s="220" t="s">
        <v>4711</v>
      </c>
      <c r="C29" s="256" t="s">
        <v>4713</v>
      </c>
      <c r="D29" s="219" t="s">
        <v>4812</v>
      </c>
      <c r="E29" s="122" t="str">
        <f t="shared" si="4"/>
        <v>1 : 신속</v>
      </c>
    </row>
    <row r="30" spans="1:6" s="64" customFormat="1">
      <c r="A30" s="218" t="s">
        <v>4814</v>
      </c>
      <c r="B30" s="220" t="s">
        <v>4711</v>
      </c>
      <c r="C30" s="256" t="s">
        <v>4714</v>
      </c>
      <c r="D30" s="219" t="s">
        <v>4813</v>
      </c>
      <c r="E30" s="122" t="str">
        <f t="shared" si="4"/>
        <v>2 : 보통</v>
      </c>
    </row>
    <row r="31" spans="1:6" s="64" customFormat="1">
      <c r="A31" s="218" t="s">
        <v>4815</v>
      </c>
      <c r="B31" s="220" t="s">
        <v>4711</v>
      </c>
      <c r="C31" s="256" t="s">
        <v>4713</v>
      </c>
      <c r="D31" s="219" t="s">
        <v>4812</v>
      </c>
      <c r="E31" s="122" t="str">
        <f t="shared" si="4"/>
        <v>1 : 신속</v>
      </c>
    </row>
    <row r="32" spans="1:6" s="64" customFormat="1">
      <c r="A32" s="218" t="s">
        <v>4815</v>
      </c>
      <c r="B32" s="220" t="s">
        <v>4711</v>
      </c>
      <c r="C32" s="256" t="s">
        <v>4714</v>
      </c>
      <c r="D32" s="219" t="s">
        <v>4813</v>
      </c>
      <c r="E32" s="122" t="str">
        <f t="shared" si="4"/>
        <v>2 : 보통</v>
      </c>
    </row>
    <row r="33" spans="1:5" s="64" customFormat="1">
      <c r="A33" s="215" t="s">
        <v>4816</v>
      </c>
      <c r="B33" s="220" t="s">
        <v>4817</v>
      </c>
      <c r="C33" s="256" t="s">
        <v>4713</v>
      </c>
      <c r="D33" s="219" t="s">
        <v>4818</v>
      </c>
      <c r="E33" s="122" t="str">
        <f t="shared" si="4"/>
        <v>1 : 한은금융망 당좌예금계좌</v>
      </c>
    </row>
    <row r="34" spans="1:5" s="64" customFormat="1">
      <c r="A34" s="215" t="s">
        <v>217</v>
      </c>
      <c r="B34" s="220" t="s">
        <v>4817</v>
      </c>
      <c r="C34" s="256" t="s">
        <v>4714</v>
      </c>
      <c r="D34" s="219" t="s">
        <v>4819</v>
      </c>
      <c r="E34" s="122" t="str">
        <f t="shared" si="4"/>
        <v>2 : 금융결제국 당좌예금계좌</v>
      </c>
    </row>
    <row r="35" spans="1:5" s="64" customFormat="1">
      <c r="A35" s="215" t="s">
        <v>110</v>
      </c>
      <c r="B35" s="220" t="s">
        <v>4820</v>
      </c>
      <c r="C35" s="257" t="s">
        <v>4821</v>
      </c>
      <c r="D35" s="219" t="s">
        <v>4822</v>
      </c>
      <c r="E35" s="122" t="str">
        <f t="shared" si="4"/>
        <v>11 : 지정시점예약자금이체</v>
      </c>
    </row>
    <row r="36" spans="1:5" s="64" customFormat="1">
      <c r="A36" s="215" t="s">
        <v>110</v>
      </c>
      <c r="B36" s="220" t="s">
        <v>4820</v>
      </c>
      <c r="C36" s="257" t="s">
        <v>4823</v>
      </c>
      <c r="D36" s="219" t="s">
        <v>4824</v>
      </c>
      <c r="E36" s="122" t="str">
        <f t="shared" si="4"/>
        <v>21 : 일반자금이체</v>
      </c>
    </row>
    <row r="37" spans="1:5" s="64" customFormat="1">
      <c r="A37" s="215" t="s">
        <v>110</v>
      </c>
      <c r="B37" s="220" t="s">
        <v>4820</v>
      </c>
      <c r="C37" s="257" t="s">
        <v>4825</v>
      </c>
      <c r="D37" s="219" t="s">
        <v>4826</v>
      </c>
      <c r="E37" s="122" t="str">
        <f t="shared" si="4"/>
        <v>22 : 수취인지정자금이체</v>
      </c>
    </row>
    <row r="38" spans="1:5" s="64" customFormat="1">
      <c r="A38" s="215" t="s">
        <v>110</v>
      </c>
      <c r="B38" s="220" t="s">
        <v>4820</v>
      </c>
      <c r="C38" s="257" t="s">
        <v>4827</v>
      </c>
      <c r="D38" s="219" t="s">
        <v>4828</v>
      </c>
      <c r="E38" s="122" t="str">
        <f t="shared" si="4"/>
        <v>23 : 콜공급-직거래</v>
      </c>
    </row>
    <row r="39" spans="1:5" s="64" customFormat="1">
      <c r="A39" s="215" t="s">
        <v>110</v>
      </c>
      <c r="B39" s="193" t="s">
        <v>4820</v>
      </c>
      <c r="C39" s="257" t="s">
        <v>4829</v>
      </c>
      <c r="D39" s="219" t="s">
        <v>4830</v>
      </c>
      <c r="E39" s="122" t="str">
        <f t="shared" si="4"/>
        <v>24 : 콜공급-중개거래</v>
      </c>
    </row>
    <row r="40" spans="1:5" s="64" customFormat="1">
      <c r="A40" s="215" t="s">
        <v>110</v>
      </c>
      <c r="B40" s="193" t="s">
        <v>4820</v>
      </c>
      <c r="C40" s="257" t="s">
        <v>4831</v>
      </c>
      <c r="D40" s="219" t="s">
        <v>4422</v>
      </c>
      <c r="E40" s="122" t="str">
        <f t="shared" si="4"/>
        <v>25 : 콜상환</v>
      </c>
    </row>
    <row r="41" spans="1:5" s="64" customFormat="1">
      <c r="A41" s="215" t="s">
        <v>337</v>
      </c>
      <c r="B41" s="219" t="s">
        <v>4832</v>
      </c>
      <c r="C41" s="257" t="s">
        <v>4833</v>
      </c>
      <c r="D41" s="219" t="s">
        <v>4834</v>
      </c>
      <c r="E41" s="122" t="str">
        <f t="shared" si="4"/>
        <v>01 : DVP결제</v>
      </c>
    </row>
    <row r="42" spans="1:5" s="64" customFormat="1">
      <c r="A42" s="215" t="s">
        <v>337</v>
      </c>
      <c r="B42" s="219" t="s">
        <v>4832</v>
      </c>
      <c r="C42" s="257" t="s">
        <v>4835</v>
      </c>
      <c r="D42" s="219" t="s">
        <v>4836</v>
      </c>
      <c r="E42" s="122" t="str">
        <f t="shared" si="4"/>
        <v>02 : DVP결제제외(FOS)</v>
      </c>
    </row>
    <row r="43" spans="1:5" s="64" customFormat="1">
      <c r="A43" s="284" t="s">
        <v>5283</v>
      </c>
      <c r="B43" s="220" t="s">
        <v>4837</v>
      </c>
      <c r="C43" s="256" t="s">
        <v>4713</v>
      </c>
      <c r="D43" s="193" t="s">
        <v>4838</v>
      </c>
      <c r="E43" s="122" t="str">
        <f t="shared" si="4"/>
        <v>1 : PAY-IN</v>
      </c>
    </row>
    <row r="44" spans="1:5" s="64" customFormat="1">
      <c r="A44" s="284" t="s">
        <v>5283</v>
      </c>
      <c r="B44" s="220" t="s">
        <v>4837</v>
      </c>
      <c r="C44" s="256" t="s">
        <v>4714</v>
      </c>
      <c r="D44" s="193" t="s">
        <v>4839</v>
      </c>
      <c r="E44" s="122" t="str">
        <f t="shared" si="4"/>
        <v>2 : 유동성공급</v>
      </c>
    </row>
    <row r="45" spans="1:5" s="64" customFormat="1">
      <c r="A45" s="284" t="s">
        <v>5283</v>
      </c>
      <c r="B45" s="220" t="s">
        <v>4837</v>
      </c>
      <c r="C45" s="256" t="s">
        <v>4722</v>
      </c>
      <c r="D45" s="193" t="s">
        <v>4840</v>
      </c>
      <c r="E45" s="122" t="str">
        <f t="shared" si="4"/>
        <v>3 : BULKING</v>
      </c>
    </row>
    <row r="46" spans="1:5" s="64" customFormat="1">
      <c r="A46" s="111" t="s">
        <v>328</v>
      </c>
      <c r="B46" s="110" t="s">
        <v>4718</v>
      </c>
      <c r="C46" s="256" t="s">
        <v>4713</v>
      </c>
      <c r="D46" s="110" t="s">
        <v>4719</v>
      </c>
      <c r="E46" s="122" t="str">
        <f t="shared" si="4"/>
        <v>1 : 즉시</v>
      </c>
    </row>
    <row r="47" spans="1:5" s="64" customFormat="1">
      <c r="A47" s="111" t="s">
        <v>328</v>
      </c>
      <c r="B47" s="110" t="s">
        <v>4718</v>
      </c>
      <c r="C47" s="256" t="s">
        <v>4714</v>
      </c>
      <c r="D47" s="110" t="s">
        <v>4720</v>
      </c>
      <c r="E47" s="122" t="str">
        <f t="shared" si="4"/>
        <v>2 : 예약</v>
      </c>
    </row>
    <row r="48" spans="1:5" s="64" customFormat="1">
      <c r="A48" s="111" t="s">
        <v>339</v>
      </c>
      <c r="B48" s="110" t="s">
        <v>4721</v>
      </c>
      <c r="C48" s="256" t="s">
        <v>4713</v>
      </c>
      <c r="D48" s="121" t="s">
        <v>4720</v>
      </c>
      <c r="E48" s="122" t="str">
        <f t="shared" si="4"/>
        <v>1 : 예약</v>
      </c>
    </row>
    <row r="49" spans="1:5" s="64" customFormat="1">
      <c r="A49" s="111" t="s">
        <v>339</v>
      </c>
      <c r="B49" s="110" t="s">
        <v>4721</v>
      </c>
      <c r="C49" s="256" t="s">
        <v>4714</v>
      </c>
      <c r="D49" s="121" t="s">
        <v>4726</v>
      </c>
      <c r="E49" s="122" t="str">
        <f t="shared" si="4"/>
        <v>2 : 대기</v>
      </c>
    </row>
    <row r="50" spans="1:5" s="64" customFormat="1">
      <c r="A50" s="111" t="s">
        <v>339</v>
      </c>
      <c r="B50" s="110" t="s">
        <v>4721</v>
      </c>
      <c r="C50" s="256" t="s">
        <v>4722</v>
      </c>
      <c r="D50" s="121" t="s">
        <v>4727</v>
      </c>
      <c r="E50" s="122" t="str">
        <f t="shared" si="4"/>
        <v>3 : 결제</v>
      </c>
    </row>
    <row r="51" spans="1:5" s="64" customFormat="1">
      <c r="A51" s="111" t="s">
        <v>339</v>
      </c>
      <c r="B51" s="110" t="s">
        <v>4721</v>
      </c>
      <c r="C51" s="256" t="s">
        <v>4723</v>
      </c>
      <c r="D51" s="121" t="s">
        <v>4728</v>
      </c>
      <c r="E51" s="122" t="str">
        <f t="shared" si="4"/>
        <v>4 : 취소</v>
      </c>
    </row>
    <row r="52" spans="1:5" s="64" customFormat="1">
      <c r="A52" s="111" t="s">
        <v>339</v>
      </c>
      <c r="B52" s="110" t="s">
        <v>4721</v>
      </c>
      <c r="C52" s="256" t="s">
        <v>4724</v>
      </c>
      <c r="D52" s="121" t="s">
        <v>4729</v>
      </c>
      <c r="E52" s="122" t="str">
        <f t="shared" si="4"/>
        <v>5 : 예약취소</v>
      </c>
    </row>
    <row r="53" spans="1:5" s="64" customFormat="1">
      <c r="A53" s="111" t="s">
        <v>339</v>
      </c>
      <c r="B53" s="110" t="s">
        <v>4721</v>
      </c>
      <c r="C53" s="256" t="s">
        <v>4725</v>
      </c>
      <c r="D53" s="121" t="s">
        <v>4730</v>
      </c>
      <c r="E53" s="122" t="str">
        <f t="shared" si="4"/>
        <v>6 : 실행오류</v>
      </c>
    </row>
    <row r="54" spans="1:5" s="64" customFormat="1">
      <c r="A54" s="284" t="s">
        <v>5281</v>
      </c>
      <c r="B54" s="193" t="s">
        <v>4739</v>
      </c>
      <c r="C54" s="256" t="s">
        <v>4713</v>
      </c>
      <c r="D54" s="193" t="s">
        <v>4726</v>
      </c>
      <c r="E54" s="122" t="str">
        <f>_xlfn.TEXTJOIN(" : ",FALSE,C54:D54)</f>
        <v>1 : 대기</v>
      </c>
    </row>
    <row r="55" spans="1:5" s="64" customFormat="1">
      <c r="A55" s="284" t="s">
        <v>5281</v>
      </c>
      <c r="B55" s="193" t="s">
        <v>4739</v>
      </c>
      <c r="C55" s="256" t="s">
        <v>4714</v>
      </c>
      <c r="D55" s="193" t="s">
        <v>4860</v>
      </c>
      <c r="E55" s="122" t="str">
        <f>_xlfn.TEXTJOIN(" : ",FALSE,C55:D55)</f>
        <v>2 : 결제</v>
      </c>
    </row>
    <row r="56" spans="1:5" s="64" customFormat="1">
      <c r="A56" s="111" t="s">
        <v>54</v>
      </c>
      <c r="B56" s="110" t="s">
        <v>4731</v>
      </c>
      <c r="C56" s="256" t="s">
        <v>4713</v>
      </c>
      <c r="D56" s="121" t="s">
        <v>4733</v>
      </c>
      <c r="E56" s="122" t="str">
        <f t="shared" si="4"/>
        <v>1 : 총액결제</v>
      </c>
    </row>
    <row r="57" spans="1:5" s="64" customFormat="1">
      <c r="A57" s="111" t="s">
        <v>54</v>
      </c>
      <c r="B57" s="110" t="s">
        <v>4731</v>
      </c>
      <c r="C57" s="256" t="s">
        <v>4714</v>
      </c>
      <c r="D57" s="121" t="s">
        <v>4734</v>
      </c>
      <c r="E57" s="122" t="str">
        <f t="shared" si="4"/>
        <v>2 : 양자간 동시처리</v>
      </c>
    </row>
    <row r="58" spans="1:5" s="64" customFormat="1">
      <c r="A58" s="111" t="s">
        <v>54</v>
      </c>
      <c r="B58" s="110" t="s">
        <v>4731</v>
      </c>
      <c r="C58" s="256" t="s">
        <v>4722</v>
      </c>
      <c r="D58" s="121" t="s">
        <v>4735</v>
      </c>
      <c r="E58" s="122" t="str">
        <f t="shared" ref="E58" si="5">_xlfn.TEXTJOIN(" : ",FALSE,C58:D58)</f>
        <v>3 : 다자간 동시처리</v>
      </c>
    </row>
    <row r="59" spans="1:5" s="64" customFormat="1">
      <c r="A59" s="111" t="s">
        <v>54</v>
      </c>
      <c r="B59" s="110" t="s">
        <v>4731</v>
      </c>
      <c r="C59" s="256" t="s">
        <v>4723</v>
      </c>
      <c r="D59" s="121" t="s">
        <v>4736</v>
      </c>
      <c r="E59" s="122" t="str">
        <f>_xlfn.TEXTJOIN(" : ",FALSE,C59:D59)</f>
        <v>4 : 콜연결상환</v>
      </c>
    </row>
    <row r="60" spans="1:5" s="64" customFormat="1">
      <c r="A60" s="215" t="s">
        <v>5009</v>
      </c>
      <c r="B60" s="193" t="s">
        <v>4739</v>
      </c>
      <c r="C60" s="256" t="s">
        <v>4712</v>
      </c>
      <c r="D60" s="121" t="s">
        <v>4732</v>
      </c>
      <c r="E60" s="122" t="str">
        <f t="shared" ref="E60:E61" si="6">_xlfn.TEXTJOIN(" : ",FALSE,C60:D60)</f>
        <v>0 : 해당사항없음</v>
      </c>
    </row>
    <row r="61" spans="1:5" s="64" customFormat="1">
      <c r="A61" s="215" t="s">
        <v>5009</v>
      </c>
      <c r="B61" s="193" t="s">
        <v>4739</v>
      </c>
      <c r="C61" s="256" t="s">
        <v>4713</v>
      </c>
      <c r="D61" s="193" t="s">
        <v>4727</v>
      </c>
      <c r="E61" s="122" t="str">
        <f t="shared" si="6"/>
        <v>1 : 결제</v>
      </c>
    </row>
    <row r="62" spans="1:5" s="64" customFormat="1">
      <c r="A62" s="110" t="s">
        <v>4809</v>
      </c>
      <c r="B62" s="110" t="s">
        <v>4739</v>
      </c>
      <c r="C62" s="256" t="s">
        <v>4713</v>
      </c>
      <c r="D62" s="110" t="s">
        <v>4810</v>
      </c>
      <c r="E62" s="122" t="str">
        <f t="shared" si="4"/>
        <v>1 : 지급지시유형조정</v>
      </c>
    </row>
    <row r="63" spans="1:5" s="64" customFormat="1">
      <c r="A63" s="111" t="s">
        <v>4809</v>
      </c>
      <c r="B63" s="110" t="s">
        <v>4739</v>
      </c>
      <c r="C63" s="256" t="s">
        <v>4714</v>
      </c>
      <c r="D63" s="217" t="s">
        <v>4811</v>
      </c>
      <c r="E63" s="122" t="str">
        <f t="shared" si="4"/>
        <v>2 : 대기순위조정</v>
      </c>
    </row>
    <row r="64" spans="1:5" s="64" customFormat="1">
      <c r="A64" s="111" t="s">
        <v>5355</v>
      </c>
      <c r="B64" s="110" t="s">
        <v>4739</v>
      </c>
      <c r="C64" s="256" t="s">
        <v>4740</v>
      </c>
      <c r="D64" s="121" t="s">
        <v>4745</v>
      </c>
      <c r="E64" s="122" t="str">
        <f t="shared" si="4"/>
        <v>01 : (지급준비금 예치의무가 없는 참가기관만 해당) 한은금융망 마감으로 대기거래가 취소되어 남아있는 당좌잔액을 거래은행앞 이체</v>
      </c>
    </row>
    <row r="65" spans="1:5" s="64" customFormat="1">
      <c r="A65" s="111" t="s">
        <v>5297</v>
      </c>
      <c r="B65" s="110" t="s">
        <v>4739</v>
      </c>
      <c r="C65" s="256" t="s">
        <v>4741</v>
      </c>
      <c r="D65" s="121" t="s">
        <v>4746</v>
      </c>
      <c r="E65" s="122" t="str">
        <f t="shared" si="4"/>
        <v>02 : (지급준비금 예치의무가 없는 참가기관만 해당) 한은금융망 마감직전 수취하여 남아 있는 당좌잔액을 거래은행앞 이체</v>
      </c>
    </row>
    <row r="66" spans="1:5" s="64" customFormat="1">
      <c r="A66" s="111" t="s">
        <v>5297</v>
      </c>
      <c r="B66" s="110" t="s">
        <v>4739</v>
      </c>
      <c r="C66" s="256" t="s">
        <v>4742</v>
      </c>
      <c r="D66" s="121" t="s">
        <v>4747</v>
      </c>
      <c r="E66" s="122" t="str">
        <f t="shared" si="4"/>
        <v>03 : 착오이체자금 반환이체</v>
      </c>
    </row>
    <row r="67" spans="1:5" s="64" customFormat="1">
      <c r="A67" s="111" t="s">
        <v>5297</v>
      </c>
      <c r="B67" s="110" t="s">
        <v>4739</v>
      </c>
      <c r="C67" s="256" t="s">
        <v>4743</v>
      </c>
      <c r="D67" s="121" t="s">
        <v>4748</v>
      </c>
      <c r="E67" s="122" t="str">
        <f t="shared" si="4"/>
        <v>04 : 지준마감 당일 직전일의 지급준비금 부족기관앞 자금이체</v>
      </c>
    </row>
    <row r="68" spans="1:5" s="64" customFormat="1">
      <c r="A68" s="111" t="s">
        <v>5297</v>
      </c>
      <c r="B68" s="110" t="s">
        <v>4739</v>
      </c>
      <c r="C68" s="256" t="s">
        <v>4744</v>
      </c>
      <c r="D68" s="121" t="s">
        <v>4749</v>
      </c>
      <c r="E68" s="122" t="str">
        <f t="shared" si="4"/>
        <v>05 : 기타(사전에 한국은행과 협의가 완료된 경우에 한함)</v>
      </c>
    </row>
    <row r="69" spans="1:5" s="64" customFormat="1">
      <c r="A69" s="111" t="s">
        <v>5305</v>
      </c>
      <c r="B69" s="110" t="s">
        <v>4750</v>
      </c>
      <c r="C69" s="256" t="s">
        <v>4751</v>
      </c>
      <c r="D69" s="121" t="s">
        <v>4754</v>
      </c>
      <c r="E69" s="122" t="str">
        <f t="shared" si="4"/>
        <v>1 : 승인(결제)</v>
      </c>
    </row>
    <row r="70" spans="1:5" s="64" customFormat="1">
      <c r="A70" s="111" t="s">
        <v>5305</v>
      </c>
      <c r="B70" s="110" t="s">
        <v>4750</v>
      </c>
      <c r="C70" s="256" t="s">
        <v>4752</v>
      </c>
      <c r="D70" s="121" t="s">
        <v>4755</v>
      </c>
      <c r="E70" s="122" t="str">
        <f t="shared" si="4"/>
        <v>2 : 승인(오류)</v>
      </c>
    </row>
    <row r="71" spans="1:5" s="64" customFormat="1">
      <c r="A71" s="111" t="s">
        <v>5305</v>
      </c>
      <c r="B71" s="110" t="s">
        <v>4750</v>
      </c>
      <c r="C71" s="256" t="s">
        <v>4753</v>
      </c>
      <c r="D71" s="121" t="s">
        <v>4756</v>
      </c>
      <c r="E71" s="122" t="str">
        <f t="shared" si="4"/>
        <v>9 : 반려</v>
      </c>
    </row>
    <row r="72" spans="1:5" s="64" customFormat="1" ht="13.5" customHeight="1">
      <c r="A72" s="111" t="s">
        <v>5308</v>
      </c>
      <c r="B72" s="110" t="s">
        <v>4757</v>
      </c>
      <c r="C72" s="256" t="s">
        <v>4758</v>
      </c>
      <c r="D72" s="123" t="s">
        <v>4759</v>
      </c>
      <c r="E72" s="122" t="str">
        <f t="shared" si="4"/>
        <v>00 : 해당없음</v>
      </c>
    </row>
    <row r="73" spans="1:5" s="64" customFormat="1">
      <c r="A73" s="111" t="s">
        <v>5308</v>
      </c>
      <c r="B73" s="110" t="s">
        <v>4757</v>
      </c>
      <c r="C73" s="256" t="s">
        <v>4740</v>
      </c>
      <c r="D73" s="123" t="s">
        <v>4760</v>
      </c>
      <c r="E73" s="122" t="str">
        <f t="shared" si="4"/>
        <v>01 : 신청사유와 일치하지 않음</v>
      </c>
    </row>
    <row r="74" spans="1:5" s="64" customFormat="1">
      <c r="A74" s="111" t="s">
        <v>5308</v>
      </c>
      <c r="B74" s="110" t="s">
        <v>4757</v>
      </c>
      <c r="C74" s="256" t="s">
        <v>4741</v>
      </c>
      <c r="D74" s="123" t="s">
        <v>4761</v>
      </c>
      <c r="E74" s="122" t="str">
        <f t="shared" si="4"/>
        <v>02 : 입력내용에 대해 한국은행과 유선상 확인절차를 거치지 않음</v>
      </c>
    </row>
    <row r="75" spans="1:5" s="64" customFormat="1">
      <c r="A75" s="111" t="s">
        <v>5308</v>
      </c>
      <c r="B75" s="110" t="s">
        <v>4757</v>
      </c>
      <c r="C75" s="256" t="s">
        <v>4742</v>
      </c>
      <c r="D75" s="123" t="s">
        <v>4762</v>
      </c>
      <c r="E75" s="122" t="str">
        <f t="shared" si="4"/>
        <v>03 : 기타</v>
      </c>
    </row>
    <row r="76" spans="1:5" s="64" customFormat="1">
      <c r="A76" s="111" t="s">
        <v>4763</v>
      </c>
      <c r="B76" s="110" t="s">
        <v>4764</v>
      </c>
      <c r="C76" s="256" t="s">
        <v>4765</v>
      </c>
      <c r="D76" s="121" t="s">
        <v>4766</v>
      </c>
      <c r="E76" s="122" t="str">
        <f t="shared" si="4"/>
        <v>0 : 비수수료거래</v>
      </c>
    </row>
    <row r="77" spans="1:5" s="64" customFormat="1">
      <c r="A77" s="111" t="s">
        <v>4763</v>
      </c>
      <c r="B77" s="110" t="s">
        <v>4764</v>
      </c>
      <c r="C77" s="256" t="s">
        <v>4751</v>
      </c>
      <c r="D77" s="121" t="s">
        <v>4767</v>
      </c>
      <c r="E77" s="122" t="str">
        <f t="shared" si="4"/>
        <v>1 : 수수료거래</v>
      </c>
    </row>
    <row r="78" spans="1:5" s="64" customFormat="1">
      <c r="A78" s="215" t="s">
        <v>4841</v>
      </c>
      <c r="B78" s="193" t="s">
        <v>4739</v>
      </c>
      <c r="C78" s="256" t="s">
        <v>4740</v>
      </c>
      <c r="D78" s="193" t="s">
        <v>4842</v>
      </c>
      <c r="E78" s="122" t="str">
        <f t="shared" si="4"/>
        <v>01 : 요구완료</v>
      </c>
    </row>
    <row r="79" spans="1:5" s="64" customFormat="1">
      <c r="A79" s="215" t="s">
        <v>4841</v>
      </c>
      <c r="B79" s="193" t="s">
        <v>4739</v>
      </c>
      <c r="C79" s="256" t="s">
        <v>4741</v>
      </c>
      <c r="D79" s="193" t="s">
        <v>4843</v>
      </c>
      <c r="E79" s="122" t="str">
        <f t="shared" si="4"/>
        <v>02 : 요구응답완료</v>
      </c>
    </row>
    <row r="80" spans="1:5" s="64" customFormat="1">
      <c r="A80" s="215" t="s">
        <v>4841</v>
      </c>
      <c r="B80" s="193" t="s">
        <v>4739</v>
      </c>
      <c r="C80" s="256" t="s">
        <v>4742</v>
      </c>
      <c r="D80" s="193" t="s">
        <v>4844</v>
      </c>
      <c r="E80" s="122" t="str">
        <f t="shared" si="4"/>
        <v>03 : 통보완료</v>
      </c>
    </row>
    <row r="81" spans="1:5" s="64" customFormat="1">
      <c r="A81" s="215" t="s">
        <v>4841</v>
      </c>
      <c r="B81" s="193" t="s">
        <v>4739</v>
      </c>
      <c r="C81" s="256" t="s">
        <v>4743</v>
      </c>
      <c r="D81" s="193" t="s">
        <v>4845</v>
      </c>
      <c r="E81" s="122" t="str">
        <f t="shared" si="4"/>
        <v>04 : 통보응답완료</v>
      </c>
    </row>
    <row r="82" spans="1:5" s="64" customFormat="1">
      <c r="A82" s="215" t="s">
        <v>4841</v>
      </c>
      <c r="B82" s="193" t="s">
        <v>4739</v>
      </c>
      <c r="C82" s="256" t="s">
        <v>4846</v>
      </c>
      <c r="D82" s="193" t="s">
        <v>4847</v>
      </c>
      <c r="E82" s="122" t="str">
        <f t="shared" si="4"/>
        <v>99 : 미확인</v>
      </c>
    </row>
    <row r="83" spans="1:5" s="64" customFormat="1">
      <c r="A83" s="215" t="s">
        <v>273</v>
      </c>
      <c r="B83" s="193" t="s">
        <v>4848</v>
      </c>
      <c r="C83" s="256" t="s">
        <v>4713</v>
      </c>
      <c r="D83" s="193" t="s">
        <v>4849</v>
      </c>
      <c r="E83" s="122" t="str">
        <f t="shared" si="4"/>
        <v>1 : 집계</v>
      </c>
    </row>
    <row r="84" spans="1:5" s="64" customFormat="1">
      <c r="A84" s="215" t="s">
        <v>273</v>
      </c>
      <c r="B84" s="193" t="s">
        <v>4848</v>
      </c>
      <c r="C84" s="256" t="s">
        <v>4714</v>
      </c>
      <c r="D84" s="193" t="s">
        <v>4850</v>
      </c>
      <c r="E84" s="122" t="str">
        <f t="shared" si="4"/>
        <v>2 : 집계취소</v>
      </c>
    </row>
    <row r="85" spans="1:5" s="64" customFormat="1">
      <c r="A85" s="215" t="s">
        <v>4851</v>
      </c>
      <c r="B85" s="193" t="s">
        <v>4852</v>
      </c>
      <c r="C85" s="256" t="s">
        <v>4713</v>
      </c>
      <c r="D85" s="193" t="s">
        <v>4853</v>
      </c>
      <c r="E85" s="122" t="str">
        <f t="shared" si="4"/>
        <v>1 : 한국은행작성</v>
      </c>
    </row>
    <row r="86" spans="1:5" s="64" customFormat="1">
      <c r="A86" s="215" t="s">
        <v>4851</v>
      </c>
      <c r="B86" s="193" t="s">
        <v>4852</v>
      </c>
      <c r="C86" s="256" t="s">
        <v>4714</v>
      </c>
      <c r="D86" s="193" t="s">
        <v>4854</v>
      </c>
      <c r="E86" s="122" t="str">
        <f t="shared" si="4"/>
        <v>2 : 참가기관작성</v>
      </c>
    </row>
    <row r="87" spans="1:5" s="64" customFormat="1">
      <c r="A87" s="215" t="s">
        <v>4855</v>
      </c>
      <c r="B87" s="193" t="s">
        <v>4739</v>
      </c>
      <c r="C87" s="256" t="s">
        <v>4713</v>
      </c>
      <c r="D87" s="193" t="s">
        <v>4856</v>
      </c>
      <c r="E87" s="122" t="str">
        <f t="shared" si="4"/>
        <v>1 : 일치</v>
      </c>
    </row>
    <row r="88" spans="1:5" s="64" customFormat="1">
      <c r="A88" s="215" t="s">
        <v>4855</v>
      </c>
      <c r="B88" s="193" t="s">
        <v>4739</v>
      </c>
      <c r="C88" s="256" t="s">
        <v>4714</v>
      </c>
      <c r="D88" s="193" t="s">
        <v>4857</v>
      </c>
      <c r="E88" s="122" t="str">
        <f t="shared" si="4"/>
        <v>2 : 이체불일치</v>
      </c>
    </row>
    <row r="89" spans="1:5" s="64" customFormat="1">
      <c r="A89" s="215" t="s">
        <v>4855</v>
      </c>
      <c r="B89" s="193" t="s">
        <v>4739</v>
      </c>
      <c r="C89" s="256" t="s">
        <v>4722</v>
      </c>
      <c r="D89" s="193" t="s">
        <v>4858</v>
      </c>
      <c r="E89" s="122" t="str">
        <f t="shared" si="4"/>
        <v>3 : 수취불일치</v>
      </c>
    </row>
    <row r="90" spans="1:5" s="221" customFormat="1">
      <c r="A90" s="215" t="s">
        <v>4855</v>
      </c>
      <c r="B90" s="193" t="s">
        <v>4739</v>
      </c>
      <c r="C90" s="256" t="s">
        <v>4723</v>
      </c>
      <c r="D90" s="110" t="s">
        <v>4859</v>
      </c>
      <c r="E90" s="122" t="str">
        <f t="shared" si="4"/>
        <v>4 : 전체불일치</v>
      </c>
    </row>
    <row r="91" spans="1:5" s="64" customFormat="1">
      <c r="A91" s="283" t="s">
        <v>5282</v>
      </c>
      <c r="B91" s="193" t="s">
        <v>4861</v>
      </c>
      <c r="C91" s="257" t="s">
        <v>4862</v>
      </c>
      <c r="D91" s="219" t="s">
        <v>3892</v>
      </c>
      <c r="E91" s="222" t="str">
        <f>_xlfn.TEXTJOIN(" : ",FALSE,C91:D91)</f>
        <v>10 : 자금이체</v>
      </c>
    </row>
    <row r="92" spans="1:5" s="64" customFormat="1">
      <c r="A92" s="283" t="s">
        <v>5282</v>
      </c>
      <c r="B92" s="193" t="s">
        <v>4861</v>
      </c>
      <c r="C92" s="257" t="s">
        <v>4821</v>
      </c>
      <c r="D92" s="219" t="s">
        <v>4863</v>
      </c>
      <c r="E92" s="222" t="str">
        <f t="shared" ref="E92:E96" si="7">_xlfn.TEXTJOIN(" : ",FALSE,C92:D92)</f>
        <v>11 : 중개거래콜체결</v>
      </c>
    </row>
    <row r="93" spans="1:5" s="64" customFormat="1">
      <c r="A93" s="283" t="s">
        <v>5282</v>
      </c>
      <c r="B93" s="193" t="s">
        <v>4861</v>
      </c>
      <c r="C93" s="257" t="s">
        <v>4864</v>
      </c>
      <c r="D93" s="219" t="s">
        <v>4865</v>
      </c>
      <c r="E93" s="222" t="str">
        <f t="shared" si="7"/>
        <v>12 : 은행간직거래콜체결</v>
      </c>
    </row>
    <row r="94" spans="1:5" s="64" customFormat="1">
      <c r="A94" s="283" t="s">
        <v>5282</v>
      </c>
      <c r="B94" s="193" t="s">
        <v>4861</v>
      </c>
      <c r="C94" s="257" t="s">
        <v>4866</v>
      </c>
      <c r="D94" s="219" t="s">
        <v>4867</v>
      </c>
      <c r="E94" s="222" t="str">
        <f t="shared" si="7"/>
        <v>13 : 중개거래콜상환</v>
      </c>
    </row>
    <row r="95" spans="1:5" s="64" customFormat="1">
      <c r="A95" s="283" t="s">
        <v>5282</v>
      </c>
      <c r="B95" s="193" t="s">
        <v>4861</v>
      </c>
      <c r="C95" s="257" t="s">
        <v>4868</v>
      </c>
      <c r="D95" s="219" t="s">
        <v>4869</v>
      </c>
      <c r="E95" s="222" t="str">
        <f t="shared" si="7"/>
        <v>14 : 은행간직거래콜상환</v>
      </c>
    </row>
    <row r="96" spans="1:5" s="64" customFormat="1">
      <c r="A96" s="283" t="s">
        <v>5282</v>
      </c>
      <c r="B96" s="193" t="s">
        <v>4861</v>
      </c>
      <c r="C96" s="257" t="s">
        <v>4873</v>
      </c>
      <c r="D96" s="219" t="s">
        <v>4874</v>
      </c>
      <c r="E96" s="222" t="str">
        <f t="shared" si="7"/>
        <v>19 : PAY-IN 입력</v>
      </c>
    </row>
    <row r="97" spans="1:5" s="64" customFormat="1">
      <c r="A97" s="283" t="s">
        <v>5282</v>
      </c>
      <c r="B97" s="193" t="s">
        <v>4861</v>
      </c>
      <c r="C97" s="257" t="s">
        <v>4877</v>
      </c>
      <c r="D97" s="219" t="s">
        <v>4824</v>
      </c>
      <c r="E97" s="222" t="str">
        <f t="shared" ref="E97:E99" si="8">_xlfn.TEXTJOIN(" : ",FALSE,C97:D97)</f>
        <v>61 : 일반자금이체</v>
      </c>
    </row>
    <row r="98" spans="1:5" s="64" customFormat="1">
      <c r="A98" s="283" t="s">
        <v>5282</v>
      </c>
      <c r="B98" s="193" t="s">
        <v>4861</v>
      </c>
      <c r="C98" s="257" t="s">
        <v>4878</v>
      </c>
      <c r="D98" s="219" t="s">
        <v>4826</v>
      </c>
      <c r="E98" s="222" t="str">
        <f t="shared" si="8"/>
        <v>62 : 수취인지정자금이체</v>
      </c>
    </row>
    <row r="99" spans="1:5" s="64" customFormat="1">
      <c r="A99" s="283" t="s">
        <v>5282</v>
      </c>
      <c r="B99" s="193" t="s">
        <v>4861</v>
      </c>
      <c r="C99" s="257" t="s">
        <v>4879</v>
      </c>
      <c r="D99" s="219" t="s">
        <v>4880</v>
      </c>
      <c r="E99" s="222" t="str">
        <f t="shared" si="8"/>
        <v>65 : 증권대금이체</v>
      </c>
    </row>
    <row r="100" spans="1:5" s="64" customFormat="1">
      <c r="A100" s="283" t="s">
        <v>5347</v>
      </c>
      <c r="B100" s="193" t="s">
        <v>4861</v>
      </c>
      <c r="C100" s="257" t="s">
        <v>5346</v>
      </c>
      <c r="D100" s="219" t="s">
        <v>4824</v>
      </c>
      <c r="E100" s="222" t="str">
        <f t="shared" ref="E100:E101" si="9">_xlfn.TEXTJOIN(" : ",FALSE,C100:D100)</f>
        <v>61 : 일반자금이체</v>
      </c>
    </row>
    <row r="101" spans="1:5" s="64" customFormat="1">
      <c r="A101" s="283" t="s">
        <v>5347</v>
      </c>
      <c r="B101" s="193" t="s">
        <v>4861</v>
      </c>
      <c r="C101" s="257" t="s">
        <v>4878</v>
      </c>
      <c r="D101" s="219" t="s">
        <v>4826</v>
      </c>
      <c r="E101" s="222" t="str">
        <f t="shared" si="9"/>
        <v>62 : 수취인지정자금이체</v>
      </c>
    </row>
    <row r="102" spans="1:5" s="64" customFormat="1">
      <c r="A102" s="218" t="s">
        <v>4881</v>
      </c>
      <c r="B102" s="193" t="s">
        <v>4882</v>
      </c>
      <c r="C102" s="257" t="s">
        <v>4833</v>
      </c>
      <c r="D102" s="219" t="s">
        <v>4883</v>
      </c>
      <c r="E102" s="222" t="str">
        <f t="shared" ref="E102:E135" si="10">_xlfn.TEXTJOIN(" : ",FALSE,C102:D102)</f>
        <v>01 : PC뱅킹</v>
      </c>
    </row>
    <row r="103" spans="1:5" s="64" customFormat="1">
      <c r="A103" s="218" t="s">
        <v>4881</v>
      </c>
      <c r="B103" s="193" t="s">
        <v>4882</v>
      </c>
      <c r="C103" s="257" t="s">
        <v>4835</v>
      </c>
      <c r="D103" s="219" t="s">
        <v>4884</v>
      </c>
      <c r="E103" s="222" t="str">
        <f t="shared" si="10"/>
        <v>02 : 인터넷벵킹</v>
      </c>
    </row>
    <row r="104" spans="1:5" s="64" customFormat="1">
      <c r="A104" s="218" t="s">
        <v>4881</v>
      </c>
      <c r="B104" s="193" t="s">
        <v>4882</v>
      </c>
      <c r="C104" s="257" t="s">
        <v>4885</v>
      </c>
      <c r="D104" s="219" t="s">
        <v>4886</v>
      </c>
      <c r="E104" s="222" t="str">
        <f t="shared" si="10"/>
        <v>03 : 전화</v>
      </c>
    </row>
    <row r="105" spans="1:5" s="64" customFormat="1">
      <c r="A105" s="218" t="s">
        <v>4881</v>
      </c>
      <c r="B105" s="193" t="s">
        <v>4882</v>
      </c>
      <c r="C105" s="257" t="s">
        <v>4887</v>
      </c>
      <c r="D105" s="219" t="s">
        <v>4888</v>
      </c>
      <c r="E105" s="222" t="str">
        <f t="shared" si="10"/>
        <v>04 : 휴대전화</v>
      </c>
    </row>
    <row r="106" spans="1:5" s="64" customFormat="1">
      <c r="A106" s="218" t="s">
        <v>4881</v>
      </c>
      <c r="B106" s="193" t="s">
        <v>4882</v>
      </c>
      <c r="C106" s="257" t="s">
        <v>4889</v>
      </c>
      <c r="D106" s="219" t="s">
        <v>4890</v>
      </c>
      <c r="E106" s="222" t="str">
        <f t="shared" si="10"/>
        <v>05 : 건별이체</v>
      </c>
    </row>
    <row r="107" spans="1:5" s="64" customFormat="1">
      <c r="A107" s="218" t="s">
        <v>4881</v>
      </c>
      <c r="B107" s="193" t="s">
        <v>4882</v>
      </c>
      <c r="C107" s="257" t="s">
        <v>4891</v>
      </c>
      <c r="D107" s="219" t="s">
        <v>4762</v>
      </c>
      <c r="E107" s="222" t="str">
        <f t="shared" si="10"/>
        <v>06 : 기타</v>
      </c>
    </row>
    <row r="108" spans="1:5" s="64" customFormat="1">
      <c r="A108" s="218" t="s">
        <v>4881</v>
      </c>
      <c r="B108" s="193" t="s">
        <v>4882</v>
      </c>
      <c r="C108" s="257" t="s">
        <v>4892</v>
      </c>
      <c r="D108" s="219" t="s">
        <v>4893</v>
      </c>
      <c r="E108" s="222" t="str">
        <f t="shared" si="10"/>
        <v>07 : 대량이체</v>
      </c>
    </row>
    <row r="109" spans="1:5" s="64" customFormat="1">
      <c r="A109" s="218" t="s">
        <v>4881</v>
      </c>
      <c r="B109" s="193" t="s">
        <v>4882</v>
      </c>
      <c r="C109" s="257" t="s">
        <v>4894</v>
      </c>
      <c r="D109" s="219" t="s">
        <v>4895</v>
      </c>
      <c r="E109" s="222" t="str">
        <f t="shared" si="10"/>
        <v>08 : TV</v>
      </c>
    </row>
    <row r="110" spans="1:5" s="64" customFormat="1">
      <c r="A110" s="192" t="s">
        <v>4896</v>
      </c>
      <c r="B110" s="193" t="s">
        <v>4897</v>
      </c>
      <c r="C110" s="257" t="s">
        <v>4898</v>
      </c>
      <c r="D110" s="219" t="s">
        <v>4899</v>
      </c>
      <c r="E110" s="222" t="str">
        <f t="shared" si="10"/>
        <v>00 : 일반</v>
      </c>
    </row>
    <row r="111" spans="1:5" s="64" customFormat="1">
      <c r="A111" s="192" t="s">
        <v>4896</v>
      </c>
      <c r="B111" s="193" t="s">
        <v>4897</v>
      </c>
      <c r="C111" s="257" t="s">
        <v>4833</v>
      </c>
      <c r="D111" s="219" t="s">
        <v>4900</v>
      </c>
      <c r="E111" s="222" t="str">
        <f t="shared" si="10"/>
        <v>01 : 급여</v>
      </c>
    </row>
    <row r="112" spans="1:5" s="64" customFormat="1">
      <c r="A112" s="192" t="s">
        <v>4896</v>
      </c>
      <c r="B112" s="193" t="s">
        <v>4897</v>
      </c>
      <c r="C112" s="257" t="s">
        <v>4835</v>
      </c>
      <c r="D112" s="219" t="s">
        <v>4901</v>
      </c>
      <c r="E112" s="222" t="str">
        <f t="shared" si="10"/>
        <v>02 : 배당금</v>
      </c>
    </row>
    <row r="113" spans="1:5" s="64" customFormat="1">
      <c r="A113" s="192" t="s">
        <v>4896</v>
      </c>
      <c r="B113" s="193" t="s">
        <v>4897</v>
      </c>
      <c r="C113" s="257" t="s">
        <v>4885</v>
      </c>
      <c r="D113" s="219" t="s">
        <v>4762</v>
      </c>
      <c r="E113" s="222" t="str">
        <f t="shared" si="10"/>
        <v>03 : 기타</v>
      </c>
    </row>
    <row r="114" spans="1:5" s="64" customFormat="1">
      <c r="A114" s="192" t="s">
        <v>4896</v>
      </c>
      <c r="B114" s="193" t="s">
        <v>4897</v>
      </c>
      <c r="C114" s="257" t="s">
        <v>4887</v>
      </c>
      <c r="D114" s="219" t="s">
        <v>4902</v>
      </c>
      <c r="E114" s="222" t="str">
        <f t="shared" si="10"/>
        <v>04 : 타행 자동이체</v>
      </c>
    </row>
    <row r="115" spans="1:5" s="64" customFormat="1">
      <c r="A115" s="192" t="s">
        <v>4896</v>
      </c>
      <c r="B115" s="193" t="s">
        <v>4897</v>
      </c>
      <c r="C115" s="257" t="s">
        <v>4821</v>
      </c>
      <c r="D115" s="219" t="s">
        <v>4903</v>
      </c>
      <c r="E115" s="222" t="str">
        <f t="shared" si="10"/>
        <v>11 : 기초생활보장급여</v>
      </c>
    </row>
    <row r="116" spans="1:5" s="64" customFormat="1">
      <c r="A116" s="192" t="s">
        <v>4896</v>
      </c>
      <c r="B116" s="193" t="s">
        <v>4897</v>
      </c>
      <c r="C116" s="257" t="s">
        <v>4864</v>
      </c>
      <c r="D116" s="219" t="s">
        <v>4904</v>
      </c>
      <c r="E116" s="222" t="str">
        <f t="shared" si="10"/>
        <v>12 : 기초노령연금</v>
      </c>
    </row>
    <row r="117" spans="1:5" s="64" customFormat="1">
      <c r="A117" s="192" t="s">
        <v>4896</v>
      </c>
      <c r="B117" s="193" t="s">
        <v>4897</v>
      </c>
      <c r="C117" s="257" t="s">
        <v>4866</v>
      </c>
      <c r="D117" s="219" t="s">
        <v>4905</v>
      </c>
      <c r="E117" s="222" t="str">
        <f t="shared" si="10"/>
        <v>13 : 장애인연금</v>
      </c>
    </row>
    <row r="118" spans="1:5" s="64" customFormat="1">
      <c r="A118" s="192" t="s">
        <v>4896</v>
      </c>
      <c r="B118" s="193" t="s">
        <v>4897</v>
      </c>
      <c r="C118" s="257" t="s">
        <v>4870</v>
      </c>
      <c r="D118" s="219" t="s">
        <v>4906</v>
      </c>
      <c r="E118" s="222" t="str">
        <f t="shared" si="10"/>
        <v>15 : 장애(아동)수당</v>
      </c>
    </row>
    <row r="119" spans="1:5" s="64" customFormat="1">
      <c r="A119" s="192" t="s">
        <v>4896</v>
      </c>
      <c r="B119" s="193" t="s">
        <v>4897</v>
      </c>
      <c r="C119" s="257" t="s">
        <v>4871</v>
      </c>
      <c r="D119" s="219" t="s">
        <v>4907</v>
      </c>
      <c r="E119" s="222" t="str">
        <f t="shared" si="10"/>
        <v>16 : 한부모가족지원</v>
      </c>
    </row>
    <row r="120" spans="1:5" s="64" customFormat="1">
      <c r="A120" s="192" t="s">
        <v>4896</v>
      </c>
      <c r="B120" s="193" t="s">
        <v>4897</v>
      </c>
      <c r="C120" s="257" t="s">
        <v>4875</v>
      </c>
      <c r="D120" s="219" t="s">
        <v>4908</v>
      </c>
      <c r="E120" s="222" t="str">
        <f t="shared" si="10"/>
        <v>20 : 국민연금</v>
      </c>
    </row>
    <row r="121" spans="1:5" s="64" customFormat="1">
      <c r="A121" s="192" t="s">
        <v>4896</v>
      </c>
      <c r="B121" s="193" t="s">
        <v>4897</v>
      </c>
      <c r="C121" s="257" t="s">
        <v>4876</v>
      </c>
      <c r="D121" s="219" t="s">
        <v>4909</v>
      </c>
      <c r="E121" s="222" t="str">
        <f t="shared" si="10"/>
        <v>30 : 요양비 등 보험급여</v>
      </c>
    </row>
    <row r="122" spans="1:5" s="64" customFormat="1">
      <c r="A122" s="192" t="s">
        <v>277</v>
      </c>
      <c r="B122" s="193" t="s">
        <v>4910</v>
      </c>
      <c r="C122" s="257" t="s">
        <v>4898</v>
      </c>
      <c r="D122" s="219" t="s">
        <v>5073</v>
      </c>
      <c r="E122" s="222" t="str">
        <f t="shared" si="10"/>
        <v>00 : 해당없음</v>
      </c>
    </row>
    <row r="123" spans="1:5" s="64" customFormat="1">
      <c r="A123" s="192" t="s">
        <v>277</v>
      </c>
      <c r="B123" s="193" t="s">
        <v>4910</v>
      </c>
      <c r="C123" s="257" t="s">
        <v>4833</v>
      </c>
      <c r="D123" s="219" t="s">
        <v>4824</v>
      </c>
      <c r="E123" s="222" t="str">
        <f t="shared" si="10"/>
        <v>01 : 일반자금이체</v>
      </c>
    </row>
    <row r="124" spans="1:5" s="64" customFormat="1">
      <c r="A124" s="192" t="s">
        <v>277</v>
      </c>
      <c r="B124" s="193" t="s">
        <v>4910</v>
      </c>
      <c r="C124" s="257" t="s">
        <v>4835</v>
      </c>
      <c r="D124" s="219" t="s">
        <v>4826</v>
      </c>
      <c r="E124" s="222" t="str">
        <f t="shared" si="10"/>
        <v>02 : 수취인지정자금이체</v>
      </c>
    </row>
    <row r="125" spans="1:5" s="64" customFormat="1">
      <c r="A125" s="192" t="s">
        <v>277</v>
      </c>
      <c r="B125" s="193" t="s">
        <v>4910</v>
      </c>
      <c r="C125" s="257" t="s">
        <v>4885</v>
      </c>
      <c r="D125" s="219" t="s">
        <v>4911</v>
      </c>
      <c r="E125" s="222" t="str">
        <f t="shared" si="10"/>
        <v>03 : 콜직거래</v>
      </c>
    </row>
    <row r="126" spans="1:5" s="64" customFormat="1">
      <c r="A126" s="192" t="s">
        <v>277</v>
      </c>
      <c r="B126" s="193" t="s">
        <v>4910</v>
      </c>
      <c r="C126" s="257" t="s">
        <v>4887</v>
      </c>
      <c r="D126" s="219" t="s">
        <v>4912</v>
      </c>
      <c r="E126" s="222" t="str">
        <f t="shared" si="10"/>
        <v>04 : 콜중개거래</v>
      </c>
    </row>
    <row r="127" spans="1:5" s="64" customFormat="1">
      <c r="A127" s="192" t="s">
        <v>277</v>
      </c>
      <c r="B127" s="193" t="s">
        <v>4910</v>
      </c>
      <c r="C127" s="257" t="s">
        <v>4889</v>
      </c>
      <c r="D127" s="219" t="s">
        <v>4880</v>
      </c>
      <c r="E127" s="222" t="str">
        <f t="shared" si="10"/>
        <v>05 : 증권대금이체</v>
      </c>
    </row>
    <row r="128" spans="1:5" s="64" customFormat="1">
      <c r="A128" s="192" t="s">
        <v>277</v>
      </c>
      <c r="B128" s="193" t="s">
        <v>4910</v>
      </c>
      <c r="C128" s="257" t="s">
        <v>4891</v>
      </c>
      <c r="D128" s="219" t="s">
        <v>4393</v>
      </c>
      <c r="E128" s="222" t="str">
        <f t="shared" si="10"/>
        <v>06 : 당좌예금차기</v>
      </c>
    </row>
    <row r="129" spans="1:5" s="64" customFormat="1">
      <c r="A129" s="192" t="s">
        <v>277</v>
      </c>
      <c r="B129" s="193" t="s">
        <v>4910</v>
      </c>
      <c r="C129" s="257" t="s">
        <v>4892</v>
      </c>
      <c r="D129" s="219" t="s">
        <v>4913</v>
      </c>
      <c r="E129" s="222" t="str">
        <f t="shared" si="10"/>
        <v>07 : 콜상환(반환)</v>
      </c>
    </row>
    <row r="130" spans="1:5" s="64" customFormat="1">
      <c r="A130" s="245" t="s">
        <v>277</v>
      </c>
      <c r="B130" s="246" t="s">
        <v>4910</v>
      </c>
      <c r="C130" s="258" t="s">
        <v>4894</v>
      </c>
      <c r="D130" s="247" t="s">
        <v>4914</v>
      </c>
      <c r="E130" s="248" t="str">
        <f t="shared" si="10"/>
        <v>08 : 연계결제</v>
      </c>
    </row>
    <row r="131" spans="1:5" s="64" customFormat="1">
      <c r="A131" s="192" t="s">
        <v>5076</v>
      </c>
      <c r="B131" s="193" t="s">
        <v>5077</v>
      </c>
      <c r="C131" s="257" t="s">
        <v>5078</v>
      </c>
      <c r="D131" s="253" t="s">
        <v>5085</v>
      </c>
      <c r="E131" s="248" t="str">
        <f t="shared" si="10"/>
        <v>1 : 원화자금이체시스템</v>
      </c>
    </row>
    <row r="132" spans="1:5" s="64" customFormat="1">
      <c r="A132" s="192" t="s">
        <v>85</v>
      </c>
      <c r="B132" s="193" t="s">
        <v>5077</v>
      </c>
      <c r="C132" s="257" t="s">
        <v>5080</v>
      </c>
      <c r="D132" s="123" t="s">
        <v>5086</v>
      </c>
      <c r="E132" s="248" t="str">
        <f t="shared" si="10"/>
        <v>2 : CLS거래시스템</v>
      </c>
    </row>
    <row r="133" spans="1:5" s="64" customFormat="1">
      <c r="A133" s="192" t="s">
        <v>85</v>
      </c>
      <c r="B133" s="193" t="s">
        <v>5077</v>
      </c>
      <c r="C133" s="257" t="s">
        <v>5082</v>
      </c>
      <c r="D133" s="123" t="s">
        <v>5087</v>
      </c>
      <c r="E133" s="248" t="str">
        <f t="shared" si="10"/>
        <v>3 : 증권대금이체시스템</v>
      </c>
    </row>
    <row r="134" spans="1:5" s="64" customFormat="1">
      <c r="A134" s="192" t="s">
        <v>85</v>
      </c>
      <c r="B134" s="193" t="s">
        <v>5077</v>
      </c>
      <c r="C134" s="257" t="s">
        <v>5084</v>
      </c>
      <c r="D134" s="123" t="s">
        <v>5088</v>
      </c>
      <c r="E134" s="248" t="str">
        <f t="shared" si="10"/>
        <v>4 : 콜거래시스템</v>
      </c>
    </row>
    <row r="135" spans="1:5" s="64" customFormat="1">
      <c r="A135" s="192" t="s">
        <v>5129</v>
      </c>
      <c r="B135" s="193" t="s">
        <v>5130</v>
      </c>
      <c r="C135" s="259" t="s">
        <v>5079</v>
      </c>
      <c r="D135" s="123" t="s">
        <v>5131</v>
      </c>
      <c r="E135" s="248" t="str">
        <f t="shared" si="10"/>
        <v>2 : 금융기관(연기금포함)</v>
      </c>
    </row>
    <row r="136" spans="1:5" s="64" customFormat="1">
      <c r="A136" s="192" t="s">
        <v>5129</v>
      </c>
      <c r="B136" s="193" t="s">
        <v>5130</v>
      </c>
      <c r="C136" s="259" t="s">
        <v>5081</v>
      </c>
      <c r="D136" s="123" t="s">
        <v>4762</v>
      </c>
      <c r="E136" s="248" t="str">
        <f t="shared" ref="E136:E191" si="11">_xlfn.TEXTJOIN(" : ",FALSE,C136:D136)</f>
        <v>3 : 기타</v>
      </c>
    </row>
    <row r="137" spans="1:5" s="64" customFormat="1">
      <c r="A137" s="192" t="s">
        <v>5129</v>
      </c>
      <c r="B137" s="193" t="s">
        <v>5130</v>
      </c>
      <c r="C137" s="259" t="s">
        <v>5083</v>
      </c>
      <c r="D137" s="123" t="s">
        <v>5132</v>
      </c>
      <c r="E137" s="248" t="str">
        <f t="shared" si="11"/>
        <v>4 : 기업</v>
      </c>
    </row>
    <row r="138" spans="1:5" s="64" customFormat="1">
      <c r="A138" s="192" t="s">
        <v>5129</v>
      </c>
      <c r="B138" s="193" t="s">
        <v>5130</v>
      </c>
      <c r="C138" s="259" t="s">
        <v>5133</v>
      </c>
      <c r="D138" s="123" t="s">
        <v>5134</v>
      </c>
      <c r="E138" s="248" t="str">
        <f t="shared" si="11"/>
        <v>5 : 개인</v>
      </c>
    </row>
    <row r="139" spans="1:5" s="64" customFormat="1">
      <c r="A139" s="192" t="s">
        <v>5156</v>
      </c>
      <c r="B139" s="193" t="s">
        <v>5130</v>
      </c>
      <c r="C139" s="259" t="s">
        <v>5079</v>
      </c>
      <c r="D139" s="123" t="s">
        <v>5131</v>
      </c>
      <c r="E139" s="248" t="str">
        <f t="shared" si="11"/>
        <v>2 : 금융기관(연기금포함)</v>
      </c>
    </row>
    <row r="140" spans="1:5" s="64" customFormat="1">
      <c r="A140" s="192" t="s">
        <v>5156</v>
      </c>
      <c r="B140" s="193" t="s">
        <v>5130</v>
      </c>
      <c r="C140" s="259" t="s">
        <v>5081</v>
      </c>
      <c r="D140" s="123" t="s">
        <v>4762</v>
      </c>
      <c r="E140" s="248" t="str">
        <f t="shared" ref="E140:E142" si="12">_xlfn.TEXTJOIN(" : ",FALSE,C140:D140)</f>
        <v>3 : 기타</v>
      </c>
    </row>
    <row r="141" spans="1:5" s="64" customFormat="1">
      <c r="A141" s="192" t="s">
        <v>5156</v>
      </c>
      <c r="B141" s="193" t="s">
        <v>5130</v>
      </c>
      <c r="C141" s="259" t="s">
        <v>5083</v>
      </c>
      <c r="D141" s="123" t="s">
        <v>5132</v>
      </c>
      <c r="E141" s="248" t="str">
        <f t="shared" si="12"/>
        <v>4 : 기업</v>
      </c>
    </row>
    <row r="142" spans="1:5" s="64" customFormat="1">
      <c r="A142" s="192" t="s">
        <v>5156</v>
      </c>
      <c r="B142" s="193" t="s">
        <v>5130</v>
      </c>
      <c r="C142" s="259" t="s">
        <v>5133</v>
      </c>
      <c r="D142" s="123" t="s">
        <v>5134</v>
      </c>
      <c r="E142" s="248" t="str">
        <f t="shared" si="12"/>
        <v>5 : 개인</v>
      </c>
    </row>
    <row r="143" spans="1:5" s="64" customFormat="1">
      <c r="A143" s="192" t="s">
        <v>5135</v>
      </c>
      <c r="B143" s="193" t="s">
        <v>5136</v>
      </c>
      <c r="C143" s="259" t="s">
        <v>4833</v>
      </c>
      <c r="D143" s="123" t="s">
        <v>5137</v>
      </c>
      <c r="E143" s="248" t="str">
        <f t="shared" si="11"/>
        <v>01 : 서울특별시</v>
      </c>
    </row>
    <row r="144" spans="1:5" s="64" customFormat="1">
      <c r="A144" s="192" t="s">
        <v>5135</v>
      </c>
      <c r="B144" s="193" t="s">
        <v>5136</v>
      </c>
      <c r="C144" s="259" t="s">
        <v>4835</v>
      </c>
      <c r="D144" s="123" t="s">
        <v>5138</v>
      </c>
      <c r="E144" s="248" t="str">
        <f t="shared" si="11"/>
        <v>02 : 부산광역시</v>
      </c>
    </row>
    <row r="145" spans="1:5" s="64" customFormat="1">
      <c r="A145" s="192" t="s">
        <v>5135</v>
      </c>
      <c r="B145" s="193" t="s">
        <v>5136</v>
      </c>
      <c r="C145" s="259" t="s">
        <v>4885</v>
      </c>
      <c r="D145" s="123" t="s">
        <v>5139</v>
      </c>
      <c r="E145" s="248" t="str">
        <f t="shared" si="11"/>
        <v>03 : 대구광역시</v>
      </c>
    </row>
    <row r="146" spans="1:5" s="64" customFormat="1">
      <c r="A146" s="192" t="s">
        <v>5135</v>
      </c>
      <c r="B146" s="193" t="s">
        <v>5136</v>
      </c>
      <c r="C146" s="259" t="s">
        <v>4887</v>
      </c>
      <c r="D146" s="123" t="s">
        <v>5140</v>
      </c>
      <c r="E146" s="248" t="str">
        <f t="shared" si="11"/>
        <v>04 : 인천광역시</v>
      </c>
    </row>
    <row r="147" spans="1:5" s="64" customFormat="1">
      <c r="A147" s="192" t="s">
        <v>5135</v>
      </c>
      <c r="B147" s="193" t="s">
        <v>5136</v>
      </c>
      <c r="C147" s="259" t="s">
        <v>4889</v>
      </c>
      <c r="D147" s="123" t="s">
        <v>5141</v>
      </c>
      <c r="E147" s="248" t="str">
        <f t="shared" si="11"/>
        <v>05 : 광주광역시</v>
      </c>
    </row>
    <row r="148" spans="1:5" s="64" customFormat="1">
      <c r="A148" s="192" t="s">
        <v>5135</v>
      </c>
      <c r="B148" s="193" t="s">
        <v>5136</v>
      </c>
      <c r="C148" s="259" t="s">
        <v>4891</v>
      </c>
      <c r="D148" s="123" t="s">
        <v>5142</v>
      </c>
      <c r="E148" s="248" t="str">
        <f t="shared" si="11"/>
        <v>06 : 대전광역시</v>
      </c>
    </row>
    <row r="149" spans="1:5" s="64" customFormat="1">
      <c r="A149" s="192" t="s">
        <v>5135</v>
      </c>
      <c r="B149" s="193" t="s">
        <v>5136</v>
      </c>
      <c r="C149" s="259" t="s">
        <v>4892</v>
      </c>
      <c r="D149" s="123" t="s">
        <v>5143</v>
      </c>
      <c r="E149" s="248" t="str">
        <f t="shared" si="11"/>
        <v>07 : 울산광역시</v>
      </c>
    </row>
    <row r="150" spans="1:5" s="64" customFormat="1">
      <c r="A150" s="192" t="s">
        <v>5135</v>
      </c>
      <c r="B150" s="193" t="s">
        <v>5136</v>
      </c>
      <c r="C150" s="259" t="s">
        <v>4894</v>
      </c>
      <c r="D150" s="123" t="s">
        <v>5144</v>
      </c>
      <c r="E150" s="248" t="str">
        <f t="shared" ref="E150:E155" si="13">_xlfn.TEXTJOIN(" : ",FALSE,C150:D150)</f>
        <v>08 : 경기도</v>
      </c>
    </row>
    <row r="151" spans="1:5" s="64" customFormat="1">
      <c r="A151" s="192" t="s">
        <v>5135</v>
      </c>
      <c r="B151" s="193" t="s">
        <v>5136</v>
      </c>
      <c r="C151" s="259" t="s">
        <v>5145</v>
      </c>
      <c r="D151" s="123" t="s">
        <v>5146</v>
      </c>
      <c r="E151" s="248" t="str">
        <f t="shared" si="13"/>
        <v>09 : 강원도</v>
      </c>
    </row>
    <row r="152" spans="1:5" s="64" customFormat="1">
      <c r="A152" s="192" t="s">
        <v>5135</v>
      </c>
      <c r="B152" s="193" t="s">
        <v>5136</v>
      </c>
      <c r="C152" s="259" t="s">
        <v>4862</v>
      </c>
      <c r="D152" s="123" t="s">
        <v>5147</v>
      </c>
      <c r="E152" s="248" t="str">
        <f t="shared" si="13"/>
        <v>10 : 충청남도</v>
      </c>
    </row>
    <row r="153" spans="1:5" s="64" customFormat="1">
      <c r="A153" s="192" t="s">
        <v>5135</v>
      </c>
      <c r="B153" s="193" t="s">
        <v>5136</v>
      </c>
      <c r="C153" s="259" t="s">
        <v>4821</v>
      </c>
      <c r="D153" s="123" t="s">
        <v>5148</v>
      </c>
      <c r="E153" s="248" t="str">
        <f t="shared" si="13"/>
        <v>11 : 충청북도</v>
      </c>
    </row>
    <row r="154" spans="1:5" s="64" customFormat="1">
      <c r="A154" s="192" t="s">
        <v>5135</v>
      </c>
      <c r="B154" s="193" t="s">
        <v>5136</v>
      </c>
      <c r="C154" s="259" t="s">
        <v>4864</v>
      </c>
      <c r="D154" s="123" t="s">
        <v>5149</v>
      </c>
      <c r="E154" s="248" t="str">
        <f t="shared" si="13"/>
        <v>12 : 전라남도</v>
      </c>
    </row>
    <row r="155" spans="1:5" s="64" customFormat="1">
      <c r="A155" s="192" t="s">
        <v>5135</v>
      </c>
      <c r="B155" s="193" t="s">
        <v>5136</v>
      </c>
      <c r="C155" s="259" t="s">
        <v>4866</v>
      </c>
      <c r="D155" s="123" t="s">
        <v>5150</v>
      </c>
      <c r="E155" s="248" t="str">
        <f t="shared" si="13"/>
        <v>13 : 전라북도</v>
      </c>
    </row>
    <row r="156" spans="1:5" s="64" customFormat="1">
      <c r="A156" s="192" t="s">
        <v>5135</v>
      </c>
      <c r="B156" s="193" t="s">
        <v>5136</v>
      </c>
      <c r="C156" s="259" t="s">
        <v>4868</v>
      </c>
      <c r="D156" s="123" t="s">
        <v>5151</v>
      </c>
      <c r="E156" s="248" t="str">
        <f t="shared" ref="E156:E172" si="14">_xlfn.TEXTJOIN(" : ",FALSE,C156:D156)</f>
        <v>14 : 경상남도</v>
      </c>
    </row>
    <row r="157" spans="1:5" s="64" customFormat="1">
      <c r="A157" s="192" t="s">
        <v>5135</v>
      </c>
      <c r="B157" s="193" t="s">
        <v>5136</v>
      </c>
      <c r="C157" s="259" t="s">
        <v>4870</v>
      </c>
      <c r="D157" s="123" t="s">
        <v>5152</v>
      </c>
      <c r="E157" s="248" t="str">
        <f t="shared" si="14"/>
        <v>15 : 경상북도</v>
      </c>
    </row>
    <row r="158" spans="1:5" s="64" customFormat="1">
      <c r="A158" s="192" t="s">
        <v>5135</v>
      </c>
      <c r="B158" s="193" t="s">
        <v>5136</v>
      </c>
      <c r="C158" s="259" t="s">
        <v>4871</v>
      </c>
      <c r="D158" s="123" t="s">
        <v>5153</v>
      </c>
      <c r="E158" s="248" t="str">
        <f t="shared" si="14"/>
        <v>16 : 제주도</v>
      </c>
    </row>
    <row r="159" spans="1:5" s="64" customFormat="1">
      <c r="A159" s="192" t="s">
        <v>5135</v>
      </c>
      <c r="B159" s="193" t="s">
        <v>5136</v>
      </c>
      <c r="C159" s="259" t="s">
        <v>4872</v>
      </c>
      <c r="D159" s="123" t="s">
        <v>5154</v>
      </c>
      <c r="E159" s="248" t="str">
        <f t="shared" si="14"/>
        <v>17 : 해외</v>
      </c>
    </row>
    <row r="160" spans="1:5" s="64" customFormat="1">
      <c r="A160" s="192" t="s">
        <v>5158</v>
      </c>
      <c r="B160" s="193" t="s">
        <v>5136</v>
      </c>
      <c r="C160" s="259" t="s">
        <v>4833</v>
      </c>
      <c r="D160" s="123" t="s">
        <v>5137</v>
      </c>
      <c r="E160" s="248" t="str">
        <f t="shared" si="14"/>
        <v>01 : 서울특별시</v>
      </c>
    </row>
    <row r="161" spans="1:5" s="64" customFormat="1">
      <c r="A161" s="192" t="s">
        <v>5158</v>
      </c>
      <c r="B161" s="193" t="s">
        <v>5136</v>
      </c>
      <c r="C161" s="259" t="s">
        <v>4835</v>
      </c>
      <c r="D161" s="123" t="s">
        <v>5138</v>
      </c>
      <c r="E161" s="248" t="str">
        <f t="shared" si="14"/>
        <v>02 : 부산광역시</v>
      </c>
    </row>
    <row r="162" spans="1:5" s="64" customFormat="1">
      <c r="A162" s="192" t="s">
        <v>5158</v>
      </c>
      <c r="B162" s="193" t="s">
        <v>5136</v>
      </c>
      <c r="C162" s="259" t="s">
        <v>4885</v>
      </c>
      <c r="D162" s="123" t="s">
        <v>5139</v>
      </c>
      <c r="E162" s="248" t="str">
        <f t="shared" si="14"/>
        <v>03 : 대구광역시</v>
      </c>
    </row>
    <row r="163" spans="1:5" s="64" customFormat="1">
      <c r="A163" s="192" t="s">
        <v>5158</v>
      </c>
      <c r="B163" s="193" t="s">
        <v>5136</v>
      </c>
      <c r="C163" s="259" t="s">
        <v>4887</v>
      </c>
      <c r="D163" s="123" t="s">
        <v>5140</v>
      </c>
      <c r="E163" s="248" t="str">
        <f t="shared" si="14"/>
        <v>04 : 인천광역시</v>
      </c>
    </row>
    <row r="164" spans="1:5" s="64" customFormat="1">
      <c r="A164" s="192" t="s">
        <v>5158</v>
      </c>
      <c r="B164" s="193" t="s">
        <v>5136</v>
      </c>
      <c r="C164" s="259" t="s">
        <v>4889</v>
      </c>
      <c r="D164" s="123" t="s">
        <v>5141</v>
      </c>
      <c r="E164" s="248" t="str">
        <f t="shared" si="14"/>
        <v>05 : 광주광역시</v>
      </c>
    </row>
    <row r="165" spans="1:5" s="64" customFormat="1">
      <c r="A165" s="192" t="s">
        <v>5158</v>
      </c>
      <c r="B165" s="193" t="s">
        <v>5136</v>
      </c>
      <c r="C165" s="259" t="s">
        <v>4891</v>
      </c>
      <c r="D165" s="123" t="s">
        <v>5142</v>
      </c>
      <c r="E165" s="248" t="str">
        <f t="shared" si="14"/>
        <v>06 : 대전광역시</v>
      </c>
    </row>
    <row r="166" spans="1:5" s="64" customFormat="1">
      <c r="A166" s="192" t="s">
        <v>5158</v>
      </c>
      <c r="B166" s="193" t="s">
        <v>5136</v>
      </c>
      <c r="C166" s="259" t="s">
        <v>4892</v>
      </c>
      <c r="D166" s="123" t="s">
        <v>5143</v>
      </c>
      <c r="E166" s="248" t="str">
        <f t="shared" si="14"/>
        <v>07 : 울산광역시</v>
      </c>
    </row>
    <row r="167" spans="1:5" s="64" customFormat="1">
      <c r="A167" s="192" t="s">
        <v>5158</v>
      </c>
      <c r="B167" s="193" t="s">
        <v>5136</v>
      </c>
      <c r="C167" s="259" t="s">
        <v>4894</v>
      </c>
      <c r="D167" s="123" t="s">
        <v>5144</v>
      </c>
      <c r="E167" s="248" t="str">
        <f t="shared" si="14"/>
        <v>08 : 경기도</v>
      </c>
    </row>
    <row r="168" spans="1:5" s="64" customFormat="1">
      <c r="A168" s="192" t="s">
        <v>5158</v>
      </c>
      <c r="B168" s="193" t="s">
        <v>5136</v>
      </c>
      <c r="C168" s="259" t="s">
        <v>5145</v>
      </c>
      <c r="D168" s="123" t="s">
        <v>5146</v>
      </c>
      <c r="E168" s="248" t="str">
        <f t="shared" si="14"/>
        <v>09 : 강원도</v>
      </c>
    </row>
    <row r="169" spans="1:5" s="64" customFormat="1">
      <c r="A169" s="192" t="s">
        <v>5158</v>
      </c>
      <c r="B169" s="193" t="s">
        <v>5136</v>
      </c>
      <c r="C169" s="259" t="s">
        <v>4862</v>
      </c>
      <c r="D169" s="123" t="s">
        <v>5147</v>
      </c>
      <c r="E169" s="248" t="str">
        <f t="shared" si="14"/>
        <v>10 : 충청남도</v>
      </c>
    </row>
    <row r="170" spans="1:5" s="64" customFormat="1">
      <c r="A170" s="192" t="s">
        <v>5158</v>
      </c>
      <c r="B170" s="193" t="s">
        <v>5136</v>
      </c>
      <c r="C170" s="259" t="s">
        <v>4821</v>
      </c>
      <c r="D170" s="123" t="s">
        <v>5148</v>
      </c>
      <c r="E170" s="248" t="str">
        <f t="shared" si="14"/>
        <v>11 : 충청북도</v>
      </c>
    </row>
    <row r="171" spans="1:5" s="64" customFormat="1">
      <c r="A171" s="192" t="s">
        <v>5158</v>
      </c>
      <c r="B171" s="193" t="s">
        <v>5136</v>
      </c>
      <c r="C171" s="259" t="s">
        <v>4864</v>
      </c>
      <c r="D171" s="123" t="s">
        <v>5149</v>
      </c>
      <c r="E171" s="248" t="str">
        <f t="shared" si="14"/>
        <v>12 : 전라남도</v>
      </c>
    </row>
    <row r="172" spans="1:5" s="64" customFormat="1">
      <c r="A172" s="192" t="s">
        <v>5158</v>
      </c>
      <c r="B172" s="193" t="s">
        <v>5136</v>
      </c>
      <c r="C172" s="259" t="s">
        <v>4866</v>
      </c>
      <c r="D172" s="123" t="s">
        <v>5150</v>
      </c>
      <c r="E172" s="248" t="str">
        <f t="shared" si="14"/>
        <v>13 : 전라북도</v>
      </c>
    </row>
    <row r="173" spans="1:5" s="64" customFormat="1">
      <c r="A173" s="192" t="s">
        <v>5158</v>
      </c>
      <c r="B173" s="193" t="s">
        <v>5136</v>
      </c>
      <c r="C173" s="259" t="s">
        <v>4868</v>
      </c>
      <c r="D173" s="123" t="s">
        <v>5151</v>
      </c>
      <c r="E173" s="248" t="str">
        <f t="shared" ref="E173:E176" si="15">_xlfn.TEXTJOIN(" : ",FALSE,C173:D173)</f>
        <v>14 : 경상남도</v>
      </c>
    </row>
    <row r="174" spans="1:5" s="64" customFormat="1">
      <c r="A174" s="192" t="s">
        <v>5158</v>
      </c>
      <c r="B174" s="193" t="s">
        <v>5136</v>
      </c>
      <c r="C174" s="259" t="s">
        <v>4870</v>
      </c>
      <c r="D174" s="123" t="s">
        <v>5152</v>
      </c>
      <c r="E174" s="248" t="str">
        <f t="shared" si="15"/>
        <v>15 : 경상북도</v>
      </c>
    </row>
    <row r="175" spans="1:5" s="64" customFormat="1">
      <c r="A175" s="192" t="s">
        <v>5158</v>
      </c>
      <c r="B175" s="193" t="s">
        <v>5136</v>
      </c>
      <c r="C175" s="259" t="s">
        <v>4871</v>
      </c>
      <c r="D175" s="123" t="s">
        <v>5153</v>
      </c>
      <c r="E175" s="248" t="str">
        <f t="shared" si="15"/>
        <v>16 : 제주도</v>
      </c>
    </row>
    <row r="176" spans="1:5" s="64" customFormat="1">
      <c r="A176" s="192" t="s">
        <v>5158</v>
      </c>
      <c r="B176" s="193" t="s">
        <v>5136</v>
      </c>
      <c r="C176" s="259" t="s">
        <v>4872</v>
      </c>
      <c r="D176" s="123" t="s">
        <v>5154</v>
      </c>
      <c r="E176" s="248" t="str">
        <f t="shared" si="15"/>
        <v>17 : 해외</v>
      </c>
    </row>
    <row r="177" spans="1:5" s="64" customFormat="1">
      <c r="A177" s="192" t="s">
        <v>5300</v>
      </c>
      <c r="B177" s="193" t="s">
        <v>5301</v>
      </c>
      <c r="C177" s="257" t="s">
        <v>5302</v>
      </c>
      <c r="D177" s="219" t="s">
        <v>5303</v>
      </c>
      <c r="E177" s="248" t="str">
        <f t="shared" si="11"/>
        <v>1 : 타행(사)의 당좌예금(결제전용) 앞 이체</v>
      </c>
    </row>
    <row r="178" spans="1:5" s="64" customFormat="1">
      <c r="A178" s="192" t="s">
        <v>5315</v>
      </c>
      <c r="B178" s="193" t="s">
        <v>5314</v>
      </c>
      <c r="C178" s="257" t="s">
        <v>5302</v>
      </c>
      <c r="D178" s="219" t="s">
        <v>5317</v>
      </c>
      <c r="E178" s="248" t="str">
        <f t="shared" si="11"/>
        <v>1 : CMS계좌 또는 CMS코드 사용</v>
      </c>
    </row>
    <row r="179" spans="1:5" s="64" customFormat="1">
      <c r="A179" s="192" t="s">
        <v>5315</v>
      </c>
      <c r="B179" s="193" t="s">
        <v>5314</v>
      </c>
      <c r="C179" s="257" t="s">
        <v>5316</v>
      </c>
      <c r="D179" s="219" t="s">
        <v>5318</v>
      </c>
      <c r="E179" s="248" t="str">
        <f t="shared" si="11"/>
        <v>2 : 기타계좌 또는 CMS코드 미사용</v>
      </c>
    </row>
    <row r="180" spans="1:5" s="64" customFormat="1">
      <c r="A180" s="192" t="s">
        <v>5331</v>
      </c>
      <c r="B180" s="193" t="s">
        <v>5301</v>
      </c>
      <c r="C180" s="257" t="s">
        <v>5302</v>
      </c>
      <c r="D180" s="219" t="s">
        <v>5332</v>
      </c>
      <c r="E180" s="248" t="str">
        <f t="shared" si="11"/>
        <v>1 : 수취인지정자금 이체 입금결과 통보</v>
      </c>
    </row>
    <row r="181" spans="1:5" s="64" customFormat="1">
      <c r="A181" s="192" t="s">
        <v>5331</v>
      </c>
      <c r="B181" s="193" t="s">
        <v>5301</v>
      </c>
      <c r="C181" s="257" t="s">
        <v>5316</v>
      </c>
      <c r="D181" s="219" t="s">
        <v>5333</v>
      </c>
      <c r="E181" s="248" t="str">
        <f t="shared" si="11"/>
        <v>2 : 수취인지정자금 이체 반환 입금결과 통보</v>
      </c>
    </row>
    <row r="182" spans="1:5" s="64" customFormat="1">
      <c r="A182" s="192" t="s">
        <v>197</v>
      </c>
      <c r="B182" s="193" t="s">
        <v>5301</v>
      </c>
      <c r="C182" s="257" t="s">
        <v>5334</v>
      </c>
      <c r="D182" s="219" t="s">
        <v>5335</v>
      </c>
      <c r="E182" s="248" t="str">
        <f t="shared" si="11"/>
        <v>0 : 수취계좌 입금결과정보 없음</v>
      </c>
    </row>
    <row r="183" spans="1:5" s="64" customFormat="1">
      <c r="A183" s="192" t="s">
        <v>197</v>
      </c>
      <c r="B183" s="193" t="s">
        <v>5301</v>
      </c>
      <c r="C183" s="257" t="s">
        <v>5302</v>
      </c>
      <c r="D183" s="219" t="s">
        <v>5336</v>
      </c>
      <c r="E183" s="248" t="str">
        <f t="shared" ref="E183:E185" si="16">_xlfn.TEXTJOIN(" : ",FALSE,C183:D183)</f>
        <v>1 : 수취계좌 입금완료</v>
      </c>
    </row>
    <row r="184" spans="1:5" s="64" customFormat="1">
      <c r="A184" s="192" t="s">
        <v>197</v>
      </c>
      <c r="B184" s="193" t="s">
        <v>5301</v>
      </c>
      <c r="C184" s="257" t="s">
        <v>5316</v>
      </c>
      <c r="D184" s="219" t="s">
        <v>5337</v>
      </c>
      <c r="E184" s="248" t="str">
        <f t="shared" si="16"/>
        <v>2 : 수취계좌 입금실패</v>
      </c>
    </row>
    <row r="185" spans="1:5" s="64" customFormat="1">
      <c r="A185" s="192" t="s">
        <v>5342</v>
      </c>
      <c r="B185" s="193" t="s">
        <v>5301</v>
      </c>
      <c r="C185" s="257" t="s">
        <v>5302</v>
      </c>
      <c r="D185" s="219" t="s">
        <v>5339</v>
      </c>
      <c r="E185" s="248" t="str">
        <f t="shared" si="16"/>
        <v>1 : 수취인지정자금 이체 입금결과 조회</v>
      </c>
    </row>
    <row r="186" spans="1:5" s="64" customFormat="1">
      <c r="A186" s="192" t="s">
        <v>5342</v>
      </c>
      <c r="B186" s="193" t="s">
        <v>5301</v>
      </c>
      <c r="C186" s="257" t="s">
        <v>5316</v>
      </c>
      <c r="D186" s="219" t="s">
        <v>5340</v>
      </c>
      <c r="E186" s="248" t="str">
        <f t="shared" ref="E186:E188" si="17">_xlfn.TEXTJOIN(" : ",FALSE,C186:D186)</f>
        <v>2 : 수취인지정자금 이체 반환 입금결과 조회</v>
      </c>
    </row>
    <row r="187" spans="1:5" s="64" customFormat="1">
      <c r="A187" s="192" t="s">
        <v>5348</v>
      </c>
      <c r="B187" s="193" t="s">
        <v>5301</v>
      </c>
      <c r="C187" s="257" t="s">
        <v>5302</v>
      </c>
      <c r="D187" s="219" t="s">
        <v>5349</v>
      </c>
      <c r="E187" s="248" t="str">
        <f t="shared" si="17"/>
        <v>1 : 있음</v>
      </c>
    </row>
    <row r="188" spans="1:5" s="64" customFormat="1">
      <c r="A188" s="192" t="s">
        <v>5348</v>
      </c>
      <c r="B188" s="193" t="s">
        <v>5301</v>
      </c>
      <c r="C188" s="257" t="s">
        <v>5316</v>
      </c>
      <c r="D188" s="219" t="s">
        <v>5301</v>
      </c>
      <c r="E188" s="248" t="str">
        <f t="shared" si="17"/>
        <v>2 : 없음</v>
      </c>
    </row>
    <row r="189" spans="1:5" s="64" customFormat="1">
      <c r="A189" s="192"/>
      <c r="B189" s="193"/>
      <c r="C189" s="257"/>
      <c r="D189" s="219"/>
      <c r="E189" s="248" t="str">
        <f t="shared" si="11"/>
        <v xml:space="preserve"> : </v>
      </c>
    </row>
    <row r="190" spans="1:5" s="64" customFormat="1">
      <c r="A190" s="192"/>
      <c r="B190" s="193"/>
      <c r="C190" s="257"/>
      <c r="D190" s="219"/>
      <c r="E190" s="248" t="str">
        <f t="shared" si="11"/>
        <v xml:space="preserve"> : </v>
      </c>
    </row>
    <row r="191" spans="1:5" s="64" customFormat="1">
      <c r="A191" s="192"/>
      <c r="B191" s="193"/>
      <c r="C191" s="257"/>
      <c r="D191" s="219"/>
      <c r="E191" s="248" t="str">
        <f t="shared" si="11"/>
        <v xml:space="preserve"> : </v>
      </c>
    </row>
    <row r="192" spans="1:5" ht="14.25" thickBot="1">
      <c r="A192" s="249"/>
      <c r="B192" s="250"/>
      <c r="C192" s="260"/>
      <c r="D192" s="251"/>
      <c r="E192" s="252"/>
    </row>
  </sheetData>
  <phoneticPr fontId="1" type="noConversion"/>
  <hyperlinks>
    <hyperlink ref="A1" location="별첨9" display="목록으로 이동" xr:uid="{FCDE99EB-423B-45B6-A633-2D6364004657}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9743-0170-4E82-9D35-32F124CDC639}">
  <dimension ref="A1:S3511"/>
  <sheetViews>
    <sheetView workbookViewId="0"/>
  </sheetViews>
  <sheetFormatPr defaultRowHeight="13.5"/>
  <cols>
    <col min="1" max="1" width="40.25" style="82" customWidth="1"/>
    <col min="2" max="2" width="27" style="82" bestFit="1" customWidth="1"/>
    <col min="3" max="3" width="8.875" style="26" customWidth="1"/>
    <col min="4" max="4" width="46.25" style="26" customWidth="1"/>
    <col min="5" max="5" width="102.375" style="124" customWidth="1"/>
    <col min="6" max="16384" width="9" style="14"/>
  </cols>
  <sheetData>
    <row r="1" spans="1:5" s="64" customFormat="1" ht="14.25" customHeight="1" thickBot="1">
      <c r="A1" s="244" t="s">
        <v>4606</v>
      </c>
      <c r="B1" s="138"/>
      <c r="C1" s="254"/>
      <c r="D1" s="254"/>
      <c r="E1" s="112"/>
    </row>
    <row r="2" spans="1:5" s="64" customFormat="1" ht="14.25" thickBot="1">
      <c r="A2" s="314" t="s">
        <v>4709</v>
      </c>
      <c r="B2" s="311" t="s">
        <v>4613</v>
      </c>
      <c r="C2" s="255" t="s">
        <v>4710</v>
      </c>
      <c r="D2" s="327" t="s">
        <v>4717</v>
      </c>
      <c r="E2" s="113" t="s">
        <v>4737</v>
      </c>
    </row>
    <row r="3" spans="1:5" s="64" customFormat="1">
      <c r="A3" s="315" t="s">
        <v>450</v>
      </c>
      <c r="B3" s="313" t="s">
        <v>4768</v>
      </c>
      <c r="C3" s="256" t="s">
        <v>5369</v>
      </c>
      <c r="D3" s="328" t="s">
        <v>2634</v>
      </c>
      <c r="E3" s="122" t="str">
        <f>_xlfn.TEXTJOIN(" : ",FALSE,C3:D3)</f>
        <v xml:space="preserve">0000 : 정상　처리　되었습니다．              </v>
      </c>
    </row>
    <row r="4" spans="1:5" s="64" customFormat="1">
      <c r="A4" s="316" t="s">
        <v>4635</v>
      </c>
      <c r="B4" s="123" t="s">
        <v>7609</v>
      </c>
      <c r="C4" s="256" t="s">
        <v>5370</v>
      </c>
      <c r="D4" s="328" t="s">
        <v>2633</v>
      </c>
      <c r="E4" s="122" t="str">
        <f t="shared" ref="E4:E67" si="0">_xlfn.TEXTJOIN(" : ",FALSE,C4:D4)</f>
        <v xml:space="preserve">0001 : 거래부호　오류                        </v>
      </c>
    </row>
    <row r="5" spans="1:5" s="64" customFormat="1">
      <c r="A5" s="316" t="s">
        <v>4635</v>
      </c>
      <c r="B5" s="123" t="s">
        <v>7609</v>
      </c>
      <c r="C5" s="256" t="s">
        <v>5371</v>
      </c>
      <c r="D5" s="328" t="s">
        <v>2632</v>
      </c>
      <c r="E5" s="122" t="str">
        <f t="shared" si="0"/>
        <v xml:space="preserve">0002 : 신청기관　계정개설처　오류            </v>
      </c>
    </row>
    <row r="6" spans="1:5" s="64" customFormat="1">
      <c r="A6" s="316" t="s">
        <v>4635</v>
      </c>
      <c r="B6" s="123" t="s">
        <v>7609</v>
      </c>
      <c r="C6" s="256" t="s">
        <v>5372</v>
      </c>
      <c r="D6" s="328" t="s">
        <v>2631</v>
      </c>
      <c r="E6" s="122" t="str">
        <f t="shared" si="0"/>
        <v xml:space="preserve">0003 : 거래일자　오류                        </v>
      </c>
    </row>
    <row r="7" spans="1:5" s="64" customFormat="1">
      <c r="A7" s="316" t="s">
        <v>4635</v>
      </c>
      <c r="B7" s="123" t="s">
        <v>7609</v>
      </c>
      <c r="C7" s="256" t="s">
        <v>5373</v>
      </c>
      <c r="D7" s="328" t="s">
        <v>2630</v>
      </c>
      <c r="E7" s="122" t="str">
        <f t="shared" si="0"/>
        <v xml:space="preserve">0004 : 신청기관　오류                        </v>
      </c>
    </row>
    <row r="8" spans="1:5" s="64" customFormat="1">
      <c r="A8" s="316" t="s">
        <v>4635</v>
      </c>
      <c r="B8" s="123" t="s">
        <v>7609</v>
      </c>
      <c r="C8" s="256" t="s">
        <v>5374</v>
      </c>
      <c r="D8" s="328" t="s">
        <v>1465</v>
      </c>
      <c r="E8" s="122" t="str">
        <f t="shared" si="0"/>
        <v xml:space="preserve">0005 : 거래번호　오류                        </v>
      </c>
    </row>
    <row r="9" spans="1:5" s="64" customFormat="1">
      <c r="A9" s="316" t="s">
        <v>4635</v>
      </c>
      <c r="B9" s="123" t="s">
        <v>7609</v>
      </c>
      <c r="C9" s="256" t="s">
        <v>5375</v>
      </c>
      <c r="D9" s="328" t="s">
        <v>2629</v>
      </c>
      <c r="E9" s="122" t="str">
        <f t="shared" si="0"/>
        <v xml:space="preserve">0006 : 수취기관　계정개설처　오류            </v>
      </c>
    </row>
    <row r="10" spans="1:5" s="64" customFormat="1">
      <c r="A10" s="316" t="s">
        <v>4635</v>
      </c>
      <c r="B10" s="123" t="s">
        <v>7609</v>
      </c>
      <c r="C10" s="256" t="s">
        <v>5376</v>
      </c>
      <c r="D10" s="328" t="s">
        <v>2628</v>
      </c>
      <c r="E10" s="122" t="str">
        <f t="shared" si="0"/>
        <v xml:space="preserve">0007 : 수취기관　오류                        </v>
      </c>
    </row>
    <row r="11" spans="1:5" s="64" customFormat="1">
      <c r="A11" s="316" t="s">
        <v>4635</v>
      </c>
      <c r="B11" s="123" t="s">
        <v>7609</v>
      </c>
      <c r="C11" s="256" t="s">
        <v>5377</v>
      </c>
      <c r="D11" s="328" t="s">
        <v>2627</v>
      </c>
      <c r="E11" s="122" t="str">
        <f t="shared" si="0"/>
        <v xml:space="preserve">0008 : 이체종류　오류                        </v>
      </c>
    </row>
    <row r="12" spans="1:5" s="64" customFormat="1">
      <c r="A12" s="316" t="s">
        <v>4635</v>
      </c>
      <c r="B12" s="123" t="s">
        <v>7609</v>
      </c>
      <c r="C12" s="256" t="s">
        <v>5378</v>
      </c>
      <c r="D12" s="328" t="s">
        <v>2626</v>
      </c>
      <c r="E12" s="122" t="str">
        <f t="shared" si="0"/>
        <v xml:space="preserve">0009 : 금액　오류                            </v>
      </c>
    </row>
    <row r="13" spans="1:5" s="64" customFormat="1">
      <c r="A13" s="316" t="s">
        <v>4635</v>
      </c>
      <c r="B13" s="123" t="s">
        <v>7609</v>
      </c>
      <c r="C13" s="256" t="s">
        <v>5379</v>
      </c>
      <c r="D13" s="328" t="s">
        <v>2625</v>
      </c>
      <c r="E13" s="122" t="str">
        <f t="shared" si="0"/>
        <v xml:space="preserve">0010 : 일반자금이체가　제한되었습니다．      </v>
      </c>
    </row>
    <row r="14" spans="1:5" s="64" customFormat="1">
      <c r="A14" s="316" t="s">
        <v>4635</v>
      </c>
      <c r="B14" s="123" t="s">
        <v>7609</v>
      </c>
      <c r="C14" s="256" t="s">
        <v>5380</v>
      </c>
      <c r="D14" s="328" t="s">
        <v>2624</v>
      </c>
      <c r="E14" s="122" t="str">
        <f t="shared" si="0"/>
        <v xml:space="preserve">0011 : 수취인거래은행명　오류                </v>
      </c>
    </row>
    <row r="15" spans="1:5" s="64" customFormat="1">
      <c r="A15" s="316" t="s">
        <v>4635</v>
      </c>
      <c r="B15" s="123" t="s">
        <v>7609</v>
      </c>
      <c r="C15" s="256" t="s">
        <v>5381</v>
      </c>
      <c r="D15" s="328" t="s">
        <v>2623</v>
      </c>
      <c r="E15" s="122" t="str">
        <f t="shared" si="0"/>
        <v xml:space="preserve">0012 : 수취인거래지점명　오류                </v>
      </c>
    </row>
    <row r="16" spans="1:5" s="64" customFormat="1">
      <c r="A16" s="316" t="s">
        <v>4635</v>
      </c>
      <c r="B16" s="123" t="s">
        <v>7609</v>
      </c>
      <c r="C16" s="256" t="s">
        <v>5382</v>
      </c>
      <c r="D16" s="328" t="s">
        <v>2622</v>
      </c>
      <c r="E16" s="122" t="str">
        <f t="shared" si="0"/>
        <v xml:space="preserve">0013 : 수취인예금계좌번호　오류              </v>
      </c>
    </row>
    <row r="17" spans="1:5" s="64" customFormat="1">
      <c r="A17" s="316" t="s">
        <v>4635</v>
      </c>
      <c r="B17" s="123" t="s">
        <v>7609</v>
      </c>
      <c r="C17" s="256" t="s">
        <v>5383</v>
      </c>
      <c r="D17" s="328" t="s">
        <v>2621</v>
      </c>
      <c r="E17" s="122" t="str">
        <f t="shared" si="0"/>
        <v xml:space="preserve">0014 : 수취인 오류                         </v>
      </c>
    </row>
    <row r="18" spans="1:5" s="64" customFormat="1">
      <c r="A18" s="316" t="s">
        <v>4635</v>
      </c>
      <c r="B18" s="123" t="s">
        <v>7609</v>
      </c>
      <c r="C18" s="256" t="s">
        <v>5384</v>
      </c>
      <c r="D18" s="328" t="s">
        <v>2620</v>
      </c>
      <c r="E18" s="122" t="str">
        <f t="shared" si="0"/>
        <v xml:space="preserve">0015 : 의뢰인　오류                          </v>
      </c>
    </row>
    <row r="19" spans="1:5" s="64" customFormat="1">
      <c r="A19" s="316" t="s">
        <v>4635</v>
      </c>
      <c r="B19" s="123" t="s">
        <v>7609</v>
      </c>
      <c r="C19" s="256" t="s">
        <v>5385</v>
      </c>
      <c r="D19" s="328" t="s">
        <v>2619</v>
      </c>
      <c r="E19" s="122" t="str">
        <f t="shared" si="0"/>
        <v xml:space="preserve">0016 : 적요　오류                            </v>
      </c>
    </row>
    <row r="20" spans="1:5" s="64" customFormat="1">
      <c r="A20" s="316" t="s">
        <v>4635</v>
      </c>
      <c r="B20" s="123" t="s">
        <v>7609</v>
      </c>
      <c r="C20" s="256" t="s">
        <v>5386</v>
      </c>
      <c r="D20" s="328" t="s">
        <v>2618</v>
      </c>
      <c r="E20" s="122" t="str">
        <f t="shared" si="0"/>
        <v xml:space="preserve">0017 : 고유번호　오류                        </v>
      </c>
    </row>
    <row r="21" spans="1:5" s="64" customFormat="1">
      <c r="A21" s="316" t="s">
        <v>4635</v>
      </c>
      <c r="B21" s="123" t="s">
        <v>7609</v>
      </c>
      <c r="C21" s="256" t="s">
        <v>5387</v>
      </c>
      <c r="D21" s="328" t="s">
        <v>2617</v>
      </c>
      <c r="E21" s="122" t="str">
        <f t="shared" si="0"/>
        <v xml:space="preserve">0018 : 단말기번호　오류                      </v>
      </c>
    </row>
    <row r="22" spans="1:5" s="64" customFormat="1">
      <c r="A22" s="316" t="s">
        <v>4635</v>
      </c>
      <c r="B22" s="123" t="s">
        <v>7609</v>
      </c>
      <c r="C22" s="256" t="s">
        <v>5388</v>
      </c>
      <c r="D22" s="328" t="s">
        <v>2616</v>
      </c>
      <c r="E22" s="122" t="str">
        <f t="shared" si="0"/>
        <v xml:space="preserve">0019 : 정상담당자　오류                      </v>
      </c>
    </row>
    <row r="23" spans="1:5" s="64" customFormat="1">
      <c r="A23" s="316" t="s">
        <v>4635</v>
      </c>
      <c r="B23" s="123" t="s">
        <v>7609</v>
      </c>
      <c r="C23" s="256" t="s">
        <v>5389</v>
      </c>
      <c r="D23" s="328" t="s">
        <v>2615</v>
      </c>
      <c r="E23" s="122" t="str">
        <f t="shared" si="0"/>
        <v xml:space="preserve">0020 : 정상입력시간　오류                    </v>
      </c>
    </row>
    <row r="24" spans="1:5" s="64" customFormat="1">
      <c r="A24" s="316" t="s">
        <v>4635</v>
      </c>
      <c r="B24" s="123" t="s">
        <v>7609</v>
      </c>
      <c r="C24" s="256" t="s">
        <v>5390</v>
      </c>
      <c r="D24" s="328" t="s">
        <v>1494</v>
      </c>
      <c r="E24" s="122" t="str">
        <f t="shared" si="0"/>
        <v xml:space="preserve">0021 : 취소담당자　오류                      </v>
      </c>
    </row>
    <row r="25" spans="1:5" s="64" customFormat="1">
      <c r="A25" s="316" t="s">
        <v>4635</v>
      </c>
      <c r="B25" s="123" t="s">
        <v>7609</v>
      </c>
      <c r="C25" s="256" t="s">
        <v>5391</v>
      </c>
      <c r="D25" s="328" t="s">
        <v>2614</v>
      </c>
      <c r="E25" s="122" t="str">
        <f t="shared" si="0"/>
        <v xml:space="preserve">0022 : 취소입력시간　오류                    </v>
      </c>
    </row>
    <row r="26" spans="1:5" s="64" customFormat="1">
      <c r="A26" s="316" t="s">
        <v>4635</v>
      </c>
      <c r="B26" s="123" t="s">
        <v>7609</v>
      </c>
      <c r="C26" s="256" t="s">
        <v>5392</v>
      </c>
      <c r="D26" s="328" t="s">
        <v>2613</v>
      </c>
      <c r="E26" s="122" t="str">
        <f t="shared" si="0"/>
        <v xml:space="preserve">0023 : 수정인　ＯＰＩＤ　오류                </v>
      </c>
    </row>
    <row r="27" spans="1:5" s="64" customFormat="1">
      <c r="A27" s="316" t="s">
        <v>4635</v>
      </c>
      <c r="B27" s="123" t="s">
        <v>7609</v>
      </c>
      <c r="C27" s="256" t="s">
        <v>5393</v>
      </c>
      <c r="D27" s="328" t="s">
        <v>2612</v>
      </c>
      <c r="E27" s="122" t="str">
        <f t="shared" si="0"/>
        <v xml:space="preserve">0024 : 수정입력시간　오류                    </v>
      </c>
    </row>
    <row r="28" spans="1:5" s="64" customFormat="1">
      <c r="A28" s="316" t="s">
        <v>4635</v>
      </c>
      <c r="B28" s="123" t="s">
        <v>7609</v>
      </c>
      <c r="C28" s="256" t="s">
        <v>5394</v>
      </c>
      <c r="D28" s="328" t="s">
        <v>2611</v>
      </c>
      <c r="E28" s="122" t="str">
        <f t="shared" si="0"/>
        <v xml:space="preserve">0025 : 최종이체완료시간　오류                </v>
      </c>
    </row>
    <row r="29" spans="1:5" s="64" customFormat="1">
      <c r="A29" s="316" t="s">
        <v>4635</v>
      </c>
      <c r="B29" s="123" t="s">
        <v>7609</v>
      </c>
      <c r="C29" s="256" t="s">
        <v>5395</v>
      </c>
      <c r="D29" s="328" t="s">
        <v>2610</v>
      </c>
      <c r="E29" s="122" t="str">
        <f t="shared" si="0"/>
        <v xml:space="preserve">0026 : 이체상태　오류                        </v>
      </c>
    </row>
    <row r="30" spans="1:5" s="64" customFormat="1">
      <c r="A30" s="316" t="s">
        <v>4635</v>
      </c>
      <c r="B30" s="123" t="s">
        <v>7609</v>
      </c>
      <c r="C30" s="256" t="s">
        <v>5396</v>
      </c>
      <c r="D30" s="328" t="s">
        <v>2609</v>
      </c>
      <c r="E30" s="122" t="str">
        <f t="shared" si="0"/>
        <v xml:space="preserve">0027 : 회계번호생성오류                      </v>
      </c>
    </row>
    <row r="31" spans="1:5" s="64" customFormat="1">
      <c r="A31" s="316" t="s">
        <v>4635</v>
      </c>
      <c r="B31" s="123" t="s">
        <v>7609</v>
      </c>
      <c r="C31" s="256" t="s">
        <v>5397</v>
      </c>
      <c r="D31" s="328" t="s">
        <v>1482</v>
      </c>
      <c r="E31" s="122" t="str">
        <f t="shared" si="0"/>
        <v xml:space="preserve">0028 : 대기번호　오류                        </v>
      </c>
    </row>
    <row r="32" spans="1:5" s="64" customFormat="1">
      <c r="A32" s="316" t="s">
        <v>4635</v>
      </c>
      <c r="B32" s="123" t="s">
        <v>7609</v>
      </c>
      <c r="C32" s="256" t="s">
        <v>5398</v>
      </c>
      <c r="D32" s="328" t="s">
        <v>1483</v>
      </c>
      <c r="E32" s="122" t="str">
        <f t="shared" si="0"/>
        <v xml:space="preserve">0029 : 응답코드　오류                        </v>
      </c>
    </row>
    <row r="33" spans="1:5" s="64" customFormat="1">
      <c r="A33" s="316" t="s">
        <v>4635</v>
      </c>
      <c r="B33" s="123" t="s">
        <v>7609</v>
      </c>
      <c r="C33" s="256" t="s">
        <v>5399</v>
      </c>
      <c r="D33" s="328" t="s">
        <v>2608</v>
      </c>
      <c r="E33" s="122" t="str">
        <f t="shared" si="0"/>
        <v xml:space="preserve">0030 : 자금코드　오류                        </v>
      </c>
    </row>
    <row r="34" spans="1:5" s="64" customFormat="1">
      <c r="A34" s="316" t="s">
        <v>4635</v>
      </c>
      <c r="B34" s="123" t="s">
        <v>7609</v>
      </c>
      <c r="C34" s="256" t="s">
        <v>5400</v>
      </c>
      <c r="D34" s="328" t="s">
        <v>2607</v>
      </c>
      <c r="E34" s="122" t="str">
        <f t="shared" si="0"/>
        <v xml:space="preserve">0031 : 합계대기건수　오류                    </v>
      </c>
    </row>
    <row r="35" spans="1:5" s="64" customFormat="1">
      <c r="A35" s="316" t="s">
        <v>4635</v>
      </c>
      <c r="B35" s="123" t="s">
        <v>7609</v>
      </c>
      <c r="C35" s="256" t="s">
        <v>5401</v>
      </c>
      <c r="D35" s="328" t="s">
        <v>2607</v>
      </c>
      <c r="E35" s="122" t="str">
        <f t="shared" si="0"/>
        <v xml:space="preserve">0032 : 합계대기건수　오류                    </v>
      </c>
    </row>
    <row r="36" spans="1:5" s="64" customFormat="1">
      <c r="A36" s="316" t="s">
        <v>4635</v>
      </c>
      <c r="B36" s="123" t="s">
        <v>7609</v>
      </c>
      <c r="C36" s="256" t="s">
        <v>5402</v>
      </c>
      <c r="D36" s="328" t="s">
        <v>2606</v>
      </c>
      <c r="E36" s="122" t="str">
        <f t="shared" si="0"/>
        <v xml:space="preserve">0033 : 보관용　회계구좌파일　오류            </v>
      </c>
    </row>
    <row r="37" spans="1:5" s="64" customFormat="1">
      <c r="A37" s="316" t="s">
        <v>4635</v>
      </c>
      <c r="B37" s="123" t="s">
        <v>7609</v>
      </c>
      <c r="C37" s="256" t="s">
        <v>5403</v>
      </c>
      <c r="D37" s="328" t="s">
        <v>2605</v>
      </c>
      <c r="E37" s="122" t="str">
        <f t="shared" si="0"/>
        <v xml:space="preserve">0034 : 정상책임자　오류                      </v>
      </c>
    </row>
    <row r="38" spans="1:5" s="64" customFormat="1">
      <c r="A38" s="316" t="s">
        <v>4635</v>
      </c>
      <c r="B38" s="123" t="s">
        <v>7609</v>
      </c>
      <c r="C38" s="256" t="s">
        <v>5404</v>
      </c>
      <c r="D38" s="328" t="s">
        <v>2604</v>
      </c>
      <c r="E38" s="122" t="str">
        <f t="shared" si="0"/>
        <v xml:space="preserve">0035 : 합계건수　오류                        </v>
      </c>
    </row>
    <row r="39" spans="1:5" s="64" customFormat="1">
      <c r="A39" s="316" t="s">
        <v>4635</v>
      </c>
      <c r="B39" s="123" t="s">
        <v>7609</v>
      </c>
      <c r="C39" s="256" t="s">
        <v>5405</v>
      </c>
      <c r="D39" s="328" t="s">
        <v>2603</v>
      </c>
      <c r="E39" s="122" t="str">
        <f t="shared" si="0"/>
        <v xml:space="preserve">0036 : 합계금액　오류                        </v>
      </c>
    </row>
    <row r="40" spans="1:5" s="64" customFormat="1">
      <c r="A40" s="316" t="s">
        <v>4635</v>
      </c>
      <c r="B40" s="123" t="s">
        <v>7609</v>
      </c>
      <c r="C40" s="256" t="s">
        <v>5406</v>
      </c>
      <c r="D40" s="328" t="s">
        <v>2602</v>
      </c>
      <c r="E40" s="122" t="str">
        <f t="shared" si="0"/>
        <v xml:space="preserve">0037 : 신청장소　오류                        </v>
      </c>
    </row>
    <row r="41" spans="1:5" s="64" customFormat="1">
      <c r="A41" s="316" t="s">
        <v>4635</v>
      </c>
      <c r="B41" s="123" t="s">
        <v>7609</v>
      </c>
      <c r="C41" s="256" t="s">
        <v>5407</v>
      </c>
      <c r="D41" s="328" t="s">
        <v>2601</v>
      </c>
      <c r="E41" s="122" t="str">
        <f t="shared" si="0"/>
        <v xml:space="preserve">0038 : 현재당좌예금잔액　오류                </v>
      </c>
    </row>
    <row r="42" spans="1:5" s="64" customFormat="1">
      <c r="A42" s="316" t="s">
        <v>4635</v>
      </c>
      <c r="B42" s="123" t="s">
        <v>7609</v>
      </c>
      <c r="C42" s="256" t="s">
        <v>5408</v>
      </c>
      <c r="D42" s="328" t="s">
        <v>2600</v>
      </c>
      <c r="E42" s="122" t="str">
        <f t="shared" si="0"/>
        <v xml:space="preserve">0039 : 이미　결제된　거래입니다．            </v>
      </c>
    </row>
    <row r="43" spans="1:5" s="64" customFormat="1">
      <c r="A43" s="316" t="s">
        <v>4635</v>
      </c>
      <c r="B43" s="123" t="s">
        <v>7609</v>
      </c>
      <c r="C43" s="256" t="s">
        <v>5409</v>
      </c>
      <c r="D43" s="328" t="s">
        <v>2599</v>
      </c>
      <c r="E43" s="122" t="str">
        <f t="shared" si="0"/>
        <v xml:space="preserve">0040 : 이미　취소된　거래입니다．            </v>
      </c>
    </row>
    <row r="44" spans="1:5" s="64" customFormat="1">
      <c r="A44" s="316" t="s">
        <v>4635</v>
      </c>
      <c r="B44" s="123" t="s">
        <v>7609</v>
      </c>
      <c r="C44" s="256" t="s">
        <v>5410</v>
      </c>
      <c r="D44" s="328" t="s">
        <v>2598</v>
      </c>
      <c r="E44" s="122" t="str">
        <f t="shared" si="0"/>
        <v xml:space="preserve">0041 : 취소　단말기번호　오류                </v>
      </c>
    </row>
    <row r="45" spans="1:5" s="64" customFormat="1">
      <c r="A45" s="316" t="s">
        <v>4635</v>
      </c>
      <c r="B45" s="123" t="s">
        <v>7609</v>
      </c>
      <c r="C45" s="256" t="s">
        <v>5411</v>
      </c>
      <c r="D45" s="328" t="s">
        <v>2597</v>
      </c>
      <c r="E45" s="122" t="str">
        <f t="shared" si="0"/>
        <v xml:space="preserve">0042 : 취소　책임자　오류                    </v>
      </c>
    </row>
    <row r="46" spans="1:5" s="64" customFormat="1">
      <c r="A46" s="316" t="s">
        <v>4635</v>
      </c>
      <c r="B46" s="123" t="s">
        <v>7609</v>
      </c>
      <c r="C46" s="256" t="s">
        <v>5412</v>
      </c>
      <c r="D46" s="328" t="s">
        <v>2596</v>
      </c>
      <c r="E46" s="122" t="str">
        <f t="shared" si="0"/>
        <v xml:space="preserve">0043 : 거래구분오류                          </v>
      </c>
    </row>
    <row r="47" spans="1:5" s="64" customFormat="1">
      <c r="A47" s="316" t="s">
        <v>4635</v>
      </c>
      <c r="B47" s="123" t="s">
        <v>7609</v>
      </c>
      <c r="C47" s="256" t="s">
        <v>5413</v>
      </c>
      <c r="D47" s="328" t="s">
        <v>2595</v>
      </c>
      <c r="E47" s="122" t="str">
        <f t="shared" si="0"/>
        <v xml:space="preserve">0044 : 자금이체종류　오류                    </v>
      </c>
    </row>
    <row r="48" spans="1:5" s="64" customFormat="1">
      <c r="A48" s="316" t="s">
        <v>4635</v>
      </c>
      <c r="B48" s="123" t="s">
        <v>7609</v>
      </c>
      <c r="C48" s="256" t="s">
        <v>5414</v>
      </c>
      <c r="D48" s="328" t="s">
        <v>2594</v>
      </c>
      <c r="E48" s="122" t="str">
        <f t="shared" si="0"/>
        <v xml:space="preserve">0045 : 오후차액결제　완료                    </v>
      </c>
    </row>
    <row r="49" spans="1:5" s="64" customFormat="1">
      <c r="A49" s="316" t="s">
        <v>4635</v>
      </c>
      <c r="B49" s="123" t="s">
        <v>7609</v>
      </c>
      <c r="C49" s="256" t="s">
        <v>5415</v>
      </c>
      <c r="D49" s="328" t="s">
        <v>2593</v>
      </c>
      <c r="E49" s="122" t="str">
        <f t="shared" si="0"/>
        <v xml:space="preserve">0046 : 수취인지정은예약거래할수업습니다      </v>
      </c>
    </row>
    <row r="50" spans="1:5" s="64" customFormat="1">
      <c r="A50" s="316" t="s">
        <v>4635</v>
      </c>
      <c r="B50" s="123" t="s">
        <v>7609</v>
      </c>
      <c r="C50" s="256" t="s">
        <v>5416</v>
      </c>
      <c r="D50" s="328" t="s">
        <v>2592</v>
      </c>
      <c r="E50" s="122" t="str">
        <f t="shared" si="0"/>
        <v xml:space="preserve">0047 : 차액결제　미입력                      </v>
      </c>
    </row>
    <row r="51" spans="1:5" s="64" customFormat="1">
      <c r="A51" s="316" t="s">
        <v>4635</v>
      </c>
      <c r="B51" s="123" t="s">
        <v>7609</v>
      </c>
      <c r="C51" s="256" t="s">
        <v>5417</v>
      </c>
      <c r="D51" s="328" t="s">
        <v>2591</v>
      </c>
      <c r="E51" s="122" t="str">
        <f t="shared" si="0"/>
        <v xml:space="preserve">0048 : 예약자금이체　금액체크　오류          </v>
      </c>
    </row>
    <row r="52" spans="1:5" s="64" customFormat="1">
      <c r="A52" s="316" t="s">
        <v>4635</v>
      </c>
      <c r="B52" s="123" t="s">
        <v>7609</v>
      </c>
      <c r="C52" s="256" t="s">
        <v>5418</v>
      </c>
      <c r="D52" s="328" t="s">
        <v>2590</v>
      </c>
      <c r="E52" s="122" t="str">
        <f t="shared" si="0"/>
        <v xml:space="preserve">0049 : 오전차액결제　완료                    </v>
      </c>
    </row>
    <row r="53" spans="1:5" s="64" customFormat="1">
      <c r="A53" s="316" t="s">
        <v>4635</v>
      </c>
      <c r="B53" s="123" t="s">
        <v>7609</v>
      </c>
      <c r="C53" s="256" t="s">
        <v>5419</v>
      </c>
      <c r="D53" s="328" t="s">
        <v>2589</v>
      </c>
      <c r="E53" s="122" t="str">
        <f t="shared" si="0"/>
        <v xml:space="preserve">0050 : 예약자금이체　취소시간　오류          </v>
      </c>
    </row>
    <row r="54" spans="1:5" s="64" customFormat="1">
      <c r="A54" s="316" t="s">
        <v>4635</v>
      </c>
      <c r="B54" s="123" t="s">
        <v>7609</v>
      </c>
      <c r="C54" s="256" t="s">
        <v>5420</v>
      </c>
      <c r="D54" s="328" t="s">
        <v>2588</v>
      </c>
      <c r="E54" s="122" t="str">
        <f t="shared" si="0"/>
        <v xml:space="preserve">0051 : 시점종류　오류                        </v>
      </c>
    </row>
    <row r="55" spans="1:5" s="64" customFormat="1">
      <c r="A55" s="316" t="s">
        <v>4635</v>
      </c>
      <c r="B55" s="123" t="s">
        <v>7609</v>
      </c>
      <c r="C55" s="256" t="s">
        <v>5421</v>
      </c>
      <c r="D55" s="328" t="s">
        <v>2587</v>
      </c>
      <c r="E55" s="122" t="str">
        <f t="shared" si="0"/>
        <v xml:space="preserve">0052 : 이체기관　코드　오류                  </v>
      </c>
    </row>
    <row r="56" spans="1:5" s="64" customFormat="1">
      <c r="A56" s="316" t="s">
        <v>4635</v>
      </c>
      <c r="B56" s="123" t="s">
        <v>7609</v>
      </c>
      <c r="C56" s="256" t="s">
        <v>5422</v>
      </c>
      <c r="D56" s="328" t="s">
        <v>2586</v>
      </c>
      <c r="E56" s="122" t="str">
        <f t="shared" si="0"/>
        <v xml:space="preserve">0053 : 이체기관　계정개설처코드　오류        </v>
      </c>
    </row>
    <row r="57" spans="1:5" s="64" customFormat="1">
      <c r="A57" s="316" t="s">
        <v>4635</v>
      </c>
      <c r="B57" s="123" t="s">
        <v>7609</v>
      </c>
      <c r="C57" s="256" t="s">
        <v>5423</v>
      </c>
      <c r="D57" s="328" t="s">
        <v>2585</v>
      </c>
      <c r="E57" s="122" t="str">
        <f t="shared" si="0"/>
        <v xml:space="preserve">0054 : 해당거래가　없습니다．                </v>
      </c>
    </row>
    <row r="58" spans="1:5" s="64" customFormat="1">
      <c r="A58" s="316" t="s">
        <v>4635</v>
      </c>
      <c r="B58" s="123" t="s">
        <v>7609</v>
      </c>
      <c r="C58" s="256" t="s">
        <v>5424</v>
      </c>
      <c r="D58" s="328" t="s">
        <v>1514</v>
      </c>
      <c r="E58" s="122" t="str">
        <f t="shared" si="0"/>
        <v xml:space="preserve">0055 : 거래금액　오류                        </v>
      </c>
    </row>
    <row r="59" spans="1:5" s="64" customFormat="1">
      <c r="A59" s="316" t="s">
        <v>4635</v>
      </c>
      <c r="B59" s="123" t="s">
        <v>7609</v>
      </c>
      <c r="C59" s="256" t="s">
        <v>5425</v>
      </c>
      <c r="D59" s="328" t="s">
        <v>1454</v>
      </c>
      <c r="E59" s="122" t="str">
        <f t="shared" si="0"/>
        <v xml:space="preserve">0056 : 거래종류　오류                        </v>
      </c>
    </row>
    <row r="60" spans="1:5" s="64" customFormat="1">
      <c r="A60" s="316" t="s">
        <v>4635</v>
      </c>
      <c r="B60" s="123" t="s">
        <v>7609</v>
      </c>
      <c r="C60" s="256" t="s">
        <v>5426</v>
      </c>
      <c r="D60" s="328" t="s">
        <v>2584</v>
      </c>
      <c r="E60" s="122" t="str">
        <f t="shared" si="0"/>
        <v xml:space="preserve">0057 : 순위조정전　거래입니다．              </v>
      </c>
    </row>
    <row r="61" spans="1:5" s="64" customFormat="1">
      <c r="A61" s="316" t="s">
        <v>4635</v>
      </c>
      <c r="B61" s="123" t="s">
        <v>7609</v>
      </c>
      <c r="C61" s="256" t="s">
        <v>5427</v>
      </c>
      <c r="D61" s="328" t="s">
        <v>2583</v>
      </c>
      <c r="E61" s="122" t="str">
        <f t="shared" si="0"/>
        <v xml:space="preserve">0058 : 이미　순위조정　완료된　거래입니다．  </v>
      </c>
    </row>
    <row r="62" spans="1:5" s="64" customFormat="1">
      <c r="A62" s="316" t="s">
        <v>4635</v>
      </c>
      <c r="B62" s="123" t="s">
        <v>7609</v>
      </c>
      <c r="C62" s="256" t="s">
        <v>5428</v>
      </c>
      <c r="D62" s="328" t="s">
        <v>2582</v>
      </c>
      <c r="E62" s="122" t="str">
        <f t="shared" si="0"/>
        <v xml:space="preserve">0059 : 차액결제　완료                        </v>
      </c>
    </row>
    <row r="63" spans="1:5" s="64" customFormat="1">
      <c r="A63" s="316" t="s">
        <v>4635</v>
      </c>
      <c r="B63" s="123" t="s">
        <v>7609</v>
      </c>
      <c r="C63" s="256" t="s">
        <v>5429</v>
      </c>
      <c r="D63" s="328" t="s">
        <v>2581</v>
      </c>
      <c r="E63" s="122" t="str">
        <f t="shared" si="0"/>
        <v xml:space="preserve">0060 : 차액결제　수신　전입니다．            </v>
      </c>
    </row>
    <row r="64" spans="1:5" s="64" customFormat="1">
      <c r="A64" s="316" t="s">
        <v>4635</v>
      </c>
      <c r="B64" s="123" t="s">
        <v>7609</v>
      </c>
      <c r="C64" s="256" t="s">
        <v>5430</v>
      </c>
      <c r="D64" s="328" t="s">
        <v>2580</v>
      </c>
      <c r="E64" s="122" t="str">
        <f t="shared" si="0"/>
        <v xml:space="preserve">0061 : 이체기관　예상잔액이　부족합니다．    </v>
      </c>
    </row>
    <row r="65" spans="1:5" s="64" customFormat="1">
      <c r="A65" s="316" t="s">
        <v>4635</v>
      </c>
      <c r="B65" s="123" t="s">
        <v>7609</v>
      </c>
      <c r="C65" s="256" t="s">
        <v>5431</v>
      </c>
      <c r="D65" s="328" t="s">
        <v>2579</v>
      </c>
      <c r="E65" s="122" t="str">
        <f t="shared" si="0"/>
        <v xml:space="preserve">0062 : 순위조정불가-수취기관예상잔액충분함 </v>
      </c>
    </row>
    <row r="66" spans="1:5" s="64" customFormat="1">
      <c r="A66" s="316" t="s">
        <v>4635</v>
      </c>
      <c r="B66" s="123" t="s">
        <v>7609</v>
      </c>
      <c r="C66" s="256" t="s">
        <v>5432</v>
      </c>
      <c r="D66" s="328" t="s">
        <v>2578</v>
      </c>
      <c r="E66" s="122" t="str">
        <f t="shared" si="0"/>
        <v xml:space="preserve">0063 : 지정처리시점순위조정대상거래아닙니다  </v>
      </c>
    </row>
    <row r="67" spans="1:5" s="64" customFormat="1">
      <c r="A67" s="316" t="s">
        <v>4635</v>
      </c>
      <c r="B67" s="123" t="s">
        <v>7609</v>
      </c>
      <c r="C67" s="256" t="s">
        <v>5433</v>
      </c>
      <c r="D67" s="328" t="s">
        <v>1427</v>
      </c>
      <c r="E67" s="122" t="str">
        <f t="shared" si="0"/>
        <v>0064 : 지정예약이체는예상당좌잔액내에서만가능</v>
      </c>
    </row>
    <row r="68" spans="1:5" s="64" customFormat="1">
      <c r="A68" s="316" t="s">
        <v>4635</v>
      </c>
      <c r="B68" s="123" t="s">
        <v>7609</v>
      </c>
      <c r="C68" s="256" t="s">
        <v>5434</v>
      </c>
      <c r="D68" s="328" t="s">
        <v>2577</v>
      </c>
      <c r="E68" s="122" t="str">
        <f t="shared" ref="E68:E131" si="1">_xlfn.TEXTJOIN(" : ",FALSE,C68:D68)</f>
        <v xml:space="preserve">0065 : 예약상태가　아닙니다．                </v>
      </c>
    </row>
    <row r="69" spans="1:5" s="64" customFormat="1">
      <c r="A69" s="316" t="s">
        <v>4635</v>
      </c>
      <c r="B69" s="123" t="s">
        <v>7609</v>
      </c>
      <c r="C69" s="256" t="s">
        <v>5435</v>
      </c>
      <c r="D69" s="328" t="s">
        <v>2576</v>
      </c>
      <c r="E69" s="122" t="str">
        <f t="shared" si="1"/>
        <v xml:space="preserve">0066 : 수취기관 취소동의상태가아닙니다     </v>
      </c>
    </row>
    <row r="70" spans="1:5" s="64" customFormat="1">
      <c r="A70" s="316" t="s">
        <v>4635</v>
      </c>
      <c r="B70" s="123" t="s">
        <v>7609</v>
      </c>
      <c r="C70" s="256" t="s">
        <v>5436</v>
      </c>
      <c r="D70" s="328" t="s">
        <v>2575</v>
      </c>
      <c r="E70" s="122" t="str">
        <f t="shared" si="1"/>
        <v xml:space="preserve">0067 : 이미　수취기관　승인상태입니다．      </v>
      </c>
    </row>
    <row r="71" spans="1:5" s="64" customFormat="1">
      <c r="A71" s="316" t="s">
        <v>4635</v>
      </c>
      <c r="B71" s="123" t="s">
        <v>7609</v>
      </c>
      <c r="C71" s="256" t="s">
        <v>5437</v>
      </c>
      <c r="D71" s="328" t="s">
        <v>2574</v>
      </c>
      <c r="E71" s="122" t="str">
        <f t="shared" si="1"/>
        <v xml:space="preserve">0068 : 자금조정예금약정　오류                </v>
      </c>
    </row>
    <row r="72" spans="1:5" s="64" customFormat="1">
      <c r="A72" s="316" t="s">
        <v>4635</v>
      </c>
      <c r="B72" s="123" t="s">
        <v>7609</v>
      </c>
      <c r="C72" s="256" t="s">
        <v>5438</v>
      </c>
      <c r="D72" s="328" t="s">
        <v>2573</v>
      </c>
      <c r="E72" s="122" t="str">
        <f t="shared" si="1"/>
        <v xml:space="preserve">0069 : 자금조정예금　총계정원장　오류        </v>
      </c>
    </row>
    <row r="73" spans="1:5" s="64" customFormat="1">
      <c r="A73" s="316" t="s">
        <v>4635</v>
      </c>
      <c r="B73" s="123" t="s">
        <v>7609</v>
      </c>
      <c r="C73" s="256" t="s">
        <v>5439</v>
      </c>
      <c r="D73" s="328" t="s">
        <v>2572</v>
      </c>
      <c r="E73" s="122" t="str">
        <f t="shared" si="1"/>
        <v xml:space="preserve">0070 : 당좌예금　잔액이　부족합니다          </v>
      </c>
    </row>
    <row r="74" spans="1:5" s="64" customFormat="1">
      <c r="A74" s="316" t="s">
        <v>4635</v>
      </c>
      <c r="B74" s="123" t="s">
        <v>7609</v>
      </c>
      <c r="C74" s="256" t="s">
        <v>5440</v>
      </c>
      <c r="D74" s="328" t="s">
        <v>2571</v>
      </c>
      <c r="E74" s="122" t="str">
        <f t="shared" si="1"/>
        <v xml:space="preserve">0071 : 자금조정예금　잔액이　부족합니다      </v>
      </c>
    </row>
    <row r="75" spans="1:5" s="64" customFormat="1">
      <c r="A75" s="316" t="s">
        <v>4635</v>
      </c>
      <c r="B75" s="123" t="s">
        <v>7609</v>
      </c>
      <c r="C75" s="256" t="s">
        <v>5441</v>
      </c>
      <c r="D75" s="328" t="s">
        <v>2570</v>
      </c>
      <c r="E75" s="122" t="str">
        <f t="shared" si="1"/>
        <v xml:space="preserve">0072 : 자금조정예금　일시정지　상태입니다    </v>
      </c>
    </row>
    <row r="76" spans="1:5" s="64" customFormat="1">
      <c r="A76" s="316" t="s">
        <v>4635</v>
      </c>
      <c r="B76" s="123" t="s">
        <v>7609</v>
      </c>
      <c r="C76" s="256" t="s">
        <v>5442</v>
      </c>
      <c r="D76" s="328" t="s">
        <v>2569</v>
      </c>
      <c r="E76" s="122" t="str">
        <f t="shared" si="1"/>
        <v xml:space="preserve">0073 : 송신기관과 신청기관 불일치        </v>
      </c>
    </row>
    <row r="77" spans="1:5" s="64" customFormat="1">
      <c r="A77" s="316" t="s">
        <v>4635</v>
      </c>
      <c r="B77" s="123" t="s">
        <v>7609</v>
      </c>
      <c r="C77" s="256" t="s">
        <v>5443</v>
      </c>
      <c r="D77" s="328" t="s">
        <v>2568</v>
      </c>
      <c r="E77" s="122" t="str">
        <f t="shared" si="1"/>
        <v xml:space="preserve">0074 : 입력항목이  아닙니다                </v>
      </c>
    </row>
    <row r="78" spans="1:5" s="64" customFormat="1">
      <c r="A78" s="316" t="s">
        <v>4635</v>
      </c>
      <c r="B78" s="123" t="s">
        <v>7609</v>
      </c>
      <c r="C78" s="256" t="s">
        <v>5444</v>
      </c>
      <c r="D78" s="328" t="s">
        <v>2567</v>
      </c>
      <c r="E78" s="122" t="str">
        <f t="shared" si="1"/>
        <v xml:space="preserve">0075 : 참가기관 입력 항목이 아닙니다   </v>
      </c>
    </row>
    <row r="79" spans="1:5" s="64" customFormat="1">
      <c r="A79" s="316" t="s">
        <v>4635</v>
      </c>
      <c r="B79" s="123" t="s">
        <v>7609</v>
      </c>
      <c r="C79" s="256" t="s">
        <v>5445</v>
      </c>
      <c r="D79" s="328" t="s">
        <v>2566</v>
      </c>
      <c r="E79" s="122" t="str">
        <f t="shared" si="1"/>
        <v xml:space="preserve">0076 : 예탁결제원(8880) 수취인지정 불가  </v>
      </c>
    </row>
    <row r="80" spans="1:5" s="64" customFormat="1">
      <c r="A80" s="316" t="s">
        <v>4635</v>
      </c>
      <c r="B80" s="123" t="s">
        <v>7609</v>
      </c>
      <c r="C80" s="256" t="s">
        <v>5446</v>
      </c>
      <c r="D80" s="328" t="s">
        <v>2565</v>
      </c>
      <c r="E80" s="122" t="str">
        <f t="shared" si="1"/>
        <v xml:space="preserve">0077 : 동일지급지시유형내 순위조정가능     </v>
      </c>
    </row>
    <row r="81" spans="1:5" s="64" customFormat="1">
      <c r="A81" s="316" t="s">
        <v>4635</v>
      </c>
      <c r="B81" s="123" t="s">
        <v>7609</v>
      </c>
      <c r="C81" s="256" t="s">
        <v>5447</v>
      </c>
      <c r="D81" s="328" t="s">
        <v>2564</v>
      </c>
      <c r="E81" s="122" t="str">
        <f t="shared" si="1"/>
        <v xml:space="preserve">0101 : 지급일자　오류                        </v>
      </c>
    </row>
    <row r="82" spans="1:5" s="64" customFormat="1">
      <c r="A82" s="316" t="s">
        <v>4635</v>
      </c>
      <c r="B82" s="123" t="s">
        <v>7609</v>
      </c>
      <c r="C82" s="256" t="s">
        <v>5448</v>
      </c>
      <c r="D82" s="328" t="s">
        <v>2563</v>
      </c>
      <c r="E82" s="122" t="str">
        <f t="shared" si="1"/>
        <v xml:space="preserve">0102 : 신청일자　오류                        </v>
      </c>
    </row>
    <row r="83" spans="1:5" s="64" customFormat="1">
      <c r="A83" s="316" t="s">
        <v>4635</v>
      </c>
      <c r="B83" s="123" t="s">
        <v>7609</v>
      </c>
      <c r="C83" s="256" t="s">
        <v>5449</v>
      </c>
      <c r="D83" s="328" t="s">
        <v>2562</v>
      </c>
      <c r="E83" s="122" t="str">
        <f t="shared" si="1"/>
        <v xml:space="preserve">0103 : 신청금액　오류                        </v>
      </c>
    </row>
    <row r="84" spans="1:5" s="64" customFormat="1">
      <c r="A84" s="316" t="s">
        <v>4635</v>
      </c>
      <c r="B84" s="123" t="s">
        <v>7609</v>
      </c>
      <c r="C84" s="256" t="s">
        <v>5450</v>
      </c>
      <c r="D84" s="328" t="s">
        <v>2561</v>
      </c>
      <c r="E84" s="122" t="str">
        <f t="shared" si="1"/>
        <v xml:space="preserve">0104 : 출금예정시간　오류                    </v>
      </c>
    </row>
    <row r="85" spans="1:5" s="64" customFormat="1">
      <c r="A85" s="316" t="s">
        <v>4635</v>
      </c>
      <c r="B85" s="123" t="s">
        <v>7609</v>
      </c>
      <c r="C85" s="256" t="s">
        <v>5451</v>
      </c>
      <c r="D85" s="328" t="s">
        <v>2560</v>
      </c>
      <c r="E85" s="122" t="str">
        <f t="shared" si="1"/>
        <v xml:space="preserve">0105 : 현송책임자직위　오류                  </v>
      </c>
    </row>
    <row r="86" spans="1:5" s="64" customFormat="1">
      <c r="A86" s="316" t="s">
        <v>4635</v>
      </c>
      <c r="B86" s="123" t="s">
        <v>7609</v>
      </c>
      <c r="C86" s="256" t="s">
        <v>5452</v>
      </c>
      <c r="D86" s="328" t="s">
        <v>2559</v>
      </c>
      <c r="E86" s="122" t="str">
        <f t="shared" si="1"/>
        <v xml:space="preserve">0106 : 현송책임자성명　오류                  </v>
      </c>
    </row>
    <row r="87" spans="1:5" s="64" customFormat="1">
      <c r="A87" s="316" t="s">
        <v>4635</v>
      </c>
      <c r="B87" s="123" t="s">
        <v>7609</v>
      </c>
      <c r="C87" s="256" t="s">
        <v>5453</v>
      </c>
      <c r="D87" s="328" t="s">
        <v>2558</v>
      </c>
      <c r="E87" s="122" t="str">
        <f t="shared" si="1"/>
        <v xml:space="preserve">0107 : 이미　당좌예금　차기된　거래입니다．  </v>
      </c>
    </row>
    <row r="88" spans="1:5" s="64" customFormat="1">
      <c r="A88" s="316" t="s">
        <v>4635</v>
      </c>
      <c r="B88" s="123" t="s">
        <v>7609</v>
      </c>
      <c r="C88" s="256" t="s">
        <v>5454</v>
      </c>
      <c r="D88" s="328" t="s">
        <v>2557</v>
      </c>
      <c r="E88" s="122" t="str">
        <f t="shared" si="1"/>
        <v xml:space="preserve">0108 : 이미　현금지급된　거래입니다．        </v>
      </c>
    </row>
    <row r="89" spans="1:5" s="64" customFormat="1">
      <c r="A89" s="316" t="s">
        <v>4635</v>
      </c>
      <c r="B89" s="123" t="s">
        <v>7609</v>
      </c>
      <c r="C89" s="256" t="s">
        <v>5455</v>
      </c>
      <c r="D89" s="328" t="s">
        <v>2556</v>
      </c>
      <c r="E89" s="122" t="str">
        <f t="shared" si="1"/>
        <v xml:space="preserve">0109 : 현금영수증이　출력된　거래입니다．    </v>
      </c>
    </row>
    <row r="90" spans="1:5" s="64" customFormat="1">
      <c r="A90" s="316" t="s">
        <v>4635</v>
      </c>
      <c r="B90" s="123" t="s">
        <v>7609</v>
      </c>
      <c r="C90" s="256" t="s">
        <v>5456</v>
      </c>
      <c r="D90" s="328" t="s">
        <v>2555</v>
      </c>
      <c r="E90" s="122" t="str">
        <f t="shared" si="1"/>
        <v xml:space="preserve">0110 : 현금지급대기파일　오류                </v>
      </c>
    </row>
    <row r="91" spans="1:5" s="64" customFormat="1">
      <c r="A91" s="316" t="s">
        <v>4635</v>
      </c>
      <c r="B91" s="123" t="s">
        <v>7609</v>
      </c>
      <c r="C91" s="256" t="s">
        <v>5457</v>
      </c>
      <c r="D91" s="328" t="s">
        <v>2554</v>
      </c>
      <c r="E91" s="122" t="str">
        <f t="shared" si="1"/>
        <v xml:space="preserve">0111 : 지급지시일련번호오류입니다            </v>
      </c>
    </row>
    <row r="92" spans="1:5" s="64" customFormat="1">
      <c r="A92" s="316" t="s">
        <v>4635</v>
      </c>
      <c r="B92" s="123" t="s">
        <v>7609</v>
      </c>
      <c r="C92" s="256" t="s">
        <v>5458</v>
      </c>
      <c r="D92" s="328" t="s">
        <v>2553</v>
      </c>
      <c r="E92" s="122" t="str">
        <f t="shared" si="1"/>
        <v xml:space="preserve">0112 : 결제회원 BOK코드 오류             </v>
      </c>
    </row>
    <row r="93" spans="1:5" s="64" customFormat="1">
      <c r="A93" s="316" t="s">
        <v>4635</v>
      </c>
      <c r="B93" s="123" t="s">
        <v>7609</v>
      </c>
      <c r="C93" s="256" t="s">
        <v>5459</v>
      </c>
      <c r="D93" s="328" t="s">
        <v>2552</v>
      </c>
      <c r="E93" s="122" t="str">
        <f t="shared" si="1"/>
        <v xml:space="preserve">0113 : 결제회원 거래소코드 오류          </v>
      </c>
    </row>
    <row r="94" spans="1:5" s="64" customFormat="1">
      <c r="A94" s="316" t="s">
        <v>4635</v>
      </c>
      <c r="B94" s="123" t="s">
        <v>7609</v>
      </c>
      <c r="C94" s="256" t="s">
        <v>5460</v>
      </c>
      <c r="D94" s="328" t="s">
        <v>2551</v>
      </c>
      <c r="E94" s="122" t="str">
        <f t="shared" si="1"/>
        <v xml:space="preserve">0114 : 결제회원 거래은행코드 오류        </v>
      </c>
    </row>
    <row r="95" spans="1:5" s="64" customFormat="1">
      <c r="A95" s="316" t="s">
        <v>4635</v>
      </c>
      <c r="B95" s="123" t="s">
        <v>7609</v>
      </c>
      <c r="C95" s="256" t="s">
        <v>5461</v>
      </c>
      <c r="D95" s="328" t="s">
        <v>2550</v>
      </c>
      <c r="E95" s="122" t="str">
        <f t="shared" si="1"/>
        <v xml:space="preserve">0115 : 장내주식 차액정산정보 확인오류    </v>
      </c>
    </row>
    <row r="96" spans="1:5" s="64" customFormat="1">
      <c r="A96" s="316" t="s">
        <v>4635</v>
      </c>
      <c r="B96" s="123" t="s">
        <v>7609</v>
      </c>
      <c r="C96" s="256" t="s">
        <v>5462</v>
      </c>
      <c r="D96" s="328" t="s">
        <v>2549</v>
      </c>
      <c r="E96" s="122" t="str">
        <f t="shared" si="1"/>
        <v xml:space="preserve">0116 : 결제회원명 오류                     </v>
      </c>
    </row>
    <row r="97" spans="1:5" s="64" customFormat="1">
      <c r="A97" s="316" t="s">
        <v>4635</v>
      </c>
      <c r="B97" s="123" t="s">
        <v>7609</v>
      </c>
      <c r="C97" s="256" t="s">
        <v>5463</v>
      </c>
      <c r="D97" s="328" t="s">
        <v>2548</v>
      </c>
      <c r="E97" s="122" t="str">
        <f t="shared" si="1"/>
        <v xml:space="preserve">0117 : 결제회원 계좌번호 오류            </v>
      </c>
    </row>
    <row r="98" spans="1:5" s="64" customFormat="1">
      <c r="A98" s="316" t="s">
        <v>4635</v>
      </c>
      <c r="B98" s="123" t="s">
        <v>7609</v>
      </c>
      <c r="C98" s="256" t="s">
        <v>5464</v>
      </c>
      <c r="D98" s="328" t="s">
        <v>2547</v>
      </c>
      <c r="E98" s="122" t="str">
        <f t="shared" si="1"/>
        <v xml:space="preserve">0118 : 예탁결제원만 등록 가능            </v>
      </c>
    </row>
    <row r="99" spans="1:5" s="64" customFormat="1">
      <c r="A99" s="316" t="s">
        <v>4635</v>
      </c>
      <c r="B99" s="123" t="s">
        <v>7609</v>
      </c>
      <c r="C99" s="256" t="s">
        <v>5465</v>
      </c>
      <c r="D99" s="328" t="s">
        <v>2546</v>
      </c>
      <c r="E99" s="122" t="str">
        <f t="shared" si="1"/>
        <v xml:space="preserve">0119 : 거래회원정보 기등록                 </v>
      </c>
    </row>
    <row r="100" spans="1:5" s="64" customFormat="1">
      <c r="A100" s="316" t="s">
        <v>4635</v>
      </c>
      <c r="B100" s="123" t="s">
        <v>7609</v>
      </c>
      <c r="C100" s="256" t="s">
        <v>5466</v>
      </c>
      <c r="D100" s="328" t="s">
        <v>2545</v>
      </c>
      <c r="E100" s="122" t="str">
        <f t="shared" si="1"/>
        <v xml:space="preserve">0120 : 거래회원정보 입력 오류            </v>
      </c>
    </row>
    <row r="101" spans="1:5" s="64" customFormat="1">
      <c r="A101" s="316" t="s">
        <v>4635</v>
      </c>
      <c r="B101" s="123" t="s">
        <v>7609</v>
      </c>
      <c r="C101" s="256" t="s">
        <v>5467</v>
      </c>
      <c r="D101" s="328" t="s">
        <v>2544</v>
      </c>
      <c r="E101" s="122" t="str">
        <f t="shared" si="1"/>
        <v xml:space="preserve">0121 : 거래은행 변경은 해지후 신규등록 </v>
      </c>
    </row>
    <row r="102" spans="1:5" s="64" customFormat="1">
      <c r="A102" s="316" t="s">
        <v>4635</v>
      </c>
      <c r="B102" s="123" t="s">
        <v>7609</v>
      </c>
      <c r="C102" s="256" t="s">
        <v>5468</v>
      </c>
      <c r="D102" s="328" t="s">
        <v>2543</v>
      </c>
      <c r="E102" s="122" t="str">
        <f t="shared" si="1"/>
        <v xml:space="preserve">0122 : 장내주식 거래회원정보 미등록      </v>
      </c>
    </row>
    <row r="103" spans="1:5" s="64" customFormat="1">
      <c r="A103" s="316" t="s">
        <v>4635</v>
      </c>
      <c r="B103" s="123" t="s">
        <v>7609</v>
      </c>
      <c r="C103" s="256" t="s">
        <v>5469</v>
      </c>
      <c r="D103" s="328" t="s">
        <v>2542</v>
      </c>
      <c r="E103" s="122" t="str">
        <f t="shared" si="1"/>
        <v xml:space="preserve">0123 : 장내주식 거래회원정보 수정 오류 </v>
      </c>
    </row>
    <row r="104" spans="1:5" s="64" customFormat="1">
      <c r="A104" s="316" t="s">
        <v>4635</v>
      </c>
      <c r="B104" s="123" t="s">
        <v>7609</v>
      </c>
      <c r="C104" s="256" t="s">
        <v>5470</v>
      </c>
      <c r="D104" s="328" t="s">
        <v>2541</v>
      </c>
      <c r="E104" s="122" t="str">
        <f t="shared" si="1"/>
        <v xml:space="preserve">0124 : 장내주식 거래회원정보 해지 오류 </v>
      </c>
    </row>
    <row r="105" spans="1:5" s="64" customFormat="1">
      <c r="A105" s="316" t="s">
        <v>4635</v>
      </c>
      <c r="B105" s="123" t="s">
        <v>7609</v>
      </c>
      <c r="C105" s="256" t="s">
        <v>5471</v>
      </c>
      <c r="D105" s="328" t="s">
        <v>2540</v>
      </c>
      <c r="E105" s="122" t="str">
        <f t="shared" si="1"/>
        <v xml:space="preserve">0125 : 차액정산정보 확정분 미수신        </v>
      </c>
    </row>
    <row r="106" spans="1:5" s="64" customFormat="1">
      <c r="A106" s="316" t="s">
        <v>4635</v>
      </c>
      <c r="B106" s="123" t="s">
        <v>7609</v>
      </c>
      <c r="C106" s="256" t="s">
        <v>5472</v>
      </c>
      <c r="D106" s="328" t="s">
        <v>2539</v>
      </c>
      <c r="E106" s="122" t="str">
        <f t="shared" si="1"/>
        <v>0126 : 익영업일 차액정산정보잠정분 기수신</v>
      </c>
    </row>
    <row r="107" spans="1:5" s="64" customFormat="1">
      <c r="A107" s="316" t="s">
        <v>4635</v>
      </c>
      <c r="B107" s="123" t="s">
        <v>7609</v>
      </c>
      <c r="C107" s="256" t="s">
        <v>5473</v>
      </c>
      <c r="D107" s="328" t="s">
        <v>2538</v>
      </c>
      <c r="E107" s="122" t="str">
        <f t="shared" si="1"/>
        <v xml:space="preserve">0127 : 등록구분 오류                       </v>
      </c>
    </row>
    <row r="108" spans="1:5" s="64" customFormat="1">
      <c r="A108" s="316" t="s">
        <v>4635</v>
      </c>
      <c r="B108" s="123" t="s">
        <v>7609</v>
      </c>
      <c r="C108" s="256" t="s">
        <v>5474</v>
      </c>
      <c r="D108" s="328" t="s">
        <v>2537</v>
      </c>
      <c r="E108" s="122" t="str">
        <f t="shared" si="1"/>
        <v xml:space="preserve">0128 : 거래은행 약정확인 오류            </v>
      </c>
    </row>
    <row r="109" spans="1:5" s="64" customFormat="1">
      <c r="A109" s="316" t="s">
        <v>4635</v>
      </c>
      <c r="B109" s="123" t="s">
        <v>7609</v>
      </c>
      <c r="C109" s="256" t="s">
        <v>5475</v>
      </c>
      <c r="D109" s="328" t="s">
        <v>2536</v>
      </c>
      <c r="E109" s="122" t="str">
        <f t="shared" si="1"/>
        <v xml:space="preserve">0131 : 매매일자 입력 오류입니다          </v>
      </c>
    </row>
    <row r="110" spans="1:5" s="64" customFormat="1">
      <c r="A110" s="316" t="s">
        <v>4635</v>
      </c>
      <c r="B110" s="123" t="s">
        <v>7609</v>
      </c>
      <c r="C110" s="256" t="s">
        <v>5476</v>
      </c>
      <c r="D110" s="328" t="s">
        <v>2535</v>
      </c>
      <c r="E110" s="122" t="str">
        <f t="shared" si="1"/>
        <v xml:space="preserve">0132 : 매매일자 영업일 확인              </v>
      </c>
    </row>
    <row r="111" spans="1:5" s="64" customFormat="1">
      <c r="A111" s="316" t="s">
        <v>4635</v>
      </c>
      <c r="B111" s="123" t="s">
        <v>7609</v>
      </c>
      <c r="C111" s="256" t="s">
        <v>5477</v>
      </c>
      <c r="D111" s="328" t="s">
        <v>2506</v>
      </c>
      <c r="E111" s="122" t="str">
        <f t="shared" si="1"/>
        <v xml:space="preserve">0133 : 결제일자 입력 오류                </v>
      </c>
    </row>
    <row r="112" spans="1:5" s="64" customFormat="1">
      <c r="A112" s="316" t="s">
        <v>4635</v>
      </c>
      <c r="B112" s="123" t="s">
        <v>7609</v>
      </c>
      <c r="C112" s="256" t="s">
        <v>5478</v>
      </c>
      <c r="D112" s="328" t="s">
        <v>2534</v>
      </c>
      <c r="E112" s="122" t="str">
        <f t="shared" si="1"/>
        <v xml:space="preserve">0134 : 결제일자 영업일 확인              </v>
      </c>
    </row>
    <row r="113" spans="1:5" s="64" customFormat="1">
      <c r="A113" s="316" t="s">
        <v>4635</v>
      </c>
      <c r="B113" s="123" t="s">
        <v>7609</v>
      </c>
      <c r="C113" s="256" t="s">
        <v>5479</v>
      </c>
      <c r="D113" s="328" t="s">
        <v>2533</v>
      </c>
      <c r="E113" s="122" t="str">
        <f t="shared" si="1"/>
        <v xml:space="preserve">0135 : 매매일자 &gt;= 결제일자 확인         </v>
      </c>
    </row>
    <row r="114" spans="1:5" s="64" customFormat="1">
      <c r="A114" s="316" t="s">
        <v>4635</v>
      </c>
      <c r="B114" s="123" t="s">
        <v>7609</v>
      </c>
      <c r="C114" s="256" t="s">
        <v>5480</v>
      </c>
      <c r="D114" s="328" t="s">
        <v>2532</v>
      </c>
      <c r="E114" s="122" t="str">
        <f t="shared" si="1"/>
        <v xml:space="preserve">0136 : 결제포지션 확인                     </v>
      </c>
    </row>
    <row r="115" spans="1:5" s="64" customFormat="1">
      <c r="A115" s="316" t="s">
        <v>4635</v>
      </c>
      <c r="B115" s="123" t="s">
        <v>7609</v>
      </c>
      <c r="C115" s="256" t="s">
        <v>5481</v>
      </c>
      <c r="D115" s="328" t="s">
        <v>2531</v>
      </c>
      <c r="E115" s="122" t="str">
        <f t="shared" si="1"/>
        <v xml:space="preserve">0137 : 처리시각 링크 오류                </v>
      </c>
    </row>
    <row r="116" spans="1:5" s="64" customFormat="1">
      <c r="A116" s="316" t="s">
        <v>4635</v>
      </c>
      <c r="B116" s="123" t="s">
        <v>7609</v>
      </c>
      <c r="C116" s="256" t="s">
        <v>5482</v>
      </c>
      <c r="D116" s="328" t="s">
        <v>2530</v>
      </c>
      <c r="E116" s="122" t="str">
        <f t="shared" si="1"/>
        <v xml:space="preserve">0138 : 전송일시 링크 오류                </v>
      </c>
    </row>
    <row r="117" spans="1:5" s="64" customFormat="1">
      <c r="A117" s="316" t="s">
        <v>4635</v>
      </c>
      <c r="B117" s="123" t="s">
        <v>7609</v>
      </c>
      <c r="C117" s="256" t="s">
        <v>5483</v>
      </c>
      <c r="D117" s="328" t="s">
        <v>2416</v>
      </c>
      <c r="E117" s="122" t="str">
        <f t="shared" si="1"/>
        <v xml:space="preserve">0139 : 달력테이블 조회 오류              </v>
      </c>
    </row>
    <row r="118" spans="1:5" s="64" customFormat="1">
      <c r="A118" s="316" t="s">
        <v>4635</v>
      </c>
      <c r="B118" s="123" t="s">
        <v>7609</v>
      </c>
      <c r="C118" s="256" t="s">
        <v>5484</v>
      </c>
      <c r="D118" s="328" t="s">
        <v>2529</v>
      </c>
      <c r="E118" s="122" t="str">
        <f t="shared" si="1"/>
        <v xml:space="preserve">0140 : 장내주식 결제정보 중복 오류     </v>
      </c>
    </row>
    <row r="119" spans="1:5" s="64" customFormat="1">
      <c r="A119" s="316" t="s">
        <v>4635</v>
      </c>
      <c r="B119" s="123" t="s">
        <v>7609</v>
      </c>
      <c r="C119" s="256" t="s">
        <v>5485</v>
      </c>
      <c r="D119" s="328" t="s">
        <v>2528</v>
      </c>
      <c r="E119" s="122" t="str">
        <f t="shared" si="1"/>
        <v xml:space="preserve">0141 : 장내주식 결제정보 입력 오류     </v>
      </c>
    </row>
    <row r="120" spans="1:5" s="64" customFormat="1">
      <c r="A120" s="316" t="s">
        <v>4635</v>
      </c>
      <c r="B120" s="123" t="s">
        <v>7609</v>
      </c>
      <c r="C120" s="256" t="s">
        <v>5486</v>
      </c>
      <c r="D120" s="328" t="s">
        <v>2527</v>
      </c>
      <c r="E120" s="122" t="str">
        <f t="shared" si="1"/>
        <v xml:space="preserve">0142 : 장내주식 결제정보 채번 오류     </v>
      </c>
    </row>
    <row r="121" spans="1:5" s="64" customFormat="1">
      <c r="A121" s="316" t="s">
        <v>4635</v>
      </c>
      <c r="B121" s="123" t="s">
        <v>7609</v>
      </c>
      <c r="C121" s="256" t="s">
        <v>5487</v>
      </c>
      <c r="D121" s="328" t="s">
        <v>2526</v>
      </c>
      <c r="E121" s="122" t="str">
        <f t="shared" si="1"/>
        <v xml:space="preserve">0144 : 장내주식 결제정보 확정분 미수신 </v>
      </c>
    </row>
    <row r="122" spans="1:5" s="64" customFormat="1">
      <c r="A122" s="316" t="s">
        <v>4635</v>
      </c>
      <c r="B122" s="123" t="s">
        <v>7609</v>
      </c>
      <c r="C122" s="256" t="s">
        <v>5488</v>
      </c>
      <c r="D122" s="328" t="s">
        <v>2525</v>
      </c>
      <c r="E122" s="122" t="str">
        <f t="shared" si="1"/>
        <v xml:space="preserve">0145 : 장내주식 결제정보 잠정분 수신   </v>
      </c>
    </row>
    <row r="123" spans="1:5" s="64" customFormat="1">
      <c r="A123" s="316" t="s">
        <v>4635</v>
      </c>
      <c r="B123" s="123" t="s">
        <v>7609</v>
      </c>
      <c r="C123" s="256" t="s">
        <v>5489</v>
      </c>
      <c r="D123" s="328" t="s">
        <v>2524</v>
      </c>
      <c r="E123" s="122" t="str">
        <f t="shared" si="1"/>
        <v xml:space="preserve">0146 : 한은망 참가기관이 아닙니다        </v>
      </c>
    </row>
    <row r="124" spans="1:5" s="64" customFormat="1">
      <c r="A124" s="316" t="s">
        <v>4635</v>
      </c>
      <c r="B124" s="123" t="s">
        <v>7609</v>
      </c>
      <c r="C124" s="256" t="s">
        <v>5490</v>
      </c>
      <c r="D124" s="328" t="s">
        <v>2523</v>
      </c>
      <c r="E124" s="122" t="str">
        <f t="shared" si="1"/>
        <v xml:space="preserve">0147 : 한은망 간접참가기관 조회 오류   </v>
      </c>
    </row>
    <row r="125" spans="1:5" s="64" customFormat="1">
      <c r="A125" s="316" t="s">
        <v>4635</v>
      </c>
      <c r="B125" s="123" t="s">
        <v>7609</v>
      </c>
      <c r="C125" s="256" t="s">
        <v>5491</v>
      </c>
      <c r="D125" s="328" t="s">
        <v>2522</v>
      </c>
      <c r="E125" s="122" t="str">
        <f t="shared" si="1"/>
        <v xml:space="preserve">0148 : 약정체결정보 조회 오류            </v>
      </c>
    </row>
    <row r="126" spans="1:5" s="64" customFormat="1">
      <c r="A126" s="316" t="s">
        <v>4635</v>
      </c>
      <c r="B126" s="123" t="s">
        <v>7609</v>
      </c>
      <c r="C126" s="256" t="s">
        <v>5492</v>
      </c>
      <c r="D126" s="328" t="s">
        <v>2521</v>
      </c>
      <c r="E126" s="122" t="str">
        <f t="shared" si="1"/>
        <v xml:space="preserve">0149 : 장내주식 예탁원앞이체 오류        </v>
      </c>
    </row>
    <row r="127" spans="1:5" s="64" customFormat="1">
      <c r="A127" s="316" t="s">
        <v>4635</v>
      </c>
      <c r="B127" s="123" t="s">
        <v>7609</v>
      </c>
      <c r="C127" s="256" t="s">
        <v>5493</v>
      </c>
      <c r="D127" s="328" t="s">
        <v>2520</v>
      </c>
      <c r="E127" s="122" t="str">
        <f t="shared" si="1"/>
        <v xml:space="preserve">0150 : 장내주식결제정보 조회 오류        </v>
      </c>
    </row>
    <row r="128" spans="1:5" s="64" customFormat="1">
      <c r="A128" s="316" t="s">
        <v>4635</v>
      </c>
      <c r="B128" s="123" t="s">
        <v>7609</v>
      </c>
      <c r="C128" s="256" t="s">
        <v>5494</v>
      </c>
      <c r="D128" s="328" t="s">
        <v>2519</v>
      </c>
      <c r="E128" s="122" t="str">
        <f t="shared" si="1"/>
        <v xml:space="preserve">0151 : 장내주식 결제대금 거래가 아님   </v>
      </c>
    </row>
    <row r="129" spans="1:5" s="64" customFormat="1">
      <c r="A129" s="316" t="s">
        <v>4635</v>
      </c>
      <c r="B129" s="123" t="s">
        <v>7609</v>
      </c>
      <c r="C129" s="256" t="s">
        <v>5495</v>
      </c>
      <c r="D129" s="328" t="s">
        <v>2518</v>
      </c>
      <c r="E129" s="122" t="str">
        <f t="shared" si="1"/>
        <v xml:space="preserve">0152 : 장내주식 결제정보 조회 오류     </v>
      </c>
    </row>
    <row r="130" spans="1:5" s="64" customFormat="1">
      <c r="A130" s="316" t="s">
        <v>4635</v>
      </c>
      <c r="B130" s="123" t="s">
        <v>7609</v>
      </c>
      <c r="C130" s="256" t="s">
        <v>5496</v>
      </c>
      <c r="D130" s="328" t="s">
        <v>2517</v>
      </c>
      <c r="E130" s="122" t="str">
        <f t="shared" si="1"/>
        <v xml:space="preserve">0155 : 인허가사항 입력 오류              </v>
      </c>
    </row>
    <row r="131" spans="1:5" s="64" customFormat="1">
      <c r="A131" s="316" t="s">
        <v>4635</v>
      </c>
      <c r="B131" s="123" t="s">
        <v>7609</v>
      </c>
      <c r="C131" s="256" t="s">
        <v>5497</v>
      </c>
      <c r="D131" s="328" t="s">
        <v>2516</v>
      </c>
      <c r="E131" s="122" t="str">
        <f t="shared" si="1"/>
        <v xml:space="preserve">0156 : 영업용순자본비율 입력 오류        </v>
      </c>
    </row>
    <row r="132" spans="1:5" s="64" customFormat="1">
      <c r="A132" s="316" t="s">
        <v>4635</v>
      </c>
      <c r="B132" s="123" t="s">
        <v>7609</v>
      </c>
      <c r="C132" s="256" t="s">
        <v>5498</v>
      </c>
      <c r="D132" s="328" t="s">
        <v>2515</v>
      </c>
      <c r="E132" s="122" t="str">
        <f t="shared" ref="E132:E195" si="2">_xlfn.TEXTJOIN(" : ",FALSE,C132:D132)</f>
        <v xml:space="preserve">0157 : 자기자본비율 입력 오류            </v>
      </c>
    </row>
    <row r="133" spans="1:5" s="64" customFormat="1">
      <c r="A133" s="316" t="s">
        <v>4635</v>
      </c>
      <c r="B133" s="123" t="s">
        <v>7609</v>
      </c>
      <c r="C133" s="256" t="s">
        <v>5499</v>
      </c>
      <c r="D133" s="328" t="s">
        <v>2514</v>
      </c>
      <c r="E133" s="122" t="str">
        <f t="shared" si="2"/>
        <v>0158 : 전문관리번호가 입력되지 않았습니다</v>
      </c>
    </row>
    <row r="134" spans="1:5" s="64" customFormat="1">
      <c r="A134" s="316" t="s">
        <v>4635</v>
      </c>
      <c r="B134" s="123" t="s">
        <v>7609</v>
      </c>
      <c r="C134" s="256" t="s">
        <v>5500</v>
      </c>
      <c r="D134" s="328" t="s">
        <v>2513</v>
      </c>
      <c r="E134" s="122" t="str">
        <f t="shared" si="2"/>
        <v xml:space="preserve">0159 : 담당자 입력 오류                  </v>
      </c>
    </row>
    <row r="135" spans="1:5" s="64" customFormat="1">
      <c r="A135" s="316" t="s">
        <v>4635</v>
      </c>
      <c r="B135" s="123" t="s">
        <v>7609</v>
      </c>
      <c r="C135" s="256" t="s">
        <v>5501</v>
      </c>
      <c r="D135" s="328" t="s">
        <v>2512</v>
      </c>
      <c r="E135" s="122" t="str">
        <f t="shared" si="2"/>
        <v xml:space="preserve">0160 : 전화번호 입력 오류                </v>
      </c>
    </row>
    <row r="136" spans="1:5" s="64" customFormat="1">
      <c r="A136" s="316" t="s">
        <v>4635</v>
      </c>
      <c r="B136" s="123" t="s">
        <v>7609</v>
      </c>
      <c r="C136" s="256" t="s">
        <v>5502</v>
      </c>
      <c r="D136" s="328" t="s">
        <v>2511</v>
      </c>
      <c r="E136" s="122" t="str">
        <f t="shared" si="2"/>
        <v xml:space="preserve">0161 : 참가유형 입력 오류                </v>
      </c>
    </row>
    <row r="137" spans="1:5" s="64" customFormat="1">
      <c r="A137" s="316" t="s">
        <v>4635</v>
      </c>
      <c r="B137" s="123" t="s">
        <v>7609</v>
      </c>
      <c r="C137" s="256" t="s">
        <v>5503</v>
      </c>
      <c r="D137" s="328" t="s">
        <v>2510</v>
      </c>
      <c r="E137" s="122" t="str">
        <f t="shared" si="2"/>
        <v xml:space="preserve">0162 : 변경대상 입력 확인                </v>
      </c>
    </row>
    <row r="138" spans="1:5" s="64" customFormat="1">
      <c r="A138" s="316" t="s">
        <v>4635</v>
      </c>
      <c r="B138" s="123" t="s">
        <v>7609</v>
      </c>
      <c r="C138" s="256" t="s">
        <v>5504</v>
      </c>
      <c r="D138" s="328" t="s">
        <v>2509</v>
      </c>
      <c r="E138" s="122" t="str">
        <f t="shared" si="2"/>
        <v xml:space="preserve">0163 : 변경된 내용 없음                  </v>
      </c>
    </row>
    <row r="139" spans="1:5" s="64" customFormat="1">
      <c r="A139" s="316" t="s">
        <v>4635</v>
      </c>
      <c r="B139" s="123" t="s">
        <v>7609</v>
      </c>
      <c r="C139" s="256" t="s">
        <v>5505</v>
      </c>
      <c r="D139" s="328" t="s">
        <v>2508</v>
      </c>
      <c r="E139" s="122" t="str">
        <f t="shared" si="2"/>
        <v xml:space="preserve">0164 : 참가기관 정보 미등록              </v>
      </c>
    </row>
    <row r="140" spans="1:5" s="64" customFormat="1">
      <c r="A140" s="316" t="s">
        <v>4635</v>
      </c>
      <c r="B140" s="123" t="s">
        <v>7609</v>
      </c>
      <c r="C140" s="256" t="s">
        <v>5506</v>
      </c>
      <c r="D140" s="328" t="s">
        <v>2507</v>
      </c>
      <c r="E140" s="122" t="str">
        <f t="shared" si="2"/>
        <v xml:space="preserve">0165 : 참가기관 정보 변경 오류         </v>
      </c>
    </row>
    <row r="141" spans="1:5" s="64" customFormat="1">
      <c r="A141" s="316" t="s">
        <v>4635</v>
      </c>
      <c r="B141" s="123" t="s">
        <v>7609</v>
      </c>
      <c r="C141" s="256" t="s">
        <v>5507</v>
      </c>
      <c r="D141" s="328" t="s">
        <v>2488</v>
      </c>
      <c r="E141" s="122" t="str">
        <f t="shared" si="2"/>
        <v xml:space="preserve">0166 : 채권구분 입력 오류                </v>
      </c>
    </row>
    <row r="142" spans="1:5" s="64" customFormat="1">
      <c r="A142" s="316" t="s">
        <v>4635</v>
      </c>
      <c r="B142" s="123" t="s">
        <v>7609</v>
      </c>
      <c r="C142" s="256" t="s">
        <v>5508</v>
      </c>
      <c r="D142" s="328" t="s">
        <v>2506</v>
      </c>
      <c r="E142" s="122" t="str">
        <f t="shared" si="2"/>
        <v xml:space="preserve">0167 : 결제일자 입력 오류                </v>
      </c>
    </row>
    <row r="143" spans="1:5" s="64" customFormat="1">
      <c r="A143" s="316" t="s">
        <v>4635</v>
      </c>
      <c r="B143" s="123" t="s">
        <v>7609</v>
      </c>
      <c r="C143" s="256" t="s">
        <v>5509</v>
      </c>
      <c r="D143" s="328" t="s">
        <v>2505</v>
      </c>
      <c r="E143" s="122" t="str">
        <f t="shared" si="2"/>
        <v xml:space="preserve">0168 : 일중RP공급(상환)번호 오류     </v>
      </c>
    </row>
    <row r="144" spans="1:5" s="64" customFormat="1">
      <c r="A144" s="316" t="s">
        <v>4635</v>
      </c>
      <c r="B144" s="123" t="s">
        <v>7609</v>
      </c>
      <c r="C144" s="256" t="s">
        <v>5510</v>
      </c>
      <c r="D144" s="328" t="s">
        <v>2504</v>
      </c>
      <c r="E144" s="122" t="str">
        <f t="shared" si="2"/>
        <v xml:space="preserve">0169 : 종목코드 입력 오류                </v>
      </c>
    </row>
    <row r="145" spans="1:5" s="64" customFormat="1">
      <c r="A145" s="316" t="s">
        <v>4635</v>
      </c>
      <c r="B145" s="123" t="s">
        <v>7609</v>
      </c>
      <c r="C145" s="256" t="s">
        <v>5511</v>
      </c>
      <c r="D145" s="328" t="s">
        <v>2503</v>
      </c>
      <c r="E145" s="122" t="str">
        <f t="shared" si="2"/>
        <v xml:space="preserve">0170 : 잔여수량 입력 오류                </v>
      </c>
    </row>
    <row r="146" spans="1:5" s="64" customFormat="1">
      <c r="A146" s="316" t="s">
        <v>4635</v>
      </c>
      <c r="B146" s="123" t="s">
        <v>7609</v>
      </c>
      <c r="C146" s="256" t="s">
        <v>5512</v>
      </c>
      <c r="D146" s="328" t="s">
        <v>2502</v>
      </c>
      <c r="E146" s="122" t="str">
        <f t="shared" si="2"/>
        <v xml:space="preserve">0171 : 상환수량 입력 오류                </v>
      </c>
    </row>
    <row r="147" spans="1:5" s="64" customFormat="1">
      <c r="A147" s="316" t="s">
        <v>4635</v>
      </c>
      <c r="B147" s="123" t="s">
        <v>7609</v>
      </c>
      <c r="C147" s="256" t="s">
        <v>5513</v>
      </c>
      <c r="D147" s="328" t="s">
        <v>2501</v>
      </c>
      <c r="E147" s="122" t="str">
        <f t="shared" si="2"/>
        <v xml:space="preserve">0172 : 일중RP 공급테이블 조회 오류     </v>
      </c>
    </row>
    <row r="148" spans="1:5" s="64" customFormat="1">
      <c r="A148" s="316" t="s">
        <v>4635</v>
      </c>
      <c r="B148" s="123" t="s">
        <v>7609</v>
      </c>
      <c r="C148" s="256" t="s">
        <v>5514</v>
      </c>
      <c r="D148" s="328" t="s">
        <v>2500</v>
      </c>
      <c r="E148" s="122" t="str">
        <f t="shared" si="2"/>
        <v xml:space="preserve">0173 : 상환수량&gt;잔여수량 확인            </v>
      </c>
    </row>
    <row r="149" spans="1:5" s="64" customFormat="1">
      <c r="A149" s="316" t="s">
        <v>4635</v>
      </c>
      <c r="B149" s="123" t="s">
        <v>7609</v>
      </c>
      <c r="C149" s="256" t="s">
        <v>5515</v>
      </c>
      <c r="D149" s="328" t="s">
        <v>2499</v>
      </c>
      <c r="E149" s="122" t="str">
        <f t="shared" si="2"/>
        <v xml:space="preserve">0174 : 일중RP 상환테이블 조회 오류     </v>
      </c>
    </row>
    <row r="150" spans="1:5" s="64" customFormat="1">
      <c r="A150" s="316" t="s">
        <v>4635</v>
      </c>
      <c r="B150" s="123" t="s">
        <v>7609</v>
      </c>
      <c r="C150" s="256" t="s">
        <v>5516</v>
      </c>
      <c r="D150" s="328" t="s">
        <v>2498</v>
      </c>
      <c r="E150" s="122" t="str">
        <f t="shared" si="2"/>
        <v xml:space="preserve">0175 : 일중RP 상환번호 중복 오류       </v>
      </c>
    </row>
    <row r="151" spans="1:5" s="64" customFormat="1">
      <c r="A151" s="316" t="s">
        <v>4635</v>
      </c>
      <c r="B151" s="123" t="s">
        <v>7609</v>
      </c>
      <c r="C151" s="256" t="s">
        <v>5517</v>
      </c>
      <c r="D151" s="328" t="s">
        <v>2497</v>
      </c>
      <c r="E151" s="122" t="str">
        <f t="shared" si="2"/>
        <v xml:space="preserve">0176 : 일중RP 상환테이블 입력 오류     </v>
      </c>
    </row>
    <row r="152" spans="1:5" s="64" customFormat="1">
      <c r="A152" s="316" t="s">
        <v>4635</v>
      </c>
      <c r="B152" s="123" t="s">
        <v>7609</v>
      </c>
      <c r="C152" s="256" t="s">
        <v>5518</v>
      </c>
      <c r="D152" s="328" t="s">
        <v>2496</v>
      </c>
      <c r="E152" s="122" t="str">
        <f t="shared" si="2"/>
        <v xml:space="preserve">0177 : 일중RP 공급테이블 갱신 오류     </v>
      </c>
    </row>
    <row r="153" spans="1:5" s="64" customFormat="1">
      <c r="A153" s="316" t="s">
        <v>4635</v>
      </c>
      <c r="B153" s="123" t="s">
        <v>7609</v>
      </c>
      <c r="C153" s="256" t="s">
        <v>5519</v>
      </c>
      <c r="D153" s="328" t="s">
        <v>2495</v>
      </c>
      <c r="E153" s="122" t="str">
        <f t="shared" si="2"/>
        <v xml:space="preserve">0178 : 일중RP진행중 의뢰취소 불가      </v>
      </c>
    </row>
    <row r="154" spans="1:5" s="64" customFormat="1">
      <c r="A154" s="316" t="s">
        <v>4635</v>
      </c>
      <c r="B154" s="123" t="s">
        <v>7609</v>
      </c>
      <c r="C154" s="256" t="s">
        <v>5520</v>
      </c>
      <c r="D154" s="328" t="s">
        <v>2494</v>
      </c>
      <c r="E154" s="122" t="str">
        <f t="shared" si="2"/>
        <v xml:space="preserve">0179 : 일중RP 참가기관 정보조회 오류   </v>
      </c>
    </row>
    <row r="155" spans="1:5" s="64" customFormat="1">
      <c r="A155" s="316" t="s">
        <v>4635</v>
      </c>
      <c r="B155" s="123" t="s">
        <v>7609</v>
      </c>
      <c r="C155" s="256" t="s">
        <v>5521</v>
      </c>
      <c r="D155" s="328" t="s">
        <v>2493</v>
      </c>
      <c r="E155" s="122" t="str">
        <f t="shared" si="2"/>
        <v xml:space="preserve">0180 : 일중RP 신청여부 입력 오류       </v>
      </c>
    </row>
    <row r="156" spans="1:5" s="64" customFormat="1">
      <c r="A156" s="316" t="s">
        <v>4635</v>
      </c>
      <c r="B156" s="123" t="s">
        <v>7609</v>
      </c>
      <c r="C156" s="256" t="s">
        <v>5522</v>
      </c>
      <c r="D156" s="328" t="s">
        <v>2492</v>
      </c>
      <c r="E156" s="122" t="str">
        <f t="shared" si="2"/>
        <v xml:space="preserve">0181 : 채권시장 구분 오류                </v>
      </c>
    </row>
    <row r="157" spans="1:5" s="64" customFormat="1">
      <c r="A157" s="316" t="s">
        <v>4635</v>
      </c>
      <c r="B157" s="123" t="s">
        <v>7609</v>
      </c>
      <c r="C157" s="256" t="s">
        <v>5523</v>
      </c>
      <c r="D157" s="328" t="s">
        <v>2491</v>
      </c>
      <c r="E157" s="122" t="str">
        <f t="shared" si="2"/>
        <v xml:space="preserve">0182 : 일중RP 공급이 신청된 건임       </v>
      </c>
    </row>
    <row r="158" spans="1:5" s="64" customFormat="1">
      <c r="A158" s="316" t="s">
        <v>4635</v>
      </c>
      <c r="B158" s="123" t="s">
        <v>7609</v>
      </c>
      <c r="C158" s="256" t="s">
        <v>5524</v>
      </c>
      <c r="D158" s="328" t="s">
        <v>2490</v>
      </c>
      <c r="E158" s="122" t="str">
        <f t="shared" si="2"/>
        <v xml:space="preserve">0183 : 일중RP 공급 테이블 입력 오류  </v>
      </c>
    </row>
    <row r="159" spans="1:5" s="64" customFormat="1">
      <c r="A159" s="316" t="s">
        <v>4635</v>
      </c>
      <c r="B159" s="123" t="s">
        <v>7609</v>
      </c>
      <c r="C159" s="256" t="s">
        <v>5525</v>
      </c>
      <c r="D159" s="328" t="s">
        <v>2489</v>
      </c>
      <c r="E159" s="122" t="str">
        <f t="shared" si="2"/>
        <v xml:space="preserve">0184 : 결제수량 입력 오류                </v>
      </c>
    </row>
    <row r="160" spans="1:5" s="64" customFormat="1">
      <c r="A160" s="316" t="s">
        <v>4635</v>
      </c>
      <c r="B160" s="123" t="s">
        <v>7609</v>
      </c>
      <c r="C160" s="256" t="s">
        <v>5526</v>
      </c>
      <c r="D160" s="328" t="s">
        <v>2488</v>
      </c>
      <c r="E160" s="122" t="str">
        <f t="shared" si="2"/>
        <v xml:space="preserve">0185 : 채권구분 입력 오류                </v>
      </c>
    </row>
    <row r="161" spans="1:5" s="64" customFormat="1">
      <c r="A161" s="316" t="s">
        <v>4635</v>
      </c>
      <c r="B161" s="123" t="s">
        <v>7609</v>
      </c>
      <c r="C161" s="256" t="s">
        <v>5527</v>
      </c>
      <c r="D161" s="328" t="s">
        <v>2487</v>
      </c>
      <c r="E161" s="122" t="str">
        <f t="shared" si="2"/>
        <v xml:space="preserve">0186 : 적격구분 입력 오류                </v>
      </c>
    </row>
    <row r="162" spans="1:5" s="64" customFormat="1">
      <c r="A162" s="316" t="s">
        <v>4635</v>
      </c>
      <c r="B162" s="123" t="s">
        <v>7609</v>
      </c>
      <c r="C162" s="256" t="s">
        <v>5528</v>
      </c>
      <c r="D162" s="328" t="s">
        <v>2486</v>
      </c>
      <c r="E162" s="122" t="str">
        <f t="shared" si="2"/>
        <v xml:space="preserve">0187 : 일중RP 심사대기 상태가 아닙니다 </v>
      </c>
    </row>
    <row r="163" spans="1:5" s="64" customFormat="1">
      <c r="A163" s="316" t="s">
        <v>4635</v>
      </c>
      <c r="B163" s="123" t="s">
        <v>7609</v>
      </c>
      <c r="C163" s="256" t="s">
        <v>5529</v>
      </c>
      <c r="D163" s="328" t="s">
        <v>2485</v>
      </c>
      <c r="E163" s="122" t="str">
        <f t="shared" si="2"/>
        <v xml:space="preserve">0188 : 채권시가정보 조회 오류            </v>
      </c>
    </row>
    <row r="164" spans="1:5" s="64" customFormat="1">
      <c r="A164" s="316" t="s">
        <v>4635</v>
      </c>
      <c r="B164" s="123" t="s">
        <v>7609</v>
      </c>
      <c r="C164" s="256" t="s">
        <v>5530</v>
      </c>
      <c r="D164" s="328" t="s">
        <v>2484</v>
      </c>
      <c r="E164" s="122" t="str">
        <f t="shared" si="2"/>
        <v xml:space="preserve">0189 : 일중RP 지원대상 증권이 아닙니다 </v>
      </c>
    </row>
    <row r="165" spans="1:5" s="64" customFormat="1">
      <c r="A165" s="316" t="s">
        <v>4635</v>
      </c>
      <c r="B165" s="123" t="s">
        <v>7609</v>
      </c>
      <c r="C165" s="256" t="s">
        <v>5531</v>
      </c>
      <c r="D165" s="328" t="s">
        <v>2483</v>
      </c>
      <c r="E165" s="122" t="str">
        <f t="shared" si="2"/>
        <v xml:space="preserve">0190 : 일중RP 지원한도 정보가 없습니다 </v>
      </c>
    </row>
    <row r="166" spans="1:5" s="64" customFormat="1">
      <c r="A166" s="316" t="s">
        <v>4635</v>
      </c>
      <c r="B166" s="123" t="s">
        <v>7609</v>
      </c>
      <c r="C166" s="256" t="s">
        <v>5532</v>
      </c>
      <c r="D166" s="328" t="s">
        <v>2482</v>
      </c>
      <c r="E166" s="122" t="str">
        <f t="shared" si="2"/>
        <v>0191 : 일중RP 지원한도 정보 조회 오류</v>
      </c>
    </row>
    <row r="167" spans="1:5" s="64" customFormat="1">
      <c r="A167" s="316" t="s">
        <v>4635</v>
      </c>
      <c r="B167" s="123" t="s">
        <v>7609</v>
      </c>
      <c r="C167" s="256" t="s">
        <v>5533</v>
      </c>
      <c r="D167" s="328" t="s">
        <v>2481</v>
      </c>
      <c r="E167" s="122" t="str">
        <f t="shared" si="2"/>
        <v>0192 : 일중RP 지원한도 정보 갱신 오류</v>
      </c>
    </row>
    <row r="168" spans="1:5" s="64" customFormat="1">
      <c r="A168" s="316" t="s">
        <v>4635</v>
      </c>
      <c r="B168" s="123" t="s">
        <v>7609</v>
      </c>
      <c r="C168" s="256" t="s">
        <v>5534</v>
      </c>
      <c r="D168" s="328" t="s">
        <v>2480</v>
      </c>
      <c r="E168" s="122" t="str">
        <f t="shared" si="2"/>
        <v xml:space="preserve">0193 : 일중RP 공급신청이 마감되었습니다  </v>
      </c>
    </row>
    <row r="169" spans="1:5" s="64" customFormat="1">
      <c r="A169" s="316" t="s">
        <v>4635</v>
      </c>
      <c r="B169" s="123" t="s">
        <v>7609</v>
      </c>
      <c r="C169" s="256" t="s">
        <v>5535</v>
      </c>
      <c r="D169" s="328" t="s">
        <v>2479</v>
      </c>
      <c r="E169" s="122" t="str">
        <f t="shared" si="2"/>
        <v xml:space="preserve">0194 : 일중RP 공급대기 선순위 존재     </v>
      </c>
    </row>
    <row r="170" spans="1:5" s="64" customFormat="1">
      <c r="A170" s="316" t="s">
        <v>4635</v>
      </c>
      <c r="B170" s="123" t="s">
        <v>7609</v>
      </c>
      <c r="C170" s="256" t="s">
        <v>5536</v>
      </c>
      <c r="D170" s="328" t="s">
        <v>2478</v>
      </c>
      <c r="E170" s="122" t="str">
        <f t="shared" si="2"/>
        <v>0195 : 일중RP 대기거래 정보 조회 오류</v>
      </c>
    </row>
    <row r="171" spans="1:5" s="64" customFormat="1">
      <c r="A171" s="316" t="s">
        <v>4635</v>
      </c>
      <c r="B171" s="123" t="s">
        <v>7609</v>
      </c>
      <c r="C171" s="256" t="s">
        <v>5537</v>
      </c>
      <c r="D171" s="328" t="s">
        <v>2477</v>
      </c>
      <c r="E171" s="122" t="str">
        <f t="shared" si="2"/>
        <v xml:space="preserve">0196 : 일중RP 대기거래 입력 오류       </v>
      </c>
    </row>
    <row r="172" spans="1:5" s="64" customFormat="1">
      <c r="A172" s="316" t="s">
        <v>4635</v>
      </c>
      <c r="B172" s="123" t="s">
        <v>7609</v>
      </c>
      <c r="C172" s="256" t="s">
        <v>5538</v>
      </c>
      <c r="D172" s="328" t="s">
        <v>2476</v>
      </c>
      <c r="E172" s="122" t="str">
        <f t="shared" si="2"/>
        <v xml:space="preserve">0197 : 상환수량(금액) 입력 오류        </v>
      </c>
    </row>
    <row r="173" spans="1:5" s="64" customFormat="1">
      <c r="A173" s="316" t="s">
        <v>4635</v>
      </c>
      <c r="B173" s="123" t="s">
        <v>7609</v>
      </c>
      <c r="C173" s="256" t="s">
        <v>5539</v>
      </c>
      <c r="D173" s="328" t="s">
        <v>2475</v>
      </c>
      <c r="E173" s="122" t="str">
        <f t="shared" si="2"/>
        <v xml:space="preserve">0198 : 증권대금이체금액 입력 오류        </v>
      </c>
    </row>
    <row r="174" spans="1:5" s="64" customFormat="1">
      <c r="A174" s="316" t="s">
        <v>4635</v>
      </c>
      <c r="B174" s="123" t="s">
        <v>7609</v>
      </c>
      <c r="C174" s="256" t="s">
        <v>5540</v>
      </c>
      <c r="D174" s="328" t="s">
        <v>2474</v>
      </c>
      <c r="E174" s="122" t="str">
        <f t="shared" si="2"/>
        <v xml:space="preserve">0199 : 결제대금유형 입력 오류            </v>
      </c>
    </row>
    <row r="175" spans="1:5" s="64" customFormat="1">
      <c r="A175" s="316" t="s">
        <v>4635</v>
      </c>
      <c r="B175" s="123" t="s">
        <v>7609</v>
      </c>
      <c r="C175" s="256" t="s">
        <v>5541</v>
      </c>
      <c r="D175" s="328" t="s">
        <v>2473</v>
      </c>
      <c r="E175" s="122" t="str">
        <f t="shared" si="2"/>
        <v xml:space="preserve">0200 : 주식기관결제 대금구분 오류        </v>
      </c>
    </row>
    <row r="176" spans="1:5" s="64" customFormat="1">
      <c r="A176" s="316" t="s">
        <v>4635</v>
      </c>
      <c r="B176" s="123" t="s">
        <v>7609</v>
      </c>
      <c r="C176" s="256" t="s">
        <v>5542</v>
      </c>
      <c r="D176" s="328" t="s">
        <v>2472</v>
      </c>
      <c r="E176" s="122" t="str">
        <f t="shared" si="2"/>
        <v xml:space="preserve">0201 : 납부기관수 오류                     </v>
      </c>
    </row>
    <row r="177" spans="1:5" s="64" customFormat="1">
      <c r="A177" s="316" t="s">
        <v>4635</v>
      </c>
      <c r="B177" s="123" t="s">
        <v>7609</v>
      </c>
      <c r="C177" s="256" t="s">
        <v>5543</v>
      </c>
      <c r="D177" s="328" t="s">
        <v>2471</v>
      </c>
      <c r="E177" s="122" t="str">
        <f t="shared" si="2"/>
        <v xml:space="preserve">0202 : 지급기관수 오류                     </v>
      </c>
    </row>
    <row r="178" spans="1:5" s="64" customFormat="1">
      <c r="A178" s="316" t="s">
        <v>4635</v>
      </c>
      <c r="B178" s="123" t="s">
        <v>7609</v>
      </c>
      <c r="C178" s="256" t="s">
        <v>5544</v>
      </c>
      <c r="D178" s="328" t="s">
        <v>2470</v>
      </c>
      <c r="E178" s="122" t="str">
        <f t="shared" si="2"/>
        <v xml:space="preserve">0203 : 계좌계개설자번호는 숫자만 인정    </v>
      </c>
    </row>
    <row r="179" spans="1:5" s="64" customFormat="1">
      <c r="A179" s="316" t="s">
        <v>4635</v>
      </c>
      <c r="B179" s="123" t="s">
        <v>7609</v>
      </c>
      <c r="C179" s="256" t="s">
        <v>5545</v>
      </c>
      <c r="D179" s="328" t="s">
        <v>2469</v>
      </c>
      <c r="E179" s="122" t="str">
        <f t="shared" si="2"/>
        <v xml:space="preserve">0204 : 결제회원앞 이체 오류              </v>
      </c>
    </row>
    <row r="180" spans="1:5" s="64" customFormat="1">
      <c r="A180" s="316" t="s">
        <v>4635</v>
      </c>
      <c r="B180" s="123" t="s">
        <v>7609</v>
      </c>
      <c r="C180" s="256" t="s">
        <v>5546</v>
      </c>
      <c r="D180" s="328" t="s">
        <v>2468</v>
      </c>
      <c r="E180" s="122" t="str">
        <f t="shared" si="2"/>
        <v xml:space="preserve">0205 : 재매도상환 통지내역 중복          </v>
      </c>
    </row>
    <row r="181" spans="1:5" s="64" customFormat="1">
      <c r="A181" s="316" t="s">
        <v>4635</v>
      </c>
      <c r="B181" s="123" t="s">
        <v>7609</v>
      </c>
      <c r="C181" s="256" t="s">
        <v>5547</v>
      </c>
      <c r="D181" s="328" t="s">
        <v>2467</v>
      </c>
      <c r="E181" s="122" t="str">
        <f t="shared" si="2"/>
        <v xml:space="preserve">0206 : 재매도상환 통지내역 입력 오류   </v>
      </c>
    </row>
    <row r="182" spans="1:5" s="64" customFormat="1">
      <c r="A182" s="316" t="s">
        <v>4635</v>
      </c>
      <c r="B182" s="123" t="s">
        <v>7609</v>
      </c>
      <c r="C182" s="256" t="s">
        <v>5548</v>
      </c>
      <c r="D182" s="328" t="s">
        <v>2466</v>
      </c>
      <c r="E182" s="122" t="str">
        <f t="shared" si="2"/>
        <v xml:space="preserve">0207 : 수수료 테이블 갱신 오류         </v>
      </c>
    </row>
    <row r="183" spans="1:5" s="64" customFormat="1">
      <c r="A183" s="316" t="s">
        <v>4635</v>
      </c>
      <c r="B183" s="123" t="s">
        <v>7609</v>
      </c>
      <c r="C183" s="256" t="s">
        <v>5549</v>
      </c>
      <c r="D183" s="328" t="s">
        <v>2465</v>
      </c>
      <c r="E183" s="122" t="str">
        <f t="shared" si="2"/>
        <v xml:space="preserve">0208 : 할증수수료 조회 오류              </v>
      </c>
    </row>
    <row r="184" spans="1:5" s="64" customFormat="1">
      <c r="A184" s="316" t="s">
        <v>4635</v>
      </c>
      <c r="B184" s="123" t="s">
        <v>7609</v>
      </c>
      <c r="C184" s="256" t="s">
        <v>5550</v>
      </c>
      <c r="D184" s="328" t="s">
        <v>2464</v>
      </c>
      <c r="E184" s="122" t="str">
        <f t="shared" si="2"/>
        <v>0209 : 일중RP상환신청 취소내역 생성오류</v>
      </c>
    </row>
    <row r="185" spans="1:5" s="64" customFormat="1">
      <c r="A185" s="316" t="s">
        <v>4635</v>
      </c>
      <c r="B185" s="123" t="s">
        <v>7609</v>
      </c>
      <c r="C185" s="256" t="s">
        <v>5551</v>
      </c>
      <c r="D185" s="328" t="s">
        <v>2463</v>
      </c>
      <c r="E185" s="122" t="str">
        <f t="shared" si="2"/>
        <v xml:space="preserve">0210 : 상환유형 입력 오류                </v>
      </c>
    </row>
    <row r="186" spans="1:5" s="64" customFormat="1">
      <c r="A186" s="316" t="s">
        <v>4635</v>
      </c>
      <c r="B186" s="123" t="s">
        <v>7609</v>
      </c>
      <c r="C186" s="256" t="s">
        <v>5552</v>
      </c>
      <c r="D186" s="328" t="s">
        <v>2462</v>
      </c>
      <c r="E186" s="122" t="str">
        <f t="shared" si="2"/>
        <v xml:space="preserve">0211 : 상황유형(세부) 입력 오류        </v>
      </c>
    </row>
    <row r="187" spans="1:5" s="64" customFormat="1">
      <c r="A187" s="316" t="s">
        <v>4635</v>
      </c>
      <c r="B187" s="123" t="s">
        <v>7609</v>
      </c>
      <c r="C187" s="256" t="s">
        <v>5553</v>
      </c>
      <c r="D187" s="328" t="s">
        <v>2461</v>
      </c>
      <c r="E187" s="122" t="str">
        <f t="shared" si="2"/>
        <v xml:space="preserve">0212 : 자동상환구분 입력 오류            </v>
      </c>
    </row>
    <row r="188" spans="1:5" s="64" customFormat="1">
      <c r="A188" s="316" t="s">
        <v>4635</v>
      </c>
      <c r="B188" s="123" t="s">
        <v>7609</v>
      </c>
      <c r="C188" s="256" t="s">
        <v>5554</v>
      </c>
      <c r="D188" s="328" t="s">
        <v>2460</v>
      </c>
      <c r="E188" s="122" t="str">
        <f t="shared" si="2"/>
        <v xml:space="preserve">0213 : 대행은행 입력 오류                </v>
      </c>
    </row>
    <row r="189" spans="1:5" s="64" customFormat="1">
      <c r="A189" s="316" t="s">
        <v>4635</v>
      </c>
      <c r="B189" s="123" t="s">
        <v>7609</v>
      </c>
      <c r="C189" s="256" t="s">
        <v>5555</v>
      </c>
      <c r="D189" s="328" t="s">
        <v>2459</v>
      </c>
      <c r="E189" s="122" t="str">
        <f t="shared" si="2"/>
        <v xml:space="preserve">0214 : 대행은행 계정개설처 입력 오류   </v>
      </c>
    </row>
    <row r="190" spans="1:5" s="64" customFormat="1">
      <c r="A190" s="316" t="s">
        <v>4635</v>
      </c>
      <c r="B190" s="123" t="s">
        <v>7609</v>
      </c>
      <c r="C190" s="256" t="s">
        <v>5556</v>
      </c>
      <c r="D190" s="328" t="s">
        <v>2458</v>
      </c>
      <c r="E190" s="122" t="str">
        <f t="shared" si="2"/>
        <v xml:space="preserve">0215 : RP상환 증권대체결과 중복          </v>
      </c>
    </row>
    <row r="191" spans="1:5" s="64" customFormat="1">
      <c r="A191" s="316" t="s">
        <v>4635</v>
      </c>
      <c r="B191" s="123" t="s">
        <v>7609</v>
      </c>
      <c r="C191" s="256" t="s">
        <v>5557</v>
      </c>
      <c r="D191" s="328" t="s">
        <v>2457</v>
      </c>
      <c r="E191" s="122" t="str">
        <f t="shared" si="2"/>
        <v xml:space="preserve">0216 : RP상환 증권대체결과 생성 오류   </v>
      </c>
    </row>
    <row r="192" spans="1:5" s="64" customFormat="1">
      <c r="A192" s="316" t="s">
        <v>4635</v>
      </c>
      <c r="B192" s="123" t="s">
        <v>7609</v>
      </c>
      <c r="C192" s="256" t="s">
        <v>5558</v>
      </c>
      <c r="D192" s="328" t="s">
        <v>2456</v>
      </c>
      <c r="E192" s="122" t="str">
        <f t="shared" si="2"/>
        <v xml:space="preserve">0217 : 일중RP 공급업무 마감              </v>
      </c>
    </row>
    <row r="193" spans="1:5" s="64" customFormat="1">
      <c r="A193" s="316" t="s">
        <v>4635</v>
      </c>
      <c r="B193" s="123" t="s">
        <v>7609</v>
      </c>
      <c r="C193" s="256" t="s">
        <v>5559</v>
      </c>
      <c r="D193" s="328" t="s">
        <v>2455</v>
      </c>
      <c r="E193" s="122" t="str">
        <f t="shared" si="2"/>
        <v xml:space="preserve">0218 : 증권대금이체 금액 입력 오류     </v>
      </c>
    </row>
    <row r="194" spans="1:5" s="64" customFormat="1">
      <c r="A194" s="316" t="s">
        <v>4635</v>
      </c>
      <c r="B194" s="123" t="s">
        <v>7609</v>
      </c>
      <c r="C194" s="256" t="s">
        <v>5560</v>
      </c>
      <c r="D194" s="328" t="s">
        <v>2454</v>
      </c>
      <c r="E194" s="122" t="str">
        <f t="shared" si="2"/>
        <v xml:space="preserve">0219 : 일중RP공급금액 입력 오류        </v>
      </c>
    </row>
    <row r="195" spans="1:5" s="64" customFormat="1">
      <c r="A195" s="316" t="s">
        <v>4635</v>
      </c>
      <c r="B195" s="123" t="s">
        <v>7609</v>
      </c>
      <c r="C195" s="256" t="s">
        <v>5561</v>
      </c>
      <c r="D195" s="328" t="s">
        <v>2453</v>
      </c>
      <c r="E195" s="122" t="str">
        <f t="shared" si="2"/>
        <v xml:space="preserve">0220 : 일중RP공급 취소내역 생성 오류 </v>
      </c>
    </row>
    <row r="196" spans="1:5" s="64" customFormat="1">
      <c r="A196" s="316" t="s">
        <v>4635</v>
      </c>
      <c r="B196" s="123" t="s">
        <v>7609</v>
      </c>
      <c r="C196" s="256" t="s">
        <v>5562</v>
      </c>
      <c r="D196" s="328" t="s">
        <v>2452</v>
      </c>
      <c r="E196" s="122" t="str">
        <f t="shared" ref="E196:E259" si="3">_xlfn.TEXTJOIN(" : ",FALSE,C196:D196)</f>
        <v xml:space="preserve">0221 : 일중RP 취소번호 생성 오류       </v>
      </c>
    </row>
    <row r="197" spans="1:5" s="64" customFormat="1">
      <c r="A197" s="316" t="s">
        <v>4635</v>
      </c>
      <c r="B197" s="123" t="s">
        <v>7609</v>
      </c>
      <c r="C197" s="256" t="s">
        <v>5563</v>
      </c>
      <c r="D197" s="328" t="s">
        <v>2451</v>
      </c>
      <c r="E197" s="122" t="str">
        <f t="shared" si="3"/>
        <v xml:space="preserve">0222 : 증권대금이체 테이블 갱신 오류   </v>
      </c>
    </row>
    <row r="198" spans="1:5" s="64" customFormat="1">
      <c r="A198" s="316" t="s">
        <v>4635</v>
      </c>
      <c r="B198" s="123" t="s">
        <v>7609</v>
      </c>
      <c r="C198" s="256" t="s">
        <v>5564</v>
      </c>
      <c r="D198" s="328" t="s">
        <v>1314</v>
      </c>
      <c r="E198" s="122" t="str">
        <f t="shared" si="3"/>
        <v xml:space="preserve">0223 : 상환금액 불일치                     </v>
      </c>
    </row>
    <row r="199" spans="1:5" s="64" customFormat="1">
      <c r="A199" s="316" t="s">
        <v>4635</v>
      </c>
      <c r="B199" s="123" t="s">
        <v>7609</v>
      </c>
      <c r="C199" s="256" t="s">
        <v>5565</v>
      </c>
      <c r="D199" s="328" t="s">
        <v>2450</v>
      </c>
      <c r="E199" s="122" t="str">
        <f t="shared" si="3"/>
        <v xml:space="preserve">0224 : 이미 상환된 거래입니다            </v>
      </c>
    </row>
    <row r="200" spans="1:5" s="64" customFormat="1">
      <c r="A200" s="316" t="s">
        <v>4635</v>
      </c>
      <c r="B200" s="123" t="s">
        <v>7609</v>
      </c>
      <c r="C200" s="256" t="s">
        <v>5566</v>
      </c>
      <c r="D200" s="328" t="s">
        <v>2449</v>
      </c>
      <c r="E200" s="122" t="str">
        <f t="shared" si="3"/>
        <v xml:space="preserve">0225 : 한국거래소 잔액 갱신 오류       </v>
      </c>
    </row>
    <row r="201" spans="1:5" s="64" customFormat="1">
      <c r="A201" s="316" t="s">
        <v>4635</v>
      </c>
      <c r="B201" s="123" t="s">
        <v>7609</v>
      </c>
      <c r="C201" s="256" t="s">
        <v>5567</v>
      </c>
      <c r="D201" s="328" t="s">
        <v>2448</v>
      </c>
      <c r="E201" s="122" t="str">
        <f t="shared" si="3"/>
        <v xml:space="preserve">0226 : 이미 상환신청된 거래입니다        </v>
      </c>
    </row>
    <row r="202" spans="1:5" s="64" customFormat="1">
      <c r="A202" s="316" t="s">
        <v>4635</v>
      </c>
      <c r="B202" s="123" t="s">
        <v>7609</v>
      </c>
      <c r="C202" s="256" t="s">
        <v>5568</v>
      </c>
      <c r="D202" s="328" t="s">
        <v>2447</v>
      </c>
      <c r="E202" s="122" t="str">
        <f t="shared" si="3"/>
        <v xml:space="preserve">0227 : 상환취소내역 입력 오류            </v>
      </c>
    </row>
    <row r="203" spans="1:5" s="64" customFormat="1">
      <c r="A203" s="316" t="s">
        <v>4635</v>
      </c>
      <c r="B203" s="123" t="s">
        <v>7609</v>
      </c>
      <c r="C203" s="256" t="s">
        <v>5569</v>
      </c>
      <c r="D203" s="328" t="s">
        <v>2446</v>
      </c>
      <c r="E203" s="122" t="str">
        <f t="shared" si="3"/>
        <v xml:space="preserve">0228 : 매매구분 입력 오류                </v>
      </c>
    </row>
    <row r="204" spans="1:5" s="64" customFormat="1">
      <c r="A204" s="316" t="s">
        <v>4635</v>
      </c>
      <c r="B204" s="123" t="s">
        <v>7609</v>
      </c>
      <c r="C204" s="256" t="s">
        <v>5570</v>
      </c>
      <c r="D204" s="328" t="s">
        <v>2445</v>
      </c>
      <c r="E204" s="122" t="str">
        <f t="shared" si="3"/>
        <v xml:space="preserve">0229 : 결제대금 입력 오류                </v>
      </c>
    </row>
    <row r="205" spans="1:5" s="64" customFormat="1">
      <c r="A205" s="316" t="s">
        <v>4635</v>
      </c>
      <c r="B205" s="123" t="s">
        <v>7609</v>
      </c>
      <c r="C205" s="256" t="s">
        <v>5571</v>
      </c>
      <c r="D205" s="328" t="s">
        <v>2444</v>
      </c>
      <c r="E205" s="122" t="str">
        <f t="shared" si="3"/>
        <v xml:space="preserve">0230 : 일중RP유형 입력 오류            </v>
      </c>
    </row>
    <row r="206" spans="1:5" s="64" customFormat="1">
      <c r="A206" s="316" t="s">
        <v>4635</v>
      </c>
      <c r="B206" s="123" t="s">
        <v>7609</v>
      </c>
      <c r="C206" s="256" t="s">
        <v>5572</v>
      </c>
      <c r="D206" s="328" t="s">
        <v>2443</v>
      </c>
      <c r="E206" s="122" t="str">
        <f t="shared" si="3"/>
        <v xml:space="preserve">0231 : 재매도상환내역 조회 오류          </v>
      </c>
    </row>
    <row r="207" spans="1:5" s="64" customFormat="1">
      <c r="A207" s="316" t="s">
        <v>4635</v>
      </c>
      <c r="B207" s="123" t="s">
        <v>7609</v>
      </c>
      <c r="C207" s="256" t="s">
        <v>5573</v>
      </c>
      <c r="D207" s="328" t="s">
        <v>2442</v>
      </c>
      <c r="E207" s="122" t="str">
        <f t="shared" si="3"/>
        <v xml:space="preserve">0232 : 매매구분 오류                       </v>
      </c>
    </row>
    <row r="208" spans="1:5" s="64" customFormat="1">
      <c r="A208" s="316" t="s">
        <v>4635</v>
      </c>
      <c r="B208" s="123" t="s">
        <v>7609</v>
      </c>
      <c r="C208" s="256" t="s">
        <v>5574</v>
      </c>
      <c r="D208" s="328" t="s">
        <v>2441</v>
      </c>
      <c r="E208" s="122" t="str">
        <f t="shared" si="3"/>
        <v xml:space="preserve">0233 : 차감납부수량 입력 오류            </v>
      </c>
    </row>
    <row r="209" spans="1:5" s="64" customFormat="1">
      <c r="A209" s="316" t="s">
        <v>4635</v>
      </c>
      <c r="B209" s="123" t="s">
        <v>7609</v>
      </c>
      <c r="C209" s="256" t="s">
        <v>5575</v>
      </c>
      <c r="D209" s="328" t="s">
        <v>2440</v>
      </c>
      <c r="E209" s="122" t="str">
        <f t="shared" si="3"/>
        <v xml:space="preserve">0234 : 차감수령수량 입력 오류            </v>
      </c>
    </row>
    <row r="210" spans="1:5" s="64" customFormat="1">
      <c r="A210" s="316" t="s">
        <v>4635</v>
      </c>
      <c r="B210" s="123" t="s">
        <v>7609</v>
      </c>
      <c r="C210" s="256" t="s">
        <v>5576</v>
      </c>
      <c r="D210" s="328" t="s">
        <v>2439</v>
      </c>
      <c r="E210" s="122" t="str">
        <f t="shared" si="3"/>
        <v xml:space="preserve">0235 : 차감납부금액 입력 오류            </v>
      </c>
    </row>
    <row r="211" spans="1:5" s="64" customFormat="1">
      <c r="A211" s="316" t="s">
        <v>4635</v>
      </c>
      <c r="B211" s="123" t="s">
        <v>7609</v>
      </c>
      <c r="C211" s="256" t="s">
        <v>5577</v>
      </c>
      <c r="D211" s="328" t="s">
        <v>2438</v>
      </c>
      <c r="E211" s="122" t="str">
        <f t="shared" si="3"/>
        <v xml:space="preserve">0236 : 차감수령금액 입력 오류            </v>
      </c>
    </row>
    <row r="212" spans="1:5" s="64" customFormat="1">
      <c r="A212" s="316" t="s">
        <v>4635</v>
      </c>
      <c r="B212" s="123" t="s">
        <v>7609</v>
      </c>
      <c r="C212" s="256" t="s">
        <v>5578</v>
      </c>
      <c r="D212" s="328" t="s">
        <v>2437</v>
      </c>
      <c r="E212" s="122" t="str">
        <f t="shared" si="3"/>
        <v xml:space="preserve">0237 : DVP결제구분 입력 오류             </v>
      </c>
    </row>
    <row r="213" spans="1:5" s="64" customFormat="1">
      <c r="A213" s="316" t="s">
        <v>4635</v>
      </c>
      <c r="B213" s="123" t="s">
        <v>7609</v>
      </c>
      <c r="C213" s="256" t="s">
        <v>5579</v>
      </c>
      <c r="D213" s="328" t="s">
        <v>2436</v>
      </c>
      <c r="E213" s="122" t="str">
        <f t="shared" si="3"/>
        <v xml:space="preserve">0238 : 차감결제내역 입력 오류            </v>
      </c>
    </row>
    <row r="214" spans="1:5" s="64" customFormat="1">
      <c r="A214" s="316" t="s">
        <v>4635</v>
      </c>
      <c r="B214" s="123" t="s">
        <v>7609</v>
      </c>
      <c r="C214" s="256" t="s">
        <v>5580</v>
      </c>
      <c r="D214" s="328" t="s">
        <v>2435</v>
      </c>
      <c r="E214" s="122" t="str">
        <f t="shared" si="3"/>
        <v xml:space="preserve">0239 : 증권대금이체의뢰 조회 오류        </v>
      </c>
    </row>
    <row r="215" spans="1:5" s="64" customFormat="1">
      <c r="A215" s="316" t="s">
        <v>4635</v>
      </c>
      <c r="B215" s="123" t="s">
        <v>7609</v>
      </c>
      <c r="C215" s="256" t="s">
        <v>5581</v>
      </c>
      <c r="D215" s="328" t="s">
        <v>2434</v>
      </c>
      <c r="E215" s="122" t="str">
        <f t="shared" si="3"/>
        <v xml:space="preserve">0240 : 일중RP가능금액 확인               </v>
      </c>
    </row>
    <row r="216" spans="1:5" s="64" customFormat="1">
      <c r="A216" s="316" t="s">
        <v>4635</v>
      </c>
      <c r="B216" s="123" t="s">
        <v>7609</v>
      </c>
      <c r="C216" s="256" t="s">
        <v>5582</v>
      </c>
      <c r="D216" s="328" t="s">
        <v>2433</v>
      </c>
      <c r="E216" s="122" t="str">
        <f t="shared" si="3"/>
        <v xml:space="preserve">0241 : 일중RP신청금액 확인               </v>
      </c>
    </row>
    <row r="217" spans="1:5" s="64" customFormat="1">
      <c r="A217" s="316" t="s">
        <v>4635</v>
      </c>
      <c r="B217" s="123" t="s">
        <v>7609</v>
      </c>
      <c r="C217" s="256" t="s">
        <v>5583</v>
      </c>
      <c r="D217" s="328" t="s">
        <v>2432</v>
      </c>
      <c r="E217" s="122" t="str">
        <f t="shared" si="3"/>
        <v xml:space="preserve">0242 : 재매도상환 취소 예정 거래임     </v>
      </c>
    </row>
    <row r="218" spans="1:5" s="64" customFormat="1">
      <c r="A218" s="316" t="s">
        <v>4635</v>
      </c>
      <c r="B218" s="123" t="s">
        <v>7609</v>
      </c>
      <c r="C218" s="256" t="s">
        <v>5584</v>
      </c>
      <c r="D218" s="328" t="s">
        <v>2431</v>
      </c>
      <c r="E218" s="122" t="str">
        <f t="shared" si="3"/>
        <v xml:space="preserve">0243 : 상환번호 입력 오류                </v>
      </c>
    </row>
    <row r="219" spans="1:5" s="64" customFormat="1">
      <c r="A219" s="316" t="s">
        <v>4635</v>
      </c>
      <c r="B219" s="123" t="s">
        <v>7609</v>
      </c>
      <c r="C219" s="256" t="s">
        <v>5585</v>
      </c>
      <c r="D219" s="328" t="s">
        <v>2430</v>
      </c>
      <c r="E219" s="122" t="str">
        <f t="shared" si="3"/>
        <v xml:space="preserve">0244 : 취소대상 재매도건 없음            </v>
      </c>
    </row>
    <row r="220" spans="1:5" s="64" customFormat="1">
      <c r="A220" s="316" t="s">
        <v>4635</v>
      </c>
      <c r="B220" s="123" t="s">
        <v>7609</v>
      </c>
      <c r="C220" s="256" t="s">
        <v>5586</v>
      </c>
      <c r="D220" s="328" t="s">
        <v>2429</v>
      </c>
      <c r="E220" s="122" t="str">
        <f t="shared" si="3"/>
        <v xml:space="preserve">0245 : 이미 취소된 재매도 건임         </v>
      </c>
    </row>
    <row r="221" spans="1:5" s="64" customFormat="1">
      <c r="A221" s="316" t="s">
        <v>4635</v>
      </c>
      <c r="B221" s="123" t="s">
        <v>7609</v>
      </c>
      <c r="C221" s="256" t="s">
        <v>5587</v>
      </c>
      <c r="D221" s="328" t="s">
        <v>2428</v>
      </c>
      <c r="E221" s="122" t="str">
        <f t="shared" si="3"/>
        <v xml:space="preserve">0246 : 결제완료된 재매도 건임            </v>
      </c>
    </row>
    <row r="222" spans="1:5" s="64" customFormat="1">
      <c r="A222" s="316" t="s">
        <v>4635</v>
      </c>
      <c r="B222" s="123" t="s">
        <v>7609</v>
      </c>
      <c r="C222" s="256" t="s">
        <v>5588</v>
      </c>
      <c r="D222" s="328" t="s">
        <v>2427</v>
      </c>
      <c r="E222" s="122" t="str">
        <f t="shared" si="3"/>
        <v xml:space="preserve">0247 : 시장구분 입력 오류                </v>
      </c>
    </row>
    <row r="223" spans="1:5" s="64" customFormat="1">
      <c r="A223" s="316" t="s">
        <v>4635</v>
      </c>
      <c r="B223" s="123" t="s">
        <v>7609</v>
      </c>
      <c r="C223" s="256" t="s">
        <v>5589</v>
      </c>
      <c r="D223" s="328" t="s">
        <v>2426</v>
      </c>
      <c r="E223" s="122" t="str">
        <f t="shared" si="3"/>
        <v xml:space="preserve">0248 : 이미 신청된 거래입니다            </v>
      </c>
    </row>
    <row r="224" spans="1:5" s="64" customFormat="1">
      <c r="A224" s="316" t="s">
        <v>4635</v>
      </c>
      <c r="B224" s="123" t="s">
        <v>7609</v>
      </c>
      <c r="C224" s="256" t="s">
        <v>5590</v>
      </c>
      <c r="D224" s="328" t="s">
        <v>2425</v>
      </c>
      <c r="E224" s="122" t="str">
        <f t="shared" si="3"/>
        <v xml:space="preserve">0249 : 일중RP지원대상이 아닙니다         </v>
      </c>
    </row>
    <row r="225" spans="1:5" s="64" customFormat="1">
      <c r="A225" s="316" t="s">
        <v>4635</v>
      </c>
      <c r="B225" s="123" t="s">
        <v>7609</v>
      </c>
      <c r="C225" s="256" t="s">
        <v>5591</v>
      </c>
      <c r="D225" s="328" t="s">
        <v>2424</v>
      </c>
      <c r="E225" s="122" t="str">
        <f t="shared" si="3"/>
        <v xml:space="preserve">0250 : 재매도상환수량및상환수량 불일치     </v>
      </c>
    </row>
    <row r="226" spans="1:5" s="64" customFormat="1">
      <c r="A226" s="316" t="s">
        <v>4635</v>
      </c>
      <c r="B226" s="123" t="s">
        <v>7609</v>
      </c>
      <c r="C226" s="256" t="s">
        <v>5592</v>
      </c>
      <c r="D226" s="328" t="s">
        <v>2423</v>
      </c>
      <c r="E226" s="122" t="str">
        <f t="shared" si="3"/>
        <v xml:space="preserve">0251 : 재매도상환금액및상환금액 불일치     </v>
      </c>
    </row>
    <row r="227" spans="1:5" s="64" customFormat="1">
      <c r="A227" s="316" t="s">
        <v>4635</v>
      </c>
      <c r="B227" s="123" t="s">
        <v>7609</v>
      </c>
      <c r="C227" s="256" t="s">
        <v>5593</v>
      </c>
      <c r="D227" s="328" t="s">
        <v>2422</v>
      </c>
      <c r="E227" s="122" t="str">
        <f t="shared" si="3"/>
        <v xml:space="preserve">0252 : 잔여수량 및 금액 불일치         </v>
      </c>
    </row>
    <row r="228" spans="1:5" s="64" customFormat="1">
      <c r="A228" s="316" t="s">
        <v>4635</v>
      </c>
      <c r="B228" s="123" t="s">
        <v>7609</v>
      </c>
      <c r="C228" s="256" t="s">
        <v>5594</v>
      </c>
      <c r="D228" s="328" t="s">
        <v>2421</v>
      </c>
      <c r="E228" s="122" t="str">
        <f t="shared" si="3"/>
        <v xml:space="preserve">0253 : 잔여금액 및 수량 불일치         </v>
      </c>
    </row>
    <row r="229" spans="1:5" s="64" customFormat="1">
      <c r="A229" s="316" t="s">
        <v>4635</v>
      </c>
      <c r="B229" s="123" t="s">
        <v>7609</v>
      </c>
      <c r="C229" s="256" t="s">
        <v>5595</v>
      </c>
      <c r="D229" s="328" t="s">
        <v>2420</v>
      </c>
      <c r="E229" s="122" t="str">
        <f t="shared" si="3"/>
        <v xml:space="preserve">0254 : 재매도진행중 신청상환불가           </v>
      </c>
    </row>
    <row r="230" spans="1:5" s="64" customFormat="1">
      <c r="A230" s="316" t="s">
        <v>4635</v>
      </c>
      <c r="B230" s="123" t="s">
        <v>7609</v>
      </c>
      <c r="C230" s="256" t="s">
        <v>5596</v>
      </c>
      <c r="D230" s="328" t="s">
        <v>2419</v>
      </c>
      <c r="E230" s="122" t="str">
        <f t="shared" si="3"/>
        <v xml:space="preserve">0255 : 금리테이블 조회 오류              </v>
      </c>
    </row>
    <row r="231" spans="1:5" s="64" customFormat="1">
      <c r="A231" s="316" t="s">
        <v>4635</v>
      </c>
      <c r="B231" s="123" t="s">
        <v>7609</v>
      </c>
      <c r="C231" s="256" t="s">
        <v>5597</v>
      </c>
      <c r="D231" s="328" t="s">
        <v>2418</v>
      </c>
      <c r="E231" s="122" t="str">
        <f t="shared" si="3"/>
        <v xml:space="preserve">0256 : 이체계좌 오류                       </v>
      </c>
    </row>
    <row r="232" spans="1:5" s="64" customFormat="1">
      <c r="A232" s="316" t="s">
        <v>4635</v>
      </c>
      <c r="B232" s="123" t="s">
        <v>7609</v>
      </c>
      <c r="C232" s="256" t="s">
        <v>5598</v>
      </c>
      <c r="D232" s="328" t="s">
        <v>2417</v>
      </c>
      <c r="E232" s="122" t="str">
        <f t="shared" si="3"/>
        <v xml:space="preserve">0257 : 수취계좌 오류                       </v>
      </c>
    </row>
    <row r="233" spans="1:5" s="64" customFormat="1">
      <c r="A233" s="316" t="s">
        <v>4635</v>
      </c>
      <c r="B233" s="123" t="s">
        <v>7609</v>
      </c>
      <c r="C233" s="256" t="s">
        <v>5599</v>
      </c>
      <c r="D233" s="328" t="s">
        <v>2416</v>
      </c>
      <c r="E233" s="122" t="str">
        <f t="shared" si="3"/>
        <v xml:space="preserve">0258 : 달력테이블 조회 오류              </v>
      </c>
    </row>
    <row r="234" spans="1:5" s="64" customFormat="1">
      <c r="A234" s="316" t="s">
        <v>4635</v>
      </c>
      <c r="B234" s="123" t="s">
        <v>7609</v>
      </c>
      <c r="C234" s="256" t="s">
        <v>5600</v>
      </c>
      <c r="D234" s="328" t="s">
        <v>2415</v>
      </c>
      <c r="E234" s="122" t="str">
        <f t="shared" si="3"/>
        <v xml:space="preserve">0259 : 3320 자금코드를 이용하세요          </v>
      </c>
    </row>
    <row r="235" spans="1:5" s="64" customFormat="1">
      <c r="A235" s="316" t="s">
        <v>4635</v>
      </c>
      <c r="B235" s="123" t="s">
        <v>7609</v>
      </c>
      <c r="C235" s="256" t="s">
        <v>5601</v>
      </c>
      <c r="D235" s="328" t="s">
        <v>2414</v>
      </c>
      <c r="E235" s="122" t="str">
        <f t="shared" si="3"/>
        <v xml:space="preserve">0260 : 일중RP 신청상환이 마감되었습니다  </v>
      </c>
    </row>
    <row r="236" spans="1:5" s="64" customFormat="1">
      <c r="A236" s="316" t="s">
        <v>4635</v>
      </c>
      <c r="B236" s="123" t="s">
        <v>7609</v>
      </c>
      <c r="C236" s="256" t="s">
        <v>5602</v>
      </c>
      <c r="D236" s="328" t="s">
        <v>2413</v>
      </c>
      <c r="E236" s="122" t="str">
        <f t="shared" si="3"/>
        <v>0261 : 일중RP공급마감 이후에만 신청가능</v>
      </c>
    </row>
    <row r="237" spans="1:5" s="64" customFormat="1">
      <c r="A237" s="316" t="s">
        <v>4635</v>
      </c>
      <c r="B237" s="123" t="s">
        <v>7609</v>
      </c>
      <c r="C237" s="256" t="s">
        <v>5603</v>
      </c>
      <c r="D237" s="328" t="s">
        <v>2412</v>
      </c>
      <c r="E237" s="122" t="str">
        <f t="shared" si="3"/>
        <v xml:space="preserve">0262 : 일중RP 취소내역 조회 오류       </v>
      </c>
    </row>
    <row r="238" spans="1:5" s="64" customFormat="1">
      <c r="A238" s="316" t="s">
        <v>4635</v>
      </c>
      <c r="B238" s="123" t="s">
        <v>7609</v>
      </c>
      <c r="C238" s="256" t="s">
        <v>5604</v>
      </c>
      <c r="D238" s="328" t="s">
        <v>2411</v>
      </c>
      <c r="E238" s="122" t="str">
        <f t="shared" si="3"/>
        <v xml:space="preserve">0263 : 시가정보 조회 오류                </v>
      </c>
    </row>
    <row r="239" spans="1:5" s="64" customFormat="1">
      <c r="A239" s="316" t="s">
        <v>4635</v>
      </c>
      <c r="B239" s="123" t="s">
        <v>7609</v>
      </c>
      <c r="C239" s="256" t="s">
        <v>5605</v>
      </c>
      <c r="D239" s="328" t="s">
        <v>2410</v>
      </c>
      <c r="E239" s="122" t="str">
        <f t="shared" si="3"/>
        <v xml:space="preserve">0264 : 시가정보 입력 오류                </v>
      </c>
    </row>
    <row r="240" spans="1:5" s="64" customFormat="1">
      <c r="A240" s="316" t="s">
        <v>4635</v>
      </c>
      <c r="B240" s="123" t="s">
        <v>7609</v>
      </c>
      <c r="C240" s="256" t="s">
        <v>5606</v>
      </c>
      <c r="D240" s="328" t="s">
        <v>2409</v>
      </c>
      <c r="E240" s="122" t="str">
        <f t="shared" si="3"/>
        <v xml:space="preserve">0265 : 채권정보 조회 오류                </v>
      </c>
    </row>
    <row r="241" spans="1:5" s="64" customFormat="1">
      <c r="A241" s="316" t="s">
        <v>4635</v>
      </c>
      <c r="B241" s="123" t="s">
        <v>7609</v>
      </c>
      <c r="C241" s="256" t="s">
        <v>5607</v>
      </c>
      <c r="D241" s="328" t="s">
        <v>2408</v>
      </c>
      <c r="E241" s="122" t="str">
        <f t="shared" si="3"/>
        <v xml:space="preserve">0266 : 담보인정비율 조회 오류            </v>
      </c>
    </row>
    <row r="242" spans="1:5" s="64" customFormat="1">
      <c r="A242" s="316" t="s">
        <v>4635</v>
      </c>
      <c r="B242" s="123" t="s">
        <v>7609</v>
      </c>
      <c r="C242" s="256" t="s">
        <v>5608</v>
      </c>
      <c r="D242" s="328" t="s">
        <v>2407</v>
      </c>
      <c r="E242" s="122" t="str">
        <f t="shared" si="3"/>
        <v xml:space="preserve">0267 : 유동성지원대상이 아닙니다(CS거래) </v>
      </c>
    </row>
    <row r="243" spans="1:5" s="64" customFormat="1">
      <c r="A243" s="316" t="s">
        <v>4635</v>
      </c>
      <c r="B243" s="123" t="s">
        <v>7609</v>
      </c>
      <c r="C243" s="256" t="s">
        <v>5609</v>
      </c>
      <c r="D243" s="328" t="s">
        <v>2406</v>
      </c>
      <c r="E243" s="122" t="str">
        <f t="shared" si="3"/>
        <v xml:space="preserve">0275 : 재매도상환내역 테이블 갱신 오류 </v>
      </c>
    </row>
    <row r="244" spans="1:5" s="64" customFormat="1">
      <c r="A244" s="316" t="s">
        <v>4635</v>
      </c>
      <c r="B244" s="123" t="s">
        <v>7609</v>
      </c>
      <c r="C244" s="256" t="s">
        <v>5610</v>
      </c>
      <c r="D244" s="328" t="s">
        <v>2405</v>
      </c>
      <c r="E244" s="122" t="str">
        <f t="shared" si="3"/>
        <v xml:space="preserve">0276 : 장내국채결제내역 조회 오류        </v>
      </c>
    </row>
    <row r="245" spans="1:5" s="64" customFormat="1">
      <c r="A245" s="316" t="s">
        <v>4635</v>
      </c>
      <c r="B245" s="123" t="s">
        <v>7609</v>
      </c>
      <c r="C245" s="256" t="s">
        <v>5611</v>
      </c>
      <c r="D245" s="328" t="s">
        <v>2404</v>
      </c>
      <c r="E245" s="122" t="str">
        <f t="shared" si="3"/>
        <v>0277 : 장내국채위신탁거래 일중RP 신청불가</v>
      </c>
    </row>
    <row r="246" spans="1:5" s="64" customFormat="1">
      <c r="A246" s="316" t="s">
        <v>4635</v>
      </c>
      <c r="B246" s="123" t="s">
        <v>7609</v>
      </c>
      <c r="C246" s="256" t="s">
        <v>5612</v>
      </c>
      <c r="D246" s="328" t="s">
        <v>2403</v>
      </c>
      <c r="E246" s="122" t="str">
        <f t="shared" si="3"/>
        <v xml:space="preserve">0352 : 우편번호 유효성 오류              </v>
      </c>
    </row>
    <row r="247" spans="1:5" s="64" customFormat="1">
      <c r="A247" s="316" t="s">
        <v>4635</v>
      </c>
      <c r="B247" s="123" t="s">
        <v>7609</v>
      </c>
      <c r="C247" s="256" t="s">
        <v>5613</v>
      </c>
      <c r="D247" s="328" t="s">
        <v>2402</v>
      </c>
      <c r="E247" s="122" t="str">
        <f t="shared" si="3"/>
        <v xml:space="preserve">0401 : 송신기관이 금융결제원이 아님      </v>
      </c>
    </row>
    <row r="248" spans="1:5" s="64" customFormat="1">
      <c r="A248" s="316" t="s">
        <v>4635</v>
      </c>
      <c r="B248" s="123" t="s">
        <v>7609</v>
      </c>
      <c r="C248" s="256" t="s">
        <v>5614</v>
      </c>
      <c r="D248" s="328" t="s">
        <v>2401</v>
      </c>
      <c r="E248" s="122" t="str">
        <f t="shared" si="3"/>
        <v xml:space="preserve">0402 : 전자금융공동망 거래번호 입력오류  </v>
      </c>
    </row>
    <row r="249" spans="1:5" s="64" customFormat="1">
      <c r="A249" s="316" t="s">
        <v>4635</v>
      </c>
      <c r="B249" s="123" t="s">
        <v>7609</v>
      </c>
      <c r="C249" s="256" t="s">
        <v>5615</v>
      </c>
      <c r="D249" s="328" t="s">
        <v>2400</v>
      </c>
      <c r="E249" s="122" t="str">
        <f t="shared" si="3"/>
        <v xml:space="preserve">0403 : 매체구분 입력 오류                </v>
      </c>
    </row>
    <row r="250" spans="1:5" s="64" customFormat="1">
      <c r="A250" s="316" t="s">
        <v>4635</v>
      </c>
      <c r="B250" s="123" t="s">
        <v>7609</v>
      </c>
      <c r="C250" s="256" t="s">
        <v>5616</v>
      </c>
      <c r="D250" s="328" t="s">
        <v>2399</v>
      </c>
      <c r="E250" s="122" t="str">
        <f t="shared" si="3"/>
        <v xml:space="preserve">0404 : 자금성격 입력 오류                </v>
      </c>
    </row>
    <row r="251" spans="1:5" s="64" customFormat="1">
      <c r="A251" s="316" t="s">
        <v>4635</v>
      </c>
      <c r="B251" s="123" t="s">
        <v>7609</v>
      </c>
      <c r="C251" s="256" t="s">
        <v>5617</v>
      </c>
      <c r="D251" s="328" t="s">
        <v>2398</v>
      </c>
      <c r="E251" s="122" t="str">
        <f t="shared" si="3"/>
        <v xml:space="preserve">0405 : 원거래 전자금융망거래번호 입력    </v>
      </c>
    </row>
    <row r="252" spans="1:5" s="64" customFormat="1">
      <c r="A252" s="316" t="s">
        <v>4635</v>
      </c>
      <c r="B252" s="123" t="s">
        <v>7609</v>
      </c>
      <c r="C252" s="256" t="s">
        <v>5618</v>
      </c>
      <c r="D252" s="328" t="s">
        <v>2397</v>
      </c>
      <c r="E252" s="122" t="str">
        <f t="shared" si="3"/>
        <v xml:space="preserve">0406 : 원거래 자금이체일련번호 입력요망  </v>
      </c>
    </row>
    <row r="253" spans="1:5" s="64" customFormat="1">
      <c r="A253" s="316" t="s">
        <v>4635</v>
      </c>
      <c r="B253" s="123" t="s">
        <v>7609</v>
      </c>
      <c r="C253" s="256" t="s">
        <v>5619</v>
      </c>
      <c r="D253" s="328" t="s">
        <v>2396</v>
      </c>
      <c r="E253" s="122" t="str">
        <f t="shared" si="3"/>
        <v xml:space="preserve">0407 : 연계결제 마감상태임                 </v>
      </c>
    </row>
    <row r="254" spans="1:5" s="64" customFormat="1">
      <c r="A254" s="316" t="s">
        <v>4635</v>
      </c>
      <c r="B254" s="123" t="s">
        <v>7609</v>
      </c>
      <c r="C254" s="256" t="s">
        <v>5620</v>
      </c>
      <c r="D254" s="328" t="s">
        <v>2395</v>
      </c>
      <c r="E254" s="122" t="str">
        <f t="shared" si="3"/>
        <v xml:space="preserve">0408 : 연계결제테이블 입력 오류          </v>
      </c>
    </row>
    <row r="255" spans="1:5" s="64" customFormat="1">
      <c r="A255" s="316" t="s">
        <v>4635</v>
      </c>
      <c r="B255" s="123" t="s">
        <v>7609</v>
      </c>
      <c r="C255" s="256" t="s">
        <v>5621</v>
      </c>
      <c r="D255" s="328" t="s">
        <v>2394</v>
      </c>
      <c r="E255" s="122" t="str">
        <f t="shared" si="3"/>
        <v xml:space="preserve">0409 : 연계결제테이블 갱신 오류          </v>
      </c>
    </row>
    <row r="256" spans="1:5" s="64" customFormat="1">
      <c r="A256" s="316" t="s">
        <v>4635</v>
      </c>
      <c r="B256" s="123" t="s">
        <v>7609</v>
      </c>
      <c r="C256" s="256" t="s">
        <v>5622</v>
      </c>
      <c r="D256" s="328" t="s">
        <v>2393</v>
      </c>
      <c r="E256" s="122" t="str">
        <f t="shared" si="3"/>
        <v xml:space="preserve">0410 : 연계결제테이블 조회 오류          </v>
      </c>
    </row>
    <row r="257" spans="1:5" s="64" customFormat="1">
      <c r="A257" s="316" t="s">
        <v>4635</v>
      </c>
      <c r="B257" s="123" t="s">
        <v>7609</v>
      </c>
      <c r="C257" s="256" t="s">
        <v>5623</v>
      </c>
      <c r="D257" s="328" t="s">
        <v>2392</v>
      </c>
      <c r="E257" s="122" t="str">
        <f t="shared" si="3"/>
        <v>0411 : 거래구분값(원거래/반환거래) 오류</v>
      </c>
    </row>
    <row r="258" spans="1:5" s="64" customFormat="1">
      <c r="A258" s="316" t="s">
        <v>4635</v>
      </c>
      <c r="B258" s="123" t="s">
        <v>7609</v>
      </c>
      <c r="C258" s="256" t="s">
        <v>5624</v>
      </c>
      <c r="D258" s="328" t="s">
        <v>2391</v>
      </c>
      <c r="E258" s="122" t="str">
        <f t="shared" si="3"/>
        <v>0412 : 원거래 전자금융공동망거래번호 확인</v>
      </c>
    </row>
    <row r="259" spans="1:5" s="64" customFormat="1">
      <c r="A259" s="316" t="s">
        <v>4635</v>
      </c>
      <c r="B259" s="123" t="s">
        <v>7609</v>
      </c>
      <c r="C259" s="256" t="s">
        <v>5625</v>
      </c>
      <c r="D259" s="328" t="s">
        <v>2390</v>
      </c>
      <c r="E259" s="122" t="str">
        <f t="shared" si="3"/>
        <v xml:space="preserve">0413 : 원거래 자금이체일련번호 확인요망  </v>
      </c>
    </row>
    <row r="260" spans="1:5" s="64" customFormat="1">
      <c r="A260" s="316" t="s">
        <v>4635</v>
      </c>
      <c r="B260" s="123" t="s">
        <v>7609</v>
      </c>
      <c r="C260" s="256" t="s">
        <v>5626</v>
      </c>
      <c r="D260" s="328" t="s">
        <v>2389</v>
      </c>
      <c r="E260" s="122" t="str">
        <f t="shared" ref="E260:E323" si="4">_xlfn.TEXTJOIN(" : ",FALSE,C260:D260)</f>
        <v xml:space="preserve">0414 : 금액오류(10억초과만 가능)         </v>
      </c>
    </row>
    <row r="261" spans="1:5" s="64" customFormat="1">
      <c r="A261" s="316" t="s">
        <v>4635</v>
      </c>
      <c r="B261" s="123" t="s">
        <v>7609</v>
      </c>
      <c r="C261" s="256" t="s">
        <v>5627</v>
      </c>
      <c r="D261" s="328" t="s">
        <v>2388</v>
      </c>
      <c r="E261" s="122" t="str">
        <f t="shared" si="4"/>
        <v xml:space="preserve">0415 : 연계결제테이블내 원거래 조회오류  </v>
      </c>
    </row>
    <row r="262" spans="1:5" s="64" customFormat="1">
      <c r="A262" s="316" t="s">
        <v>4635</v>
      </c>
      <c r="B262" s="123" t="s">
        <v>7609</v>
      </c>
      <c r="C262" s="256" t="s">
        <v>5628</v>
      </c>
      <c r="D262" s="328" t="s">
        <v>2387</v>
      </c>
      <c r="E262" s="122" t="str">
        <f t="shared" si="4"/>
        <v xml:space="preserve">0416 : 반환이체기관과 원수취기관 불일치  </v>
      </c>
    </row>
    <row r="263" spans="1:5" s="64" customFormat="1">
      <c r="A263" s="316" t="s">
        <v>4635</v>
      </c>
      <c r="B263" s="123" t="s">
        <v>7609</v>
      </c>
      <c r="C263" s="256" t="s">
        <v>5629</v>
      </c>
      <c r="D263" s="328" t="s">
        <v>2386</v>
      </c>
      <c r="E263" s="122" t="str">
        <f t="shared" si="4"/>
        <v xml:space="preserve">0417 : 반환수취기관과 원이체기관 불일치  </v>
      </c>
    </row>
    <row r="264" spans="1:5" s="64" customFormat="1">
      <c r="A264" s="316" t="s">
        <v>4635</v>
      </c>
      <c r="B264" s="123" t="s">
        <v>7609</v>
      </c>
      <c r="C264" s="256" t="s">
        <v>5630</v>
      </c>
      <c r="D264" s="328" t="s">
        <v>2385</v>
      </c>
      <c r="E264" s="122" t="str">
        <f t="shared" si="4"/>
        <v xml:space="preserve">0418 : 반환거래와 원거래 금액 불일치   </v>
      </c>
    </row>
    <row r="265" spans="1:5" s="64" customFormat="1">
      <c r="A265" s="316" t="s">
        <v>4635</v>
      </c>
      <c r="B265" s="123" t="s">
        <v>7609</v>
      </c>
      <c r="C265" s="256" t="s">
        <v>5631</v>
      </c>
      <c r="D265" s="328" t="s">
        <v>2384</v>
      </c>
      <c r="E265" s="122" t="str">
        <f t="shared" si="4"/>
        <v xml:space="preserve">0419 : 전자금융공동망 거래번호 중복      </v>
      </c>
    </row>
    <row r="266" spans="1:5" s="64" customFormat="1">
      <c r="A266" s="316" t="s">
        <v>4635</v>
      </c>
      <c r="B266" s="123" t="s">
        <v>7609</v>
      </c>
      <c r="C266" s="256" t="s">
        <v>5632</v>
      </c>
      <c r="D266" s="328" t="s">
        <v>2383</v>
      </c>
      <c r="E266" s="122" t="str">
        <f t="shared" si="4"/>
        <v xml:space="preserve">0501 : 거래기관코드　오류                    </v>
      </c>
    </row>
    <row r="267" spans="1:5" s="64" customFormat="1">
      <c r="A267" s="316" t="s">
        <v>4635</v>
      </c>
      <c r="B267" s="123" t="s">
        <v>7609</v>
      </c>
      <c r="C267" s="256" t="s">
        <v>5633</v>
      </c>
      <c r="D267" s="328" t="s">
        <v>2382</v>
      </c>
      <c r="E267" s="122" t="str">
        <f t="shared" si="4"/>
        <v xml:space="preserve">0502 : 거래유형이　입력되지　않았습니다      </v>
      </c>
    </row>
    <row r="268" spans="1:5" s="64" customFormat="1">
      <c r="A268" s="316" t="s">
        <v>4635</v>
      </c>
      <c r="B268" s="123" t="s">
        <v>7609</v>
      </c>
      <c r="C268" s="256" t="s">
        <v>5634</v>
      </c>
      <c r="D268" s="328" t="s">
        <v>2381</v>
      </c>
      <c r="E268" s="122" t="str">
        <f t="shared" si="4"/>
        <v xml:space="preserve">0503 : 결제프로그램ID가입력되지않았습니다  </v>
      </c>
    </row>
    <row r="269" spans="1:5" s="64" customFormat="1">
      <c r="A269" s="316" t="s">
        <v>4635</v>
      </c>
      <c r="B269" s="123" t="s">
        <v>7609</v>
      </c>
      <c r="C269" s="256" t="s">
        <v>5635</v>
      </c>
      <c r="D269" s="328" t="s">
        <v>2380</v>
      </c>
      <c r="E269" s="122" t="str">
        <f t="shared" si="4"/>
        <v xml:space="preserve">0504 : 계정개설처　입력　오류입니다          </v>
      </c>
    </row>
    <row r="270" spans="1:5" s="64" customFormat="1">
      <c r="A270" s="316" t="s">
        <v>4635</v>
      </c>
      <c r="B270" s="123" t="s">
        <v>7609</v>
      </c>
      <c r="C270" s="256" t="s">
        <v>5636</v>
      </c>
      <c r="D270" s="328" t="s">
        <v>2379</v>
      </c>
      <c r="E270" s="122" t="str">
        <f t="shared" si="4"/>
        <v xml:space="preserve">0505 : 계좌구분　오류                        </v>
      </c>
    </row>
    <row r="271" spans="1:5" s="64" customFormat="1">
      <c r="A271" s="316" t="s">
        <v>4635</v>
      </c>
      <c r="B271" s="123" t="s">
        <v>7609</v>
      </c>
      <c r="C271" s="256" t="s">
        <v>5637</v>
      </c>
      <c r="D271" s="328" t="s">
        <v>2378</v>
      </c>
      <c r="E271" s="122" t="str">
        <f t="shared" si="4"/>
        <v xml:space="preserve">0506 : 계좌잔액조회　오류                    </v>
      </c>
    </row>
    <row r="272" spans="1:5" s="64" customFormat="1">
      <c r="A272" s="316" t="s">
        <v>4635</v>
      </c>
      <c r="B272" s="123" t="s">
        <v>7609</v>
      </c>
      <c r="C272" s="256" t="s">
        <v>5638</v>
      </c>
      <c r="D272" s="328" t="s">
        <v>2377</v>
      </c>
      <c r="E272" s="122" t="str">
        <f t="shared" si="4"/>
        <v xml:space="preserve">0507 : 구분코드를　확인하시기　바랍니다      </v>
      </c>
    </row>
    <row r="273" spans="1:5" s="64" customFormat="1">
      <c r="A273" s="316" t="s">
        <v>4635</v>
      </c>
      <c r="B273" s="123" t="s">
        <v>7609</v>
      </c>
      <c r="C273" s="256" t="s">
        <v>5639</v>
      </c>
      <c r="D273" s="328" t="s">
        <v>2376</v>
      </c>
      <c r="E273" s="122" t="str">
        <f t="shared" si="4"/>
        <v xml:space="preserve">0508 : 금액　입력　오류입니다                </v>
      </c>
    </row>
    <row r="274" spans="1:5" s="64" customFormat="1">
      <c r="A274" s="316" t="s">
        <v>4635</v>
      </c>
      <c r="B274" s="123" t="s">
        <v>7609</v>
      </c>
      <c r="C274" s="256" t="s">
        <v>5640</v>
      </c>
      <c r="D274" s="328" t="s">
        <v>2375</v>
      </c>
      <c r="E274" s="122" t="str">
        <f t="shared" si="4"/>
        <v xml:space="preserve">0509 : 금융결제국만　가능한　업무입니다      </v>
      </c>
    </row>
    <row r="275" spans="1:5" s="64" customFormat="1">
      <c r="A275" s="316" t="s">
        <v>4635</v>
      </c>
      <c r="B275" s="123" t="s">
        <v>7609</v>
      </c>
      <c r="C275" s="256" t="s">
        <v>5641</v>
      </c>
      <c r="D275" s="328" t="s">
        <v>2374</v>
      </c>
      <c r="E275" s="122" t="str">
        <f t="shared" si="4"/>
        <v xml:space="preserve">0510 : 금융결제국이　영업중이　아닙니다      </v>
      </c>
    </row>
    <row r="276" spans="1:5" s="64" customFormat="1">
      <c r="A276" s="316" t="s">
        <v>4635</v>
      </c>
      <c r="B276" s="123" t="s">
        <v>7609</v>
      </c>
      <c r="C276" s="256" t="s">
        <v>5642</v>
      </c>
      <c r="D276" s="328" t="s">
        <v>2373</v>
      </c>
      <c r="E276" s="122" t="str">
        <f t="shared" si="4"/>
        <v xml:space="preserve">0511 : 기관　정보가　존재하지　않습니다      </v>
      </c>
    </row>
    <row r="277" spans="1:5" s="64" customFormat="1">
      <c r="A277" s="316" t="s">
        <v>4635</v>
      </c>
      <c r="B277" s="123" t="s">
        <v>7609</v>
      </c>
      <c r="C277" s="256" t="s">
        <v>5643</v>
      </c>
      <c r="D277" s="328" t="s">
        <v>2372</v>
      </c>
      <c r="E277" s="122" t="str">
        <f t="shared" si="4"/>
        <v xml:space="preserve">0512 : 담당자번호　입력　오류                </v>
      </c>
    </row>
    <row r="278" spans="1:5" s="64" customFormat="1">
      <c r="A278" s="316" t="s">
        <v>4635</v>
      </c>
      <c r="B278" s="123" t="s">
        <v>7609</v>
      </c>
      <c r="C278" s="256" t="s">
        <v>5644</v>
      </c>
      <c r="D278" s="328" t="s">
        <v>2371</v>
      </c>
      <c r="E278" s="122" t="str">
        <f t="shared" si="4"/>
        <v xml:space="preserve">0513 : 대기거래　미　결제                    </v>
      </c>
    </row>
    <row r="279" spans="1:5" s="64" customFormat="1">
      <c r="A279" s="316" t="s">
        <v>4635</v>
      </c>
      <c r="B279" s="123" t="s">
        <v>7609</v>
      </c>
      <c r="C279" s="256" t="s">
        <v>5645</v>
      </c>
      <c r="D279" s="328" t="s">
        <v>2370</v>
      </c>
      <c r="E279" s="122" t="str">
        <f t="shared" si="4"/>
        <v xml:space="preserve">0514 : 대기거래내역이　없습니다              </v>
      </c>
    </row>
    <row r="280" spans="1:5" s="64" customFormat="1">
      <c r="A280" s="316" t="s">
        <v>4635</v>
      </c>
      <c r="B280" s="123" t="s">
        <v>7609</v>
      </c>
      <c r="C280" s="256" t="s">
        <v>5646</v>
      </c>
      <c r="D280" s="328" t="s">
        <v>2369</v>
      </c>
      <c r="E280" s="122" t="str">
        <f t="shared" si="4"/>
        <v xml:space="preserve">0515 : 대기거래처리（혼합형）시　오류        </v>
      </c>
    </row>
    <row r="281" spans="1:5" s="64" customFormat="1">
      <c r="A281" s="316" t="s">
        <v>4635</v>
      </c>
      <c r="B281" s="123" t="s">
        <v>7609</v>
      </c>
      <c r="C281" s="256" t="s">
        <v>5647</v>
      </c>
      <c r="D281" s="328" t="s">
        <v>2368</v>
      </c>
      <c r="E281" s="122" t="str">
        <f t="shared" si="4"/>
        <v xml:space="preserve">0516 : 대기금액이　미입력되었습니다          </v>
      </c>
    </row>
    <row r="282" spans="1:5" s="64" customFormat="1">
      <c r="A282" s="316" t="s">
        <v>4635</v>
      </c>
      <c r="B282" s="123" t="s">
        <v>7609</v>
      </c>
      <c r="C282" s="256" t="s">
        <v>5648</v>
      </c>
      <c r="D282" s="328" t="s">
        <v>2367</v>
      </c>
      <c r="E282" s="122" t="str">
        <f t="shared" si="4"/>
        <v xml:space="preserve">0517 : 대기내역삭제중오류가발생하였습니다    </v>
      </c>
    </row>
    <row r="283" spans="1:5" s="64" customFormat="1">
      <c r="A283" s="316" t="s">
        <v>4635</v>
      </c>
      <c r="B283" s="123" t="s">
        <v>7609</v>
      </c>
      <c r="C283" s="256" t="s">
        <v>5649</v>
      </c>
      <c r="D283" s="328" t="s">
        <v>2366</v>
      </c>
      <c r="E283" s="122" t="str">
        <f t="shared" si="4"/>
        <v xml:space="preserve">0518 : 대기내역KEY를확인하시기바랍니다     </v>
      </c>
    </row>
    <row r="284" spans="1:5" s="64" customFormat="1">
      <c r="A284" s="316" t="s">
        <v>4635</v>
      </c>
      <c r="B284" s="123" t="s">
        <v>7609</v>
      </c>
      <c r="C284" s="256" t="s">
        <v>5650</v>
      </c>
      <c r="D284" s="328" t="s">
        <v>2365</v>
      </c>
      <c r="E284" s="122" t="str">
        <f t="shared" si="4"/>
        <v xml:space="preserve">0519 : 대기번호가　대기상태가　아닙니다      </v>
      </c>
    </row>
    <row r="285" spans="1:5" s="64" customFormat="1">
      <c r="A285" s="316" t="s">
        <v>4635</v>
      </c>
      <c r="B285" s="123" t="s">
        <v>7609</v>
      </c>
      <c r="C285" s="256" t="s">
        <v>5651</v>
      </c>
      <c r="D285" s="328" t="s">
        <v>2364</v>
      </c>
      <c r="E285" s="122" t="str">
        <f t="shared" si="4"/>
        <v xml:space="preserve">0520 : 대기번호가　입력되지　않았습니다      </v>
      </c>
    </row>
    <row r="286" spans="1:5" s="64" customFormat="1">
      <c r="A286" s="316" t="s">
        <v>4635</v>
      </c>
      <c r="B286" s="123" t="s">
        <v>7609</v>
      </c>
      <c r="C286" s="256" t="s">
        <v>5652</v>
      </c>
      <c r="D286" s="328" t="s">
        <v>2363</v>
      </c>
      <c r="E286" s="122" t="str">
        <f t="shared" si="4"/>
        <v xml:space="preserve">0521 : 대기번호가　존재하지　않습니다        </v>
      </c>
    </row>
    <row r="287" spans="1:5" s="64" customFormat="1">
      <c r="A287" s="316" t="s">
        <v>4635</v>
      </c>
      <c r="B287" s="123" t="s">
        <v>7609</v>
      </c>
      <c r="C287" s="256" t="s">
        <v>5653</v>
      </c>
      <c r="D287" s="328" t="s">
        <v>2362</v>
      </c>
      <c r="E287" s="122" t="str">
        <f t="shared" si="4"/>
        <v xml:space="preserve">0522 : 대기일괄취소　연장상태가　아님        </v>
      </c>
    </row>
    <row r="288" spans="1:5" s="64" customFormat="1">
      <c r="A288" s="316" t="s">
        <v>4635</v>
      </c>
      <c r="B288" s="123" t="s">
        <v>7609</v>
      </c>
      <c r="C288" s="256" t="s">
        <v>5654</v>
      </c>
      <c r="D288" s="328" t="s">
        <v>2361</v>
      </c>
      <c r="E288" s="122" t="str">
        <f t="shared" si="4"/>
        <v xml:space="preserve">0523 : 대기일괄취소　연장완료                </v>
      </c>
    </row>
    <row r="289" spans="1:5" s="64" customFormat="1">
      <c r="A289" s="316" t="s">
        <v>4635</v>
      </c>
      <c r="B289" s="123" t="s">
        <v>7609</v>
      </c>
      <c r="C289" s="256" t="s">
        <v>5655</v>
      </c>
      <c r="D289" s="328" t="s">
        <v>2360</v>
      </c>
      <c r="E289" s="122" t="str">
        <f t="shared" si="4"/>
        <v xml:space="preserve">0524 : 대기일괄취소　연장취소　완료          </v>
      </c>
    </row>
    <row r="290" spans="1:5" s="64" customFormat="1">
      <c r="A290" s="316" t="s">
        <v>4635</v>
      </c>
      <c r="B290" s="123" t="s">
        <v>7609</v>
      </c>
      <c r="C290" s="256" t="s">
        <v>5656</v>
      </c>
      <c r="D290" s="328" t="s">
        <v>2359</v>
      </c>
      <c r="E290" s="122" t="str">
        <f t="shared" si="4"/>
        <v xml:space="preserve">0525 : 대기취소　되었습니다                  </v>
      </c>
    </row>
    <row r="291" spans="1:5" s="64" customFormat="1">
      <c r="A291" s="316" t="s">
        <v>4635</v>
      </c>
      <c r="B291" s="123" t="s">
        <v>7609</v>
      </c>
      <c r="C291" s="256" t="s">
        <v>5657</v>
      </c>
      <c r="D291" s="328" t="s">
        <v>2358</v>
      </c>
      <c r="E291" s="122" t="str">
        <f t="shared" si="4"/>
        <v xml:space="preserve">0526 : 마감　권한이　없습니다                </v>
      </c>
    </row>
    <row r="292" spans="1:5" s="64" customFormat="1">
      <c r="A292" s="316" t="s">
        <v>4635</v>
      </c>
      <c r="B292" s="123" t="s">
        <v>7609</v>
      </c>
      <c r="C292" s="256" t="s">
        <v>5658</v>
      </c>
      <c r="D292" s="328" t="s">
        <v>958</v>
      </c>
      <c r="E292" s="122" t="str">
        <f t="shared" si="4"/>
        <v xml:space="preserve">0527 : 마감　상태　입니다                    </v>
      </c>
    </row>
    <row r="293" spans="1:5" s="64" customFormat="1">
      <c r="A293" s="316" t="s">
        <v>4635</v>
      </c>
      <c r="B293" s="123" t="s">
        <v>7609</v>
      </c>
      <c r="C293" s="256" t="s">
        <v>5659</v>
      </c>
      <c r="D293" s="328" t="s">
        <v>2357</v>
      </c>
      <c r="E293" s="122" t="str">
        <f t="shared" si="4"/>
        <v xml:space="preserve">0528 : 마감　처리가　되었습니다              </v>
      </c>
    </row>
    <row r="294" spans="1:5" s="64" customFormat="1">
      <c r="A294" s="316" t="s">
        <v>4635</v>
      </c>
      <c r="B294" s="123" t="s">
        <v>7609</v>
      </c>
      <c r="C294" s="256" t="s">
        <v>5660</v>
      </c>
      <c r="D294" s="328" t="s">
        <v>2356</v>
      </c>
      <c r="E294" s="122" t="str">
        <f t="shared" si="4"/>
        <v xml:space="preserve">0529 : 마감　취소　처리가　되었습니다        </v>
      </c>
    </row>
    <row r="295" spans="1:5" s="64" customFormat="1">
      <c r="A295" s="316" t="s">
        <v>4635</v>
      </c>
      <c r="B295" s="123" t="s">
        <v>7609</v>
      </c>
      <c r="C295" s="256" t="s">
        <v>5661</v>
      </c>
      <c r="D295" s="328" t="s">
        <v>2355</v>
      </c>
      <c r="E295" s="122" t="str">
        <f t="shared" si="4"/>
        <v xml:space="preserve">0530 : 마감이　되지않았습니다                </v>
      </c>
    </row>
    <row r="296" spans="1:5" s="64" customFormat="1">
      <c r="A296" s="316" t="s">
        <v>4635</v>
      </c>
      <c r="B296" s="123" t="s">
        <v>7609</v>
      </c>
      <c r="C296" s="256" t="s">
        <v>5662</v>
      </c>
      <c r="D296" s="328" t="s">
        <v>2354</v>
      </c>
      <c r="E296" s="122" t="str">
        <f t="shared" si="4"/>
        <v xml:space="preserve">0531 : 부서코드　오류                        </v>
      </c>
    </row>
    <row r="297" spans="1:5" s="64" customFormat="1">
      <c r="A297" s="316" t="s">
        <v>4635</v>
      </c>
      <c r="B297" s="123" t="s">
        <v>7609</v>
      </c>
      <c r="C297" s="256" t="s">
        <v>5663</v>
      </c>
      <c r="D297" s="328" t="s">
        <v>2353</v>
      </c>
      <c r="E297" s="122" t="str">
        <f t="shared" si="4"/>
        <v>0532 : 서버기관이 업무개시상태가 아닙니다</v>
      </c>
    </row>
    <row r="298" spans="1:5" s="64" customFormat="1">
      <c r="A298" s="316" t="s">
        <v>4635</v>
      </c>
      <c r="B298" s="123" t="s">
        <v>7609</v>
      </c>
      <c r="C298" s="256" t="s">
        <v>5664</v>
      </c>
      <c r="D298" s="328" t="s">
        <v>2352</v>
      </c>
      <c r="E298" s="122" t="str">
        <f t="shared" si="4"/>
        <v xml:space="preserve">0533 : 수수료여부　입력　오류입니다          </v>
      </c>
    </row>
    <row r="299" spans="1:5" s="64" customFormat="1">
      <c r="A299" s="316" t="s">
        <v>4635</v>
      </c>
      <c r="B299" s="123" t="s">
        <v>7609</v>
      </c>
      <c r="C299" s="256" t="s">
        <v>5665</v>
      </c>
      <c r="D299" s="328" t="s">
        <v>2351</v>
      </c>
      <c r="E299" s="122" t="str">
        <f t="shared" si="4"/>
        <v xml:space="preserve">0534 : 수신／환코드　미등록                  </v>
      </c>
    </row>
    <row r="300" spans="1:5" s="64" customFormat="1">
      <c r="A300" s="316" t="s">
        <v>4635</v>
      </c>
      <c r="B300" s="123" t="s">
        <v>7609</v>
      </c>
      <c r="C300" s="256" t="s">
        <v>5666</v>
      </c>
      <c r="D300" s="328" t="s">
        <v>2350</v>
      </c>
      <c r="E300" s="122" t="str">
        <f t="shared" si="4"/>
        <v xml:space="preserve">0535 : 수신마감확인시　오류                  </v>
      </c>
    </row>
    <row r="301" spans="1:5" s="64" customFormat="1">
      <c r="A301" s="316" t="s">
        <v>4635</v>
      </c>
      <c r="B301" s="123" t="s">
        <v>7609</v>
      </c>
      <c r="C301" s="256" t="s">
        <v>5667</v>
      </c>
      <c r="D301" s="328" t="s">
        <v>2349</v>
      </c>
      <c r="E301" s="122" t="str">
        <f t="shared" si="4"/>
        <v xml:space="preserve">0536 : 수신업무가　마감되었습니다            </v>
      </c>
    </row>
    <row r="302" spans="1:5" s="64" customFormat="1">
      <c r="A302" s="316" t="s">
        <v>4635</v>
      </c>
      <c r="B302" s="123" t="s">
        <v>7609</v>
      </c>
      <c r="C302" s="256" t="s">
        <v>5668</v>
      </c>
      <c r="D302" s="328" t="s">
        <v>2348</v>
      </c>
      <c r="E302" s="122" t="str">
        <f t="shared" si="4"/>
        <v xml:space="preserve">0537 : 수취기관계정개설처가입력되지않았슴    </v>
      </c>
    </row>
    <row r="303" spans="1:5" s="64" customFormat="1">
      <c r="A303" s="316" t="s">
        <v>4635</v>
      </c>
      <c r="B303" s="123" t="s">
        <v>7609</v>
      </c>
      <c r="C303" s="256" t="s">
        <v>5669</v>
      </c>
      <c r="D303" s="328" t="s">
        <v>2347</v>
      </c>
      <c r="E303" s="122" t="str">
        <f t="shared" si="4"/>
        <v xml:space="preserve">0538 : 수취기관　약정미체결                  </v>
      </c>
    </row>
    <row r="304" spans="1:5" s="64" customFormat="1">
      <c r="A304" s="316" t="s">
        <v>4635</v>
      </c>
      <c r="B304" s="123" t="s">
        <v>7609</v>
      </c>
      <c r="C304" s="256" t="s">
        <v>5670</v>
      </c>
      <c r="D304" s="328" t="s">
        <v>2346</v>
      </c>
      <c r="E304" s="122" t="str">
        <f t="shared" si="4"/>
        <v xml:space="preserve">0539 : 수취기관　약정오류                    </v>
      </c>
    </row>
    <row r="305" spans="1:5" s="64" customFormat="1">
      <c r="A305" s="316" t="s">
        <v>4635</v>
      </c>
      <c r="B305" s="123" t="s">
        <v>7609</v>
      </c>
      <c r="C305" s="256" t="s">
        <v>5671</v>
      </c>
      <c r="D305" s="328" t="s">
        <v>2345</v>
      </c>
      <c r="E305" s="122" t="str">
        <f t="shared" si="4"/>
        <v xml:space="preserve">0540 : 수취기관이　입력되지　않았습니다      </v>
      </c>
    </row>
    <row r="306" spans="1:5" s="64" customFormat="1">
      <c r="A306" s="316" t="s">
        <v>4635</v>
      </c>
      <c r="B306" s="123" t="s">
        <v>7609</v>
      </c>
      <c r="C306" s="256" t="s">
        <v>5672</v>
      </c>
      <c r="D306" s="328" t="s">
        <v>2344</v>
      </c>
      <c r="E306" s="122" t="str">
        <f t="shared" si="4"/>
        <v xml:space="preserve">0541 : 승인요청내역없음（책임자）            </v>
      </c>
    </row>
    <row r="307" spans="1:5" s="64" customFormat="1">
      <c r="A307" s="316" t="s">
        <v>4635</v>
      </c>
      <c r="B307" s="123" t="s">
        <v>7609</v>
      </c>
      <c r="C307" s="256" t="s">
        <v>5673</v>
      </c>
      <c r="D307" s="328" t="s">
        <v>2343</v>
      </c>
      <c r="E307" s="122" t="str">
        <f t="shared" si="4"/>
        <v xml:space="preserve">0542 : 승인요청내역오류（책임자）            </v>
      </c>
    </row>
    <row r="308" spans="1:5" s="64" customFormat="1">
      <c r="A308" s="316" t="s">
        <v>4635</v>
      </c>
      <c r="B308" s="123" t="s">
        <v>7609</v>
      </c>
      <c r="C308" s="256" t="s">
        <v>5674</v>
      </c>
      <c r="D308" s="328" t="s">
        <v>2342</v>
      </c>
      <c r="E308" s="122" t="str">
        <f t="shared" si="4"/>
        <v xml:space="preserve">0543 : 승인처리　완료（책임자）              </v>
      </c>
    </row>
    <row r="309" spans="1:5" s="64" customFormat="1">
      <c r="A309" s="316" t="s">
        <v>4635</v>
      </c>
      <c r="B309" s="123" t="s">
        <v>7609</v>
      </c>
      <c r="C309" s="256" t="s">
        <v>5675</v>
      </c>
      <c r="D309" s="328" t="s">
        <v>2341</v>
      </c>
      <c r="E309" s="122" t="str">
        <f t="shared" si="4"/>
        <v xml:space="preserve">0544 : 신청금액을　확인하세요                </v>
      </c>
    </row>
    <row r="310" spans="1:5" s="64" customFormat="1">
      <c r="A310" s="316" t="s">
        <v>4635</v>
      </c>
      <c r="B310" s="123" t="s">
        <v>7609</v>
      </c>
      <c r="C310" s="256" t="s">
        <v>5676</v>
      </c>
      <c r="D310" s="328" t="s">
        <v>2340</v>
      </c>
      <c r="E310" s="122" t="str">
        <f t="shared" si="4"/>
        <v xml:space="preserve">0545 : 신청기관계정개설처가입력되지않았슴    </v>
      </c>
    </row>
    <row r="311" spans="1:5" s="64" customFormat="1">
      <c r="A311" s="316" t="s">
        <v>4635</v>
      </c>
      <c r="B311" s="123" t="s">
        <v>7609</v>
      </c>
      <c r="C311" s="256" t="s">
        <v>5677</v>
      </c>
      <c r="D311" s="328" t="s">
        <v>2339</v>
      </c>
      <c r="E311" s="122" t="str">
        <f t="shared" si="4"/>
        <v xml:space="preserve">0546 : 신청기관　약정미체결                  </v>
      </c>
    </row>
    <row r="312" spans="1:5" s="64" customFormat="1">
      <c r="A312" s="316" t="s">
        <v>4635</v>
      </c>
      <c r="B312" s="123" t="s">
        <v>7609</v>
      </c>
      <c r="C312" s="256" t="s">
        <v>5678</v>
      </c>
      <c r="D312" s="328" t="s">
        <v>2338</v>
      </c>
      <c r="E312" s="122" t="str">
        <f t="shared" si="4"/>
        <v xml:space="preserve">0547 : 신청기관　총계정원장　미개설          </v>
      </c>
    </row>
    <row r="313" spans="1:5" s="64" customFormat="1">
      <c r="A313" s="316" t="s">
        <v>4635</v>
      </c>
      <c r="B313" s="123" t="s">
        <v>7609</v>
      </c>
      <c r="C313" s="256" t="s">
        <v>5679</v>
      </c>
      <c r="D313" s="328" t="s">
        <v>2337</v>
      </c>
      <c r="E313" s="122" t="str">
        <f t="shared" si="4"/>
        <v xml:space="preserve">0548 : 신청일자가　영업일자와　다릅니다      </v>
      </c>
    </row>
    <row r="314" spans="1:5" s="64" customFormat="1">
      <c r="A314" s="316" t="s">
        <v>4635</v>
      </c>
      <c r="B314" s="123" t="s">
        <v>7609</v>
      </c>
      <c r="C314" s="256" t="s">
        <v>5680</v>
      </c>
      <c r="D314" s="328" t="s">
        <v>2336</v>
      </c>
      <c r="E314" s="122" t="str">
        <f t="shared" si="4"/>
        <v xml:space="preserve">0549 : 업무구분코드　오류                    </v>
      </c>
    </row>
    <row r="315" spans="1:5" s="64" customFormat="1">
      <c r="A315" s="316" t="s">
        <v>4635</v>
      </c>
      <c r="B315" s="123" t="s">
        <v>7609</v>
      </c>
      <c r="C315" s="256" t="s">
        <v>5681</v>
      </c>
      <c r="D315" s="328" t="s">
        <v>2335</v>
      </c>
      <c r="E315" s="122" t="str">
        <f t="shared" si="4"/>
        <v xml:space="preserve">0550 : 업무코드　오류（책임자）              </v>
      </c>
    </row>
    <row r="316" spans="1:5" s="64" customFormat="1">
      <c r="A316" s="316" t="s">
        <v>4635</v>
      </c>
      <c r="B316" s="123" t="s">
        <v>7609</v>
      </c>
      <c r="C316" s="256" t="s">
        <v>5682</v>
      </c>
      <c r="D316" s="328" t="s">
        <v>2334</v>
      </c>
      <c r="E316" s="122" t="str">
        <f t="shared" si="4"/>
        <v xml:space="preserve">0551 : 연장취소대상거래　아님                </v>
      </c>
    </row>
    <row r="317" spans="1:5" s="64" customFormat="1">
      <c r="A317" s="316" t="s">
        <v>4635</v>
      </c>
      <c r="B317" s="123" t="s">
        <v>7609</v>
      </c>
      <c r="C317" s="256" t="s">
        <v>5683</v>
      </c>
      <c r="D317" s="328" t="s">
        <v>957</v>
      </c>
      <c r="E317" s="122" t="str">
        <f t="shared" si="4"/>
        <v xml:space="preserve">0552 : 영업일이　도래하지　않았습니다        </v>
      </c>
    </row>
    <row r="318" spans="1:5" s="64" customFormat="1">
      <c r="A318" s="316" t="s">
        <v>4635</v>
      </c>
      <c r="B318" s="123" t="s">
        <v>7609</v>
      </c>
      <c r="C318" s="256" t="s">
        <v>5684</v>
      </c>
      <c r="D318" s="328" t="s">
        <v>959</v>
      </c>
      <c r="E318" s="122" t="str">
        <f t="shared" si="4"/>
        <v xml:space="preserve">0553 : 오늘은　휴일입니다                    </v>
      </c>
    </row>
    <row r="319" spans="1:5" s="64" customFormat="1">
      <c r="A319" s="316" t="s">
        <v>4635</v>
      </c>
      <c r="B319" s="123" t="s">
        <v>7609</v>
      </c>
      <c r="C319" s="256" t="s">
        <v>5685</v>
      </c>
      <c r="D319" s="328" t="s">
        <v>2333</v>
      </c>
      <c r="E319" s="122" t="str">
        <f t="shared" si="4"/>
        <v xml:space="preserve">0554 : 오류처리되었음（책임자）              </v>
      </c>
    </row>
    <row r="320" spans="1:5" s="64" customFormat="1">
      <c r="A320" s="316" t="s">
        <v>4635</v>
      </c>
      <c r="B320" s="123" t="s">
        <v>7609</v>
      </c>
      <c r="C320" s="256" t="s">
        <v>5686</v>
      </c>
      <c r="D320" s="328" t="s">
        <v>2332</v>
      </c>
      <c r="E320" s="122" t="str">
        <f t="shared" si="4"/>
        <v xml:space="preserve">0555 : 이미　결제완료　되었습니다            </v>
      </c>
    </row>
    <row r="321" spans="1:5" s="64" customFormat="1">
      <c r="A321" s="316" t="s">
        <v>4635</v>
      </c>
      <c r="B321" s="123" t="s">
        <v>7609</v>
      </c>
      <c r="C321" s="256" t="s">
        <v>5687</v>
      </c>
      <c r="D321" s="328" t="s">
        <v>2331</v>
      </c>
      <c r="E321" s="122" t="str">
        <f t="shared" si="4"/>
        <v xml:space="preserve">0556 : 이미　대기일괄취소　연장상태          </v>
      </c>
    </row>
    <row r="322" spans="1:5" s="64" customFormat="1">
      <c r="A322" s="316" t="s">
        <v>4635</v>
      </c>
      <c r="B322" s="123" t="s">
        <v>7609</v>
      </c>
      <c r="C322" s="256" t="s">
        <v>5688</v>
      </c>
      <c r="D322" s="328" t="s">
        <v>2330</v>
      </c>
      <c r="E322" s="122" t="str">
        <f t="shared" si="4"/>
        <v xml:space="preserve">0557 : 이미　마감되었습니다                  </v>
      </c>
    </row>
    <row r="323" spans="1:5" s="64" customFormat="1">
      <c r="A323" s="316" t="s">
        <v>4635</v>
      </c>
      <c r="B323" s="123" t="s">
        <v>7609</v>
      </c>
      <c r="C323" s="256" t="s">
        <v>5689</v>
      </c>
      <c r="D323" s="328" t="s">
        <v>2329</v>
      </c>
      <c r="E323" s="122" t="str">
        <f t="shared" si="4"/>
        <v xml:space="preserve">0558 : 이미　자금이체　마감상태임            </v>
      </c>
    </row>
    <row r="324" spans="1:5" s="64" customFormat="1">
      <c r="A324" s="316" t="s">
        <v>4635</v>
      </c>
      <c r="B324" s="123" t="s">
        <v>7609</v>
      </c>
      <c r="C324" s="256" t="s">
        <v>5690</v>
      </c>
      <c r="D324" s="328" t="s">
        <v>2328</v>
      </c>
      <c r="E324" s="122" t="str">
        <f t="shared" ref="E324:E387" si="5">_xlfn.TEXTJOIN(" : ",FALSE,C324:D324)</f>
        <v xml:space="preserve">0559 : 이미　취소처리　되었습니다            </v>
      </c>
    </row>
    <row r="325" spans="1:5" s="64" customFormat="1">
      <c r="A325" s="316" t="s">
        <v>4635</v>
      </c>
      <c r="B325" s="123" t="s">
        <v>7609</v>
      </c>
      <c r="C325" s="256" t="s">
        <v>5691</v>
      </c>
      <c r="D325" s="328" t="s">
        <v>365</v>
      </c>
      <c r="E325" s="122" t="str">
        <f t="shared" si="5"/>
        <v xml:space="preserve">0560 : 이미　한은망거래　마감상태임          </v>
      </c>
    </row>
    <row r="326" spans="1:5" s="64" customFormat="1">
      <c r="A326" s="316" t="s">
        <v>4635</v>
      </c>
      <c r="B326" s="123" t="s">
        <v>7609</v>
      </c>
      <c r="C326" s="256" t="s">
        <v>5692</v>
      </c>
      <c r="D326" s="328" t="s">
        <v>2327</v>
      </c>
      <c r="E326" s="122" t="str">
        <f t="shared" si="5"/>
        <v xml:space="preserve">0561 : 이미　한은망입력연장　상태임          </v>
      </c>
    </row>
    <row r="327" spans="1:5" s="64" customFormat="1">
      <c r="A327" s="316" t="s">
        <v>4635</v>
      </c>
      <c r="B327" s="123" t="s">
        <v>7609</v>
      </c>
      <c r="C327" s="256" t="s">
        <v>5693</v>
      </c>
      <c r="D327" s="328" t="s">
        <v>2326</v>
      </c>
      <c r="E327" s="122" t="str">
        <f t="shared" si="5"/>
        <v xml:space="preserve">0562 : 이체금액이　입력되지　않았습니다      </v>
      </c>
    </row>
    <row r="328" spans="1:5" s="64" customFormat="1">
      <c r="A328" s="316" t="s">
        <v>4635</v>
      </c>
      <c r="B328" s="123" t="s">
        <v>7609</v>
      </c>
      <c r="C328" s="256" t="s">
        <v>5694</v>
      </c>
      <c r="D328" s="328" t="s">
        <v>2325</v>
      </c>
      <c r="E328" s="122" t="str">
        <f t="shared" si="5"/>
        <v xml:space="preserve">0563 : 이체기관부서코드가입력되지않았습니다  </v>
      </c>
    </row>
    <row r="329" spans="1:5" s="64" customFormat="1">
      <c r="A329" s="316" t="s">
        <v>4635</v>
      </c>
      <c r="B329" s="123" t="s">
        <v>7609</v>
      </c>
      <c r="C329" s="256" t="s">
        <v>5695</v>
      </c>
      <c r="D329" s="328" t="s">
        <v>2324</v>
      </c>
      <c r="E329" s="122" t="str">
        <f t="shared" si="5"/>
        <v xml:space="preserve">0564 : 이체기관이　입력되지　않았습니다      </v>
      </c>
    </row>
    <row r="330" spans="1:5" s="64" customFormat="1">
      <c r="A330" s="316" t="s">
        <v>4635</v>
      </c>
      <c r="B330" s="123" t="s">
        <v>7609</v>
      </c>
      <c r="C330" s="256" t="s">
        <v>5696</v>
      </c>
      <c r="D330" s="328" t="s">
        <v>2323</v>
      </c>
      <c r="E330" s="122" t="str">
        <f t="shared" si="5"/>
        <v xml:space="preserve">0565 : 이체종류가　입력되지　않았습니다      </v>
      </c>
    </row>
    <row r="331" spans="1:5" s="64" customFormat="1">
      <c r="A331" s="316" t="s">
        <v>4635</v>
      </c>
      <c r="B331" s="123" t="s">
        <v>7609</v>
      </c>
      <c r="C331" s="256" t="s">
        <v>5697</v>
      </c>
      <c r="D331" s="328" t="s">
        <v>2322</v>
      </c>
      <c r="E331" s="122" t="str">
        <f t="shared" si="5"/>
        <v xml:space="preserve">0566 : 익영업일　ＥＲＲＯＲ                  </v>
      </c>
    </row>
    <row r="332" spans="1:5" s="64" customFormat="1">
      <c r="A332" s="316" t="s">
        <v>4635</v>
      </c>
      <c r="B332" s="123" t="s">
        <v>7609</v>
      </c>
      <c r="C332" s="256" t="s">
        <v>5698</v>
      </c>
      <c r="D332" s="328" t="s">
        <v>2321</v>
      </c>
      <c r="E332" s="122" t="str">
        <f t="shared" si="5"/>
        <v xml:space="preserve">0567 : 일련번호오류（책임자）                </v>
      </c>
    </row>
    <row r="333" spans="1:5" s="64" customFormat="1">
      <c r="A333" s="316" t="s">
        <v>4635</v>
      </c>
      <c r="B333" s="123" t="s">
        <v>7609</v>
      </c>
      <c r="C333" s="256" t="s">
        <v>5699</v>
      </c>
      <c r="D333" s="328" t="s">
        <v>2320</v>
      </c>
      <c r="E333" s="122" t="str">
        <f t="shared" si="5"/>
        <v xml:space="preserve">0568 : 일자오류（책임자）                    </v>
      </c>
    </row>
    <row r="334" spans="1:5" s="64" customFormat="1">
      <c r="A334" s="316" t="s">
        <v>4635</v>
      </c>
      <c r="B334" s="123" t="s">
        <v>7609</v>
      </c>
      <c r="C334" s="256" t="s">
        <v>5700</v>
      </c>
      <c r="D334" s="328" t="s">
        <v>2319</v>
      </c>
      <c r="E334" s="122" t="str">
        <f t="shared" si="5"/>
        <v xml:space="preserve">0569 : 일자정보　오류                        </v>
      </c>
    </row>
    <row r="335" spans="1:5" s="64" customFormat="1">
      <c r="A335" s="316" t="s">
        <v>4635</v>
      </c>
      <c r="B335" s="123" t="s">
        <v>7609</v>
      </c>
      <c r="C335" s="256" t="s">
        <v>5701</v>
      </c>
      <c r="D335" s="328" t="s">
        <v>2318</v>
      </c>
      <c r="E335" s="122" t="str">
        <f t="shared" si="5"/>
        <v xml:space="preserve">0570 : 일중당좌예상금액처리　ＥＲＲＯＲ      </v>
      </c>
    </row>
    <row r="336" spans="1:5" s="64" customFormat="1">
      <c r="A336" s="316" t="s">
        <v>4635</v>
      </c>
      <c r="B336" s="123" t="s">
        <v>7609</v>
      </c>
      <c r="C336" s="256" t="s">
        <v>5702</v>
      </c>
      <c r="D336" s="328" t="s">
        <v>2317</v>
      </c>
      <c r="E336" s="122" t="str">
        <f t="shared" si="5"/>
        <v xml:space="preserve">0571 : 자금이체　마감후　처리요망            </v>
      </c>
    </row>
    <row r="337" spans="1:5" s="64" customFormat="1">
      <c r="A337" s="316" t="s">
        <v>4635</v>
      </c>
      <c r="B337" s="123" t="s">
        <v>7609</v>
      </c>
      <c r="C337" s="256" t="s">
        <v>5703</v>
      </c>
      <c r="D337" s="328" t="s">
        <v>2316</v>
      </c>
      <c r="E337" s="122" t="str">
        <f t="shared" si="5"/>
        <v xml:space="preserve">0572 : 자금이체거래　마감상태가　아님        </v>
      </c>
    </row>
    <row r="338" spans="1:5" s="64" customFormat="1">
      <c r="A338" s="316" t="s">
        <v>4635</v>
      </c>
      <c r="B338" s="123" t="s">
        <v>7609</v>
      </c>
      <c r="C338" s="256" t="s">
        <v>5704</v>
      </c>
      <c r="D338" s="328" t="s">
        <v>2315</v>
      </c>
      <c r="E338" s="122" t="str">
        <f t="shared" si="5"/>
        <v xml:space="preserve">0573 : 자금이체거래　마감완료                </v>
      </c>
    </row>
    <row r="339" spans="1:5" s="64" customFormat="1">
      <c r="A339" s="316" t="s">
        <v>4635</v>
      </c>
      <c r="B339" s="123" t="s">
        <v>7609</v>
      </c>
      <c r="C339" s="256" t="s">
        <v>5705</v>
      </c>
      <c r="D339" s="328" t="s">
        <v>2314</v>
      </c>
      <c r="E339" s="122" t="str">
        <f t="shared" si="5"/>
        <v xml:space="preserve">0574 : 자금이체거래　마감취소　완료          </v>
      </c>
    </row>
    <row r="340" spans="1:5" s="64" customFormat="1">
      <c r="A340" s="316" t="s">
        <v>4635</v>
      </c>
      <c r="B340" s="123" t="s">
        <v>7609</v>
      </c>
      <c r="C340" s="256" t="s">
        <v>5706</v>
      </c>
      <c r="D340" s="328" t="s">
        <v>2313</v>
      </c>
      <c r="E340" s="122" t="str">
        <f t="shared" si="5"/>
        <v xml:space="preserve">0575 : 자금이체마감후　작업하십시요          </v>
      </c>
    </row>
    <row r="341" spans="1:5" s="64" customFormat="1">
      <c r="A341" s="316" t="s">
        <v>4635</v>
      </c>
      <c r="B341" s="123" t="s">
        <v>7609</v>
      </c>
      <c r="C341" s="256" t="s">
        <v>5707</v>
      </c>
      <c r="D341" s="328" t="s">
        <v>2312</v>
      </c>
      <c r="E341" s="122" t="str">
        <f t="shared" si="5"/>
        <v xml:space="preserve">0576 : 자금이체처리상태가 대기가아닙니다   </v>
      </c>
    </row>
    <row r="342" spans="1:5" s="64" customFormat="1">
      <c r="A342" s="316" t="s">
        <v>4635</v>
      </c>
      <c r="B342" s="123" t="s">
        <v>7609</v>
      </c>
      <c r="C342" s="256" t="s">
        <v>5708</v>
      </c>
      <c r="D342" s="328" t="s">
        <v>2311</v>
      </c>
      <c r="E342" s="122" t="str">
        <f t="shared" si="5"/>
        <v xml:space="preserve">0577 : 자동마감　실행시간전에　처리불가능    </v>
      </c>
    </row>
    <row r="343" spans="1:5" s="64" customFormat="1">
      <c r="A343" s="316" t="s">
        <v>4635</v>
      </c>
      <c r="B343" s="123" t="s">
        <v>7609</v>
      </c>
      <c r="C343" s="256" t="s">
        <v>5709</v>
      </c>
      <c r="D343" s="328" t="s">
        <v>2310</v>
      </c>
      <c r="E343" s="122" t="str">
        <f t="shared" si="5"/>
        <v xml:space="preserve">0578 : 자료가　존재하지　않습니다            </v>
      </c>
    </row>
    <row r="344" spans="1:5" s="64" customFormat="1">
      <c r="A344" s="316" t="s">
        <v>4635</v>
      </c>
      <c r="B344" s="123" t="s">
        <v>7609</v>
      </c>
      <c r="C344" s="256" t="s">
        <v>5710</v>
      </c>
      <c r="D344" s="328" t="s">
        <v>2309</v>
      </c>
      <c r="E344" s="122" t="str">
        <f t="shared" si="5"/>
        <v xml:space="preserve">0579 : 잔액　부족입니다．                    </v>
      </c>
    </row>
    <row r="345" spans="1:5" s="64" customFormat="1">
      <c r="A345" s="316" t="s">
        <v>4635</v>
      </c>
      <c r="B345" s="123" t="s">
        <v>7609</v>
      </c>
      <c r="C345" s="256" t="s">
        <v>5711</v>
      </c>
      <c r="D345" s="328" t="s">
        <v>2308</v>
      </c>
      <c r="E345" s="122" t="str">
        <f t="shared" si="5"/>
        <v xml:space="preserve">0580 : 적요가　미입력되었습니다              </v>
      </c>
    </row>
    <row r="346" spans="1:5" s="64" customFormat="1">
      <c r="A346" s="316" t="s">
        <v>4635</v>
      </c>
      <c r="B346" s="123" t="s">
        <v>7609</v>
      </c>
      <c r="C346" s="256" t="s">
        <v>5712</v>
      </c>
      <c r="D346" s="328" t="s">
        <v>2307</v>
      </c>
      <c r="E346" s="122" t="str">
        <f t="shared" si="5"/>
        <v xml:space="preserve">0581 : 전문관리번호가　입력되지　않았습니다  </v>
      </c>
    </row>
    <row r="347" spans="1:5" s="64" customFormat="1">
      <c r="A347" s="316" t="s">
        <v>4635</v>
      </c>
      <c r="B347" s="123" t="s">
        <v>7609</v>
      </c>
      <c r="C347" s="256" t="s">
        <v>5713</v>
      </c>
      <c r="D347" s="328" t="s">
        <v>2306</v>
      </c>
      <c r="E347" s="122" t="str">
        <f t="shared" si="5"/>
        <v xml:space="preserve">0582 : 정상　담당자　오류입니다．            </v>
      </c>
    </row>
    <row r="348" spans="1:5" s="64" customFormat="1">
      <c r="A348" s="316" t="s">
        <v>4635</v>
      </c>
      <c r="B348" s="123" t="s">
        <v>7609</v>
      </c>
      <c r="C348" s="256" t="s">
        <v>5714</v>
      </c>
      <c r="D348" s="328" t="s">
        <v>2305</v>
      </c>
      <c r="E348" s="122" t="str">
        <f t="shared" si="5"/>
        <v xml:space="preserve">0583 : 정상　책임자　오류입니다．            </v>
      </c>
    </row>
    <row r="349" spans="1:5" s="64" customFormat="1">
      <c r="A349" s="316" t="s">
        <v>4635</v>
      </c>
      <c r="B349" s="123" t="s">
        <v>7609</v>
      </c>
      <c r="C349" s="256" t="s">
        <v>5715</v>
      </c>
      <c r="D349" s="328" t="s">
        <v>2304</v>
      </c>
      <c r="E349" s="122" t="str">
        <f t="shared" si="5"/>
        <v xml:space="preserve">0584 : 정상전표생성　오류                    </v>
      </c>
    </row>
    <row r="350" spans="1:5" s="64" customFormat="1">
      <c r="A350" s="316" t="s">
        <v>4635</v>
      </c>
      <c r="B350" s="123" t="s">
        <v>7609</v>
      </c>
      <c r="C350" s="256" t="s">
        <v>5716</v>
      </c>
      <c r="D350" s="328" t="s">
        <v>2303</v>
      </c>
      <c r="E350" s="122" t="str">
        <f t="shared" si="5"/>
        <v xml:space="preserve">0585 : 조회구분　오류                        </v>
      </c>
    </row>
    <row r="351" spans="1:5" s="64" customFormat="1">
      <c r="A351" s="316" t="s">
        <v>4635</v>
      </c>
      <c r="B351" s="123" t="s">
        <v>7609</v>
      </c>
      <c r="C351" s="256" t="s">
        <v>5717</v>
      </c>
      <c r="D351" s="328" t="s">
        <v>2302</v>
      </c>
      <c r="E351" s="122" t="str">
        <f t="shared" si="5"/>
        <v xml:space="preserve">0586 : 지급지시유형은　신속만　가능합니다．  </v>
      </c>
    </row>
    <row r="352" spans="1:5" s="64" customFormat="1">
      <c r="A352" s="316" t="s">
        <v>4635</v>
      </c>
      <c r="B352" s="123" t="s">
        <v>7609</v>
      </c>
      <c r="C352" s="256" t="s">
        <v>5718</v>
      </c>
      <c r="D352" s="328" t="s">
        <v>2301</v>
      </c>
      <c r="E352" s="122" t="str">
        <f t="shared" si="5"/>
        <v xml:space="preserve">0587 : 지급지시유형을　확인하시기　바랍니다  </v>
      </c>
    </row>
    <row r="353" spans="1:5" s="64" customFormat="1">
      <c r="A353" s="316" t="s">
        <v>4635</v>
      </c>
      <c r="B353" s="123" t="s">
        <v>7609</v>
      </c>
      <c r="C353" s="256" t="s">
        <v>5719</v>
      </c>
      <c r="D353" s="328" t="s">
        <v>2300</v>
      </c>
      <c r="E353" s="122" t="str">
        <f t="shared" si="5"/>
        <v xml:space="preserve">0588 : 지급지시유형이　상이합니다            </v>
      </c>
    </row>
    <row r="354" spans="1:5" s="64" customFormat="1">
      <c r="A354" s="316" t="s">
        <v>4635</v>
      </c>
      <c r="B354" s="123" t="s">
        <v>7609</v>
      </c>
      <c r="C354" s="256" t="s">
        <v>5720</v>
      </c>
      <c r="D354" s="328" t="s">
        <v>2299</v>
      </c>
      <c r="E354" s="122" t="str">
        <f t="shared" si="5"/>
        <v xml:space="preserve">0589 : 지급지시유형이　입력되지　않았습니다  </v>
      </c>
    </row>
    <row r="355" spans="1:5" s="64" customFormat="1">
      <c r="A355" s="316" t="s">
        <v>4635</v>
      </c>
      <c r="B355" s="123" t="s">
        <v>7609</v>
      </c>
      <c r="C355" s="256" t="s">
        <v>5721</v>
      </c>
      <c r="D355" s="328" t="s">
        <v>2298</v>
      </c>
      <c r="E355" s="122" t="str">
        <f t="shared" si="5"/>
        <v xml:space="preserve">0590 : 지급지시처리상태를 확인하세요       </v>
      </c>
    </row>
    <row r="356" spans="1:5" s="64" customFormat="1">
      <c r="A356" s="316" t="s">
        <v>4635</v>
      </c>
      <c r="B356" s="123" t="s">
        <v>7609</v>
      </c>
      <c r="C356" s="256" t="s">
        <v>5722</v>
      </c>
      <c r="D356" s="328" t="s">
        <v>2297</v>
      </c>
      <c r="E356" s="122" t="str">
        <f t="shared" si="5"/>
        <v xml:space="preserve">0591 : 참가기관접속유형이서버가 아닙니다   </v>
      </c>
    </row>
    <row r="357" spans="1:5" s="64" customFormat="1">
      <c r="A357" s="316" t="s">
        <v>4635</v>
      </c>
      <c r="B357" s="123" t="s">
        <v>7609</v>
      </c>
      <c r="C357" s="256" t="s">
        <v>5723</v>
      </c>
      <c r="D357" s="328" t="s">
        <v>2296</v>
      </c>
      <c r="E357" s="122" t="str">
        <f t="shared" si="5"/>
        <v xml:space="preserve">0592 : 거래전문로그 확인오류               </v>
      </c>
    </row>
    <row r="358" spans="1:5" s="64" customFormat="1">
      <c r="A358" s="316" t="s">
        <v>4635</v>
      </c>
      <c r="B358" s="123" t="s">
        <v>7609</v>
      </c>
      <c r="C358" s="256" t="s">
        <v>5724</v>
      </c>
      <c r="D358" s="328" t="s">
        <v>2295</v>
      </c>
      <c r="E358" s="122" t="str">
        <f t="shared" si="5"/>
        <v xml:space="preserve">0593 : 거래전문로그 생성 오류            </v>
      </c>
    </row>
    <row r="359" spans="1:5" s="64" customFormat="1">
      <c r="A359" s="316" t="s">
        <v>4635</v>
      </c>
      <c r="B359" s="123" t="s">
        <v>7609</v>
      </c>
      <c r="C359" s="256" t="s">
        <v>5725</v>
      </c>
      <c r="D359" s="328" t="s">
        <v>2294</v>
      </c>
      <c r="E359" s="122" t="str">
        <f t="shared" si="5"/>
        <v xml:space="preserve">0594 : 책임자　거래입니다                    </v>
      </c>
    </row>
    <row r="360" spans="1:5" s="64" customFormat="1">
      <c r="A360" s="316" t="s">
        <v>4635</v>
      </c>
      <c r="B360" s="123" t="s">
        <v>7609</v>
      </c>
      <c r="C360" s="256" t="s">
        <v>5726</v>
      </c>
      <c r="D360" s="328" t="s">
        <v>2293</v>
      </c>
      <c r="E360" s="122" t="str">
        <f t="shared" si="5"/>
        <v xml:space="preserve">0595 : 책임자번호　입력　오류                </v>
      </c>
    </row>
    <row r="361" spans="1:5" s="64" customFormat="1">
      <c r="A361" s="316" t="s">
        <v>4635</v>
      </c>
      <c r="B361" s="123" t="s">
        <v>7609</v>
      </c>
      <c r="C361" s="256" t="s">
        <v>5727</v>
      </c>
      <c r="D361" s="328" t="s">
        <v>2292</v>
      </c>
      <c r="E361" s="122" t="str">
        <f t="shared" si="5"/>
        <v xml:space="preserve">0596 : 책임자이름없음（책임자）              </v>
      </c>
    </row>
    <row r="362" spans="1:5" s="64" customFormat="1">
      <c r="A362" s="316" t="s">
        <v>4635</v>
      </c>
      <c r="B362" s="123" t="s">
        <v>7609</v>
      </c>
      <c r="C362" s="256" t="s">
        <v>5728</v>
      </c>
      <c r="D362" s="328" t="s">
        <v>2291</v>
      </c>
      <c r="E362" s="122" t="str">
        <f t="shared" si="5"/>
        <v xml:space="preserve">0597 : 책임자ＩＤ오류（책임자）              </v>
      </c>
    </row>
    <row r="363" spans="1:5" s="64" customFormat="1">
      <c r="A363" s="316" t="s">
        <v>4635</v>
      </c>
      <c r="B363" s="123" t="s">
        <v>7609</v>
      </c>
      <c r="C363" s="256" t="s">
        <v>5729</v>
      </c>
      <c r="D363" s="328" t="s">
        <v>2290</v>
      </c>
      <c r="E363" s="122" t="str">
        <f t="shared" si="5"/>
        <v xml:space="preserve">0598 : 처리결과변경오류（책임자）            </v>
      </c>
    </row>
    <row r="364" spans="1:5" s="64" customFormat="1">
      <c r="A364" s="316" t="s">
        <v>4635</v>
      </c>
      <c r="B364" s="123" t="s">
        <v>7609</v>
      </c>
      <c r="C364" s="256" t="s">
        <v>5730</v>
      </c>
      <c r="D364" s="328" t="s">
        <v>2289</v>
      </c>
      <c r="E364" s="122" t="str">
        <f t="shared" si="5"/>
        <v xml:space="preserve">0599 : 처리구분　입력　오류　입니다          </v>
      </c>
    </row>
    <row r="365" spans="1:5" s="64" customFormat="1">
      <c r="A365" s="316" t="s">
        <v>4635</v>
      </c>
      <c r="B365" s="123" t="s">
        <v>7609</v>
      </c>
      <c r="C365" s="256" t="s">
        <v>5731</v>
      </c>
      <c r="D365" s="328" t="s">
        <v>2288</v>
      </c>
      <c r="E365" s="122" t="str">
        <f t="shared" si="5"/>
        <v xml:space="preserve">0600 : 처리금액이　미입력되었습니다          </v>
      </c>
    </row>
    <row r="366" spans="1:5" s="64" customFormat="1">
      <c r="A366" s="316" t="s">
        <v>4635</v>
      </c>
      <c r="B366" s="123" t="s">
        <v>7609</v>
      </c>
      <c r="C366" s="256" t="s">
        <v>5732</v>
      </c>
      <c r="D366" s="328" t="s">
        <v>2287</v>
      </c>
      <c r="E366" s="122" t="str">
        <f t="shared" si="5"/>
        <v xml:space="preserve">0601 : 처리상태오류（책임자）                </v>
      </c>
    </row>
    <row r="367" spans="1:5" s="64" customFormat="1">
      <c r="A367" s="316" t="s">
        <v>4635</v>
      </c>
      <c r="B367" s="123" t="s">
        <v>7609</v>
      </c>
      <c r="C367" s="256" t="s">
        <v>5733</v>
      </c>
      <c r="D367" s="328" t="s">
        <v>2286</v>
      </c>
      <c r="E367" s="122" t="str">
        <f t="shared" si="5"/>
        <v xml:space="preserve">0602 : 처리종류　오류                        </v>
      </c>
    </row>
    <row r="368" spans="1:5" s="64" customFormat="1">
      <c r="A368" s="316" t="s">
        <v>4635</v>
      </c>
      <c r="B368" s="123" t="s">
        <v>7609</v>
      </c>
      <c r="C368" s="256" t="s">
        <v>5734</v>
      </c>
      <c r="D368" s="328" t="s">
        <v>2285</v>
      </c>
      <c r="E368" s="122" t="str">
        <f t="shared" si="5"/>
        <v xml:space="preserve">0603 : 총괄계리　마감되었습니다              </v>
      </c>
    </row>
    <row r="369" spans="1:5" s="64" customFormat="1">
      <c r="A369" s="316" t="s">
        <v>4635</v>
      </c>
      <c r="B369" s="123" t="s">
        <v>7609</v>
      </c>
      <c r="C369" s="256" t="s">
        <v>5735</v>
      </c>
      <c r="D369" s="328" t="s">
        <v>2284</v>
      </c>
      <c r="E369" s="122" t="str">
        <f t="shared" si="5"/>
        <v xml:space="preserve">0604 : 총액결제시스템 업무개시이전입니다   </v>
      </c>
    </row>
    <row r="370" spans="1:5" s="64" customFormat="1">
      <c r="A370" s="316" t="s">
        <v>4635</v>
      </c>
      <c r="B370" s="123" t="s">
        <v>7609</v>
      </c>
      <c r="C370" s="256" t="s">
        <v>5736</v>
      </c>
      <c r="D370" s="328" t="s">
        <v>2283</v>
      </c>
      <c r="E370" s="122" t="str">
        <f t="shared" si="5"/>
        <v xml:space="preserve">0605 : 총액결제시스템 업무마감이후입니다   </v>
      </c>
    </row>
    <row r="371" spans="1:5" s="64" customFormat="1">
      <c r="A371" s="316" t="s">
        <v>4635</v>
      </c>
      <c r="B371" s="123" t="s">
        <v>7609</v>
      </c>
      <c r="C371" s="256" t="s">
        <v>5737</v>
      </c>
      <c r="D371" s="328" t="s">
        <v>2282</v>
      </c>
      <c r="E371" s="122" t="str">
        <f t="shared" si="5"/>
        <v xml:space="preserve">0606 : 취급점　또는　기관코드　오류　！！    </v>
      </c>
    </row>
    <row r="372" spans="1:5" s="64" customFormat="1">
      <c r="A372" s="316" t="s">
        <v>4635</v>
      </c>
      <c r="B372" s="123" t="s">
        <v>7609</v>
      </c>
      <c r="C372" s="256" t="s">
        <v>5738</v>
      </c>
      <c r="D372" s="328" t="s">
        <v>2281</v>
      </c>
      <c r="E372" s="122" t="str">
        <f t="shared" si="5"/>
        <v xml:space="preserve">0607 : 취소　담당자　오류입니다．            </v>
      </c>
    </row>
    <row r="373" spans="1:5" s="64" customFormat="1">
      <c r="A373" s="316" t="s">
        <v>4635</v>
      </c>
      <c r="B373" s="123" t="s">
        <v>7609</v>
      </c>
      <c r="C373" s="256" t="s">
        <v>5739</v>
      </c>
      <c r="D373" s="328" t="s">
        <v>2280</v>
      </c>
      <c r="E373" s="122" t="str">
        <f t="shared" si="5"/>
        <v xml:space="preserve">0608 : 테스트환경입니다                      </v>
      </c>
    </row>
    <row r="374" spans="1:5" s="64" customFormat="1">
      <c r="A374" s="316" t="s">
        <v>4635</v>
      </c>
      <c r="B374" s="123" t="s">
        <v>7609</v>
      </c>
      <c r="C374" s="256" t="s">
        <v>5740</v>
      </c>
      <c r="D374" s="328" t="s">
        <v>2279</v>
      </c>
      <c r="E374" s="122" t="str">
        <f t="shared" si="5"/>
        <v xml:space="preserve">0609 : 통지내역　테이블　입력　오류　입니다  </v>
      </c>
    </row>
    <row r="375" spans="1:5" s="64" customFormat="1">
      <c r="A375" s="316" t="s">
        <v>4635</v>
      </c>
      <c r="B375" s="123" t="s">
        <v>7609</v>
      </c>
      <c r="C375" s="256" t="s">
        <v>5741</v>
      </c>
      <c r="D375" s="328" t="s">
        <v>2278</v>
      </c>
      <c r="E375" s="122" t="str">
        <f t="shared" si="5"/>
        <v xml:space="preserve">0610 : 통지내역이　이미　존재합니다          </v>
      </c>
    </row>
    <row r="376" spans="1:5" s="64" customFormat="1">
      <c r="A376" s="316" t="s">
        <v>4635</v>
      </c>
      <c r="B376" s="123" t="s">
        <v>7609</v>
      </c>
      <c r="C376" s="256" t="s">
        <v>5742</v>
      </c>
      <c r="D376" s="328" t="s">
        <v>2277</v>
      </c>
      <c r="E376" s="122" t="str">
        <f t="shared" si="5"/>
        <v xml:space="preserve">0611 : 한도갱신처리시　오류                  </v>
      </c>
    </row>
    <row r="377" spans="1:5" s="64" customFormat="1">
      <c r="A377" s="316" t="s">
        <v>4635</v>
      </c>
      <c r="B377" s="123" t="s">
        <v>7609</v>
      </c>
      <c r="C377" s="256" t="s">
        <v>5743</v>
      </c>
      <c r="D377" s="328" t="s">
        <v>2276</v>
      </c>
      <c r="E377" s="122" t="str">
        <f t="shared" si="5"/>
        <v xml:space="preserve">0612 : 한은망　마감연장（결제원활화）완료    </v>
      </c>
    </row>
    <row r="378" spans="1:5" s="64" customFormat="1">
      <c r="A378" s="316" t="s">
        <v>4635</v>
      </c>
      <c r="B378" s="123" t="s">
        <v>7609</v>
      </c>
      <c r="C378" s="256" t="s">
        <v>5744</v>
      </c>
      <c r="D378" s="328" t="s">
        <v>2275</v>
      </c>
      <c r="E378" s="122" t="str">
        <f t="shared" si="5"/>
        <v xml:space="preserve">0613 : 한은망　마감연장（전산장애）완료      </v>
      </c>
    </row>
    <row r="379" spans="1:5" s="64" customFormat="1">
      <c r="A379" s="316" t="s">
        <v>4635</v>
      </c>
      <c r="B379" s="123" t="s">
        <v>7609</v>
      </c>
      <c r="C379" s="256" t="s">
        <v>5745</v>
      </c>
      <c r="D379" s="328" t="s">
        <v>2274</v>
      </c>
      <c r="E379" s="122" t="str">
        <f t="shared" si="5"/>
        <v xml:space="preserve">0614 : 한은망　마감연장취소（전산장애）완료  </v>
      </c>
    </row>
    <row r="380" spans="1:5" s="64" customFormat="1">
      <c r="A380" s="316" t="s">
        <v>4635</v>
      </c>
      <c r="B380" s="123" t="s">
        <v>7609</v>
      </c>
      <c r="C380" s="256" t="s">
        <v>5746</v>
      </c>
      <c r="D380" s="328" t="s">
        <v>2273</v>
      </c>
      <c r="E380" s="122" t="str">
        <f t="shared" si="5"/>
        <v xml:space="preserve">0615 : 한은망　업무개시　이전입니다．        </v>
      </c>
    </row>
    <row r="381" spans="1:5" s="64" customFormat="1">
      <c r="A381" s="316" t="s">
        <v>4635</v>
      </c>
      <c r="B381" s="123" t="s">
        <v>7609</v>
      </c>
      <c r="C381" s="256" t="s">
        <v>5747</v>
      </c>
      <c r="D381" s="328" t="s">
        <v>2272</v>
      </c>
      <c r="E381" s="122" t="str">
        <f t="shared" si="5"/>
        <v xml:space="preserve">0616 : 한은망　업무마감　이후입니다．        </v>
      </c>
    </row>
    <row r="382" spans="1:5" s="64" customFormat="1">
      <c r="A382" s="316" t="s">
        <v>4635</v>
      </c>
      <c r="B382" s="123" t="s">
        <v>7609</v>
      </c>
      <c r="C382" s="256" t="s">
        <v>5748</v>
      </c>
      <c r="D382" s="328" t="s">
        <v>2271</v>
      </c>
      <c r="E382" s="122" t="str">
        <f t="shared" si="5"/>
        <v xml:space="preserve">0617 : 한은망거래　마감상태가　아님          </v>
      </c>
    </row>
    <row r="383" spans="1:5" s="64" customFormat="1">
      <c r="A383" s="316" t="s">
        <v>4635</v>
      </c>
      <c r="B383" s="123" t="s">
        <v>7609</v>
      </c>
      <c r="C383" s="256" t="s">
        <v>5749</v>
      </c>
      <c r="D383" s="328" t="s">
        <v>2270</v>
      </c>
      <c r="E383" s="122" t="str">
        <f t="shared" si="5"/>
        <v xml:space="preserve">0618 : 한은망거래가　마감되었습니다．        </v>
      </c>
    </row>
    <row r="384" spans="1:5" s="64" customFormat="1">
      <c r="A384" s="316" t="s">
        <v>4635</v>
      </c>
      <c r="B384" s="123" t="s">
        <v>7609</v>
      </c>
      <c r="C384" s="256" t="s">
        <v>5750</v>
      </c>
      <c r="D384" s="328" t="s">
        <v>2269</v>
      </c>
      <c r="E384" s="122" t="str">
        <f t="shared" si="5"/>
        <v xml:space="preserve">0619 : 한은망거래연장（자금결제원활화）      </v>
      </c>
    </row>
    <row r="385" spans="1:5" s="64" customFormat="1">
      <c r="A385" s="316" t="s">
        <v>4635</v>
      </c>
      <c r="B385" s="123" t="s">
        <v>7609</v>
      </c>
      <c r="C385" s="256" t="s">
        <v>5751</v>
      </c>
      <c r="D385" s="328" t="s">
        <v>2268</v>
      </c>
      <c r="E385" s="122" t="str">
        <f t="shared" si="5"/>
        <v xml:space="preserve">0620 : 한은망거래연장（전산장애）            </v>
      </c>
    </row>
    <row r="386" spans="1:5" s="64" customFormat="1">
      <c r="A386" s="316" t="s">
        <v>4635</v>
      </c>
      <c r="B386" s="123" t="s">
        <v>7609</v>
      </c>
      <c r="C386" s="256" t="s">
        <v>5752</v>
      </c>
      <c r="D386" s="328" t="s">
        <v>2267</v>
      </c>
      <c r="E386" s="122" t="str">
        <f t="shared" si="5"/>
        <v xml:space="preserve">0621 : 한은망마감연장（결제원활화）상태      </v>
      </c>
    </row>
    <row r="387" spans="1:5" s="64" customFormat="1">
      <c r="A387" s="316" t="s">
        <v>4635</v>
      </c>
      <c r="B387" s="123" t="s">
        <v>7609</v>
      </c>
      <c r="C387" s="256" t="s">
        <v>5753</v>
      </c>
      <c r="D387" s="328" t="s">
        <v>2266</v>
      </c>
      <c r="E387" s="122" t="str">
        <f t="shared" si="5"/>
        <v xml:space="preserve">0622 : 한은망마감연장（전상장애）상태        </v>
      </c>
    </row>
    <row r="388" spans="1:5" s="64" customFormat="1">
      <c r="A388" s="316" t="s">
        <v>4635</v>
      </c>
      <c r="B388" s="123" t="s">
        <v>7609</v>
      </c>
      <c r="C388" s="256" t="s">
        <v>5754</v>
      </c>
      <c r="D388" s="328" t="s">
        <v>2265</v>
      </c>
      <c r="E388" s="122" t="str">
        <f t="shared" ref="E388:E451" si="6">_xlfn.TEXTJOIN(" : ",FALSE,C388:D388)</f>
        <v xml:space="preserve">0623 : 한은망마감연장상태　아님              </v>
      </c>
    </row>
    <row r="389" spans="1:5" s="64" customFormat="1">
      <c r="A389" s="316" t="s">
        <v>4635</v>
      </c>
      <c r="B389" s="123" t="s">
        <v>7609</v>
      </c>
      <c r="C389" s="256" t="s">
        <v>5755</v>
      </c>
      <c r="D389" s="328" t="s">
        <v>2264</v>
      </c>
      <c r="E389" s="122" t="str">
        <f t="shared" si="6"/>
        <v xml:space="preserve">0624 : 한은망마감연장취소（결제원활화）완료  </v>
      </c>
    </row>
    <row r="390" spans="1:5" s="64" customFormat="1">
      <c r="A390" s="316" t="s">
        <v>4635</v>
      </c>
      <c r="B390" s="123" t="s">
        <v>7609</v>
      </c>
      <c r="C390" s="256" t="s">
        <v>5756</v>
      </c>
      <c r="D390" s="328" t="s">
        <v>2263</v>
      </c>
      <c r="E390" s="122" t="str">
        <f t="shared" si="6"/>
        <v xml:space="preserve">0625 : 한은망마감이　등록되지　않았습니다    </v>
      </c>
    </row>
    <row r="391" spans="1:5" s="64" customFormat="1">
      <c r="A391" s="316" t="s">
        <v>4635</v>
      </c>
      <c r="B391" s="123" t="s">
        <v>7609</v>
      </c>
      <c r="C391" s="256" t="s">
        <v>5757</v>
      </c>
      <c r="D391" s="328" t="s">
        <v>2262</v>
      </c>
      <c r="E391" s="122" t="str">
        <f t="shared" si="6"/>
        <v xml:space="preserve">0626 : 혼합결제시스템업무가 마감되었습니다 </v>
      </c>
    </row>
    <row r="392" spans="1:5" s="64" customFormat="1">
      <c r="A392" s="316" t="s">
        <v>4635</v>
      </c>
      <c r="B392" s="123" t="s">
        <v>7609</v>
      </c>
      <c r="C392" s="256" t="s">
        <v>5758</v>
      </c>
      <c r="D392" s="328" t="s">
        <v>2261</v>
      </c>
      <c r="E392" s="122" t="str">
        <f t="shared" si="6"/>
        <v xml:space="preserve">0627 : 혼합형결제시스템 업무개시이전입니다 </v>
      </c>
    </row>
    <row r="393" spans="1:5" s="64" customFormat="1">
      <c r="A393" s="316" t="s">
        <v>4635</v>
      </c>
      <c r="B393" s="123" t="s">
        <v>7609</v>
      </c>
      <c r="C393" s="256" t="s">
        <v>5759</v>
      </c>
      <c r="D393" s="328" t="s">
        <v>2260</v>
      </c>
      <c r="E393" s="122" t="str">
        <f t="shared" si="6"/>
        <v>0628 : 혼합결제　시스템　업무마감　이후입니다</v>
      </c>
    </row>
    <row r="394" spans="1:5" s="64" customFormat="1">
      <c r="A394" s="316" t="s">
        <v>4635</v>
      </c>
      <c r="B394" s="123" t="s">
        <v>7609</v>
      </c>
      <c r="C394" s="256" t="s">
        <v>5760</v>
      </c>
      <c r="D394" s="328" t="s">
        <v>2259</v>
      </c>
      <c r="E394" s="122" t="str">
        <f t="shared" si="6"/>
        <v xml:space="preserve">0629 : 혼합형결제시스템　장애　상태입니다．  </v>
      </c>
    </row>
    <row r="395" spans="1:5" s="64" customFormat="1">
      <c r="A395" s="316" t="s">
        <v>4635</v>
      </c>
      <c r="B395" s="123" t="s">
        <v>7609</v>
      </c>
      <c r="C395" s="256" t="s">
        <v>5761</v>
      </c>
      <c r="D395" s="328" t="s">
        <v>2258</v>
      </c>
      <c r="E395" s="122" t="str">
        <f t="shared" si="6"/>
        <v xml:space="preserve">0630 : 혼합형결제시스템　정상　상태입니다．  </v>
      </c>
    </row>
    <row r="396" spans="1:5" s="64" customFormat="1">
      <c r="A396" s="316" t="s">
        <v>4635</v>
      </c>
      <c r="B396" s="123" t="s">
        <v>7609</v>
      </c>
      <c r="C396" s="256" t="s">
        <v>5762</v>
      </c>
      <c r="D396" s="328" t="s">
        <v>2257</v>
      </c>
      <c r="E396" s="122" t="str">
        <f t="shared" si="6"/>
        <v xml:space="preserve">0631 : 회계번호를　확인하시오                </v>
      </c>
    </row>
    <row r="397" spans="1:5" s="64" customFormat="1">
      <c r="A397" s="316" t="s">
        <v>4635</v>
      </c>
      <c r="B397" s="123" t="s">
        <v>7609</v>
      </c>
      <c r="C397" s="256" t="s">
        <v>5763</v>
      </c>
      <c r="D397" s="328" t="s">
        <v>2256</v>
      </c>
      <c r="E397" s="122" t="str">
        <f t="shared" si="6"/>
        <v xml:space="preserve">0632 : 회계번호생성　오류                    </v>
      </c>
    </row>
    <row r="398" spans="1:5" s="64" customFormat="1">
      <c r="A398" s="316" t="s">
        <v>4635</v>
      </c>
      <c r="B398" s="123" t="s">
        <v>7609</v>
      </c>
      <c r="C398" s="256" t="s">
        <v>5764</v>
      </c>
      <c r="D398" s="328" t="s">
        <v>2255</v>
      </c>
      <c r="E398" s="122" t="str">
        <f t="shared" si="6"/>
        <v xml:space="preserve">0633 : 시스템오류(한국은행전산정보국연락)  </v>
      </c>
    </row>
    <row r="399" spans="1:5" s="64" customFormat="1">
      <c r="A399" s="316" t="s">
        <v>4635</v>
      </c>
      <c r="B399" s="123" t="s">
        <v>7609</v>
      </c>
      <c r="C399" s="256" t="s">
        <v>5765</v>
      </c>
      <c r="D399" s="328" t="s">
        <v>2254</v>
      </c>
      <c r="E399" s="122" t="str">
        <f t="shared" si="6"/>
        <v xml:space="preserve">0634 : 회계처리　오류입니다．                </v>
      </c>
    </row>
    <row r="400" spans="1:5" s="64" customFormat="1">
      <c r="A400" s="316" t="s">
        <v>4635</v>
      </c>
      <c r="B400" s="123" t="s">
        <v>7609</v>
      </c>
      <c r="C400" s="256" t="s">
        <v>5766</v>
      </c>
      <c r="D400" s="328" t="s">
        <v>2253</v>
      </c>
      <c r="E400" s="122" t="str">
        <f t="shared" si="6"/>
        <v xml:space="preserve">0635 : 휴일체크시　오류                      </v>
      </c>
    </row>
    <row r="401" spans="1:5" s="64" customFormat="1">
      <c r="A401" s="316" t="s">
        <v>4635</v>
      </c>
      <c r="B401" s="123" t="s">
        <v>7609</v>
      </c>
      <c r="C401" s="256" t="s">
        <v>5767</v>
      </c>
      <c r="D401" s="328" t="s">
        <v>2252</v>
      </c>
      <c r="E401" s="122" t="str">
        <f t="shared" si="6"/>
        <v xml:space="preserve">0636 : 거래유형　테이블　오류　입니다        </v>
      </c>
    </row>
    <row r="402" spans="1:5" s="64" customFormat="1">
      <c r="A402" s="316" t="s">
        <v>4635</v>
      </c>
      <c r="B402" s="123" t="s">
        <v>7609</v>
      </c>
      <c r="C402" s="256" t="s">
        <v>5768</v>
      </c>
      <c r="D402" s="328" t="s">
        <v>2251</v>
      </c>
      <c r="E402" s="122" t="str">
        <f t="shared" si="6"/>
        <v xml:space="preserve">0637 : 거래전문로그가 이미 존재합니다    </v>
      </c>
    </row>
    <row r="403" spans="1:5" s="64" customFormat="1">
      <c r="A403" s="316" t="s">
        <v>4635</v>
      </c>
      <c r="B403" s="123" t="s">
        <v>7609</v>
      </c>
      <c r="C403" s="256" t="s">
        <v>5769</v>
      </c>
      <c r="D403" s="328" t="s">
        <v>2250</v>
      </c>
      <c r="E403" s="122" t="str">
        <f t="shared" si="6"/>
        <v xml:space="preserve">0638 : 대기내역 확인오류                   </v>
      </c>
    </row>
    <row r="404" spans="1:5" s="64" customFormat="1">
      <c r="A404" s="316" t="s">
        <v>4635</v>
      </c>
      <c r="B404" s="123" t="s">
        <v>7609</v>
      </c>
      <c r="C404" s="256" t="s">
        <v>5770</v>
      </c>
      <c r="D404" s="328" t="s">
        <v>2249</v>
      </c>
      <c r="E404" s="122" t="str">
        <f t="shared" si="6"/>
        <v xml:space="preserve">0639 : 대기내역(혼합형)갱신오류          </v>
      </c>
    </row>
    <row r="405" spans="1:5" s="64" customFormat="1">
      <c r="A405" s="316" t="s">
        <v>4635</v>
      </c>
      <c r="B405" s="123" t="s">
        <v>7609</v>
      </c>
      <c r="C405" s="256" t="s">
        <v>5771</v>
      </c>
      <c r="D405" s="328" t="s">
        <v>2248</v>
      </c>
      <c r="E405" s="122" t="str">
        <f t="shared" si="6"/>
        <v xml:space="preserve">0640 : 대기내역(혼합형)생성오류          </v>
      </c>
    </row>
    <row r="406" spans="1:5" s="64" customFormat="1">
      <c r="A406" s="316" t="s">
        <v>4635</v>
      </c>
      <c r="B406" s="123" t="s">
        <v>7609</v>
      </c>
      <c r="C406" s="256" t="s">
        <v>5772</v>
      </c>
      <c r="D406" s="328" t="s">
        <v>2247</v>
      </c>
      <c r="E406" s="122" t="str">
        <f t="shared" si="6"/>
        <v xml:space="preserve">0641 : 변환코드　조회　오류                  </v>
      </c>
    </row>
    <row r="407" spans="1:5" s="64" customFormat="1">
      <c r="A407" s="316" t="s">
        <v>4635</v>
      </c>
      <c r="B407" s="123" t="s">
        <v>7609</v>
      </c>
      <c r="C407" s="256" t="s">
        <v>5773</v>
      </c>
      <c r="D407" s="328" t="s">
        <v>2246</v>
      </c>
      <c r="E407" s="122" t="str">
        <f t="shared" si="6"/>
        <v xml:space="preserve">0642 : 부서확인오류                          </v>
      </c>
    </row>
    <row r="408" spans="1:5" s="64" customFormat="1">
      <c r="A408" s="316" t="s">
        <v>4635</v>
      </c>
      <c r="B408" s="123" t="s">
        <v>7609</v>
      </c>
      <c r="C408" s="256" t="s">
        <v>5774</v>
      </c>
      <c r="D408" s="328" t="s">
        <v>2245</v>
      </c>
      <c r="E408" s="122" t="str">
        <f t="shared" si="6"/>
        <v xml:space="preserve">0643 : 수신코드　오류                        </v>
      </c>
    </row>
    <row r="409" spans="1:5" s="64" customFormat="1">
      <c r="A409" s="316" t="s">
        <v>4635</v>
      </c>
      <c r="B409" s="123" t="s">
        <v>7609</v>
      </c>
      <c r="C409" s="256" t="s">
        <v>5775</v>
      </c>
      <c r="D409" s="328" t="s">
        <v>2244</v>
      </c>
      <c r="E409" s="122" t="str">
        <f t="shared" si="6"/>
        <v xml:space="preserve">0644 : 영업일　조회　오류                    </v>
      </c>
    </row>
    <row r="410" spans="1:5" s="64" customFormat="1">
      <c r="A410" s="316" t="s">
        <v>4635</v>
      </c>
      <c r="B410" s="123" t="s">
        <v>7609</v>
      </c>
      <c r="C410" s="256" t="s">
        <v>5776</v>
      </c>
      <c r="D410" s="328" t="s">
        <v>2243</v>
      </c>
      <c r="E410" s="122" t="str">
        <f t="shared" si="6"/>
        <v xml:space="preserve">0645 : 예금거래정보　오류                    </v>
      </c>
    </row>
    <row r="411" spans="1:5" s="64" customFormat="1">
      <c r="A411" s="316" t="s">
        <v>4635</v>
      </c>
      <c r="B411" s="123" t="s">
        <v>7609</v>
      </c>
      <c r="C411" s="256" t="s">
        <v>5777</v>
      </c>
      <c r="D411" s="328" t="s">
        <v>2242</v>
      </c>
      <c r="E411" s="122" t="str">
        <f t="shared" si="6"/>
        <v xml:space="preserve">0646 : 일별부서별원장 확인오류             </v>
      </c>
    </row>
    <row r="412" spans="1:5" s="64" customFormat="1">
      <c r="A412" s="316" t="s">
        <v>4635</v>
      </c>
      <c r="B412" s="123" t="s">
        <v>7609</v>
      </c>
      <c r="C412" s="256" t="s">
        <v>5778</v>
      </c>
      <c r="D412" s="328" t="s">
        <v>2241</v>
      </c>
      <c r="E412" s="122" t="str">
        <f t="shared" si="6"/>
        <v xml:space="preserve">0647 : 일별부서별원장 조회오류             </v>
      </c>
    </row>
    <row r="413" spans="1:5" s="64" customFormat="1">
      <c r="A413" s="316" t="s">
        <v>4635</v>
      </c>
      <c r="B413" s="123" t="s">
        <v>7609</v>
      </c>
      <c r="C413" s="256" t="s">
        <v>5779</v>
      </c>
      <c r="D413" s="328" t="s">
        <v>2240</v>
      </c>
      <c r="E413" s="122" t="str">
        <f t="shared" si="6"/>
        <v xml:space="preserve">0648 : 전문관리번호 확인오류               </v>
      </c>
    </row>
    <row r="414" spans="1:5" s="64" customFormat="1">
      <c r="A414" s="316" t="s">
        <v>4635</v>
      </c>
      <c r="B414" s="123" t="s">
        <v>7609</v>
      </c>
      <c r="C414" s="256" t="s">
        <v>5780</v>
      </c>
      <c r="D414" s="328" t="s">
        <v>2239</v>
      </c>
      <c r="E414" s="122" t="str">
        <f t="shared" si="6"/>
        <v xml:space="preserve">0649 : 터미널정보　오류                      </v>
      </c>
    </row>
    <row r="415" spans="1:5" s="64" customFormat="1">
      <c r="A415" s="316" t="s">
        <v>4635</v>
      </c>
      <c r="B415" s="123" t="s">
        <v>7609</v>
      </c>
      <c r="C415" s="256" t="s">
        <v>5781</v>
      </c>
      <c r="D415" s="328" t="s">
        <v>2238</v>
      </c>
      <c r="E415" s="122" t="str">
        <f t="shared" si="6"/>
        <v xml:space="preserve">0650 : 통지내역　생성　오류                  </v>
      </c>
    </row>
    <row r="416" spans="1:5" s="64" customFormat="1">
      <c r="A416" s="316" t="s">
        <v>4635</v>
      </c>
      <c r="B416" s="123" t="s">
        <v>7609</v>
      </c>
      <c r="C416" s="256" t="s">
        <v>5782</v>
      </c>
      <c r="D416" s="328" t="s">
        <v>2237</v>
      </c>
      <c r="E416" s="122" t="str">
        <f t="shared" si="6"/>
        <v>0651 : 혼합형결제업무마감등록시테이블갱신오류</v>
      </c>
    </row>
    <row r="417" spans="1:5" s="64" customFormat="1">
      <c r="A417" s="316" t="s">
        <v>4635</v>
      </c>
      <c r="B417" s="123" t="s">
        <v>7609</v>
      </c>
      <c r="C417" s="256" t="s">
        <v>5783</v>
      </c>
      <c r="D417" s="328" t="s">
        <v>2236</v>
      </c>
      <c r="E417" s="122" t="str">
        <f t="shared" si="6"/>
        <v>0652 : 혼합형결제업무마감취소시테이블갱신오류</v>
      </c>
    </row>
    <row r="418" spans="1:5" s="64" customFormat="1">
      <c r="A418" s="316" t="s">
        <v>4635</v>
      </c>
      <c r="B418" s="123" t="s">
        <v>7609</v>
      </c>
      <c r="C418" s="256" t="s">
        <v>5784</v>
      </c>
      <c r="D418" s="328" t="s">
        <v>2235</v>
      </c>
      <c r="E418" s="122" t="str">
        <f t="shared" si="6"/>
        <v xml:space="preserve">0653 : 시스템(DB)오류(한국은행전산정보국 </v>
      </c>
    </row>
    <row r="419" spans="1:5" s="64" customFormat="1">
      <c r="A419" s="316" t="s">
        <v>4635</v>
      </c>
      <c r="B419" s="123" t="s">
        <v>7609</v>
      </c>
      <c r="C419" s="256" t="s">
        <v>5785</v>
      </c>
      <c r="D419" s="328" t="s">
        <v>2234</v>
      </c>
      <c r="E419" s="122" t="str">
        <f t="shared" si="6"/>
        <v xml:space="preserve">0654 : 양자간순지급한도　조회　오류          </v>
      </c>
    </row>
    <row r="420" spans="1:5" s="64" customFormat="1">
      <c r="A420" s="316" t="s">
        <v>4635</v>
      </c>
      <c r="B420" s="123" t="s">
        <v>7609</v>
      </c>
      <c r="C420" s="256" t="s">
        <v>5786</v>
      </c>
      <c r="D420" s="328" t="s">
        <v>2233</v>
      </c>
      <c r="E420" s="122" t="str">
        <f t="shared" si="6"/>
        <v xml:space="preserve">0655 : 총순지급한도　조회　오류              </v>
      </c>
    </row>
    <row r="421" spans="1:5" s="64" customFormat="1">
      <c r="A421" s="316" t="s">
        <v>4635</v>
      </c>
      <c r="B421" s="123" t="s">
        <v>7609</v>
      </c>
      <c r="C421" s="256" t="s">
        <v>5787</v>
      </c>
      <c r="D421" s="328" t="s">
        <v>2232</v>
      </c>
      <c r="E421" s="122" t="str">
        <f t="shared" si="6"/>
        <v xml:space="preserve">0656 : 양자간동시처리로그 확인오류         </v>
      </c>
    </row>
    <row r="422" spans="1:5" s="64" customFormat="1">
      <c r="A422" s="316" t="s">
        <v>4635</v>
      </c>
      <c r="B422" s="123" t="s">
        <v>7609</v>
      </c>
      <c r="C422" s="256" t="s">
        <v>5788</v>
      </c>
      <c r="D422" s="328" t="s">
        <v>2231</v>
      </c>
      <c r="E422" s="122" t="str">
        <f t="shared" si="6"/>
        <v xml:space="preserve">0657 : 동시처리구분 입력오류입니다         </v>
      </c>
    </row>
    <row r="423" spans="1:5" s="64" customFormat="1">
      <c r="A423" s="316" t="s">
        <v>4635</v>
      </c>
      <c r="B423" s="123" t="s">
        <v>7609</v>
      </c>
      <c r="C423" s="256" t="s">
        <v>5789</v>
      </c>
      <c r="D423" s="328" t="s">
        <v>2230</v>
      </c>
      <c r="E423" s="122" t="str">
        <f t="shared" si="6"/>
        <v xml:space="preserve">0658 : 영업일이　아닙니다                    </v>
      </c>
    </row>
    <row r="424" spans="1:5" s="64" customFormat="1">
      <c r="A424" s="316" t="s">
        <v>4635</v>
      </c>
      <c r="B424" s="123" t="s">
        <v>7609</v>
      </c>
      <c r="C424" s="256" t="s">
        <v>5790</v>
      </c>
      <c r="D424" s="328" t="s">
        <v>2229</v>
      </c>
      <c r="E424" s="122" t="str">
        <f t="shared" si="6"/>
        <v xml:space="preserve">0659 : 다자간동시처리　로그　조회　오류      </v>
      </c>
    </row>
    <row r="425" spans="1:5" s="64" customFormat="1">
      <c r="A425" s="316" t="s">
        <v>4635</v>
      </c>
      <c r="B425" s="123" t="s">
        <v>7609</v>
      </c>
      <c r="C425" s="256" t="s">
        <v>5791</v>
      </c>
      <c r="D425" s="328" t="s">
        <v>2228</v>
      </c>
      <c r="E425" s="122" t="str">
        <f t="shared" si="6"/>
        <v xml:space="preserve">0660 : 다자간동시처리　대상없음              </v>
      </c>
    </row>
    <row r="426" spans="1:5" s="64" customFormat="1">
      <c r="A426" s="316" t="s">
        <v>4635</v>
      </c>
      <c r="B426" s="123" t="s">
        <v>7609</v>
      </c>
      <c r="C426" s="256" t="s">
        <v>5792</v>
      </c>
      <c r="D426" s="328" t="s">
        <v>2227</v>
      </c>
      <c r="E426" s="122" t="str">
        <f t="shared" si="6"/>
        <v xml:space="preserve">0661 : 양자간동시처리　대상없음              </v>
      </c>
    </row>
    <row r="427" spans="1:5" s="64" customFormat="1">
      <c r="A427" s="316" t="s">
        <v>4635</v>
      </c>
      <c r="B427" s="123" t="s">
        <v>7609</v>
      </c>
      <c r="C427" s="256" t="s">
        <v>5793</v>
      </c>
      <c r="D427" s="328" t="s">
        <v>2226</v>
      </c>
      <c r="E427" s="122" t="str">
        <f t="shared" si="6"/>
        <v xml:space="preserve">0662 : 양자간동시처리　구조부적합            </v>
      </c>
    </row>
    <row r="428" spans="1:5" s="64" customFormat="1">
      <c r="A428" s="316" t="s">
        <v>4635</v>
      </c>
      <c r="B428" s="123" t="s">
        <v>7609</v>
      </c>
      <c r="C428" s="256" t="s">
        <v>5794</v>
      </c>
      <c r="D428" s="328" t="s">
        <v>2225</v>
      </c>
      <c r="E428" s="122" t="str">
        <f t="shared" si="6"/>
        <v xml:space="preserve">0663 : 사용자구분　오류                      </v>
      </c>
    </row>
    <row r="429" spans="1:5" s="64" customFormat="1">
      <c r="A429" s="316" t="s">
        <v>4635</v>
      </c>
      <c r="B429" s="123" t="s">
        <v>7609</v>
      </c>
      <c r="C429" s="256" t="s">
        <v>5795</v>
      </c>
      <c r="D429" s="328" t="s">
        <v>2224</v>
      </c>
      <c r="E429" s="122" t="str">
        <f t="shared" si="6"/>
        <v xml:space="preserve">0664 : 총계정원장이　마감되었습니다          </v>
      </c>
    </row>
    <row r="430" spans="1:5" s="64" customFormat="1">
      <c r="A430" s="316" t="s">
        <v>4635</v>
      </c>
      <c r="B430" s="123" t="s">
        <v>7609</v>
      </c>
      <c r="C430" s="256" t="s">
        <v>5796</v>
      </c>
      <c r="D430" s="328" t="s">
        <v>2223</v>
      </c>
      <c r="E430" s="122" t="str">
        <f t="shared" si="6"/>
        <v xml:space="preserve">0665 : 미등록　단말                          </v>
      </c>
    </row>
    <row r="431" spans="1:5" s="64" customFormat="1">
      <c r="A431" s="316" t="s">
        <v>4635</v>
      </c>
      <c r="B431" s="123" t="s">
        <v>7609</v>
      </c>
      <c r="C431" s="256" t="s">
        <v>5797</v>
      </c>
      <c r="D431" s="328" t="s">
        <v>2222</v>
      </c>
      <c r="E431" s="122" t="str">
        <f t="shared" si="6"/>
        <v xml:space="preserve">0666 : 부서별계정계좌 확인오류             </v>
      </c>
    </row>
    <row r="432" spans="1:5" s="64" customFormat="1">
      <c r="A432" s="316" t="s">
        <v>4635</v>
      </c>
      <c r="B432" s="123" t="s">
        <v>7609</v>
      </c>
      <c r="C432" s="256" t="s">
        <v>5798</v>
      </c>
      <c r="D432" s="328" t="s">
        <v>2221</v>
      </c>
      <c r="E432" s="122" t="str">
        <f t="shared" si="6"/>
        <v xml:space="preserve">0667 : 동시처리　유형결정　오류              </v>
      </c>
    </row>
    <row r="433" spans="1:5" s="64" customFormat="1">
      <c r="A433" s="316" t="s">
        <v>4635</v>
      </c>
      <c r="B433" s="123" t="s">
        <v>7609</v>
      </c>
      <c r="C433" s="256" t="s">
        <v>5799</v>
      </c>
      <c r="D433" s="328" t="s">
        <v>2220</v>
      </c>
      <c r="E433" s="122" t="str">
        <f t="shared" si="6"/>
        <v xml:space="preserve">0668 : 다자간동시처리　구조부적합            </v>
      </c>
    </row>
    <row r="434" spans="1:5" s="64" customFormat="1">
      <c r="A434" s="316" t="s">
        <v>4635</v>
      </c>
      <c r="B434" s="123" t="s">
        <v>7609</v>
      </c>
      <c r="C434" s="256" t="s">
        <v>5800</v>
      </c>
      <c r="D434" s="328" t="s">
        <v>2219</v>
      </c>
      <c r="E434" s="122" t="str">
        <f t="shared" si="6"/>
        <v xml:space="preserve">0669 : 양자간동시처리　회계처리　실패        </v>
      </c>
    </row>
    <row r="435" spans="1:5" s="64" customFormat="1">
      <c r="A435" s="316" t="s">
        <v>4635</v>
      </c>
      <c r="B435" s="123" t="s">
        <v>7609</v>
      </c>
      <c r="C435" s="256" t="s">
        <v>5801</v>
      </c>
      <c r="D435" s="328" t="s">
        <v>2218</v>
      </c>
      <c r="E435" s="122" t="str">
        <f t="shared" si="6"/>
        <v xml:space="preserve">0670 : 다자간동시처리　회계처리　실패        </v>
      </c>
    </row>
    <row r="436" spans="1:5" s="64" customFormat="1">
      <c r="A436" s="316" t="s">
        <v>4635</v>
      </c>
      <c r="B436" s="123" t="s">
        <v>7609</v>
      </c>
      <c r="C436" s="256" t="s">
        <v>5802</v>
      </c>
      <c r="D436" s="328" t="s">
        <v>2217</v>
      </c>
      <c r="E436" s="122" t="str">
        <f t="shared" si="6"/>
        <v xml:space="preserve">0671 : 양자간순지급한도 갱신오류           </v>
      </c>
    </row>
    <row r="437" spans="1:5" s="64" customFormat="1">
      <c r="A437" s="316" t="s">
        <v>4635</v>
      </c>
      <c r="B437" s="123" t="s">
        <v>7609</v>
      </c>
      <c r="C437" s="256" t="s">
        <v>5803</v>
      </c>
      <c r="D437" s="328" t="s">
        <v>2216</v>
      </c>
      <c r="E437" s="122" t="str">
        <f t="shared" si="6"/>
        <v xml:space="preserve">0672 : 총순지급한도　갱신　실패              </v>
      </c>
    </row>
    <row r="438" spans="1:5" s="64" customFormat="1">
      <c r="A438" s="316" t="s">
        <v>4635</v>
      </c>
      <c r="B438" s="123" t="s">
        <v>7609</v>
      </c>
      <c r="C438" s="256" t="s">
        <v>5804</v>
      </c>
      <c r="D438" s="328" t="s">
        <v>2215</v>
      </c>
      <c r="E438" s="122" t="str">
        <f t="shared" si="6"/>
        <v xml:space="preserve">0673 : 동시처리일련번호　테이블　오류        </v>
      </c>
    </row>
    <row r="439" spans="1:5" s="64" customFormat="1">
      <c r="A439" s="316" t="s">
        <v>4635</v>
      </c>
      <c r="B439" s="123" t="s">
        <v>7609</v>
      </c>
      <c r="C439" s="256" t="s">
        <v>5805</v>
      </c>
      <c r="D439" s="328" t="s">
        <v>2214</v>
      </c>
      <c r="E439" s="122" t="str">
        <f t="shared" si="6"/>
        <v xml:space="preserve">0674 : 동시처리일련번호　채번　오류          </v>
      </c>
    </row>
    <row r="440" spans="1:5" s="64" customFormat="1">
      <c r="A440" s="316" t="s">
        <v>4635</v>
      </c>
      <c r="B440" s="123" t="s">
        <v>7609</v>
      </c>
      <c r="C440" s="256" t="s">
        <v>5806</v>
      </c>
      <c r="D440" s="328" t="s">
        <v>2213</v>
      </c>
      <c r="E440" s="122" t="str">
        <f t="shared" si="6"/>
        <v xml:space="preserve">0675 : 동시처리일련번호　갱신　오류          </v>
      </c>
    </row>
    <row r="441" spans="1:5" s="64" customFormat="1">
      <c r="A441" s="316" t="s">
        <v>4635</v>
      </c>
      <c r="B441" s="123" t="s">
        <v>7609</v>
      </c>
      <c r="C441" s="256" t="s">
        <v>5807</v>
      </c>
      <c r="D441" s="328" t="s">
        <v>2212</v>
      </c>
      <c r="E441" s="122" t="str">
        <f t="shared" si="6"/>
        <v xml:space="preserve">0676 : 양자간동시처리로그　생성　오류        </v>
      </c>
    </row>
    <row r="442" spans="1:5" s="64" customFormat="1">
      <c r="A442" s="316" t="s">
        <v>4635</v>
      </c>
      <c r="B442" s="123" t="s">
        <v>7609</v>
      </c>
      <c r="C442" s="256" t="s">
        <v>5808</v>
      </c>
      <c r="D442" s="328" t="s">
        <v>2211</v>
      </c>
      <c r="E442" s="122" t="str">
        <f t="shared" si="6"/>
        <v xml:space="preserve">0677 : 다자간동시처리로그　생성　오류        </v>
      </c>
    </row>
    <row r="443" spans="1:5" s="64" customFormat="1">
      <c r="A443" s="316" t="s">
        <v>4635</v>
      </c>
      <c r="B443" s="123" t="s">
        <v>7609</v>
      </c>
      <c r="C443" s="256" t="s">
        <v>5809</v>
      </c>
      <c r="D443" s="328" t="s">
        <v>2210</v>
      </c>
      <c r="E443" s="122" t="str">
        <f t="shared" si="6"/>
        <v xml:space="preserve">0678 : 양자간동시처리로그　갱신　오류        </v>
      </c>
    </row>
    <row r="444" spans="1:5" s="64" customFormat="1">
      <c r="A444" s="316" t="s">
        <v>4635</v>
      </c>
      <c r="B444" s="123" t="s">
        <v>7609</v>
      </c>
      <c r="C444" s="256" t="s">
        <v>5810</v>
      </c>
      <c r="D444" s="328" t="s">
        <v>2209</v>
      </c>
      <c r="E444" s="122" t="str">
        <f t="shared" si="6"/>
        <v xml:space="preserve">0679 : 다자간동시처리로그　갱신　오류        </v>
      </c>
    </row>
    <row r="445" spans="1:5" s="64" customFormat="1">
      <c r="A445" s="316" t="s">
        <v>4635</v>
      </c>
      <c r="B445" s="123" t="s">
        <v>7609</v>
      </c>
      <c r="C445" s="256" t="s">
        <v>5811</v>
      </c>
      <c r="D445" s="328" t="s">
        <v>2208</v>
      </c>
      <c r="E445" s="122" t="str">
        <f t="shared" si="6"/>
        <v xml:space="preserve">0680 : 전문등록일시 입력오류입니다         </v>
      </c>
    </row>
    <row r="446" spans="1:5" s="64" customFormat="1">
      <c r="A446" s="316" t="s">
        <v>4635</v>
      </c>
      <c r="B446" s="123" t="s">
        <v>7609</v>
      </c>
      <c r="C446" s="256" t="s">
        <v>5812</v>
      </c>
      <c r="D446" s="328" t="s">
        <v>2207</v>
      </c>
      <c r="E446" s="122" t="str">
        <f t="shared" si="6"/>
        <v xml:space="preserve">0681 : 일련번호 입력오류입니다             </v>
      </c>
    </row>
    <row r="447" spans="1:5" s="64" customFormat="1">
      <c r="A447" s="316" t="s">
        <v>4635</v>
      </c>
      <c r="B447" s="123" t="s">
        <v>7609</v>
      </c>
      <c r="C447" s="256" t="s">
        <v>5813</v>
      </c>
      <c r="D447" s="328" t="s">
        <v>2206</v>
      </c>
      <c r="E447" s="122" t="str">
        <f t="shared" si="6"/>
        <v xml:space="preserve">0682 : 거래일자 입력오류입니다             </v>
      </c>
    </row>
    <row r="448" spans="1:5" s="64" customFormat="1">
      <c r="A448" s="316" t="s">
        <v>4635</v>
      </c>
      <c r="B448" s="123" t="s">
        <v>7609</v>
      </c>
      <c r="C448" s="256" t="s">
        <v>5814</v>
      </c>
      <c r="D448" s="328" t="s">
        <v>2205</v>
      </c>
      <c r="E448" s="122" t="str">
        <f t="shared" si="6"/>
        <v xml:space="preserve">0683 : 수신기관 입력오류입니다             </v>
      </c>
    </row>
    <row r="449" spans="1:5" s="64" customFormat="1">
      <c r="A449" s="316" t="s">
        <v>4635</v>
      </c>
      <c r="B449" s="123" t="s">
        <v>7609</v>
      </c>
      <c r="C449" s="256" t="s">
        <v>5815</v>
      </c>
      <c r="D449" s="328" t="s">
        <v>2204</v>
      </c>
      <c r="E449" s="122" t="str">
        <f t="shared" si="6"/>
        <v xml:space="preserve">0684 : 수취금액 입력오류입니다             </v>
      </c>
    </row>
    <row r="450" spans="1:5" s="64" customFormat="1">
      <c r="A450" s="316" t="s">
        <v>4635</v>
      </c>
      <c r="B450" s="123" t="s">
        <v>7609</v>
      </c>
      <c r="C450" s="256" t="s">
        <v>5816</v>
      </c>
      <c r="D450" s="328" t="s">
        <v>2203</v>
      </c>
      <c r="E450" s="122" t="str">
        <f t="shared" si="6"/>
        <v xml:space="preserve">0685 : 거래구분코드 입력오류입니다         </v>
      </c>
    </row>
    <row r="451" spans="1:5" s="64" customFormat="1">
      <c r="A451" s="316" t="s">
        <v>4635</v>
      </c>
      <c r="B451" s="123" t="s">
        <v>7609</v>
      </c>
      <c r="C451" s="256" t="s">
        <v>5817</v>
      </c>
      <c r="D451" s="328" t="s">
        <v>2202</v>
      </c>
      <c r="E451" s="122" t="str">
        <f t="shared" si="6"/>
        <v xml:space="preserve">0686 : 전문종별코드 입력오류입니다         </v>
      </c>
    </row>
    <row r="452" spans="1:5" s="64" customFormat="1">
      <c r="A452" s="316" t="s">
        <v>4635</v>
      </c>
      <c r="B452" s="123" t="s">
        <v>7609</v>
      </c>
      <c r="C452" s="256" t="s">
        <v>5818</v>
      </c>
      <c r="D452" s="328" t="s">
        <v>2201</v>
      </c>
      <c r="E452" s="122" t="str">
        <f t="shared" ref="E452:E515" si="7">_xlfn.TEXTJOIN(" : ",FALSE,C452:D452)</f>
        <v xml:space="preserve">0687 : 참조전문관리번호 입력오류입니다     </v>
      </c>
    </row>
    <row r="453" spans="1:5" s="64" customFormat="1">
      <c r="A453" s="316" t="s">
        <v>4635</v>
      </c>
      <c r="B453" s="123" t="s">
        <v>7609</v>
      </c>
      <c r="C453" s="256" t="s">
        <v>5819</v>
      </c>
      <c r="D453" s="328" t="s">
        <v>2200</v>
      </c>
      <c r="E453" s="122" t="str">
        <f t="shared" si="7"/>
        <v xml:space="preserve">0688 : 사용자구분 입력오류입니다           </v>
      </c>
    </row>
    <row r="454" spans="1:5" s="64" customFormat="1">
      <c r="A454" s="316" t="s">
        <v>4635</v>
      </c>
      <c r="B454" s="123" t="s">
        <v>7609</v>
      </c>
      <c r="C454" s="256" t="s">
        <v>5820</v>
      </c>
      <c r="D454" s="328" t="s">
        <v>2199</v>
      </c>
      <c r="E454" s="122" t="str">
        <f t="shared" si="7"/>
        <v xml:space="preserve">0689 : 공통헤더 입력오류입니다             </v>
      </c>
    </row>
    <row r="455" spans="1:5" s="64" customFormat="1">
      <c r="A455" s="316" t="s">
        <v>4635</v>
      </c>
      <c r="B455" s="123" t="s">
        <v>7609</v>
      </c>
      <c r="C455" s="256" t="s">
        <v>5821</v>
      </c>
      <c r="D455" s="328" t="s">
        <v>2198</v>
      </c>
      <c r="E455" s="122" t="str">
        <f t="shared" si="7"/>
        <v xml:space="preserve">0690 : 통지내용길이 입력오류입니다         </v>
      </c>
    </row>
    <row r="456" spans="1:5" s="64" customFormat="1">
      <c r="A456" s="316" t="s">
        <v>4635</v>
      </c>
      <c r="B456" s="123" t="s">
        <v>7609</v>
      </c>
      <c r="C456" s="256" t="s">
        <v>5822</v>
      </c>
      <c r="D456" s="328" t="s">
        <v>2197</v>
      </c>
      <c r="E456" s="122" t="str">
        <f t="shared" si="7"/>
        <v xml:space="preserve">0691 : 통지내용데이터 입력오류입니다       </v>
      </c>
    </row>
    <row r="457" spans="1:5" s="64" customFormat="1">
      <c r="A457" s="316" t="s">
        <v>4635</v>
      </c>
      <c r="B457" s="123" t="s">
        <v>7609</v>
      </c>
      <c r="C457" s="256" t="s">
        <v>5823</v>
      </c>
      <c r="D457" s="328" t="s">
        <v>2196</v>
      </c>
      <c r="E457" s="122" t="str">
        <f t="shared" si="7"/>
        <v xml:space="preserve">0692 : 부서코드 입력오류입니다             </v>
      </c>
    </row>
    <row r="458" spans="1:5" s="64" customFormat="1">
      <c r="A458" s="316" t="s">
        <v>4635</v>
      </c>
      <c r="B458" s="123" t="s">
        <v>7609</v>
      </c>
      <c r="C458" s="256" t="s">
        <v>5824</v>
      </c>
      <c r="D458" s="328" t="s">
        <v>2195</v>
      </c>
      <c r="E458" s="122" t="str">
        <f t="shared" si="7"/>
        <v xml:space="preserve">0693 : 거래기관 입력오류입니다             </v>
      </c>
    </row>
    <row r="459" spans="1:5" s="64" customFormat="1">
      <c r="A459" s="316" t="s">
        <v>4635</v>
      </c>
      <c r="B459" s="123" t="s">
        <v>7609</v>
      </c>
      <c r="C459" s="256" t="s">
        <v>5825</v>
      </c>
      <c r="D459" s="328" t="s">
        <v>2194</v>
      </c>
      <c r="E459" s="122" t="str">
        <f t="shared" si="7"/>
        <v xml:space="preserve">0694 : 해당일자에　예금거래정보가　없습니다  </v>
      </c>
    </row>
    <row r="460" spans="1:5" s="64" customFormat="1">
      <c r="A460" s="316" t="s">
        <v>4635</v>
      </c>
      <c r="B460" s="123" t="s">
        <v>7609</v>
      </c>
      <c r="C460" s="256" t="s">
        <v>5826</v>
      </c>
      <c r="D460" s="328" t="s">
        <v>2193</v>
      </c>
      <c r="E460" s="122" t="str">
        <f t="shared" si="7"/>
        <v xml:space="preserve">0695 : 현재 결제전용계좌잔액 오류        </v>
      </c>
    </row>
    <row r="461" spans="1:5" s="64" customFormat="1">
      <c r="A461" s="316" t="s">
        <v>4635</v>
      </c>
      <c r="B461" s="123" t="s">
        <v>7609</v>
      </c>
      <c r="C461" s="256" t="s">
        <v>5827</v>
      </c>
      <c r="D461" s="328" t="s">
        <v>2192</v>
      </c>
      <c r="E461" s="122" t="str">
        <f t="shared" si="7"/>
        <v xml:space="preserve">0696 : 해당 코드가 존재하지 않습니다   </v>
      </c>
    </row>
    <row r="462" spans="1:5" s="64" customFormat="1">
      <c r="A462" s="316" t="s">
        <v>4635</v>
      </c>
      <c r="B462" s="123" t="s">
        <v>7609</v>
      </c>
      <c r="C462" s="256" t="s">
        <v>5828</v>
      </c>
      <c r="D462" s="328" t="s">
        <v>2191</v>
      </c>
      <c r="E462" s="122" t="str">
        <f t="shared" si="7"/>
        <v xml:space="preserve">0697 : 변환코드구분 입력오류입니다         </v>
      </c>
    </row>
    <row r="463" spans="1:5" s="64" customFormat="1">
      <c r="A463" s="316" t="s">
        <v>4635</v>
      </c>
      <c r="B463" s="123" t="s">
        <v>7609</v>
      </c>
      <c r="C463" s="256" t="s">
        <v>5829</v>
      </c>
      <c r="D463" s="328" t="s">
        <v>2190</v>
      </c>
      <c r="E463" s="122" t="str">
        <f t="shared" si="7"/>
        <v xml:space="preserve">0698 : 대응코드 입력오류입니다             </v>
      </c>
    </row>
    <row r="464" spans="1:5" s="64" customFormat="1">
      <c r="A464" s="316" t="s">
        <v>4635</v>
      </c>
      <c r="B464" s="123" t="s">
        <v>7609</v>
      </c>
      <c r="C464" s="256" t="s">
        <v>5830</v>
      </c>
      <c r="D464" s="328" t="s">
        <v>2189</v>
      </c>
      <c r="E464" s="122" t="str">
        <f t="shared" si="7"/>
        <v xml:space="preserve">0699 : 거래기관의 계정개설처가 없습니다  </v>
      </c>
    </row>
    <row r="465" spans="1:5" s="64" customFormat="1">
      <c r="A465" s="316" t="s">
        <v>4635</v>
      </c>
      <c r="B465" s="123" t="s">
        <v>7609</v>
      </c>
      <c r="C465" s="256" t="s">
        <v>5831</v>
      </c>
      <c r="D465" s="328" t="s">
        <v>2188</v>
      </c>
      <c r="E465" s="122" t="str">
        <f t="shared" si="7"/>
        <v xml:space="preserve">0700 : 총괄계리 업무개시여부 확인 에러 </v>
      </c>
    </row>
    <row r="466" spans="1:5" s="64" customFormat="1">
      <c r="A466" s="316" t="s">
        <v>4635</v>
      </c>
      <c r="B466" s="123" t="s">
        <v>7609</v>
      </c>
      <c r="C466" s="256" t="s">
        <v>5832</v>
      </c>
      <c r="D466" s="328" t="s">
        <v>2187</v>
      </c>
      <c r="E466" s="122" t="str">
        <f t="shared" si="7"/>
        <v xml:space="preserve">0701 : 결제프로그램ID 오류                 </v>
      </c>
    </row>
    <row r="467" spans="1:5" s="64" customFormat="1">
      <c r="A467" s="316" t="s">
        <v>4635</v>
      </c>
      <c r="B467" s="123" t="s">
        <v>7609</v>
      </c>
      <c r="C467" s="256" t="s">
        <v>5833</v>
      </c>
      <c r="D467" s="328" t="s">
        <v>2186</v>
      </c>
      <c r="E467" s="122" t="str">
        <f t="shared" si="7"/>
        <v xml:space="preserve">0702 : 취소프로그램ID오류                  </v>
      </c>
    </row>
    <row r="468" spans="1:5" s="64" customFormat="1">
      <c r="A468" s="316" t="s">
        <v>4635</v>
      </c>
      <c r="B468" s="123" t="s">
        <v>7609</v>
      </c>
      <c r="C468" s="256" t="s">
        <v>5834</v>
      </c>
      <c r="D468" s="328" t="s">
        <v>2185</v>
      </c>
      <c r="E468" s="122" t="str">
        <f t="shared" si="7"/>
        <v xml:space="preserve">0703 : 지급지시유형오류                      </v>
      </c>
    </row>
    <row r="469" spans="1:5" s="64" customFormat="1">
      <c r="A469" s="316" t="s">
        <v>4635</v>
      </c>
      <c r="B469" s="123" t="s">
        <v>7609</v>
      </c>
      <c r="C469" s="256" t="s">
        <v>5835</v>
      </c>
      <c r="D469" s="328" t="s">
        <v>2184</v>
      </c>
      <c r="E469" s="122" t="str">
        <f t="shared" si="7"/>
        <v xml:space="preserve">0704 : 대기내역키오류                        </v>
      </c>
    </row>
    <row r="470" spans="1:5" s="64" customFormat="1">
      <c r="A470" s="316" t="s">
        <v>4635</v>
      </c>
      <c r="B470" s="123" t="s">
        <v>7609</v>
      </c>
      <c r="C470" s="256" t="s">
        <v>5836</v>
      </c>
      <c r="D470" s="328" t="s">
        <v>2183</v>
      </c>
      <c r="E470" s="122" t="str">
        <f t="shared" si="7"/>
        <v xml:space="preserve">0705 : 이미등록된대기내역이있습니다          </v>
      </c>
    </row>
    <row r="471" spans="1:5" s="64" customFormat="1">
      <c r="A471" s="316" t="s">
        <v>4635</v>
      </c>
      <c r="B471" s="123" t="s">
        <v>7609</v>
      </c>
      <c r="C471" s="256" t="s">
        <v>5837</v>
      </c>
      <c r="D471" s="328" t="s">
        <v>2182</v>
      </c>
      <c r="E471" s="122" t="str">
        <f t="shared" si="7"/>
        <v xml:space="preserve">0706 : 처리할대기내역이　없습니다　          </v>
      </c>
    </row>
    <row r="472" spans="1:5" s="64" customFormat="1">
      <c r="A472" s="316" t="s">
        <v>4635</v>
      </c>
      <c r="B472" s="123" t="s">
        <v>7609</v>
      </c>
      <c r="C472" s="256" t="s">
        <v>5838</v>
      </c>
      <c r="D472" s="328" t="s">
        <v>2181</v>
      </c>
      <c r="E472" s="122" t="str">
        <f t="shared" si="7"/>
        <v xml:space="preserve">0707 : 예금거래정보 갱신오류　             </v>
      </c>
    </row>
    <row r="473" spans="1:5" s="64" customFormat="1">
      <c r="A473" s="316" t="s">
        <v>4635</v>
      </c>
      <c r="B473" s="123" t="s">
        <v>7609</v>
      </c>
      <c r="C473" s="256" t="s">
        <v>5839</v>
      </c>
      <c r="D473" s="328" t="s">
        <v>2180</v>
      </c>
      <c r="E473" s="122" t="str">
        <f t="shared" si="7"/>
        <v xml:space="preserve">0708 : 예약업무구분코드오류                  </v>
      </c>
    </row>
    <row r="474" spans="1:5" s="64" customFormat="1">
      <c r="A474" s="316" t="s">
        <v>4635</v>
      </c>
      <c r="B474" s="123" t="s">
        <v>7609</v>
      </c>
      <c r="C474" s="256" t="s">
        <v>5840</v>
      </c>
      <c r="D474" s="328" t="s">
        <v>2179</v>
      </c>
      <c r="E474" s="122" t="str">
        <f t="shared" si="7"/>
        <v xml:space="preserve">0709 : 자금구분코드오류　　                  </v>
      </c>
    </row>
    <row r="475" spans="1:5" s="64" customFormat="1">
      <c r="A475" s="316" t="s">
        <v>4635</v>
      </c>
      <c r="B475" s="123" t="s">
        <v>7609</v>
      </c>
      <c r="C475" s="256" t="s">
        <v>5841</v>
      </c>
      <c r="D475" s="328" t="s">
        <v>2178</v>
      </c>
      <c r="E475" s="122" t="str">
        <f t="shared" si="7"/>
        <v xml:space="preserve">0710 : 예약취소시간오류　　                  </v>
      </c>
    </row>
    <row r="476" spans="1:5" s="64" customFormat="1">
      <c r="A476" s="316" t="s">
        <v>4635</v>
      </c>
      <c r="B476" s="123" t="s">
        <v>7609</v>
      </c>
      <c r="C476" s="256" t="s">
        <v>5842</v>
      </c>
      <c r="D476" s="328" t="s">
        <v>2177</v>
      </c>
      <c r="E476" s="122" t="str">
        <f t="shared" si="7"/>
        <v xml:space="preserve">0711 : 자금이체거래유형오류                  </v>
      </c>
    </row>
    <row r="477" spans="1:5" s="64" customFormat="1">
      <c r="A477" s="316" t="s">
        <v>4635</v>
      </c>
      <c r="B477" s="123" t="s">
        <v>7609</v>
      </c>
      <c r="C477" s="256" t="s">
        <v>5843</v>
      </c>
      <c r="D477" s="328" t="s">
        <v>2176</v>
      </c>
      <c r="E477" s="122" t="str">
        <f t="shared" si="7"/>
        <v xml:space="preserve">0712 : 수신기관이 한국은행이 아닙니다    </v>
      </c>
    </row>
    <row r="478" spans="1:5" s="64" customFormat="1">
      <c r="A478" s="316" t="s">
        <v>4635</v>
      </c>
      <c r="B478" s="123" t="s">
        <v>7609</v>
      </c>
      <c r="C478" s="256" t="s">
        <v>5844</v>
      </c>
      <c r="D478" s="328" t="s">
        <v>2175</v>
      </c>
      <c r="E478" s="122" t="str">
        <f t="shared" si="7"/>
        <v xml:space="preserve">0713 : 요구전문이 아닙니다                 </v>
      </c>
    </row>
    <row r="479" spans="1:5" s="64" customFormat="1">
      <c r="A479" s="316" t="s">
        <v>4635</v>
      </c>
      <c r="B479" s="123" t="s">
        <v>7609</v>
      </c>
      <c r="C479" s="256" t="s">
        <v>5845</v>
      </c>
      <c r="D479" s="328" t="s">
        <v>2174</v>
      </c>
      <c r="E479" s="122" t="str">
        <f t="shared" si="7"/>
        <v xml:space="preserve">0714 : 조정구분오류입니다                    </v>
      </c>
    </row>
    <row r="480" spans="1:5" s="64" customFormat="1">
      <c r="A480" s="316" t="s">
        <v>4635</v>
      </c>
      <c r="B480" s="123" t="s">
        <v>7609</v>
      </c>
      <c r="C480" s="256" t="s">
        <v>5846</v>
      </c>
      <c r="D480" s="328" t="s">
        <v>2173</v>
      </c>
      <c r="E480" s="122" t="str">
        <f t="shared" si="7"/>
        <v xml:space="preserve">0715 : 조정전　지급지시유형오류입니다        </v>
      </c>
    </row>
    <row r="481" spans="1:5" s="64" customFormat="1">
      <c r="A481" s="316" t="s">
        <v>4635</v>
      </c>
      <c r="B481" s="123" t="s">
        <v>7609</v>
      </c>
      <c r="C481" s="256" t="s">
        <v>5847</v>
      </c>
      <c r="D481" s="328" t="s">
        <v>2172</v>
      </c>
      <c r="E481" s="122" t="str">
        <f t="shared" si="7"/>
        <v xml:space="preserve">0716 : 조정후　지급지시유형오류입니다        </v>
      </c>
    </row>
    <row r="482" spans="1:5" s="64" customFormat="1">
      <c r="A482" s="316" t="s">
        <v>4635</v>
      </c>
      <c r="B482" s="123" t="s">
        <v>7609</v>
      </c>
      <c r="C482" s="256" t="s">
        <v>5848</v>
      </c>
      <c r="D482" s="328" t="s">
        <v>2171</v>
      </c>
      <c r="E482" s="122" t="str">
        <f t="shared" si="7"/>
        <v xml:space="preserve">0717 : 조정전후　지급지시유형이　동일합니다  </v>
      </c>
    </row>
    <row r="483" spans="1:5" s="64" customFormat="1">
      <c r="A483" s="316" t="s">
        <v>4635</v>
      </c>
      <c r="B483" s="123" t="s">
        <v>7609</v>
      </c>
      <c r="C483" s="256" t="s">
        <v>5849</v>
      </c>
      <c r="D483" s="328" t="s">
        <v>2170</v>
      </c>
      <c r="E483" s="122" t="str">
        <f t="shared" si="7"/>
        <v xml:space="preserve">0718 : 조정전후　지급지시유형이　상이합니다  </v>
      </c>
    </row>
    <row r="484" spans="1:5" s="64" customFormat="1">
      <c r="A484" s="316" t="s">
        <v>4635</v>
      </c>
      <c r="B484" s="123" t="s">
        <v>7609</v>
      </c>
      <c r="C484" s="256" t="s">
        <v>5850</v>
      </c>
      <c r="D484" s="328" t="s">
        <v>2169</v>
      </c>
      <c r="E484" s="122" t="str">
        <f t="shared" si="7"/>
        <v xml:space="preserve">0719 : 조정전　복합대기순서　오류입니다      </v>
      </c>
    </row>
    <row r="485" spans="1:5" s="64" customFormat="1">
      <c r="A485" s="316" t="s">
        <v>4635</v>
      </c>
      <c r="B485" s="123" t="s">
        <v>7609</v>
      </c>
      <c r="C485" s="256" t="s">
        <v>5851</v>
      </c>
      <c r="D485" s="328" t="s">
        <v>2168</v>
      </c>
      <c r="E485" s="122" t="str">
        <f t="shared" si="7"/>
        <v xml:space="preserve">0720 : 조정전후　복합대기순서가　동일합니다  </v>
      </c>
    </row>
    <row r="486" spans="1:5" s="64" customFormat="1">
      <c r="A486" s="316" t="s">
        <v>4635</v>
      </c>
      <c r="B486" s="123" t="s">
        <v>7609</v>
      </c>
      <c r="C486" s="256" t="s">
        <v>5852</v>
      </c>
      <c r="D486" s="328" t="s">
        <v>2167</v>
      </c>
      <c r="E486" s="122" t="str">
        <f t="shared" si="7"/>
        <v xml:space="preserve">0721 : 이미　등록된　자료입니다              </v>
      </c>
    </row>
    <row r="487" spans="1:5" s="64" customFormat="1">
      <c r="A487" s="316" t="s">
        <v>4635</v>
      </c>
      <c r="B487" s="123" t="s">
        <v>7609</v>
      </c>
      <c r="C487" s="256" t="s">
        <v>5853</v>
      </c>
      <c r="D487" s="328" t="s">
        <v>2166</v>
      </c>
      <c r="E487" s="122" t="str">
        <f t="shared" si="7"/>
        <v xml:space="preserve">0722 : 조정후　복합대기순서　오류입니다      </v>
      </c>
    </row>
    <row r="488" spans="1:5" s="64" customFormat="1">
      <c r="A488" s="316" t="s">
        <v>4635</v>
      </c>
      <c r="B488" s="123" t="s">
        <v>7609</v>
      </c>
      <c r="C488" s="256" t="s">
        <v>5854</v>
      </c>
      <c r="D488" s="328" t="s">
        <v>2165</v>
      </c>
      <c r="E488" s="122" t="str">
        <f t="shared" si="7"/>
        <v xml:space="preserve">0723 : 복합대기순서　오류입니다              </v>
      </c>
    </row>
    <row r="489" spans="1:5" s="64" customFormat="1">
      <c r="A489" s="316" t="s">
        <v>4635</v>
      </c>
      <c r="B489" s="123" t="s">
        <v>7609</v>
      </c>
      <c r="C489" s="256" t="s">
        <v>5855</v>
      </c>
      <c r="D489" s="328" t="s">
        <v>2164</v>
      </c>
      <c r="E489" s="122" t="str">
        <f t="shared" si="7"/>
        <v xml:space="preserve">0724 : 조정전　대기내역오류입니다            </v>
      </c>
    </row>
    <row r="490" spans="1:5" s="64" customFormat="1">
      <c r="A490" s="316" t="s">
        <v>4635</v>
      </c>
      <c r="B490" s="123" t="s">
        <v>7609</v>
      </c>
      <c r="C490" s="256" t="s">
        <v>5856</v>
      </c>
      <c r="D490" s="328" t="s">
        <v>2163</v>
      </c>
      <c r="E490" s="122" t="str">
        <f t="shared" si="7"/>
        <v xml:space="preserve">0725 : 예약내역(혼합형)확인오류          </v>
      </c>
    </row>
    <row r="491" spans="1:5" s="64" customFormat="1">
      <c r="A491" s="316" t="s">
        <v>4635</v>
      </c>
      <c r="B491" s="123" t="s">
        <v>7609</v>
      </c>
      <c r="C491" s="256" t="s">
        <v>5857</v>
      </c>
      <c r="D491" s="328" t="s">
        <v>2162</v>
      </c>
      <c r="E491" s="122" t="str">
        <f t="shared" si="7"/>
        <v xml:space="preserve">0726 : 예약내역(혼합형)갱신오류          </v>
      </c>
    </row>
    <row r="492" spans="1:5" s="64" customFormat="1">
      <c r="A492" s="316" t="s">
        <v>4635</v>
      </c>
      <c r="B492" s="123" t="s">
        <v>7609</v>
      </c>
      <c r="C492" s="256" t="s">
        <v>5858</v>
      </c>
      <c r="D492" s="328" t="s">
        <v>2161</v>
      </c>
      <c r="E492" s="122" t="str">
        <f t="shared" si="7"/>
        <v xml:space="preserve">0727 : 예약내역(혼합형)생성오류          </v>
      </c>
    </row>
    <row r="493" spans="1:5" s="64" customFormat="1">
      <c r="A493" s="316" t="s">
        <v>4635</v>
      </c>
      <c r="B493" s="123" t="s">
        <v>7609</v>
      </c>
      <c r="C493" s="256" t="s">
        <v>5859</v>
      </c>
      <c r="D493" s="328" t="s">
        <v>2160</v>
      </c>
      <c r="E493" s="122" t="str">
        <f t="shared" si="7"/>
        <v xml:space="preserve">0728 : 처리할예약(총액)건이 없습니다   </v>
      </c>
    </row>
    <row r="494" spans="1:5" s="64" customFormat="1">
      <c r="A494" s="316" t="s">
        <v>4635</v>
      </c>
      <c r="B494" s="123" t="s">
        <v>7609</v>
      </c>
      <c r="C494" s="256" t="s">
        <v>5860</v>
      </c>
      <c r="D494" s="328" t="s">
        <v>2159</v>
      </c>
      <c r="E494" s="122" t="str">
        <f t="shared" si="7"/>
        <v xml:space="preserve">0729 : 이미예약취소동의처리되었습니다        </v>
      </c>
    </row>
    <row r="495" spans="1:5" s="64" customFormat="1">
      <c r="A495" s="316" t="s">
        <v>4635</v>
      </c>
      <c r="B495" s="123" t="s">
        <v>7609</v>
      </c>
      <c r="C495" s="256" t="s">
        <v>5861</v>
      </c>
      <c r="D495" s="328" t="s">
        <v>2158</v>
      </c>
      <c r="E495" s="122" t="str">
        <f t="shared" si="7"/>
        <v xml:space="preserve">0730 : 이미　예약취소처리되었습니다          </v>
      </c>
    </row>
    <row r="496" spans="1:5" s="64" customFormat="1">
      <c r="A496" s="316" t="s">
        <v>4635</v>
      </c>
      <c r="B496" s="123" t="s">
        <v>7609</v>
      </c>
      <c r="C496" s="256" t="s">
        <v>5862</v>
      </c>
      <c r="D496" s="328" t="s">
        <v>2157</v>
      </c>
      <c r="E496" s="122" t="str">
        <f t="shared" si="7"/>
        <v xml:space="preserve">0731 : 계정개설처 오류입니다               </v>
      </c>
    </row>
    <row r="497" spans="1:5" s="64" customFormat="1">
      <c r="A497" s="316" t="s">
        <v>4635</v>
      </c>
      <c r="B497" s="123" t="s">
        <v>7609</v>
      </c>
      <c r="C497" s="256" t="s">
        <v>5863</v>
      </c>
      <c r="D497" s="328" t="s">
        <v>2156</v>
      </c>
      <c r="E497" s="122" t="str">
        <f t="shared" si="7"/>
        <v xml:space="preserve">0732 : 송수신기관이 동일합니다             </v>
      </c>
    </row>
    <row r="498" spans="1:5" s="64" customFormat="1">
      <c r="A498" s="316" t="s">
        <v>4635</v>
      </c>
      <c r="B498" s="123" t="s">
        <v>7609</v>
      </c>
      <c r="C498" s="256" t="s">
        <v>5864</v>
      </c>
      <c r="D498" s="328" t="s">
        <v>2155</v>
      </c>
      <c r="E498" s="122" t="str">
        <f t="shared" si="7"/>
        <v xml:space="preserve">0733 : 전문관리번호 검증오류(영업일자)   </v>
      </c>
    </row>
    <row r="499" spans="1:5" s="64" customFormat="1">
      <c r="A499" s="316" t="s">
        <v>4635</v>
      </c>
      <c r="B499" s="123" t="s">
        <v>7609</v>
      </c>
      <c r="C499" s="256" t="s">
        <v>5865</v>
      </c>
      <c r="D499" s="328" t="s">
        <v>2154</v>
      </c>
      <c r="E499" s="122" t="str">
        <f t="shared" si="7"/>
        <v xml:space="preserve">0734 : 전문관리번호 검증오류(참가기관)   </v>
      </c>
    </row>
    <row r="500" spans="1:5" s="64" customFormat="1">
      <c r="A500" s="316" t="s">
        <v>4635</v>
      </c>
      <c r="B500" s="123" t="s">
        <v>7609</v>
      </c>
      <c r="C500" s="256" t="s">
        <v>5866</v>
      </c>
      <c r="D500" s="328" t="s">
        <v>2153</v>
      </c>
      <c r="E500" s="122" t="str">
        <f t="shared" si="7"/>
        <v xml:space="preserve">0735 : 전문관리번호 검증오류(일련번호)   </v>
      </c>
    </row>
    <row r="501" spans="1:5" s="64" customFormat="1">
      <c r="A501" s="316" t="s">
        <v>4635</v>
      </c>
      <c r="B501" s="123" t="s">
        <v>7609</v>
      </c>
      <c r="C501" s="256" t="s">
        <v>5867</v>
      </c>
      <c r="D501" s="328" t="s">
        <v>2152</v>
      </c>
      <c r="E501" s="122" t="str">
        <f t="shared" si="7"/>
        <v xml:space="preserve">0736 : 전문전송시간 검증오류               </v>
      </c>
    </row>
    <row r="502" spans="1:5" s="64" customFormat="1">
      <c r="A502" s="316" t="s">
        <v>4635</v>
      </c>
      <c r="B502" s="123" t="s">
        <v>7609</v>
      </c>
      <c r="C502" s="256" t="s">
        <v>5868</v>
      </c>
      <c r="D502" s="328" t="s">
        <v>2151</v>
      </c>
      <c r="E502" s="122" t="str">
        <f t="shared" si="7"/>
        <v xml:space="preserve">0737 : 송신기관이 한국은행입니다           </v>
      </c>
    </row>
    <row r="503" spans="1:5" s="64" customFormat="1">
      <c r="A503" s="316" t="s">
        <v>4635</v>
      </c>
      <c r="B503" s="123" t="s">
        <v>7609</v>
      </c>
      <c r="C503" s="256" t="s">
        <v>5869</v>
      </c>
      <c r="D503" s="328" t="s">
        <v>2150</v>
      </c>
      <c r="E503" s="122" t="str">
        <f t="shared" si="7"/>
        <v>0738 : 통지응답거래검증시 개별부내용 상이</v>
      </c>
    </row>
    <row r="504" spans="1:5" s="64" customFormat="1">
      <c r="A504" s="316" t="s">
        <v>4635</v>
      </c>
      <c r="B504" s="123" t="s">
        <v>7609</v>
      </c>
      <c r="C504" s="256" t="s">
        <v>5870</v>
      </c>
      <c r="D504" s="328" t="s">
        <v>2149</v>
      </c>
      <c r="E504" s="122" t="str">
        <f t="shared" si="7"/>
        <v xml:space="preserve">0739 : 입출금구분 입력 오류입니다        </v>
      </c>
    </row>
    <row r="505" spans="1:5" s="64" customFormat="1">
      <c r="A505" s="316" t="s">
        <v>4635</v>
      </c>
      <c r="B505" s="123" t="s">
        <v>7609</v>
      </c>
      <c r="C505" s="256" t="s">
        <v>5871</v>
      </c>
      <c r="D505" s="328" t="s">
        <v>2148</v>
      </c>
      <c r="E505" s="122" t="str">
        <f t="shared" si="7"/>
        <v xml:space="preserve">0740 : 예약취소동의가　안되었습니다          </v>
      </c>
    </row>
    <row r="506" spans="1:5" s="64" customFormat="1">
      <c r="A506" s="316" t="s">
        <v>4635</v>
      </c>
      <c r="B506" s="123" t="s">
        <v>7609</v>
      </c>
      <c r="C506" s="256" t="s">
        <v>5872</v>
      </c>
      <c r="D506" s="328" t="s">
        <v>2147</v>
      </c>
      <c r="E506" s="122" t="str">
        <f t="shared" si="7"/>
        <v xml:space="preserve">0741 : 이미　예약처리되었습니다              </v>
      </c>
    </row>
    <row r="507" spans="1:5" s="64" customFormat="1">
      <c r="A507" s="316" t="s">
        <v>4635</v>
      </c>
      <c r="B507" s="123" t="s">
        <v>7609</v>
      </c>
      <c r="C507" s="256" t="s">
        <v>5873</v>
      </c>
      <c r="D507" s="328" t="s">
        <v>2146</v>
      </c>
      <c r="E507" s="122" t="str">
        <f t="shared" si="7"/>
        <v xml:space="preserve">0742 : 처리할예약(혼합)건이없습니다      </v>
      </c>
    </row>
    <row r="508" spans="1:5" s="64" customFormat="1">
      <c r="A508" s="316" t="s">
        <v>4635</v>
      </c>
      <c r="B508" s="123" t="s">
        <v>7609</v>
      </c>
      <c r="C508" s="256" t="s">
        <v>5874</v>
      </c>
      <c r="D508" s="328" t="s">
        <v>2145</v>
      </c>
      <c r="E508" s="122" t="str">
        <f t="shared" si="7"/>
        <v xml:space="preserve">0743 : 해당하는　대기내역이　없습니다        </v>
      </c>
    </row>
    <row r="509" spans="1:5" s="64" customFormat="1">
      <c r="A509" s="316" t="s">
        <v>4635</v>
      </c>
      <c r="B509" s="123" t="s">
        <v>7609</v>
      </c>
      <c r="C509" s="256" t="s">
        <v>5875</v>
      </c>
      <c r="D509" s="328" t="s">
        <v>2144</v>
      </c>
      <c r="E509" s="122" t="str">
        <f t="shared" si="7"/>
        <v xml:space="preserve">0744 : 대기순위의　조정한계를　넘었습니다    </v>
      </c>
    </row>
    <row r="510" spans="1:5" s="64" customFormat="1">
      <c r="A510" s="316" t="s">
        <v>4635</v>
      </c>
      <c r="B510" s="123" t="s">
        <v>7609</v>
      </c>
      <c r="C510" s="256" t="s">
        <v>5876</v>
      </c>
      <c r="D510" s="328" t="s">
        <v>2143</v>
      </c>
      <c r="E510" s="122" t="str">
        <f t="shared" si="7"/>
        <v xml:space="preserve">0745 : 콜체결（상환），대기상태가　아님      </v>
      </c>
    </row>
    <row r="511" spans="1:5" s="64" customFormat="1">
      <c r="A511" s="316" t="s">
        <v>4635</v>
      </c>
      <c r="B511" s="123" t="s">
        <v>7609</v>
      </c>
      <c r="C511" s="256" t="s">
        <v>5877</v>
      </c>
      <c r="D511" s="328" t="s">
        <v>2142</v>
      </c>
      <c r="E511" s="122" t="str">
        <f t="shared" si="7"/>
        <v>0746 : 콜체결（상환）의　지급지시유형확인바람</v>
      </c>
    </row>
    <row r="512" spans="1:5" s="64" customFormat="1">
      <c r="A512" s="316" t="s">
        <v>4635</v>
      </c>
      <c r="B512" s="123" t="s">
        <v>7609</v>
      </c>
      <c r="C512" s="256" t="s">
        <v>5878</v>
      </c>
      <c r="D512" s="328" t="s">
        <v>1413</v>
      </c>
      <c r="E512" s="122" t="str">
        <f t="shared" si="7"/>
        <v xml:space="preserve">0747 : 콜체결 확인오류                     </v>
      </c>
    </row>
    <row r="513" spans="1:5" s="64" customFormat="1">
      <c r="A513" s="316" t="s">
        <v>4635</v>
      </c>
      <c r="B513" s="123" t="s">
        <v>7609</v>
      </c>
      <c r="C513" s="256" t="s">
        <v>5879</v>
      </c>
      <c r="D513" s="328" t="s">
        <v>2141</v>
      </c>
      <c r="E513" s="122" t="str">
        <f t="shared" si="7"/>
        <v xml:space="preserve">0748 : 콜체결 갱신오류                     </v>
      </c>
    </row>
    <row r="514" spans="1:5" s="64" customFormat="1">
      <c r="A514" s="316" t="s">
        <v>4635</v>
      </c>
      <c r="B514" s="123" t="s">
        <v>7609</v>
      </c>
      <c r="C514" s="256" t="s">
        <v>5880</v>
      </c>
      <c r="D514" s="328" t="s">
        <v>1414</v>
      </c>
      <c r="E514" s="122" t="str">
        <f t="shared" si="7"/>
        <v xml:space="preserve">0749 : 콜상환 확인오류                     </v>
      </c>
    </row>
    <row r="515" spans="1:5" s="64" customFormat="1">
      <c r="A515" s="316" t="s">
        <v>4635</v>
      </c>
      <c r="B515" s="123" t="s">
        <v>7609</v>
      </c>
      <c r="C515" s="256" t="s">
        <v>5881</v>
      </c>
      <c r="D515" s="328" t="s">
        <v>2140</v>
      </c>
      <c r="E515" s="122" t="str">
        <f t="shared" si="7"/>
        <v xml:space="preserve">0750 : 콜상환 갱신오류                     </v>
      </c>
    </row>
    <row r="516" spans="1:5" s="64" customFormat="1">
      <c r="A516" s="316" t="s">
        <v>4635</v>
      </c>
      <c r="B516" s="123" t="s">
        <v>7609</v>
      </c>
      <c r="C516" s="256" t="s">
        <v>5882</v>
      </c>
      <c r="D516" s="328" t="s">
        <v>2139</v>
      </c>
      <c r="E516" s="122" t="str">
        <f t="shared" ref="E516:E579" si="8">_xlfn.TEXTJOIN(" : ",FALSE,C516:D516)</f>
        <v xml:space="preserve">0751 : 처리할 콜체결이 없습니다          </v>
      </c>
    </row>
    <row r="517" spans="1:5" s="64" customFormat="1">
      <c r="A517" s="316" t="s">
        <v>4635</v>
      </c>
      <c r="B517" s="123" t="s">
        <v>7609</v>
      </c>
      <c r="C517" s="256" t="s">
        <v>5883</v>
      </c>
      <c r="D517" s="328" t="s">
        <v>2138</v>
      </c>
      <c r="E517" s="122" t="str">
        <f t="shared" si="8"/>
        <v xml:space="preserve">0752 : 처리할 콜상환이 없습니다          </v>
      </c>
    </row>
    <row r="518" spans="1:5" s="64" customFormat="1">
      <c r="A518" s="316" t="s">
        <v>4635</v>
      </c>
      <c r="B518" s="123" t="s">
        <v>7609</v>
      </c>
      <c r="C518" s="256" t="s">
        <v>5884</v>
      </c>
      <c r="D518" s="328" t="s">
        <v>2137</v>
      </c>
      <c r="E518" s="122" t="str">
        <f t="shared" si="8"/>
        <v xml:space="preserve">0753 : 이미 등록된 콜상환 변경있슴     </v>
      </c>
    </row>
    <row r="519" spans="1:5" s="64" customFormat="1">
      <c r="A519" s="316" t="s">
        <v>4635</v>
      </c>
      <c r="B519" s="123" t="s">
        <v>7609</v>
      </c>
      <c r="C519" s="256" t="s">
        <v>5885</v>
      </c>
      <c r="D519" s="328" t="s">
        <v>2136</v>
      </c>
      <c r="E519" s="122" t="str">
        <f t="shared" si="8"/>
        <v xml:space="preserve">0754 : 콜상환변경 생성오류                 </v>
      </c>
    </row>
    <row r="520" spans="1:5" s="64" customFormat="1">
      <c r="A520" s="316" t="s">
        <v>4635</v>
      </c>
      <c r="B520" s="123" t="s">
        <v>7609</v>
      </c>
      <c r="C520" s="256" t="s">
        <v>5886</v>
      </c>
      <c r="D520" s="328" t="s">
        <v>2135</v>
      </c>
      <c r="E520" s="122" t="str">
        <f t="shared" si="8"/>
        <v xml:space="preserve">0755 : 콜상환변경TBEB017조회오류           </v>
      </c>
    </row>
    <row r="521" spans="1:5" s="64" customFormat="1">
      <c r="A521" s="316" t="s">
        <v>4635</v>
      </c>
      <c r="B521" s="123" t="s">
        <v>7609</v>
      </c>
      <c r="C521" s="256" t="s">
        <v>5887</v>
      </c>
      <c r="D521" s="328" t="s">
        <v>2134</v>
      </c>
      <c r="E521" s="122" t="str">
        <f t="shared" si="8"/>
        <v xml:space="preserve">0756 : 신청장소는 '1'만 입력가능합니다   </v>
      </c>
    </row>
    <row r="522" spans="1:5" s="64" customFormat="1">
      <c r="A522" s="316" t="s">
        <v>4635</v>
      </c>
      <c r="B522" s="123" t="s">
        <v>7609</v>
      </c>
      <c r="C522" s="256" t="s">
        <v>5888</v>
      </c>
      <c r="D522" s="328" t="s">
        <v>2133</v>
      </c>
      <c r="E522" s="122" t="str">
        <f t="shared" si="8"/>
        <v xml:space="preserve">0757 : 대기거래조정내역 생성오류           </v>
      </c>
    </row>
    <row r="523" spans="1:5" s="64" customFormat="1">
      <c r="A523" s="316" t="s">
        <v>4635</v>
      </c>
      <c r="B523" s="123" t="s">
        <v>7609</v>
      </c>
      <c r="C523" s="256" t="s">
        <v>5889</v>
      </c>
      <c r="D523" s="328" t="s">
        <v>2132</v>
      </c>
      <c r="E523" s="122" t="str">
        <f t="shared" si="8"/>
        <v xml:space="preserve">0758 : 대기내역(혼합형)확인오류          </v>
      </c>
    </row>
    <row r="524" spans="1:5" s="64" customFormat="1">
      <c r="A524" s="316" t="s">
        <v>4635</v>
      </c>
      <c r="B524" s="123" t="s">
        <v>7609</v>
      </c>
      <c r="C524" s="256" t="s">
        <v>5890</v>
      </c>
      <c r="D524" s="328" t="s">
        <v>2131</v>
      </c>
      <c r="E524" s="122" t="str">
        <f t="shared" si="8"/>
        <v xml:space="preserve">0759 : 전문등록일시가　입력되지않았습니다    </v>
      </c>
    </row>
    <row r="525" spans="1:5" s="64" customFormat="1">
      <c r="A525" s="316" t="s">
        <v>4635</v>
      </c>
      <c r="B525" s="123" t="s">
        <v>7609</v>
      </c>
      <c r="C525" s="256" t="s">
        <v>5891</v>
      </c>
      <c r="D525" s="328" t="s">
        <v>2130</v>
      </c>
      <c r="E525" s="122" t="str">
        <f t="shared" si="8"/>
        <v xml:space="preserve">0760 : 응답코드가 존재하지 않습니다      </v>
      </c>
    </row>
    <row r="526" spans="1:5" s="64" customFormat="1">
      <c r="A526" s="316" t="s">
        <v>4635</v>
      </c>
      <c r="B526" s="123" t="s">
        <v>7609</v>
      </c>
      <c r="C526" s="256" t="s">
        <v>5892</v>
      </c>
      <c r="D526" s="328" t="s">
        <v>2129</v>
      </c>
      <c r="E526" s="122" t="str">
        <f t="shared" si="8"/>
        <v xml:space="preserve">0761 : 응답코드처리 오류                   </v>
      </c>
    </row>
    <row r="527" spans="1:5" s="64" customFormat="1">
      <c r="A527" s="316" t="s">
        <v>4635</v>
      </c>
      <c r="B527" s="123" t="s">
        <v>7609</v>
      </c>
      <c r="C527" s="256" t="s">
        <v>5893</v>
      </c>
      <c r="D527" s="328" t="s">
        <v>2128</v>
      </c>
      <c r="E527" s="122" t="str">
        <f t="shared" si="8"/>
        <v xml:space="preserve">0762 : 응답코드 입력오류입니다             </v>
      </c>
    </row>
    <row r="528" spans="1:5" s="64" customFormat="1">
      <c r="A528" s="316" t="s">
        <v>4635</v>
      </c>
      <c r="B528" s="123" t="s">
        <v>7609</v>
      </c>
      <c r="C528" s="256" t="s">
        <v>5894</v>
      </c>
      <c r="D528" s="328" t="s">
        <v>2127</v>
      </c>
      <c r="E528" s="122" t="str">
        <f t="shared" si="8"/>
        <v xml:space="preserve">0763 : 거래구분 입력오류입니다             </v>
      </c>
    </row>
    <row r="529" spans="1:5" s="64" customFormat="1">
      <c r="A529" s="316" t="s">
        <v>4635</v>
      </c>
      <c r="B529" s="123" t="s">
        <v>7609</v>
      </c>
      <c r="C529" s="256" t="s">
        <v>5895</v>
      </c>
      <c r="D529" s="328" t="s">
        <v>2126</v>
      </c>
      <c r="E529" s="122" t="str">
        <f t="shared" si="8"/>
        <v xml:space="preserve">0764 : 요구통보접속유형 입력오류입니다     </v>
      </c>
    </row>
    <row r="530" spans="1:5" s="64" customFormat="1">
      <c r="A530" s="316" t="s">
        <v>4635</v>
      </c>
      <c r="B530" s="123" t="s">
        <v>7609</v>
      </c>
      <c r="C530" s="256" t="s">
        <v>5896</v>
      </c>
      <c r="D530" s="328" t="s">
        <v>2125</v>
      </c>
      <c r="E530" s="122" t="str">
        <f t="shared" si="8"/>
        <v xml:space="preserve">0765 : 요구거래코드 입력오류입니다         </v>
      </c>
    </row>
    <row r="531" spans="1:5" s="64" customFormat="1">
      <c r="A531" s="316" t="s">
        <v>4635</v>
      </c>
      <c r="B531" s="123" t="s">
        <v>7609</v>
      </c>
      <c r="C531" s="256" t="s">
        <v>5897</v>
      </c>
      <c r="D531" s="328" t="s">
        <v>2124</v>
      </c>
      <c r="E531" s="122" t="str">
        <f t="shared" si="8"/>
        <v xml:space="preserve">0766 : 요구PGMID 입력오류입니다            </v>
      </c>
    </row>
    <row r="532" spans="1:5" s="64" customFormat="1">
      <c r="A532" s="316" t="s">
        <v>4635</v>
      </c>
      <c r="B532" s="123" t="s">
        <v>7609</v>
      </c>
      <c r="C532" s="256" t="s">
        <v>5898</v>
      </c>
      <c r="D532" s="328" t="s">
        <v>2123</v>
      </c>
      <c r="E532" s="122" t="str">
        <f t="shared" si="8"/>
        <v xml:space="preserve">0767 : 통보PGMID 입력오류입니다            </v>
      </c>
    </row>
    <row r="533" spans="1:5" s="64" customFormat="1">
      <c r="A533" s="316" t="s">
        <v>4635</v>
      </c>
      <c r="B533" s="123" t="s">
        <v>7609</v>
      </c>
      <c r="C533" s="256" t="s">
        <v>5899</v>
      </c>
      <c r="D533" s="328" t="s">
        <v>2122</v>
      </c>
      <c r="E533" s="122" t="str">
        <f t="shared" si="8"/>
        <v xml:space="preserve">0768 : 통보구분 입력오류입니다             </v>
      </c>
    </row>
    <row r="534" spans="1:5" s="64" customFormat="1">
      <c r="A534" s="316" t="s">
        <v>4635</v>
      </c>
      <c r="B534" s="123" t="s">
        <v>7609</v>
      </c>
      <c r="C534" s="256" t="s">
        <v>5900</v>
      </c>
      <c r="D534" s="328" t="s">
        <v>2121</v>
      </c>
      <c r="E534" s="122" t="str">
        <f t="shared" si="8"/>
        <v xml:space="preserve">0769 : 통보거래코드가 존재하지 않습니다  </v>
      </c>
    </row>
    <row r="535" spans="1:5" s="64" customFormat="1">
      <c r="A535" s="316" t="s">
        <v>4635</v>
      </c>
      <c r="B535" s="123" t="s">
        <v>7609</v>
      </c>
      <c r="C535" s="256" t="s">
        <v>5901</v>
      </c>
      <c r="D535" s="328" t="s">
        <v>2120</v>
      </c>
      <c r="E535" s="122" t="str">
        <f t="shared" si="8"/>
        <v xml:space="preserve">0770 : 통보거래코드 확인오류               </v>
      </c>
    </row>
    <row r="536" spans="1:5" s="64" customFormat="1">
      <c r="A536" s="316" t="s">
        <v>4635</v>
      </c>
      <c r="B536" s="123" t="s">
        <v>7609</v>
      </c>
      <c r="C536" s="256" t="s">
        <v>5902</v>
      </c>
      <c r="D536" s="328" t="s">
        <v>2119</v>
      </c>
      <c r="E536" s="122" t="str">
        <f t="shared" si="8"/>
        <v xml:space="preserve">0771 : 통보거래전문이 존재하지 않습니다  </v>
      </c>
    </row>
    <row r="537" spans="1:5" s="64" customFormat="1">
      <c r="A537" s="316" t="s">
        <v>4635</v>
      </c>
      <c r="B537" s="123" t="s">
        <v>7609</v>
      </c>
      <c r="C537" s="256" t="s">
        <v>5903</v>
      </c>
      <c r="D537" s="328" t="s">
        <v>2118</v>
      </c>
      <c r="E537" s="122" t="str">
        <f t="shared" si="8"/>
        <v xml:space="preserve">0772 : 통보거래전문 확인오류               </v>
      </c>
    </row>
    <row r="538" spans="1:5" s="64" customFormat="1">
      <c r="A538" s="316" t="s">
        <v>4635</v>
      </c>
      <c r="B538" s="123" t="s">
        <v>7609</v>
      </c>
      <c r="C538" s="256" t="s">
        <v>5904</v>
      </c>
      <c r="D538" s="328" t="s">
        <v>2117</v>
      </c>
      <c r="E538" s="122" t="str">
        <f t="shared" si="8"/>
        <v xml:space="preserve">0773 : 전표종류 입력오류입니다             </v>
      </c>
    </row>
    <row r="539" spans="1:5" s="64" customFormat="1">
      <c r="A539" s="316" t="s">
        <v>4635</v>
      </c>
      <c r="B539" s="123" t="s">
        <v>7609</v>
      </c>
      <c r="C539" s="256" t="s">
        <v>5905</v>
      </c>
      <c r="D539" s="328" t="s">
        <v>2116</v>
      </c>
      <c r="E539" s="122" t="str">
        <f t="shared" si="8"/>
        <v xml:space="preserve">0774 : 예상잔액 미확인 거래              </v>
      </c>
    </row>
    <row r="540" spans="1:5" s="64" customFormat="1">
      <c r="A540" s="316" t="s">
        <v>4635</v>
      </c>
      <c r="B540" s="123" t="s">
        <v>7609</v>
      </c>
      <c r="C540" s="256" t="s">
        <v>5906</v>
      </c>
      <c r="D540" s="328" t="s">
        <v>2115</v>
      </c>
      <c r="E540" s="122" t="str">
        <f t="shared" si="8"/>
        <v xml:space="preserve">0775 : 부서별금융기관 약정 확인오류      </v>
      </c>
    </row>
    <row r="541" spans="1:5" s="64" customFormat="1">
      <c r="A541" s="316" t="s">
        <v>4635</v>
      </c>
      <c r="B541" s="123" t="s">
        <v>7609</v>
      </c>
      <c r="C541" s="256" t="s">
        <v>5907</v>
      </c>
      <c r="D541" s="328" t="s">
        <v>2114</v>
      </c>
      <c r="E541" s="122" t="str">
        <f t="shared" si="8"/>
        <v xml:space="preserve">0776 : 차액결제 참가부서가 아닙니다      </v>
      </c>
    </row>
    <row r="542" spans="1:5" s="64" customFormat="1">
      <c r="A542" s="316" t="s">
        <v>4635</v>
      </c>
      <c r="B542" s="123" t="s">
        <v>7609</v>
      </c>
      <c r="C542" s="256" t="s">
        <v>5908</v>
      </c>
      <c r="D542" s="328" t="s">
        <v>2113</v>
      </c>
      <c r="E542" s="122" t="str">
        <f t="shared" si="8"/>
        <v xml:space="preserve">0777 : 1순위 거래내역(EB040) 오류        </v>
      </c>
    </row>
    <row r="543" spans="1:5" s="64" customFormat="1">
      <c r="A543" s="316" t="s">
        <v>4635</v>
      </c>
      <c r="B543" s="123" t="s">
        <v>7609</v>
      </c>
      <c r="C543" s="256" t="s">
        <v>5909</v>
      </c>
      <c r="D543" s="328" t="s">
        <v>2112</v>
      </c>
      <c r="E543" s="122" t="str">
        <f t="shared" si="8"/>
        <v xml:space="preserve">0778 : 차액결제수신(EB033)테이블 오류    </v>
      </c>
    </row>
    <row r="544" spans="1:5" s="64" customFormat="1">
      <c r="A544" s="316" t="s">
        <v>4635</v>
      </c>
      <c r="B544" s="123" t="s">
        <v>7609</v>
      </c>
      <c r="C544" s="256" t="s">
        <v>5910</v>
      </c>
      <c r="D544" s="328" t="s">
        <v>2111</v>
      </c>
      <c r="E544" s="122" t="str">
        <f t="shared" si="8"/>
        <v xml:space="preserve">0779 : 서버참가기관진행상황 확인오류       </v>
      </c>
    </row>
    <row r="545" spans="1:5" s="64" customFormat="1">
      <c r="A545" s="316" t="s">
        <v>4635</v>
      </c>
      <c r="B545" s="123" t="s">
        <v>7609</v>
      </c>
      <c r="C545" s="256" t="s">
        <v>5911</v>
      </c>
      <c r="D545" s="328" t="s">
        <v>2110</v>
      </c>
      <c r="E545" s="122" t="str">
        <f t="shared" si="8"/>
        <v xml:space="preserve">0780 : 혼합형결제시스템장애 확인오류       </v>
      </c>
    </row>
    <row r="546" spans="1:5" s="64" customFormat="1">
      <c r="A546" s="316" t="s">
        <v>4635</v>
      </c>
      <c r="B546" s="123" t="s">
        <v>7609</v>
      </c>
      <c r="C546" s="256" t="s">
        <v>5912</v>
      </c>
      <c r="D546" s="328" t="s">
        <v>2109</v>
      </c>
      <c r="E546" s="122" t="str">
        <f t="shared" si="8"/>
        <v>0781 : 참가기관업무별접속유형 테이블 오류</v>
      </c>
    </row>
    <row r="547" spans="1:5" s="64" customFormat="1">
      <c r="A547" s="316" t="s">
        <v>4635</v>
      </c>
      <c r="B547" s="123" t="s">
        <v>7609</v>
      </c>
      <c r="C547" s="256" t="s">
        <v>5913</v>
      </c>
      <c r="D547" s="328" t="s">
        <v>2108</v>
      </c>
      <c r="E547" s="122" t="str">
        <f t="shared" si="8"/>
        <v xml:space="preserve">0782 : 테이블ID 입력오류입니다             </v>
      </c>
    </row>
    <row r="548" spans="1:5" s="64" customFormat="1">
      <c r="A548" s="316" t="s">
        <v>4635</v>
      </c>
      <c r="B548" s="123" t="s">
        <v>7609</v>
      </c>
      <c r="C548" s="256" t="s">
        <v>5914</v>
      </c>
      <c r="D548" s="328" t="s">
        <v>2107</v>
      </c>
      <c r="E548" s="122" t="str">
        <f t="shared" si="8"/>
        <v xml:space="preserve">0783 : 비고 입력오류입니다                 </v>
      </c>
    </row>
    <row r="549" spans="1:5" s="64" customFormat="1">
      <c r="A549" s="316" t="s">
        <v>4635</v>
      </c>
      <c r="B549" s="123" t="s">
        <v>7609</v>
      </c>
      <c r="C549" s="256" t="s">
        <v>5915</v>
      </c>
      <c r="D549" s="328" t="s">
        <v>2106</v>
      </c>
      <c r="E549" s="122" t="str">
        <f t="shared" si="8"/>
        <v xml:space="preserve">0784 : 자금이체일련번호 생성 오류        </v>
      </c>
    </row>
    <row r="550" spans="1:5" s="64" customFormat="1">
      <c r="A550" s="316" t="s">
        <v>4635</v>
      </c>
      <c r="B550" s="123" t="s">
        <v>7609</v>
      </c>
      <c r="C550" s="256" t="s">
        <v>5916</v>
      </c>
      <c r="D550" s="328" t="s">
        <v>2105</v>
      </c>
      <c r="E550" s="122" t="str">
        <f t="shared" si="8"/>
        <v xml:space="preserve">0785 : 자금이체일련번호 갱신 오류        </v>
      </c>
    </row>
    <row r="551" spans="1:5" s="64" customFormat="1">
      <c r="A551" s="316" t="s">
        <v>4635</v>
      </c>
      <c r="B551" s="123" t="s">
        <v>7609</v>
      </c>
      <c r="C551" s="256" t="s">
        <v>5917</v>
      </c>
      <c r="D551" s="328" t="s">
        <v>2104</v>
      </c>
      <c r="E551" s="122" t="str">
        <f t="shared" si="8"/>
        <v xml:space="preserve">0786 : 자금이체일련번호 확인오류           </v>
      </c>
    </row>
    <row r="552" spans="1:5" s="64" customFormat="1">
      <c r="A552" s="316" t="s">
        <v>4635</v>
      </c>
      <c r="B552" s="123" t="s">
        <v>7609</v>
      </c>
      <c r="C552" s="256" t="s">
        <v>5918</v>
      </c>
      <c r="D552" s="328" t="s">
        <v>2103</v>
      </c>
      <c r="E552" s="122" t="str">
        <f t="shared" si="8"/>
        <v xml:space="preserve">0787 : 대기번호 생성 오류                </v>
      </c>
    </row>
    <row r="553" spans="1:5" s="64" customFormat="1">
      <c r="A553" s="316" t="s">
        <v>4635</v>
      </c>
      <c r="B553" s="123" t="s">
        <v>7609</v>
      </c>
      <c r="C553" s="256" t="s">
        <v>5919</v>
      </c>
      <c r="D553" s="328" t="s">
        <v>2102</v>
      </c>
      <c r="E553" s="122" t="str">
        <f t="shared" si="8"/>
        <v xml:space="preserve">0788 : 대기번호 갱신 오류                </v>
      </c>
    </row>
    <row r="554" spans="1:5" s="64" customFormat="1">
      <c r="A554" s="316" t="s">
        <v>4635</v>
      </c>
      <c r="B554" s="123" t="s">
        <v>7609</v>
      </c>
      <c r="C554" s="256" t="s">
        <v>5920</v>
      </c>
      <c r="D554" s="328" t="s">
        <v>2101</v>
      </c>
      <c r="E554" s="122" t="str">
        <f t="shared" si="8"/>
        <v xml:space="preserve">0789 : 대기번호 확인오류                   </v>
      </c>
    </row>
    <row r="555" spans="1:5" s="64" customFormat="1">
      <c r="A555" s="316" t="s">
        <v>4635</v>
      </c>
      <c r="B555" s="123" t="s">
        <v>7609</v>
      </c>
      <c r="C555" s="256" t="s">
        <v>5921</v>
      </c>
      <c r="D555" s="328" t="s">
        <v>2100</v>
      </c>
      <c r="E555" s="122" t="str">
        <f t="shared" si="8"/>
        <v xml:space="preserve">0790 : 대기순서 생성 오류                </v>
      </c>
    </row>
    <row r="556" spans="1:5" s="64" customFormat="1">
      <c r="A556" s="316" t="s">
        <v>4635</v>
      </c>
      <c r="B556" s="123" t="s">
        <v>7609</v>
      </c>
      <c r="C556" s="256" t="s">
        <v>5922</v>
      </c>
      <c r="D556" s="328" t="s">
        <v>2099</v>
      </c>
      <c r="E556" s="122" t="str">
        <f t="shared" si="8"/>
        <v xml:space="preserve">0791 : 대기내역（혼합형）테이블OPEN오류    </v>
      </c>
    </row>
    <row r="557" spans="1:5" s="64" customFormat="1">
      <c r="A557" s="316" t="s">
        <v>4635</v>
      </c>
      <c r="B557" s="123" t="s">
        <v>7609</v>
      </c>
      <c r="C557" s="256" t="s">
        <v>5923</v>
      </c>
      <c r="D557" s="328" t="s">
        <v>2098</v>
      </c>
      <c r="E557" s="122" t="str">
        <f t="shared" si="8"/>
        <v xml:space="preserve">0792 : 대기내역（혼합형）테이블FETCH오류   </v>
      </c>
    </row>
    <row r="558" spans="1:5" s="64" customFormat="1">
      <c r="A558" s="316" t="s">
        <v>4635</v>
      </c>
      <c r="B558" s="123" t="s">
        <v>7609</v>
      </c>
      <c r="C558" s="256" t="s">
        <v>5924</v>
      </c>
      <c r="D558" s="328" t="s">
        <v>2097</v>
      </c>
      <c r="E558" s="122" t="str">
        <f t="shared" si="8"/>
        <v xml:space="preserve">0793 : 대기내역（혼합형）테이블CLOSE오류   </v>
      </c>
    </row>
    <row r="559" spans="1:5" s="64" customFormat="1">
      <c r="A559" s="316" t="s">
        <v>4635</v>
      </c>
      <c r="B559" s="123" t="s">
        <v>7609</v>
      </c>
      <c r="C559" s="256" t="s">
        <v>5925</v>
      </c>
      <c r="D559" s="328" t="s">
        <v>2096</v>
      </c>
      <c r="E559" s="122" t="str">
        <f t="shared" si="8"/>
        <v xml:space="preserve">0794 : 대기순서 갱신 오류                </v>
      </c>
    </row>
    <row r="560" spans="1:5" s="64" customFormat="1">
      <c r="A560" s="316" t="s">
        <v>4635</v>
      </c>
      <c r="B560" s="123" t="s">
        <v>7609</v>
      </c>
      <c r="C560" s="256" t="s">
        <v>5926</v>
      </c>
      <c r="D560" s="328" t="s">
        <v>2095</v>
      </c>
      <c r="E560" s="122" t="str">
        <f t="shared" si="8"/>
        <v xml:space="preserve">0795 : 대기순서 확인오류                   </v>
      </c>
    </row>
    <row r="561" spans="1:5" s="64" customFormat="1">
      <c r="A561" s="316" t="s">
        <v>4635</v>
      </c>
      <c r="B561" s="123" t="s">
        <v>7609</v>
      </c>
      <c r="C561" s="256" t="s">
        <v>5927</v>
      </c>
      <c r="D561" s="328" t="s">
        <v>2094</v>
      </c>
      <c r="E561" s="122" t="str">
        <f t="shared" si="8"/>
        <v xml:space="preserve">0796 : 일중구분 입력오류입니다             </v>
      </c>
    </row>
    <row r="562" spans="1:5" s="64" customFormat="1">
      <c r="A562" s="316" t="s">
        <v>4635</v>
      </c>
      <c r="B562" s="123" t="s">
        <v>7609</v>
      </c>
      <c r="C562" s="256" t="s">
        <v>5928</v>
      </c>
      <c r="D562" s="328" t="s">
        <v>2093</v>
      </c>
      <c r="E562" s="122" t="str">
        <f t="shared" si="8"/>
        <v xml:space="preserve">0797 : 일중운영시간정보 자료가 없습니다  </v>
      </c>
    </row>
    <row r="563" spans="1:5" s="64" customFormat="1">
      <c r="A563" s="316" t="s">
        <v>4635</v>
      </c>
      <c r="B563" s="123" t="s">
        <v>7609</v>
      </c>
      <c r="C563" s="256" t="s">
        <v>5929</v>
      </c>
      <c r="D563" s="328" t="s">
        <v>2092</v>
      </c>
      <c r="E563" s="122" t="str">
        <f t="shared" si="8"/>
        <v xml:space="preserve">0798 : 일중운영시간정보 확인오류           </v>
      </c>
    </row>
    <row r="564" spans="1:5" s="64" customFormat="1">
      <c r="A564" s="316" t="s">
        <v>4635</v>
      </c>
      <c r="B564" s="123" t="s">
        <v>7609</v>
      </c>
      <c r="C564" s="256" t="s">
        <v>5930</v>
      </c>
      <c r="D564" s="328" t="s">
        <v>2091</v>
      </c>
      <c r="E564" s="122" t="str">
        <f t="shared" si="8"/>
        <v xml:space="preserve">0799 : 접속유형 입력오류입니다             </v>
      </c>
    </row>
    <row r="565" spans="1:5" s="64" customFormat="1">
      <c r="A565" s="316" t="s">
        <v>4635</v>
      </c>
      <c r="B565" s="123" t="s">
        <v>7609</v>
      </c>
      <c r="C565" s="256" t="s">
        <v>5931</v>
      </c>
      <c r="D565" s="328" t="s">
        <v>2090</v>
      </c>
      <c r="E565" s="122" t="str">
        <f t="shared" si="8"/>
        <v>0800 : 단말일자와 거래일자가 불일치합니다.</v>
      </c>
    </row>
    <row r="566" spans="1:5" s="64" customFormat="1">
      <c r="A566" s="316" t="s">
        <v>4635</v>
      </c>
      <c r="B566" s="123" t="s">
        <v>7609</v>
      </c>
      <c r="C566" s="256" t="s">
        <v>5932</v>
      </c>
      <c r="D566" s="328" t="s">
        <v>2089</v>
      </c>
      <c r="E566" s="122" t="str">
        <f t="shared" si="8"/>
        <v xml:space="preserve">0801 : 통지내역이 존재하지 않습니다      </v>
      </c>
    </row>
    <row r="567" spans="1:5" s="64" customFormat="1">
      <c r="A567" s="316" t="s">
        <v>4635</v>
      </c>
      <c r="B567" s="123" t="s">
        <v>7609</v>
      </c>
      <c r="C567" s="256" t="s">
        <v>5933</v>
      </c>
      <c r="D567" s="328" t="s">
        <v>2088</v>
      </c>
      <c r="E567" s="122" t="str">
        <f t="shared" si="8"/>
        <v xml:space="preserve">0802 : 통지내역 갱신 오류                </v>
      </c>
    </row>
    <row r="568" spans="1:5" s="64" customFormat="1">
      <c r="A568" s="316" t="s">
        <v>4635</v>
      </c>
      <c r="B568" s="123" t="s">
        <v>7609</v>
      </c>
      <c r="C568" s="256" t="s">
        <v>5934</v>
      </c>
      <c r="D568" s="328" t="s">
        <v>2087</v>
      </c>
      <c r="E568" s="122" t="str">
        <f t="shared" si="8"/>
        <v>0803 : 수신기관이 장애등록처리 되었읍니다</v>
      </c>
    </row>
    <row r="569" spans="1:5" s="64" customFormat="1">
      <c r="A569" s="316" t="s">
        <v>4635</v>
      </c>
      <c r="B569" s="123" t="s">
        <v>7609</v>
      </c>
      <c r="C569" s="256" t="s">
        <v>5935</v>
      </c>
      <c r="D569" s="328" t="s">
        <v>2086</v>
      </c>
      <c r="E569" s="122" t="str">
        <f t="shared" si="8"/>
        <v xml:space="preserve">0804 : 서버기관장애시 통지내역갱신 오류  </v>
      </c>
    </row>
    <row r="570" spans="1:5" s="64" customFormat="1">
      <c r="A570" s="316" t="s">
        <v>4635</v>
      </c>
      <c r="B570" s="123" t="s">
        <v>7609</v>
      </c>
      <c r="C570" s="256" t="s">
        <v>5936</v>
      </c>
      <c r="D570" s="328" t="s">
        <v>2085</v>
      </c>
      <c r="E570" s="122" t="str">
        <f t="shared" si="8"/>
        <v>0805 : 중계기로부터 전문포맷오류를 수신함</v>
      </c>
    </row>
    <row r="571" spans="1:5" s="64" customFormat="1">
      <c r="A571" s="316" t="s">
        <v>4635</v>
      </c>
      <c r="B571" s="123" t="s">
        <v>7609</v>
      </c>
      <c r="C571" s="256" t="s">
        <v>5937</v>
      </c>
      <c r="D571" s="328" t="s">
        <v>2084</v>
      </c>
      <c r="E571" s="122" t="str">
        <f t="shared" si="8"/>
        <v xml:space="preserve">0806 : 비정상 처리되었습니다               </v>
      </c>
    </row>
    <row r="572" spans="1:5" s="64" customFormat="1">
      <c r="A572" s="316" t="s">
        <v>4635</v>
      </c>
      <c r="B572" s="123" t="s">
        <v>7609</v>
      </c>
      <c r="C572" s="256" t="s">
        <v>5938</v>
      </c>
      <c r="D572" s="328" t="s">
        <v>2083</v>
      </c>
      <c r="E572" s="122" t="str">
        <f t="shared" si="8"/>
        <v xml:space="preserve">0807 : 전송작업중 오류코드 수신          </v>
      </c>
    </row>
    <row r="573" spans="1:5" s="64" customFormat="1">
      <c r="A573" s="316" t="s">
        <v>4635</v>
      </c>
      <c r="B573" s="123" t="s">
        <v>7609</v>
      </c>
      <c r="C573" s="256" t="s">
        <v>5939</v>
      </c>
      <c r="D573" s="328" t="s">
        <v>2082</v>
      </c>
      <c r="E573" s="122" t="str">
        <f t="shared" si="8"/>
        <v xml:space="preserve">0808 : 잠시후 재처리하세요                 </v>
      </c>
    </row>
    <row r="574" spans="1:5" s="64" customFormat="1">
      <c r="A574" s="316" t="s">
        <v>4635</v>
      </c>
      <c r="B574" s="123" t="s">
        <v>7609</v>
      </c>
      <c r="C574" s="256" t="s">
        <v>5940</v>
      </c>
      <c r="D574" s="328" t="s">
        <v>2081</v>
      </c>
      <c r="E574" s="122" t="str">
        <f t="shared" si="8"/>
        <v xml:space="preserve">0809 : 세션 오류                           </v>
      </c>
    </row>
    <row r="575" spans="1:5" s="64" customFormat="1">
      <c r="A575" s="316" t="s">
        <v>4635</v>
      </c>
      <c r="B575" s="123" t="s">
        <v>7609</v>
      </c>
      <c r="C575" s="256" t="s">
        <v>5941</v>
      </c>
      <c r="D575" s="328" t="s">
        <v>2080</v>
      </c>
      <c r="E575" s="122" t="str">
        <f t="shared" si="8"/>
        <v xml:space="preserve">0810 : INVREQ-ERR                              </v>
      </c>
    </row>
    <row r="576" spans="1:5" s="64" customFormat="1">
      <c r="A576" s="316" t="s">
        <v>4635</v>
      </c>
      <c r="B576" s="123" t="s">
        <v>7609</v>
      </c>
      <c r="C576" s="256" t="s">
        <v>5942</v>
      </c>
      <c r="D576" s="328" t="s">
        <v>2079</v>
      </c>
      <c r="E576" s="122" t="str">
        <f t="shared" si="8"/>
        <v xml:space="preserve">0811 : 연결된 세션 없음                  </v>
      </c>
    </row>
    <row r="577" spans="1:5" s="64" customFormat="1">
      <c r="A577" s="316" t="s">
        <v>4635</v>
      </c>
      <c r="B577" s="123" t="s">
        <v>7609</v>
      </c>
      <c r="C577" s="256" t="s">
        <v>5943</v>
      </c>
      <c r="D577" s="328" t="s">
        <v>2078</v>
      </c>
      <c r="E577" s="122" t="str">
        <f t="shared" si="8"/>
        <v xml:space="preserve">0812 : 중계기로부터 응답 없음            </v>
      </c>
    </row>
    <row r="578" spans="1:5" s="64" customFormat="1">
      <c r="A578" s="316" t="s">
        <v>4635</v>
      </c>
      <c r="B578" s="123" t="s">
        <v>7609</v>
      </c>
      <c r="C578" s="256" t="s">
        <v>5944</v>
      </c>
      <c r="D578" s="328" t="s">
        <v>2077</v>
      </c>
      <c r="E578" s="122" t="str">
        <f t="shared" si="8"/>
        <v xml:space="preserve">0813 : 자동수행거래 처리현황 생성오류    </v>
      </c>
    </row>
    <row r="579" spans="1:5" s="64" customFormat="1">
      <c r="A579" s="316" t="s">
        <v>4635</v>
      </c>
      <c r="B579" s="123" t="s">
        <v>7609</v>
      </c>
      <c r="C579" s="256" t="s">
        <v>5945</v>
      </c>
      <c r="D579" s="328" t="s">
        <v>2076</v>
      </c>
      <c r="E579" s="122" t="str">
        <f t="shared" si="8"/>
        <v xml:space="preserve">0814 : 혼합형시스템 업무마감이전입니다     </v>
      </c>
    </row>
    <row r="580" spans="1:5" s="64" customFormat="1">
      <c r="A580" s="316" t="s">
        <v>4635</v>
      </c>
      <c r="B580" s="123" t="s">
        <v>7609</v>
      </c>
      <c r="C580" s="256" t="s">
        <v>5946</v>
      </c>
      <c r="D580" s="328" t="s">
        <v>2075</v>
      </c>
      <c r="E580" s="122" t="str">
        <f t="shared" ref="E580:E643" si="9">_xlfn.TEXTJOIN(" : ",FALSE,C580:D580)</f>
        <v xml:space="preserve">0815 : 통지내역 테이블 OPEN 오류         </v>
      </c>
    </row>
    <row r="581" spans="1:5" s="64" customFormat="1">
      <c r="A581" s="316" t="s">
        <v>4635</v>
      </c>
      <c r="B581" s="123" t="s">
        <v>7609</v>
      </c>
      <c r="C581" s="256" t="s">
        <v>5947</v>
      </c>
      <c r="D581" s="328" t="s">
        <v>2074</v>
      </c>
      <c r="E581" s="122" t="str">
        <f t="shared" si="9"/>
        <v xml:space="preserve">0816 : 통지내역 테이블 FETCH 오류        </v>
      </c>
    </row>
    <row r="582" spans="1:5" s="64" customFormat="1">
      <c r="A582" s="316" t="s">
        <v>4635</v>
      </c>
      <c r="B582" s="123" t="s">
        <v>7609</v>
      </c>
      <c r="C582" s="256" t="s">
        <v>5948</v>
      </c>
      <c r="D582" s="328" t="s">
        <v>2073</v>
      </c>
      <c r="E582" s="122" t="str">
        <f t="shared" si="9"/>
        <v xml:space="preserve">0817 : 통지내역 테이블 CLOSE 오류        </v>
      </c>
    </row>
    <row r="583" spans="1:5" s="64" customFormat="1">
      <c r="A583" s="316" t="s">
        <v>4635</v>
      </c>
      <c r="B583" s="123" t="s">
        <v>7609</v>
      </c>
      <c r="C583" s="256" t="s">
        <v>5949</v>
      </c>
      <c r="D583" s="328" t="s">
        <v>2072</v>
      </c>
      <c r="E583" s="122" t="str">
        <f t="shared" si="9"/>
        <v xml:space="preserve">0818 : 통지대상 자료가 없습니다          </v>
      </c>
    </row>
    <row r="584" spans="1:5" s="64" customFormat="1">
      <c r="A584" s="316" t="s">
        <v>4635</v>
      </c>
      <c r="B584" s="123" t="s">
        <v>7609</v>
      </c>
      <c r="C584" s="256" t="s">
        <v>5950</v>
      </c>
      <c r="D584" s="328" t="s">
        <v>2071</v>
      </c>
      <c r="E584" s="122" t="str">
        <f t="shared" si="9"/>
        <v xml:space="preserve">0819 : 송수신구분 입력오류입니다           </v>
      </c>
    </row>
    <row r="585" spans="1:5" s="64" customFormat="1">
      <c r="A585" s="316" t="s">
        <v>4635</v>
      </c>
      <c r="B585" s="123" t="s">
        <v>7609</v>
      </c>
      <c r="C585" s="256" t="s">
        <v>5951</v>
      </c>
      <c r="D585" s="328" t="s">
        <v>2070</v>
      </c>
      <c r="E585" s="122" t="str">
        <f t="shared" si="9"/>
        <v xml:space="preserve">0820 : 전문처리상태 입력오류입니다         </v>
      </c>
    </row>
    <row r="586" spans="1:5" s="64" customFormat="1">
      <c r="A586" s="316" t="s">
        <v>4635</v>
      </c>
      <c r="B586" s="123" t="s">
        <v>7609</v>
      </c>
      <c r="C586" s="256" t="s">
        <v>5952</v>
      </c>
      <c r="D586" s="328" t="s">
        <v>2069</v>
      </c>
      <c r="E586" s="122" t="str">
        <f t="shared" si="9"/>
        <v xml:space="preserve">0821 : 전문내용길이 입력오류입니다         </v>
      </c>
    </row>
    <row r="587" spans="1:5" s="64" customFormat="1">
      <c r="A587" s="316" t="s">
        <v>4635</v>
      </c>
      <c r="B587" s="123" t="s">
        <v>7609</v>
      </c>
      <c r="C587" s="256" t="s">
        <v>5953</v>
      </c>
      <c r="D587" s="328" t="s">
        <v>2068</v>
      </c>
      <c r="E587" s="122" t="str">
        <f t="shared" si="9"/>
        <v xml:space="preserve">0822 : 전문내용데이터 입력오류입니다       </v>
      </c>
    </row>
    <row r="588" spans="1:5" s="64" customFormat="1">
      <c r="A588" s="316" t="s">
        <v>4635</v>
      </c>
      <c r="B588" s="123" t="s">
        <v>7609</v>
      </c>
      <c r="C588" s="256" t="s">
        <v>5954</v>
      </c>
      <c r="D588" s="328" t="s">
        <v>2067</v>
      </c>
      <c r="E588" s="122" t="str">
        <f t="shared" si="9"/>
        <v xml:space="preserve">0823 : 로그등록일시 입력오류입니다         </v>
      </c>
    </row>
    <row r="589" spans="1:5" s="64" customFormat="1">
      <c r="A589" s="316" t="s">
        <v>4635</v>
      </c>
      <c r="B589" s="123" t="s">
        <v>7609</v>
      </c>
      <c r="C589" s="256" t="s">
        <v>5955</v>
      </c>
      <c r="D589" s="328" t="s">
        <v>2066</v>
      </c>
      <c r="E589" s="122" t="str">
        <f t="shared" si="9"/>
        <v xml:space="preserve">0824 : 전문관리번호가 이미 존재합니다    </v>
      </c>
    </row>
    <row r="590" spans="1:5" s="64" customFormat="1">
      <c r="A590" s="316" t="s">
        <v>4635</v>
      </c>
      <c r="B590" s="123" t="s">
        <v>7609</v>
      </c>
      <c r="C590" s="256" t="s">
        <v>5956</v>
      </c>
      <c r="D590" s="328" t="s">
        <v>2065</v>
      </c>
      <c r="E590" s="122" t="str">
        <f t="shared" si="9"/>
        <v xml:space="preserve">0825 : 전문관리번호 생성 오류            </v>
      </c>
    </row>
    <row r="591" spans="1:5" s="64" customFormat="1">
      <c r="A591" s="316" t="s">
        <v>4635</v>
      </c>
      <c r="B591" s="123" t="s">
        <v>7609</v>
      </c>
      <c r="C591" s="256" t="s">
        <v>5957</v>
      </c>
      <c r="D591" s="328" t="s">
        <v>2064</v>
      </c>
      <c r="E591" s="122" t="str">
        <f t="shared" si="9"/>
        <v xml:space="preserve">0826 : 동시처리일련번호 생성 오류        </v>
      </c>
    </row>
    <row r="592" spans="1:5" s="64" customFormat="1">
      <c r="A592" s="316" t="s">
        <v>4635</v>
      </c>
      <c r="B592" s="123" t="s">
        <v>7609</v>
      </c>
      <c r="C592" s="256" t="s">
        <v>5958</v>
      </c>
      <c r="D592" s="328" t="s">
        <v>2063</v>
      </c>
      <c r="E592" s="122" t="str">
        <f t="shared" si="9"/>
        <v xml:space="preserve">0827 : 동시처리일련번호 갱신 오류        </v>
      </c>
    </row>
    <row r="593" spans="1:5" s="64" customFormat="1">
      <c r="A593" s="316" t="s">
        <v>4635</v>
      </c>
      <c r="B593" s="123" t="s">
        <v>7609</v>
      </c>
      <c r="C593" s="256" t="s">
        <v>5959</v>
      </c>
      <c r="D593" s="328" t="s">
        <v>2062</v>
      </c>
      <c r="E593" s="122" t="str">
        <f t="shared" si="9"/>
        <v xml:space="preserve">0828 : 동시처리일련번호 확인오류           </v>
      </c>
    </row>
    <row r="594" spans="1:5" s="64" customFormat="1">
      <c r="A594" s="316" t="s">
        <v>4635</v>
      </c>
      <c r="B594" s="123" t="s">
        <v>7609</v>
      </c>
      <c r="C594" s="256" t="s">
        <v>5960</v>
      </c>
      <c r="D594" s="328" t="s">
        <v>2061</v>
      </c>
      <c r="E594" s="122" t="str">
        <f t="shared" si="9"/>
        <v xml:space="preserve">0829 : 송신기관 입력오류입니다             </v>
      </c>
    </row>
    <row r="595" spans="1:5" s="64" customFormat="1">
      <c r="A595" s="316" t="s">
        <v>4635</v>
      </c>
      <c r="B595" s="123" t="s">
        <v>7609</v>
      </c>
      <c r="C595" s="256" t="s">
        <v>5961</v>
      </c>
      <c r="D595" s="328" t="s">
        <v>2060</v>
      </c>
      <c r="E595" s="122" t="str">
        <f t="shared" si="9"/>
        <v xml:space="preserve">0830 : 결제시스템구분오류입니다              </v>
      </c>
    </row>
    <row r="596" spans="1:5" s="64" customFormat="1">
      <c r="A596" s="316" t="s">
        <v>4635</v>
      </c>
      <c r="B596" s="123" t="s">
        <v>7609</v>
      </c>
      <c r="C596" s="256" t="s">
        <v>5962</v>
      </c>
      <c r="D596" s="328" t="s">
        <v>2059</v>
      </c>
      <c r="E596" s="122" t="str">
        <f t="shared" si="9"/>
        <v xml:space="preserve">0831 : 증권은　대기취소만　가능합니다        </v>
      </c>
    </row>
    <row r="597" spans="1:5" s="64" customFormat="1">
      <c r="A597" s="316" t="s">
        <v>4635</v>
      </c>
      <c r="B597" s="123" t="s">
        <v>7609</v>
      </c>
      <c r="C597" s="256" t="s">
        <v>5963</v>
      </c>
      <c r="D597" s="328" t="s">
        <v>2058</v>
      </c>
      <c r="E597" s="122" t="str">
        <f t="shared" si="9"/>
        <v xml:space="preserve">0832 : 총액은　대기취소만　가능합니다        </v>
      </c>
    </row>
    <row r="598" spans="1:5" s="64" customFormat="1">
      <c r="A598" s="316" t="s">
        <v>4635</v>
      </c>
      <c r="B598" s="123" t="s">
        <v>7609</v>
      </c>
      <c r="C598" s="256" t="s">
        <v>5964</v>
      </c>
      <c r="D598" s="328" t="s">
        <v>2057</v>
      </c>
      <c r="E598" s="122" t="str">
        <f t="shared" si="9"/>
        <v>0833 : 대기취소만 가능합니다.</v>
      </c>
    </row>
    <row r="599" spans="1:5" s="64" customFormat="1">
      <c r="A599" s="316" t="s">
        <v>4635</v>
      </c>
      <c r="B599" s="123" t="s">
        <v>7609</v>
      </c>
      <c r="C599" s="256" t="s">
        <v>5965</v>
      </c>
      <c r="D599" s="328" t="s">
        <v>2056</v>
      </c>
      <c r="E599" s="122" t="str">
        <f t="shared" si="9"/>
        <v>0834 : 대기취소 오류입니다.</v>
      </c>
    </row>
    <row r="600" spans="1:5" s="64" customFormat="1">
      <c r="A600" s="316" t="s">
        <v>4635</v>
      </c>
      <c r="B600" s="123" t="s">
        <v>7609</v>
      </c>
      <c r="C600" s="256" t="s">
        <v>5966</v>
      </c>
      <c r="D600" s="328" t="s">
        <v>2055</v>
      </c>
      <c r="E600" s="122" t="str">
        <f t="shared" si="9"/>
        <v>0835 : 대기내역 갱신 오류입니다.</v>
      </c>
    </row>
    <row r="601" spans="1:5" s="64" customFormat="1">
      <c r="A601" s="316" t="s">
        <v>4635</v>
      </c>
      <c r="B601" s="123" t="s">
        <v>7609</v>
      </c>
      <c r="C601" s="256" t="s">
        <v>5967</v>
      </c>
      <c r="D601" s="328" t="s">
        <v>2054</v>
      </c>
      <c r="E601" s="122" t="str">
        <f t="shared" si="9"/>
        <v xml:space="preserve">0836 : 대기내역（총액）테이블OPEN  오류    </v>
      </c>
    </row>
    <row r="602" spans="1:5" s="64" customFormat="1">
      <c r="A602" s="316" t="s">
        <v>4635</v>
      </c>
      <c r="B602" s="123" t="s">
        <v>7609</v>
      </c>
      <c r="C602" s="256" t="s">
        <v>5968</v>
      </c>
      <c r="D602" s="328" t="s">
        <v>2053</v>
      </c>
      <c r="E602" s="122" t="str">
        <f t="shared" si="9"/>
        <v xml:space="preserve">0837 : 대기내역（총액）테이블FETCH 오류    </v>
      </c>
    </row>
    <row r="603" spans="1:5" s="64" customFormat="1">
      <c r="A603" s="316" t="s">
        <v>4635</v>
      </c>
      <c r="B603" s="123" t="s">
        <v>7609</v>
      </c>
      <c r="C603" s="256" t="s">
        <v>5969</v>
      </c>
      <c r="D603" s="328" t="s">
        <v>2052</v>
      </c>
      <c r="E603" s="122" t="str">
        <f t="shared" si="9"/>
        <v xml:space="preserve">0838 : 대기내역（총액）테이블CLOSE 오류    </v>
      </c>
    </row>
    <row r="604" spans="1:5" s="64" customFormat="1">
      <c r="A604" s="316" t="s">
        <v>4635</v>
      </c>
      <c r="B604" s="123" t="s">
        <v>7609</v>
      </c>
      <c r="C604" s="256" t="s">
        <v>5970</v>
      </c>
      <c r="D604" s="328" t="s">
        <v>2051</v>
      </c>
      <c r="E604" s="122" t="str">
        <f t="shared" si="9"/>
        <v>0839 : 처리할 대기내역이 없습니다.</v>
      </c>
    </row>
    <row r="605" spans="1:5" s="64" customFormat="1">
      <c r="A605" s="316" t="s">
        <v>4635</v>
      </c>
      <c r="B605" s="123" t="s">
        <v>7609</v>
      </c>
      <c r="C605" s="256" t="s">
        <v>5971</v>
      </c>
      <c r="D605" s="328" t="s">
        <v>2050</v>
      </c>
      <c r="E605" s="122" t="str">
        <f t="shared" si="9"/>
        <v xml:space="preserve">0840 : 예약내역(총액)확인오류            </v>
      </c>
    </row>
    <row r="606" spans="1:5" s="64" customFormat="1">
      <c r="A606" s="316" t="s">
        <v>4635</v>
      </c>
      <c r="B606" s="123" t="s">
        <v>7609</v>
      </c>
      <c r="C606" s="256" t="s">
        <v>5972</v>
      </c>
      <c r="D606" s="328" t="s">
        <v>2049</v>
      </c>
      <c r="E606" s="122" t="str">
        <f t="shared" si="9"/>
        <v xml:space="preserve">0841 : 예약내역（총액）테이블OPEN  오류    </v>
      </c>
    </row>
    <row r="607" spans="1:5" s="64" customFormat="1">
      <c r="A607" s="316" t="s">
        <v>4635</v>
      </c>
      <c r="B607" s="123" t="s">
        <v>7609</v>
      </c>
      <c r="C607" s="256" t="s">
        <v>5973</v>
      </c>
      <c r="D607" s="328" t="s">
        <v>2048</v>
      </c>
      <c r="E607" s="122" t="str">
        <f t="shared" si="9"/>
        <v xml:space="preserve">0842 : 예약내역（총액）테이블FETCH 오류    </v>
      </c>
    </row>
    <row r="608" spans="1:5" s="64" customFormat="1">
      <c r="A608" s="316" t="s">
        <v>4635</v>
      </c>
      <c r="B608" s="123" t="s">
        <v>7609</v>
      </c>
      <c r="C608" s="256" t="s">
        <v>5974</v>
      </c>
      <c r="D608" s="328" t="s">
        <v>2047</v>
      </c>
      <c r="E608" s="122" t="str">
        <f t="shared" si="9"/>
        <v xml:space="preserve">0843 : 예약내역（총액）테이블CLOSE 오류    </v>
      </c>
    </row>
    <row r="609" spans="1:5" s="64" customFormat="1">
      <c r="A609" s="316" t="s">
        <v>4635</v>
      </c>
      <c r="B609" s="123" t="s">
        <v>7609</v>
      </c>
      <c r="C609" s="256" t="s">
        <v>5975</v>
      </c>
      <c r="D609" s="328" t="s">
        <v>2046</v>
      </c>
      <c r="E609" s="122" t="str">
        <f t="shared" si="9"/>
        <v xml:space="preserve">0847 : 통지내역 오류                       </v>
      </c>
    </row>
    <row r="610" spans="1:5" s="64" customFormat="1">
      <c r="A610" s="316" t="s">
        <v>4635</v>
      </c>
      <c r="B610" s="123" t="s">
        <v>7609</v>
      </c>
      <c r="C610" s="256" t="s">
        <v>5976</v>
      </c>
      <c r="D610" s="328" t="s">
        <v>2045</v>
      </c>
      <c r="E610" s="122" t="str">
        <f t="shared" si="9"/>
        <v xml:space="preserve">0849 : 자금이체가　대기상태가　아닙니다      </v>
      </c>
    </row>
    <row r="611" spans="1:5" s="64" customFormat="1">
      <c r="A611" s="316" t="s">
        <v>4635</v>
      </c>
      <c r="B611" s="123" t="s">
        <v>7609</v>
      </c>
      <c r="C611" s="256" t="s">
        <v>5977</v>
      </c>
      <c r="D611" s="328" t="s">
        <v>2044</v>
      </c>
      <c r="E611" s="122" t="str">
        <f t="shared" si="9"/>
        <v xml:space="preserve">0850 : 자금이체의　지급지시유형오류입니다    </v>
      </c>
    </row>
    <row r="612" spans="1:5" s="64" customFormat="1">
      <c r="A612" s="316" t="s">
        <v>4635</v>
      </c>
      <c r="B612" s="123" t="s">
        <v>7609</v>
      </c>
      <c r="C612" s="256" t="s">
        <v>5978</v>
      </c>
      <c r="D612" s="328" t="s">
        <v>2043</v>
      </c>
      <c r="E612" s="122" t="str">
        <f t="shared" si="9"/>
        <v xml:space="preserve">0851 : 대기내역이남아있습니다                </v>
      </c>
    </row>
    <row r="613" spans="1:5" s="64" customFormat="1">
      <c r="A613" s="316" t="s">
        <v>4635</v>
      </c>
      <c r="B613" s="123" t="s">
        <v>7609</v>
      </c>
      <c r="C613" s="256" t="s">
        <v>5979</v>
      </c>
      <c r="D613" s="328" t="s">
        <v>2042</v>
      </c>
      <c r="E613" s="122" t="str">
        <f t="shared" si="9"/>
        <v xml:space="preserve">0852 : 결제전용잔액이　남아있습니다          </v>
      </c>
    </row>
    <row r="614" spans="1:5" s="64" customFormat="1">
      <c r="A614" s="316" t="s">
        <v>4635</v>
      </c>
      <c r="B614" s="123" t="s">
        <v>7609</v>
      </c>
      <c r="C614" s="256" t="s">
        <v>5980</v>
      </c>
      <c r="D614" s="328" t="s">
        <v>2041</v>
      </c>
      <c r="E614" s="122" t="str">
        <f t="shared" si="9"/>
        <v xml:space="preserve">0853 : 대기일괄취소마감상태임                </v>
      </c>
    </row>
    <row r="615" spans="1:5" s="64" customFormat="1">
      <c r="A615" s="316" t="s">
        <v>4635</v>
      </c>
      <c r="B615" s="123" t="s">
        <v>7609</v>
      </c>
      <c r="C615" s="256" t="s">
        <v>5981</v>
      </c>
      <c r="D615" s="328" t="s">
        <v>2040</v>
      </c>
      <c r="E615" s="122" t="str">
        <f t="shared" si="9"/>
        <v xml:space="preserve">0854 : 한국은행이　셋팅하는항목입니다        </v>
      </c>
    </row>
    <row r="616" spans="1:5" s="64" customFormat="1">
      <c r="A616" s="316" t="s">
        <v>4635</v>
      </c>
      <c r="B616" s="123" t="s">
        <v>7609</v>
      </c>
      <c r="C616" s="256" t="s">
        <v>5982</v>
      </c>
      <c r="D616" s="328" t="s">
        <v>2039</v>
      </c>
      <c r="E616" s="122" t="str">
        <f t="shared" si="9"/>
        <v xml:space="preserve">0856 : 처리시간은　입력항목이　아닙니다      </v>
      </c>
    </row>
    <row r="617" spans="1:5" s="64" customFormat="1">
      <c r="A617" s="316" t="s">
        <v>4635</v>
      </c>
      <c r="B617" s="123" t="s">
        <v>7609</v>
      </c>
      <c r="C617" s="256" t="s">
        <v>5983</v>
      </c>
      <c r="D617" s="328" t="s">
        <v>2038</v>
      </c>
      <c r="E617" s="122" t="str">
        <f t="shared" si="9"/>
        <v xml:space="preserve">0857 : 공란은　입력항목이　아닙니다          </v>
      </c>
    </row>
    <row r="618" spans="1:5" s="64" customFormat="1">
      <c r="A618" s="316" t="s">
        <v>4635</v>
      </c>
      <c r="B618" s="123" t="s">
        <v>7609</v>
      </c>
      <c r="C618" s="256" t="s">
        <v>5984</v>
      </c>
      <c r="D618" s="328" t="s">
        <v>2037</v>
      </c>
      <c r="E618" s="122" t="str">
        <f t="shared" si="9"/>
        <v xml:space="preserve">0858 : 거래번호는 입력항목이 아닙니다    </v>
      </c>
    </row>
    <row r="619" spans="1:5" s="64" customFormat="1">
      <c r="A619" s="316" t="s">
        <v>4635</v>
      </c>
      <c r="B619" s="123" t="s">
        <v>7609</v>
      </c>
      <c r="C619" s="256" t="s">
        <v>5985</v>
      </c>
      <c r="D619" s="328" t="s">
        <v>2036</v>
      </c>
      <c r="E619" s="122" t="str">
        <f t="shared" si="9"/>
        <v xml:space="preserve">0859 : 회계번호는 입력항목이 아닙니다    </v>
      </c>
    </row>
    <row r="620" spans="1:5" s="64" customFormat="1">
      <c r="A620" s="316" t="s">
        <v>4635</v>
      </c>
      <c r="B620" s="123" t="s">
        <v>7609</v>
      </c>
      <c r="C620" s="256" t="s">
        <v>5986</v>
      </c>
      <c r="D620" s="328" t="s">
        <v>2035</v>
      </c>
      <c r="E620" s="122" t="str">
        <f t="shared" si="9"/>
        <v xml:space="preserve">0860 : 이체시간은 입력항목이 아닙니다    </v>
      </c>
    </row>
    <row r="621" spans="1:5" s="64" customFormat="1">
      <c r="A621" s="316" t="s">
        <v>4635</v>
      </c>
      <c r="B621" s="123" t="s">
        <v>7609</v>
      </c>
      <c r="C621" s="256" t="s">
        <v>5987</v>
      </c>
      <c r="D621" s="328" t="s">
        <v>2034</v>
      </c>
      <c r="E621" s="122" t="str">
        <f t="shared" si="9"/>
        <v>0861 : 자금조정잔액은 입력항목이 아닙니다</v>
      </c>
    </row>
    <row r="622" spans="1:5" s="64" customFormat="1">
      <c r="A622" s="316" t="s">
        <v>4635</v>
      </c>
      <c r="B622" s="123" t="s">
        <v>7609</v>
      </c>
      <c r="C622" s="256" t="s">
        <v>5988</v>
      </c>
      <c r="D622" s="328" t="s">
        <v>2033</v>
      </c>
      <c r="E622" s="122" t="str">
        <f t="shared" si="9"/>
        <v>0862 : 당좌예금(한은거래)잔액은 입력항목이 아닙니다.</v>
      </c>
    </row>
    <row r="623" spans="1:5" s="64" customFormat="1">
      <c r="A623" s="316" t="s">
        <v>4635</v>
      </c>
      <c r="B623" s="123" t="s">
        <v>7609</v>
      </c>
      <c r="C623" s="256" t="s">
        <v>5989</v>
      </c>
      <c r="D623" s="328" t="s">
        <v>2032</v>
      </c>
      <c r="E623" s="122" t="str">
        <f t="shared" si="9"/>
        <v>0863 : 당좌예금(결제전용)잔액은 입력항목이 아닙니다.</v>
      </c>
    </row>
    <row r="624" spans="1:5" s="64" customFormat="1">
      <c r="A624" s="316" t="s">
        <v>4635</v>
      </c>
      <c r="B624" s="123" t="s">
        <v>7609</v>
      </c>
      <c r="C624" s="256" t="s">
        <v>5990</v>
      </c>
      <c r="D624" s="328" t="s">
        <v>2031</v>
      </c>
      <c r="E624" s="122" t="str">
        <f t="shared" si="9"/>
        <v>0864 : 당좌대출금액은 입력항목이 아닙니다</v>
      </c>
    </row>
    <row r="625" spans="1:5" s="64" customFormat="1">
      <c r="A625" s="316" t="s">
        <v>4635</v>
      </c>
      <c r="B625" s="123" t="s">
        <v>7609</v>
      </c>
      <c r="C625" s="256" t="s">
        <v>5991</v>
      </c>
      <c r="D625" s="328" t="s">
        <v>834</v>
      </c>
      <c r="E625" s="122" t="str">
        <f t="shared" si="9"/>
        <v xml:space="preserve">0865 : 총전문수는 입력항목이 아닙니다    </v>
      </c>
    </row>
    <row r="626" spans="1:5" s="64" customFormat="1">
      <c r="A626" s="316" t="s">
        <v>4635</v>
      </c>
      <c r="B626" s="123" t="s">
        <v>7609</v>
      </c>
      <c r="C626" s="256" t="s">
        <v>5992</v>
      </c>
      <c r="D626" s="328" t="s">
        <v>833</v>
      </c>
      <c r="E626" s="122" t="str">
        <f t="shared" si="9"/>
        <v xml:space="preserve">0866 : 총조회건수는 입력항목이 아닙니다  </v>
      </c>
    </row>
    <row r="627" spans="1:5" s="64" customFormat="1">
      <c r="A627" s="316" t="s">
        <v>4635</v>
      </c>
      <c r="B627" s="123" t="s">
        <v>7609</v>
      </c>
      <c r="C627" s="256" t="s">
        <v>5993</v>
      </c>
      <c r="D627" s="328" t="s">
        <v>2030</v>
      </c>
      <c r="E627" s="122" t="str">
        <f t="shared" si="9"/>
        <v xml:space="preserve">0867 : 출력건수는 입력항목이 아닙니다    </v>
      </c>
    </row>
    <row r="628" spans="1:5" s="64" customFormat="1">
      <c r="A628" s="316" t="s">
        <v>4635</v>
      </c>
      <c r="B628" s="123" t="s">
        <v>7609</v>
      </c>
      <c r="C628" s="256" t="s">
        <v>5994</v>
      </c>
      <c r="D628" s="328" t="s">
        <v>2029</v>
      </c>
      <c r="E628" s="122" t="str">
        <f t="shared" si="9"/>
        <v xml:space="preserve">0868 : 계정개설처는 입력항목이 아닙니다  </v>
      </c>
    </row>
    <row r="629" spans="1:5" s="64" customFormat="1">
      <c r="A629" s="316" t="s">
        <v>4635</v>
      </c>
      <c r="B629" s="123" t="s">
        <v>7609</v>
      </c>
      <c r="C629" s="256" t="s">
        <v>5995</v>
      </c>
      <c r="D629" s="328" t="s">
        <v>2028</v>
      </c>
      <c r="E629" s="122" t="str">
        <f t="shared" si="9"/>
        <v xml:space="preserve">0869 : 계정명은 입력항목이 아닙니다      </v>
      </c>
    </row>
    <row r="630" spans="1:5" s="64" customFormat="1">
      <c r="A630" s="316" t="s">
        <v>4635</v>
      </c>
      <c r="B630" s="123" t="s">
        <v>7609</v>
      </c>
      <c r="C630" s="256" t="s">
        <v>5996</v>
      </c>
      <c r="D630" s="328" t="s">
        <v>2027</v>
      </c>
      <c r="E630" s="122" t="str">
        <f t="shared" si="9"/>
        <v xml:space="preserve">0870 : 잔액은 입력항목이 아닙니다        </v>
      </c>
    </row>
    <row r="631" spans="1:5" s="64" customFormat="1">
      <c r="A631" s="316" t="s">
        <v>4635</v>
      </c>
      <c r="B631" s="123" t="s">
        <v>7609</v>
      </c>
      <c r="C631" s="256" t="s">
        <v>5997</v>
      </c>
      <c r="D631" s="328" t="s">
        <v>2026</v>
      </c>
      <c r="E631" s="122" t="str">
        <f t="shared" si="9"/>
        <v xml:space="preserve">0871 : 결제여부는　입력항목이아닙니다        </v>
      </c>
    </row>
    <row r="632" spans="1:5" s="64" customFormat="1">
      <c r="A632" s="316" t="s">
        <v>4635</v>
      </c>
      <c r="B632" s="123" t="s">
        <v>7609</v>
      </c>
      <c r="C632" s="256" t="s">
        <v>5998</v>
      </c>
      <c r="D632" s="328" t="s">
        <v>2025</v>
      </c>
      <c r="E632" s="122" t="str">
        <f t="shared" si="9"/>
        <v>0872 : 대기일괄취소대상여부 입력항목 아님</v>
      </c>
    </row>
    <row r="633" spans="1:5" s="64" customFormat="1">
      <c r="A633" s="316" t="s">
        <v>4635</v>
      </c>
      <c r="B633" s="123" t="s">
        <v>7609</v>
      </c>
      <c r="C633" s="256" t="s">
        <v>5999</v>
      </c>
      <c r="D633" s="328" t="s">
        <v>2024</v>
      </c>
      <c r="E633" s="122" t="str">
        <f t="shared" si="9"/>
        <v xml:space="preserve">0875 : 영업일자　입력　오류                  </v>
      </c>
    </row>
    <row r="634" spans="1:5" s="64" customFormat="1">
      <c r="A634" s="316" t="s">
        <v>4635</v>
      </c>
      <c r="B634" s="123" t="s">
        <v>7609</v>
      </c>
      <c r="C634" s="256" t="s">
        <v>6000</v>
      </c>
      <c r="D634" s="328" t="s">
        <v>2023</v>
      </c>
      <c r="E634" s="122" t="str">
        <f t="shared" si="9"/>
        <v xml:space="preserve">0876 : 송신기관　입력　오류                  </v>
      </c>
    </row>
    <row r="635" spans="1:5" s="64" customFormat="1">
      <c r="A635" s="316" t="s">
        <v>4635</v>
      </c>
      <c r="B635" s="123" t="s">
        <v>7609</v>
      </c>
      <c r="C635" s="256" t="s">
        <v>6001</v>
      </c>
      <c r="D635" s="328" t="s">
        <v>2022</v>
      </c>
      <c r="E635" s="122" t="str">
        <f t="shared" si="9"/>
        <v xml:space="preserve">0877 : 예약거래종류 오류입니다             </v>
      </c>
    </row>
    <row r="636" spans="1:5" s="64" customFormat="1">
      <c r="A636" s="316" t="s">
        <v>4635</v>
      </c>
      <c r="B636" s="123" t="s">
        <v>7609</v>
      </c>
      <c r="C636" s="256" t="s">
        <v>6002</v>
      </c>
      <c r="D636" s="328" t="s">
        <v>2021</v>
      </c>
      <c r="E636" s="122" t="str">
        <f t="shared" si="9"/>
        <v xml:space="preserve">0878 : 마감시분단위결제전용잔액생성완료      </v>
      </c>
    </row>
    <row r="637" spans="1:5" s="64" customFormat="1">
      <c r="A637" s="316" t="s">
        <v>4635</v>
      </c>
      <c r="B637" s="123" t="s">
        <v>7609</v>
      </c>
      <c r="C637" s="256" t="s">
        <v>6003</v>
      </c>
      <c r="D637" s="328" t="s">
        <v>2020</v>
      </c>
      <c r="E637" s="122" t="str">
        <f t="shared" si="9"/>
        <v xml:space="preserve">0879 : 마감시분단위결제전용잔액생성미완료    </v>
      </c>
    </row>
    <row r="638" spans="1:5" s="64" customFormat="1">
      <c r="A638" s="316" t="s">
        <v>4635</v>
      </c>
      <c r="B638" s="123" t="s">
        <v>7609</v>
      </c>
      <c r="C638" s="256" t="s">
        <v>6004</v>
      </c>
      <c r="D638" s="328" t="s">
        <v>2019</v>
      </c>
      <c r="E638" s="122" t="str">
        <f t="shared" si="9"/>
        <v xml:space="preserve">0880 : 한은망마감(혼합)연장상태입니다    </v>
      </c>
    </row>
    <row r="639" spans="1:5" s="64" customFormat="1">
      <c r="A639" s="316" t="s">
        <v>4635</v>
      </c>
      <c r="B639" s="123" t="s">
        <v>7609</v>
      </c>
      <c r="C639" s="256" t="s">
        <v>6005</v>
      </c>
      <c r="D639" s="328" t="s">
        <v>2018</v>
      </c>
      <c r="E639" s="122" t="str">
        <f t="shared" si="9"/>
        <v>0881 : 해당관리번호의 최초전문 아직처리중</v>
      </c>
    </row>
    <row r="640" spans="1:5" s="64" customFormat="1">
      <c r="A640" s="316" t="s">
        <v>4635</v>
      </c>
      <c r="B640" s="123" t="s">
        <v>7609</v>
      </c>
      <c r="C640" s="256" t="s">
        <v>6006</v>
      </c>
      <c r="D640" s="328" t="s">
        <v>2017</v>
      </c>
      <c r="E640" s="122" t="str">
        <f t="shared" si="9"/>
        <v xml:space="preserve">0994 : 유보(콜상환내역변경)                </v>
      </c>
    </row>
    <row r="641" spans="1:5" s="64" customFormat="1">
      <c r="A641" s="316" t="s">
        <v>4635</v>
      </c>
      <c r="B641" s="123" t="s">
        <v>7609</v>
      </c>
      <c r="C641" s="256" t="s">
        <v>6007</v>
      </c>
      <c r="D641" s="328" t="s">
        <v>2016</v>
      </c>
      <c r="E641" s="122" t="str">
        <f t="shared" si="9"/>
        <v xml:space="preserve">0995 : 상환방식변경유보중(통지완료)        </v>
      </c>
    </row>
    <row r="642" spans="1:5" s="64" customFormat="1">
      <c r="A642" s="316" t="s">
        <v>4635</v>
      </c>
      <c r="B642" s="123" t="s">
        <v>7609</v>
      </c>
      <c r="C642" s="256" t="s">
        <v>6008</v>
      </c>
      <c r="D642" s="328" t="s">
        <v>2015</v>
      </c>
      <c r="E642" s="122" t="str">
        <f t="shared" si="9"/>
        <v xml:space="preserve">0996 : 취소유보(자금공급반환중)            </v>
      </c>
    </row>
    <row r="643" spans="1:5" s="64" customFormat="1">
      <c r="A643" s="316" t="s">
        <v>4635</v>
      </c>
      <c r="B643" s="123" t="s">
        <v>7609</v>
      </c>
      <c r="C643" s="256" t="s">
        <v>6009</v>
      </c>
      <c r="D643" s="328" t="s">
        <v>2014</v>
      </c>
      <c r="E643" s="122" t="str">
        <f t="shared" si="9"/>
        <v xml:space="preserve">0997 : 취소유보(자금공급예약중)            </v>
      </c>
    </row>
    <row r="644" spans="1:5" s="64" customFormat="1">
      <c r="A644" s="316" t="s">
        <v>4635</v>
      </c>
      <c r="B644" s="123" t="s">
        <v>7609</v>
      </c>
      <c r="C644" s="256" t="s">
        <v>6010</v>
      </c>
      <c r="D644" s="328" t="s">
        <v>2013</v>
      </c>
      <c r="E644" s="122" t="str">
        <f t="shared" ref="E644:E707" si="10">_xlfn.TEXTJOIN(" : ",FALSE,C644:D644)</f>
        <v xml:space="preserve">0998 : 취소유보(콜자금공급대기중)          </v>
      </c>
    </row>
    <row r="645" spans="1:5" s="64" customFormat="1">
      <c r="A645" s="316" t="s">
        <v>4635</v>
      </c>
      <c r="B645" s="123" t="s">
        <v>7609</v>
      </c>
      <c r="C645" s="256" t="s">
        <v>6011</v>
      </c>
      <c r="D645" s="328" t="s">
        <v>2012</v>
      </c>
      <c r="E645" s="122" t="str">
        <f t="shared" si="10"/>
        <v xml:space="preserve">0999 : 취소유보(자금공급완료상태)          </v>
      </c>
    </row>
    <row r="646" spans="1:5" s="64" customFormat="1">
      <c r="A646" s="316" t="s">
        <v>4635</v>
      </c>
      <c r="B646" s="123" t="s">
        <v>7609</v>
      </c>
      <c r="C646" s="256" t="s">
        <v>6012</v>
      </c>
      <c r="D646" s="328" t="s">
        <v>2011</v>
      </c>
      <c r="E646" s="122" t="str">
        <f t="shared" si="10"/>
        <v xml:space="preserve">1000 : 자금이체번호파일　오류                </v>
      </c>
    </row>
    <row r="647" spans="1:5" s="64" customFormat="1">
      <c r="A647" s="316" t="s">
        <v>4635</v>
      </c>
      <c r="B647" s="123" t="s">
        <v>7609</v>
      </c>
      <c r="C647" s="256" t="s">
        <v>6013</v>
      </c>
      <c r="D647" s="328" t="s">
        <v>1435</v>
      </c>
      <c r="E647" s="122" t="str">
        <f t="shared" si="10"/>
        <v xml:space="preserve">1001 : 원장거래일자　오류                    </v>
      </c>
    </row>
    <row r="648" spans="1:5" s="64" customFormat="1">
      <c r="A648" s="316" t="s">
        <v>4635</v>
      </c>
      <c r="B648" s="123" t="s">
        <v>7609</v>
      </c>
      <c r="C648" s="256" t="s">
        <v>6014</v>
      </c>
      <c r="D648" s="328" t="s">
        <v>1434</v>
      </c>
      <c r="E648" s="122" t="str">
        <f t="shared" si="10"/>
        <v xml:space="preserve">1002 : 구좌파일이　없습니다．                </v>
      </c>
    </row>
    <row r="649" spans="1:5" s="64" customFormat="1">
      <c r="A649" s="316" t="s">
        <v>4635</v>
      </c>
      <c r="B649" s="123" t="s">
        <v>7609</v>
      </c>
      <c r="C649" s="256" t="s">
        <v>6015</v>
      </c>
      <c r="D649" s="328" t="s">
        <v>1433</v>
      </c>
      <c r="E649" s="122" t="str">
        <f t="shared" si="10"/>
        <v xml:space="preserve">1003 : 잔액이　부족합니다．                  </v>
      </c>
    </row>
    <row r="650" spans="1:5" s="64" customFormat="1">
      <c r="A650" s="316" t="s">
        <v>4635</v>
      </c>
      <c r="B650" s="123" t="s">
        <v>7609</v>
      </c>
      <c r="C650" s="256" t="s">
        <v>6016</v>
      </c>
      <c r="D650" s="328" t="s">
        <v>1432</v>
      </c>
      <c r="E650" s="122" t="str">
        <f t="shared" si="10"/>
        <v xml:space="preserve">1004 : 지불가능액이　부족합니다．            </v>
      </c>
    </row>
    <row r="651" spans="1:5" s="64" customFormat="1">
      <c r="A651" s="316" t="s">
        <v>4635</v>
      </c>
      <c r="B651" s="123" t="s">
        <v>7609</v>
      </c>
      <c r="C651" s="256" t="s">
        <v>6017</v>
      </c>
      <c r="D651" s="328" t="s">
        <v>2010</v>
      </c>
      <c r="E651" s="122" t="str">
        <f t="shared" si="10"/>
        <v xml:space="preserve">1005 : 차액결제전 예상잔액 부족          </v>
      </c>
    </row>
    <row r="652" spans="1:5" s="64" customFormat="1">
      <c r="A652" s="316" t="s">
        <v>4635</v>
      </c>
      <c r="B652" s="123" t="s">
        <v>7609</v>
      </c>
      <c r="C652" s="256" t="s">
        <v>6018</v>
      </c>
      <c r="D652" s="328" t="s">
        <v>2009</v>
      </c>
      <c r="E652" s="122" t="str">
        <f t="shared" si="10"/>
        <v xml:space="preserve">1009 : 대기거래가　허용되지　않습니다．      </v>
      </c>
    </row>
    <row r="653" spans="1:5" s="64" customFormat="1">
      <c r="A653" s="316" t="s">
        <v>4635</v>
      </c>
      <c r="B653" s="123" t="s">
        <v>7609</v>
      </c>
      <c r="C653" s="256" t="s">
        <v>6019</v>
      </c>
      <c r="D653" s="328" t="s">
        <v>2008</v>
      </c>
      <c r="E653" s="122" t="str">
        <f t="shared" si="10"/>
        <v xml:space="preserve">1011 : ＤＶＰ　시스템　장애                  </v>
      </c>
    </row>
    <row r="654" spans="1:5" s="64" customFormat="1">
      <c r="A654" s="316" t="s">
        <v>4635</v>
      </c>
      <c r="B654" s="123" t="s">
        <v>7609</v>
      </c>
      <c r="C654" s="256" t="s">
        <v>6020</v>
      </c>
      <c r="D654" s="328" t="s">
        <v>2007</v>
      </c>
      <c r="E654" s="122" t="str">
        <f t="shared" si="10"/>
        <v xml:space="preserve">1012 : ＤＶＰ　시스템　업무개시　이전        </v>
      </c>
    </row>
    <row r="655" spans="1:5" s="64" customFormat="1">
      <c r="A655" s="316" t="s">
        <v>4635</v>
      </c>
      <c r="B655" s="123" t="s">
        <v>7609</v>
      </c>
      <c r="C655" s="256" t="s">
        <v>6021</v>
      </c>
      <c r="D655" s="328" t="s">
        <v>2006</v>
      </c>
      <c r="E655" s="122" t="str">
        <f t="shared" si="10"/>
        <v xml:space="preserve">1013 : ＤＶＰ　시스템　종료                  </v>
      </c>
    </row>
    <row r="656" spans="1:5" s="64" customFormat="1">
      <c r="A656" s="316" t="s">
        <v>4635</v>
      </c>
      <c r="B656" s="123" t="s">
        <v>7609</v>
      </c>
      <c r="C656" s="256" t="s">
        <v>6022</v>
      </c>
      <c r="D656" s="328" t="s">
        <v>2005</v>
      </c>
      <c r="E656" s="122" t="str">
        <f t="shared" si="10"/>
        <v xml:space="preserve">1014 : DVP시스템DATABASE장애               </v>
      </c>
    </row>
    <row r="657" spans="1:5" s="64" customFormat="1">
      <c r="A657" s="316" t="s">
        <v>4635</v>
      </c>
      <c r="B657" s="123" t="s">
        <v>7609</v>
      </c>
      <c r="C657" s="256" t="s">
        <v>6023</v>
      </c>
      <c r="D657" s="328" t="s">
        <v>2004</v>
      </c>
      <c r="E657" s="122" t="str">
        <f t="shared" si="10"/>
        <v xml:space="preserve">1021 : 참가기관시스템　장애                  </v>
      </c>
    </row>
    <row r="658" spans="1:5" s="64" customFormat="1">
      <c r="A658" s="316" t="s">
        <v>4635</v>
      </c>
      <c r="B658" s="123" t="s">
        <v>7609</v>
      </c>
      <c r="C658" s="256" t="s">
        <v>6024</v>
      </c>
      <c r="D658" s="328" t="s">
        <v>2003</v>
      </c>
      <c r="E658" s="122" t="str">
        <f t="shared" si="10"/>
        <v xml:space="preserve">1022 : 참가기관　업무개시　이전              </v>
      </c>
    </row>
    <row r="659" spans="1:5" s="64" customFormat="1">
      <c r="A659" s="316" t="s">
        <v>4635</v>
      </c>
      <c r="B659" s="123" t="s">
        <v>7609</v>
      </c>
      <c r="C659" s="256" t="s">
        <v>6025</v>
      </c>
      <c r="D659" s="328" t="s">
        <v>2002</v>
      </c>
      <c r="E659" s="122" t="str">
        <f t="shared" si="10"/>
        <v xml:space="preserve">1023 : 참가기관　종료                        </v>
      </c>
    </row>
    <row r="660" spans="1:5" s="64" customFormat="1">
      <c r="A660" s="316" t="s">
        <v>4635</v>
      </c>
      <c r="B660" s="123" t="s">
        <v>7609</v>
      </c>
      <c r="C660" s="256" t="s">
        <v>6026</v>
      </c>
      <c r="D660" s="328" t="s">
        <v>2001</v>
      </c>
      <c r="E660" s="122" t="str">
        <f t="shared" si="10"/>
        <v xml:space="preserve">1101 : 수취기관（１）　오류                  </v>
      </c>
    </row>
    <row r="661" spans="1:5" s="64" customFormat="1">
      <c r="A661" s="316" t="s">
        <v>4635</v>
      </c>
      <c r="B661" s="123" t="s">
        <v>7609</v>
      </c>
      <c r="C661" s="256" t="s">
        <v>6027</v>
      </c>
      <c r="D661" s="328" t="s">
        <v>2000</v>
      </c>
      <c r="E661" s="122" t="str">
        <f t="shared" si="10"/>
        <v xml:space="preserve">1102 : 수취기관（２）　오류                  </v>
      </c>
    </row>
    <row r="662" spans="1:5" s="64" customFormat="1">
      <c r="A662" s="316" t="s">
        <v>4635</v>
      </c>
      <c r="B662" s="123" t="s">
        <v>7609</v>
      </c>
      <c r="C662" s="256" t="s">
        <v>6028</v>
      </c>
      <c r="D662" s="328" t="s">
        <v>1999</v>
      </c>
      <c r="E662" s="122" t="str">
        <f t="shared" si="10"/>
        <v xml:space="preserve">1103 : 수취기관（３）　오류                  </v>
      </c>
    </row>
    <row r="663" spans="1:5" s="64" customFormat="1">
      <c r="A663" s="316" t="s">
        <v>4635</v>
      </c>
      <c r="B663" s="123" t="s">
        <v>7609</v>
      </c>
      <c r="C663" s="256" t="s">
        <v>6029</v>
      </c>
      <c r="D663" s="328" t="s">
        <v>1998</v>
      </c>
      <c r="E663" s="122" t="str">
        <f t="shared" si="10"/>
        <v xml:space="preserve">1104 : 수취기관（４）　오류                  </v>
      </c>
    </row>
    <row r="664" spans="1:5" s="64" customFormat="1">
      <c r="A664" s="316" t="s">
        <v>4635</v>
      </c>
      <c r="B664" s="123" t="s">
        <v>7609</v>
      </c>
      <c r="C664" s="256" t="s">
        <v>6030</v>
      </c>
      <c r="D664" s="328" t="s">
        <v>1997</v>
      </c>
      <c r="E664" s="122" t="str">
        <f t="shared" si="10"/>
        <v xml:space="preserve">1105 : 수취기관（５）　오류                  </v>
      </c>
    </row>
    <row r="665" spans="1:5" s="64" customFormat="1">
      <c r="A665" s="316" t="s">
        <v>4635</v>
      </c>
      <c r="B665" s="123" t="s">
        <v>7609</v>
      </c>
      <c r="C665" s="256" t="s">
        <v>6031</v>
      </c>
      <c r="D665" s="328" t="s">
        <v>1996</v>
      </c>
      <c r="E665" s="122" t="str">
        <f t="shared" si="10"/>
        <v xml:space="preserve">1106 : 수취기관（６）　오류                  </v>
      </c>
    </row>
    <row r="666" spans="1:5" s="64" customFormat="1">
      <c r="A666" s="316" t="s">
        <v>4635</v>
      </c>
      <c r="B666" s="123" t="s">
        <v>7609</v>
      </c>
      <c r="C666" s="256" t="s">
        <v>6032</v>
      </c>
      <c r="D666" s="328" t="s">
        <v>1995</v>
      </c>
      <c r="E666" s="122" t="str">
        <f t="shared" si="10"/>
        <v xml:space="preserve">1107 : 수취기관（７）　오류                  </v>
      </c>
    </row>
    <row r="667" spans="1:5" s="64" customFormat="1">
      <c r="A667" s="316" t="s">
        <v>4635</v>
      </c>
      <c r="B667" s="123" t="s">
        <v>7609</v>
      </c>
      <c r="C667" s="256" t="s">
        <v>6033</v>
      </c>
      <c r="D667" s="328" t="s">
        <v>1994</v>
      </c>
      <c r="E667" s="122" t="str">
        <f t="shared" si="10"/>
        <v xml:space="preserve">1108 : 수취기관（８）　오류                  </v>
      </c>
    </row>
    <row r="668" spans="1:5" s="64" customFormat="1">
      <c r="A668" s="316" t="s">
        <v>4635</v>
      </c>
      <c r="B668" s="123" t="s">
        <v>7609</v>
      </c>
      <c r="C668" s="256" t="s">
        <v>6034</v>
      </c>
      <c r="D668" s="328" t="s">
        <v>1993</v>
      </c>
      <c r="E668" s="122" t="str">
        <f t="shared" si="10"/>
        <v xml:space="preserve">1109 : 수취기관（９）　오류                  </v>
      </c>
    </row>
    <row r="669" spans="1:5" s="64" customFormat="1">
      <c r="A669" s="316" t="s">
        <v>4635</v>
      </c>
      <c r="B669" s="123" t="s">
        <v>7609</v>
      </c>
      <c r="C669" s="256" t="s">
        <v>6035</v>
      </c>
      <c r="D669" s="328" t="s">
        <v>1992</v>
      </c>
      <c r="E669" s="122" t="str">
        <f t="shared" si="10"/>
        <v xml:space="preserve">1110 : 수취기관（１０）　오류                </v>
      </c>
    </row>
    <row r="670" spans="1:5" s="64" customFormat="1">
      <c r="A670" s="316" t="s">
        <v>4635</v>
      </c>
      <c r="B670" s="123" t="s">
        <v>7609</v>
      </c>
      <c r="C670" s="256" t="s">
        <v>6036</v>
      </c>
      <c r="D670" s="328" t="s">
        <v>1991</v>
      </c>
      <c r="E670" s="122" t="str">
        <f t="shared" si="10"/>
        <v xml:space="preserve">1111 : 수취기관（１１）　오류                </v>
      </c>
    </row>
    <row r="671" spans="1:5" s="64" customFormat="1">
      <c r="A671" s="316" t="s">
        <v>4635</v>
      </c>
      <c r="B671" s="123" t="s">
        <v>7609</v>
      </c>
      <c r="C671" s="256" t="s">
        <v>6037</v>
      </c>
      <c r="D671" s="328" t="s">
        <v>1990</v>
      </c>
      <c r="E671" s="122" t="str">
        <f t="shared" si="10"/>
        <v xml:space="preserve">1112 : 수취기관（１２）　오류                </v>
      </c>
    </row>
    <row r="672" spans="1:5" s="64" customFormat="1">
      <c r="A672" s="316" t="s">
        <v>4635</v>
      </c>
      <c r="B672" s="123" t="s">
        <v>7609</v>
      </c>
      <c r="C672" s="256" t="s">
        <v>6038</v>
      </c>
      <c r="D672" s="328" t="s">
        <v>1989</v>
      </c>
      <c r="E672" s="122" t="str">
        <f t="shared" si="10"/>
        <v xml:space="preserve">1113 : 수취기관（１３）　오류                </v>
      </c>
    </row>
    <row r="673" spans="1:5" s="64" customFormat="1">
      <c r="A673" s="316" t="s">
        <v>4635</v>
      </c>
      <c r="B673" s="123" t="s">
        <v>7609</v>
      </c>
      <c r="C673" s="256" t="s">
        <v>6039</v>
      </c>
      <c r="D673" s="328" t="s">
        <v>1988</v>
      </c>
      <c r="E673" s="122" t="str">
        <f t="shared" si="10"/>
        <v xml:space="preserve">1114 : 수취기관（１４）　오류                </v>
      </c>
    </row>
    <row r="674" spans="1:5" s="64" customFormat="1">
      <c r="A674" s="316" t="s">
        <v>4635</v>
      </c>
      <c r="B674" s="123" t="s">
        <v>7609</v>
      </c>
      <c r="C674" s="256" t="s">
        <v>6040</v>
      </c>
      <c r="D674" s="328" t="s">
        <v>1987</v>
      </c>
      <c r="E674" s="122" t="str">
        <f t="shared" si="10"/>
        <v xml:space="preserve">1115 : 수취기관（１５）　오류                </v>
      </c>
    </row>
    <row r="675" spans="1:5" s="64" customFormat="1">
      <c r="A675" s="316" t="s">
        <v>4635</v>
      </c>
      <c r="B675" s="123" t="s">
        <v>7609</v>
      </c>
      <c r="C675" s="256" t="s">
        <v>6041</v>
      </c>
      <c r="D675" s="328" t="s">
        <v>1986</v>
      </c>
      <c r="E675" s="122" t="str">
        <f t="shared" si="10"/>
        <v xml:space="preserve">1116 : 수취기관（１６）　오류                </v>
      </c>
    </row>
    <row r="676" spans="1:5" s="64" customFormat="1">
      <c r="A676" s="316" t="s">
        <v>4635</v>
      </c>
      <c r="B676" s="123" t="s">
        <v>7609</v>
      </c>
      <c r="C676" s="256" t="s">
        <v>6042</v>
      </c>
      <c r="D676" s="328" t="s">
        <v>1985</v>
      </c>
      <c r="E676" s="122" t="str">
        <f t="shared" si="10"/>
        <v xml:space="preserve">1117 : 수취기관（１７）　오류                </v>
      </c>
    </row>
    <row r="677" spans="1:5" s="64" customFormat="1">
      <c r="A677" s="316" t="s">
        <v>4635</v>
      </c>
      <c r="B677" s="123" t="s">
        <v>7609</v>
      </c>
      <c r="C677" s="256" t="s">
        <v>6043</v>
      </c>
      <c r="D677" s="328" t="s">
        <v>1984</v>
      </c>
      <c r="E677" s="122" t="str">
        <f t="shared" si="10"/>
        <v xml:space="preserve">1118 : 수취기관（１８）　오류                </v>
      </c>
    </row>
    <row r="678" spans="1:5" s="64" customFormat="1">
      <c r="A678" s="316" t="s">
        <v>4635</v>
      </c>
      <c r="B678" s="123" t="s">
        <v>7609</v>
      </c>
      <c r="C678" s="256" t="s">
        <v>6044</v>
      </c>
      <c r="D678" s="328" t="s">
        <v>1983</v>
      </c>
      <c r="E678" s="122" t="str">
        <f t="shared" si="10"/>
        <v xml:space="preserve">1119 : 수취기관（１９）　오류                </v>
      </c>
    </row>
    <row r="679" spans="1:5" s="64" customFormat="1">
      <c r="A679" s="316" t="s">
        <v>4635</v>
      </c>
      <c r="B679" s="123" t="s">
        <v>7609</v>
      </c>
      <c r="C679" s="256" t="s">
        <v>6045</v>
      </c>
      <c r="D679" s="328" t="s">
        <v>1982</v>
      </c>
      <c r="E679" s="122" t="str">
        <f t="shared" si="10"/>
        <v xml:space="preserve">1120 : 수취기관（２０）　오류                </v>
      </c>
    </row>
    <row r="680" spans="1:5" s="64" customFormat="1">
      <c r="A680" s="316" t="s">
        <v>4635</v>
      </c>
      <c r="B680" s="123" t="s">
        <v>7609</v>
      </c>
      <c r="C680" s="256" t="s">
        <v>6046</v>
      </c>
      <c r="D680" s="328" t="s">
        <v>1981</v>
      </c>
      <c r="E680" s="122" t="str">
        <f t="shared" si="10"/>
        <v xml:space="preserve">1121 : 수취기관（２１）　오류                </v>
      </c>
    </row>
    <row r="681" spans="1:5" s="64" customFormat="1">
      <c r="A681" s="316" t="s">
        <v>4635</v>
      </c>
      <c r="B681" s="123" t="s">
        <v>7609</v>
      </c>
      <c r="C681" s="256" t="s">
        <v>6047</v>
      </c>
      <c r="D681" s="328" t="s">
        <v>1980</v>
      </c>
      <c r="E681" s="122" t="str">
        <f t="shared" si="10"/>
        <v xml:space="preserve">1122 : 수취기관（２２）　오류                </v>
      </c>
    </row>
    <row r="682" spans="1:5" s="64" customFormat="1">
      <c r="A682" s="316" t="s">
        <v>4635</v>
      </c>
      <c r="B682" s="123" t="s">
        <v>7609</v>
      </c>
      <c r="C682" s="256" t="s">
        <v>6048</v>
      </c>
      <c r="D682" s="328" t="s">
        <v>1979</v>
      </c>
      <c r="E682" s="122" t="str">
        <f t="shared" si="10"/>
        <v xml:space="preserve">1123 : 수취기관（２３）　오류                </v>
      </c>
    </row>
    <row r="683" spans="1:5" s="64" customFormat="1">
      <c r="A683" s="316" t="s">
        <v>4635</v>
      </c>
      <c r="B683" s="123" t="s">
        <v>7609</v>
      </c>
      <c r="C683" s="256" t="s">
        <v>6049</v>
      </c>
      <c r="D683" s="328" t="s">
        <v>1978</v>
      </c>
      <c r="E683" s="122" t="str">
        <f t="shared" si="10"/>
        <v xml:space="preserve">1124 : 수취기관（２４）　오류                </v>
      </c>
    </row>
    <row r="684" spans="1:5" s="64" customFormat="1">
      <c r="A684" s="316" t="s">
        <v>4635</v>
      </c>
      <c r="B684" s="123" t="s">
        <v>7609</v>
      </c>
      <c r="C684" s="256" t="s">
        <v>6050</v>
      </c>
      <c r="D684" s="328" t="s">
        <v>1977</v>
      </c>
      <c r="E684" s="122" t="str">
        <f t="shared" si="10"/>
        <v xml:space="preserve">1125 : 수취기관（２５）　오류                </v>
      </c>
    </row>
    <row r="685" spans="1:5" s="64" customFormat="1">
      <c r="A685" s="316" t="s">
        <v>4635</v>
      </c>
      <c r="B685" s="123" t="s">
        <v>7609</v>
      </c>
      <c r="C685" s="256" t="s">
        <v>6051</v>
      </c>
      <c r="D685" s="328" t="s">
        <v>1976</v>
      </c>
      <c r="E685" s="122" t="str">
        <f t="shared" si="10"/>
        <v xml:space="preserve">1126 : 수취기관（２６）　오류                </v>
      </c>
    </row>
    <row r="686" spans="1:5" s="64" customFormat="1">
      <c r="A686" s="316" t="s">
        <v>4635</v>
      </c>
      <c r="B686" s="123" t="s">
        <v>7609</v>
      </c>
      <c r="C686" s="256" t="s">
        <v>6052</v>
      </c>
      <c r="D686" s="328" t="s">
        <v>1975</v>
      </c>
      <c r="E686" s="122" t="str">
        <f t="shared" si="10"/>
        <v xml:space="preserve">1127 : 수취기관（２７）　오류                </v>
      </c>
    </row>
    <row r="687" spans="1:5" s="64" customFormat="1">
      <c r="A687" s="316" t="s">
        <v>4635</v>
      </c>
      <c r="B687" s="123" t="s">
        <v>7609</v>
      </c>
      <c r="C687" s="256" t="s">
        <v>6053</v>
      </c>
      <c r="D687" s="328" t="s">
        <v>1974</v>
      </c>
      <c r="E687" s="122" t="str">
        <f t="shared" si="10"/>
        <v xml:space="preserve">1128 : 수취기관（２８）　오류                </v>
      </c>
    </row>
    <row r="688" spans="1:5" s="64" customFormat="1">
      <c r="A688" s="316" t="s">
        <v>4635</v>
      </c>
      <c r="B688" s="123" t="s">
        <v>7609</v>
      </c>
      <c r="C688" s="256" t="s">
        <v>6054</v>
      </c>
      <c r="D688" s="328" t="s">
        <v>1973</v>
      </c>
      <c r="E688" s="122" t="str">
        <f t="shared" si="10"/>
        <v xml:space="preserve">1129 : 수취기관（２９）　오류                </v>
      </c>
    </row>
    <row r="689" spans="1:5" s="64" customFormat="1">
      <c r="A689" s="316" t="s">
        <v>4635</v>
      </c>
      <c r="B689" s="123" t="s">
        <v>7609</v>
      </c>
      <c r="C689" s="256" t="s">
        <v>6055</v>
      </c>
      <c r="D689" s="328" t="s">
        <v>1972</v>
      </c>
      <c r="E689" s="122" t="str">
        <f t="shared" si="10"/>
        <v xml:space="preserve">1130 : 수취기관（３０）　오류                </v>
      </c>
    </row>
    <row r="690" spans="1:5" s="64" customFormat="1">
      <c r="A690" s="316" t="s">
        <v>4635</v>
      </c>
      <c r="B690" s="123" t="s">
        <v>7609</v>
      </c>
      <c r="C690" s="256" t="s">
        <v>6056</v>
      </c>
      <c r="D690" s="328" t="s">
        <v>1971</v>
      </c>
      <c r="E690" s="122" t="str">
        <f t="shared" si="10"/>
        <v xml:space="preserve">1201 : 수취기관계정개설처（１）　오류        </v>
      </c>
    </row>
    <row r="691" spans="1:5" s="64" customFormat="1">
      <c r="A691" s="316" t="s">
        <v>4635</v>
      </c>
      <c r="B691" s="123" t="s">
        <v>7609</v>
      </c>
      <c r="C691" s="256" t="s">
        <v>6057</v>
      </c>
      <c r="D691" s="328" t="s">
        <v>1970</v>
      </c>
      <c r="E691" s="122" t="str">
        <f t="shared" si="10"/>
        <v xml:space="preserve">1202 : 수취기관계정개설처（２）　오류        </v>
      </c>
    </row>
    <row r="692" spans="1:5" s="64" customFormat="1">
      <c r="A692" s="316" t="s">
        <v>4635</v>
      </c>
      <c r="B692" s="123" t="s">
        <v>7609</v>
      </c>
      <c r="C692" s="256" t="s">
        <v>6058</v>
      </c>
      <c r="D692" s="328" t="s">
        <v>1969</v>
      </c>
      <c r="E692" s="122" t="str">
        <f t="shared" si="10"/>
        <v xml:space="preserve">1203 : 수취기관계정개설처（３）　오류        </v>
      </c>
    </row>
    <row r="693" spans="1:5" s="64" customFormat="1">
      <c r="A693" s="316" t="s">
        <v>4635</v>
      </c>
      <c r="B693" s="123" t="s">
        <v>7609</v>
      </c>
      <c r="C693" s="256" t="s">
        <v>6059</v>
      </c>
      <c r="D693" s="328" t="s">
        <v>1968</v>
      </c>
      <c r="E693" s="122" t="str">
        <f t="shared" si="10"/>
        <v xml:space="preserve">1204 : 수취기관계정개설처（４）　오류        </v>
      </c>
    </row>
    <row r="694" spans="1:5" s="64" customFormat="1">
      <c r="A694" s="316" t="s">
        <v>4635</v>
      </c>
      <c r="B694" s="123" t="s">
        <v>7609</v>
      </c>
      <c r="C694" s="256" t="s">
        <v>6060</v>
      </c>
      <c r="D694" s="328" t="s">
        <v>1967</v>
      </c>
      <c r="E694" s="122" t="str">
        <f t="shared" si="10"/>
        <v xml:space="preserve">1205 : 수취기관계정개설처（５）　오류        </v>
      </c>
    </row>
    <row r="695" spans="1:5" s="64" customFormat="1">
      <c r="A695" s="316" t="s">
        <v>4635</v>
      </c>
      <c r="B695" s="123" t="s">
        <v>7609</v>
      </c>
      <c r="C695" s="256" t="s">
        <v>6061</v>
      </c>
      <c r="D695" s="328" t="s">
        <v>1966</v>
      </c>
      <c r="E695" s="122" t="str">
        <f t="shared" si="10"/>
        <v xml:space="preserve">1206 : 수취기관계정개설처（６）　오류        </v>
      </c>
    </row>
    <row r="696" spans="1:5" s="64" customFormat="1">
      <c r="A696" s="316" t="s">
        <v>4635</v>
      </c>
      <c r="B696" s="123" t="s">
        <v>7609</v>
      </c>
      <c r="C696" s="256" t="s">
        <v>6062</v>
      </c>
      <c r="D696" s="328" t="s">
        <v>1965</v>
      </c>
      <c r="E696" s="122" t="str">
        <f t="shared" si="10"/>
        <v xml:space="preserve">1207 : 수취기관계정개설처（７）　오류        </v>
      </c>
    </row>
    <row r="697" spans="1:5" s="64" customFormat="1">
      <c r="A697" s="316" t="s">
        <v>4635</v>
      </c>
      <c r="B697" s="123" t="s">
        <v>7609</v>
      </c>
      <c r="C697" s="256" t="s">
        <v>6063</v>
      </c>
      <c r="D697" s="328" t="s">
        <v>1964</v>
      </c>
      <c r="E697" s="122" t="str">
        <f t="shared" si="10"/>
        <v xml:space="preserve">1208 : 수취기관계정개설처（８）　오류        </v>
      </c>
    </row>
    <row r="698" spans="1:5" s="64" customFormat="1">
      <c r="A698" s="316" t="s">
        <v>4635</v>
      </c>
      <c r="B698" s="123" t="s">
        <v>7609</v>
      </c>
      <c r="C698" s="256" t="s">
        <v>6064</v>
      </c>
      <c r="D698" s="328" t="s">
        <v>1963</v>
      </c>
      <c r="E698" s="122" t="str">
        <f t="shared" si="10"/>
        <v xml:space="preserve">1209 : 수취기관계정개설처（９）　오류        </v>
      </c>
    </row>
    <row r="699" spans="1:5" s="64" customFormat="1">
      <c r="A699" s="316" t="s">
        <v>4635</v>
      </c>
      <c r="B699" s="123" t="s">
        <v>7609</v>
      </c>
      <c r="C699" s="256" t="s">
        <v>6065</v>
      </c>
      <c r="D699" s="328" t="s">
        <v>1962</v>
      </c>
      <c r="E699" s="122" t="str">
        <f t="shared" si="10"/>
        <v xml:space="preserve">1210 : 수취기관계정개설처（１０）　오류      </v>
      </c>
    </row>
    <row r="700" spans="1:5" s="64" customFormat="1">
      <c r="A700" s="316" t="s">
        <v>4635</v>
      </c>
      <c r="B700" s="123" t="s">
        <v>7609</v>
      </c>
      <c r="C700" s="256" t="s">
        <v>6066</v>
      </c>
      <c r="D700" s="328" t="s">
        <v>1961</v>
      </c>
      <c r="E700" s="122" t="str">
        <f t="shared" si="10"/>
        <v xml:space="preserve">1211 : 수취기관계정개설처（１１）　오류      </v>
      </c>
    </row>
    <row r="701" spans="1:5" s="64" customFormat="1">
      <c r="A701" s="316" t="s">
        <v>4635</v>
      </c>
      <c r="B701" s="123" t="s">
        <v>7609</v>
      </c>
      <c r="C701" s="256" t="s">
        <v>6067</v>
      </c>
      <c r="D701" s="328" t="s">
        <v>1960</v>
      </c>
      <c r="E701" s="122" t="str">
        <f t="shared" si="10"/>
        <v xml:space="preserve">1212 : 수취기관계정개설처（１２）　오류      </v>
      </c>
    </row>
    <row r="702" spans="1:5" s="64" customFormat="1">
      <c r="A702" s="316" t="s">
        <v>4635</v>
      </c>
      <c r="B702" s="123" t="s">
        <v>7609</v>
      </c>
      <c r="C702" s="256" t="s">
        <v>6068</v>
      </c>
      <c r="D702" s="328" t="s">
        <v>1959</v>
      </c>
      <c r="E702" s="122" t="str">
        <f t="shared" si="10"/>
        <v xml:space="preserve">1213 : 수취기관계정개설처（１３）　오류      </v>
      </c>
    </row>
    <row r="703" spans="1:5" s="64" customFormat="1">
      <c r="A703" s="316" t="s">
        <v>4635</v>
      </c>
      <c r="B703" s="123" t="s">
        <v>7609</v>
      </c>
      <c r="C703" s="256" t="s">
        <v>6069</v>
      </c>
      <c r="D703" s="328" t="s">
        <v>1958</v>
      </c>
      <c r="E703" s="122" t="str">
        <f t="shared" si="10"/>
        <v xml:space="preserve">1214 : 수취기관계정개설처（１４）　오류      </v>
      </c>
    </row>
    <row r="704" spans="1:5" s="64" customFormat="1">
      <c r="A704" s="316" t="s">
        <v>4635</v>
      </c>
      <c r="B704" s="123" t="s">
        <v>7609</v>
      </c>
      <c r="C704" s="256" t="s">
        <v>6070</v>
      </c>
      <c r="D704" s="328" t="s">
        <v>1957</v>
      </c>
      <c r="E704" s="122" t="str">
        <f t="shared" si="10"/>
        <v xml:space="preserve">1215 : 수취기관계정개설처（１５）　오류      </v>
      </c>
    </row>
    <row r="705" spans="1:5" s="64" customFormat="1">
      <c r="A705" s="316" t="s">
        <v>4635</v>
      </c>
      <c r="B705" s="123" t="s">
        <v>7609</v>
      </c>
      <c r="C705" s="256" t="s">
        <v>6071</v>
      </c>
      <c r="D705" s="328" t="s">
        <v>1956</v>
      </c>
      <c r="E705" s="122" t="str">
        <f t="shared" si="10"/>
        <v xml:space="preserve">1216 : 수취기관계정개설처（１６）　오류      </v>
      </c>
    </row>
    <row r="706" spans="1:5" s="64" customFormat="1">
      <c r="A706" s="316" t="s">
        <v>4635</v>
      </c>
      <c r="B706" s="123" t="s">
        <v>7609</v>
      </c>
      <c r="C706" s="256" t="s">
        <v>6072</v>
      </c>
      <c r="D706" s="328" t="s">
        <v>1955</v>
      </c>
      <c r="E706" s="122" t="str">
        <f t="shared" si="10"/>
        <v xml:space="preserve">1217 : 수취기관계정개설처（１７）　오류      </v>
      </c>
    </row>
    <row r="707" spans="1:5" s="64" customFormat="1">
      <c r="A707" s="316" t="s">
        <v>4635</v>
      </c>
      <c r="B707" s="123" t="s">
        <v>7609</v>
      </c>
      <c r="C707" s="256" t="s">
        <v>6073</v>
      </c>
      <c r="D707" s="328" t="s">
        <v>1954</v>
      </c>
      <c r="E707" s="122" t="str">
        <f t="shared" si="10"/>
        <v xml:space="preserve">1218 : 수취기관계정개설처（１８）　오류      </v>
      </c>
    </row>
    <row r="708" spans="1:5" s="64" customFormat="1">
      <c r="A708" s="316" t="s">
        <v>4635</v>
      </c>
      <c r="B708" s="123" t="s">
        <v>7609</v>
      </c>
      <c r="C708" s="256" t="s">
        <v>6074</v>
      </c>
      <c r="D708" s="328" t="s">
        <v>1953</v>
      </c>
      <c r="E708" s="122" t="str">
        <f t="shared" ref="E708:E771" si="11">_xlfn.TEXTJOIN(" : ",FALSE,C708:D708)</f>
        <v xml:space="preserve">1219 : 수취기관계정개설처（１９）　오류      </v>
      </c>
    </row>
    <row r="709" spans="1:5" s="64" customFormat="1">
      <c r="A709" s="316" t="s">
        <v>4635</v>
      </c>
      <c r="B709" s="123" t="s">
        <v>7609</v>
      </c>
      <c r="C709" s="256" t="s">
        <v>6075</v>
      </c>
      <c r="D709" s="328" t="s">
        <v>1952</v>
      </c>
      <c r="E709" s="122" t="str">
        <f t="shared" si="11"/>
        <v xml:space="preserve">1220 : 수취기관계정개설처（２０）　오류      </v>
      </c>
    </row>
    <row r="710" spans="1:5" s="64" customFormat="1">
      <c r="A710" s="316" t="s">
        <v>4635</v>
      </c>
      <c r="B710" s="123" t="s">
        <v>7609</v>
      </c>
      <c r="C710" s="256" t="s">
        <v>6076</v>
      </c>
      <c r="D710" s="328" t="s">
        <v>1951</v>
      </c>
      <c r="E710" s="122" t="str">
        <f t="shared" si="11"/>
        <v xml:space="preserve">1221 : 수취기관계정개설처（２１）　오류      </v>
      </c>
    </row>
    <row r="711" spans="1:5" s="64" customFormat="1">
      <c r="A711" s="316" t="s">
        <v>4635</v>
      </c>
      <c r="B711" s="123" t="s">
        <v>7609</v>
      </c>
      <c r="C711" s="256" t="s">
        <v>6077</v>
      </c>
      <c r="D711" s="328" t="s">
        <v>1950</v>
      </c>
      <c r="E711" s="122" t="str">
        <f t="shared" si="11"/>
        <v xml:space="preserve">1222 : 수취기관계정개설처（２２）　오류      </v>
      </c>
    </row>
    <row r="712" spans="1:5" s="64" customFormat="1">
      <c r="A712" s="316" t="s">
        <v>4635</v>
      </c>
      <c r="B712" s="123" t="s">
        <v>7609</v>
      </c>
      <c r="C712" s="256" t="s">
        <v>6078</v>
      </c>
      <c r="D712" s="328" t="s">
        <v>1949</v>
      </c>
      <c r="E712" s="122" t="str">
        <f t="shared" si="11"/>
        <v xml:space="preserve">1223 : 수취기관계정개설처（２３）　오류      </v>
      </c>
    </row>
    <row r="713" spans="1:5" s="64" customFormat="1">
      <c r="A713" s="316" t="s">
        <v>4635</v>
      </c>
      <c r="B713" s="123" t="s">
        <v>7609</v>
      </c>
      <c r="C713" s="256" t="s">
        <v>6079</v>
      </c>
      <c r="D713" s="328" t="s">
        <v>1948</v>
      </c>
      <c r="E713" s="122" t="str">
        <f t="shared" si="11"/>
        <v xml:space="preserve">1224 : 수취기관계정개설처（２４）　오류      </v>
      </c>
    </row>
    <row r="714" spans="1:5" s="64" customFormat="1">
      <c r="A714" s="316" t="s">
        <v>4635</v>
      </c>
      <c r="B714" s="123" t="s">
        <v>7609</v>
      </c>
      <c r="C714" s="256" t="s">
        <v>6080</v>
      </c>
      <c r="D714" s="328" t="s">
        <v>1947</v>
      </c>
      <c r="E714" s="122" t="str">
        <f t="shared" si="11"/>
        <v xml:space="preserve">1225 : 수취기관계정개설처（２５）　오류      </v>
      </c>
    </row>
    <row r="715" spans="1:5" s="64" customFormat="1">
      <c r="A715" s="316" t="s">
        <v>4635</v>
      </c>
      <c r="B715" s="123" t="s">
        <v>7609</v>
      </c>
      <c r="C715" s="256" t="s">
        <v>6081</v>
      </c>
      <c r="D715" s="328" t="s">
        <v>1946</v>
      </c>
      <c r="E715" s="122" t="str">
        <f t="shared" si="11"/>
        <v xml:space="preserve">1226 : 수취기관계정개설처（２６）　오류      </v>
      </c>
    </row>
    <row r="716" spans="1:5" s="64" customFormat="1">
      <c r="A716" s="316" t="s">
        <v>4635</v>
      </c>
      <c r="B716" s="123" t="s">
        <v>7609</v>
      </c>
      <c r="C716" s="256" t="s">
        <v>6082</v>
      </c>
      <c r="D716" s="328" t="s">
        <v>1945</v>
      </c>
      <c r="E716" s="122" t="str">
        <f t="shared" si="11"/>
        <v xml:space="preserve">1227 : 수취기관계정개설처（２７）　오류      </v>
      </c>
    </row>
    <row r="717" spans="1:5" s="64" customFormat="1">
      <c r="A717" s="316" t="s">
        <v>4635</v>
      </c>
      <c r="B717" s="123" t="s">
        <v>7609</v>
      </c>
      <c r="C717" s="256" t="s">
        <v>6083</v>
      </c>
      <c r="D717" s="328" t="s">
        <v>1944</v>
      </c>
      <c r="E717" s="122" t="str">
        <f t="shared" si="11"/>
        <v xml:space="preserve">1228 : 수취기관계정개설처（２８）　오류      </v>
      </c>
    </row>
    <row r="718" spans="1:5" s="64" customFormat="1">
      <c r="A718" s="316" t="s">
        <v>4635</v>
      </c>
      <c r="B718" s="123" t="s">
        <v>7609</v>
      </c>
      <c r="C718" s="256" t="s">
        <v>6084</v>
      </c>
      <c r="D718" s="328" t="s">
        <v>1943</v>
      </c>
      <c r="E718" s="122" t="str">
        <f t="shared" si="11"/>
        <v xml:space="preserve">1229 : 수취기관계정개설처（２９）　오류      </v>
      </c>
    </row>
    <row r="719" spans="1:5" s="64" customFormat="1">
      <c r="A719" s="316" t="s">
        <v>4635</v>
      </c>
      <c r="B719" s="123" t="s">
        <v>7609</v>
      </c>
      <c r="C719" s="256" t="s">
        <v>6085</v>
      </c>
      <c r="D719" s="328" t="s">
        <v>1942</v>
      </c>
      <c r="E719" s="122" t="str">
        <f t="shared" si="11"/>
        <v xml:space="preserve">1230 : 수취기관계정개설처（３０）　오류      </v>
      </c>
    </row>
    <row r="720" spans="1:5" s="64" customFormat="1">
      <c r="A720" s="316" t="s">
        <v>4635</v>
      </c>
      <c r="B720" s="123" t="s">
        <v>7609</v>
      </c>
      <c r="C720" s="256" t="s">
        <v>6086</v>
      </c>
      <c r="D720" s="328" t="s">
        <v>1941</v>
      </c>
      <c r="E720" s="122" t="str">
        <f t="shared" si="11"/>
        <v xml:space="preserve">1301 : 금액（１）　오류                      </v>
      </c>
    </row>
    <row r="721" spans="1:5" s="64" customFormat="1">
      <c r="A721" s="316" t="s">
        <v>4635</v>
      </c>
      <c r="B721" s="123" t="s">
        <v>7609</v>
      </c>
      <c r="C721" s="256" t="s">
        <v>6087</v>
      </c>
      <c r="D721" s="328" t="s">
        <v>1940</v>
      </c>
      <c r="E721" s="122" t="str">
        <f t="shared" si="11"/>
        <v xml:space="preserve">1302 : 금액（２）　오류                      </v>
      </c>
    </row>
    <row r="722" spans="1:5" s="64" customFormat="1">
      <c r="A722" s="316" t="s">
        <v>4635</v>
      </c>
      <c r="B722" s="123" t="s">
        <v>7609</v>
      </c>
      <c r="C722" s="256" t="s">
        <v>6088</v>
      </c>
      <c r="D722" s="328" t="s">
        <v>1939</v>
      </c>
      <c r="E722" s="122" t="str">
        <f t="shared" si="11"/>
        <v xml:space="preserve">1303 : 금액（３）　오류                      </v>
      </c>
    </row>
    <row r="723" spans="1:5" s="64" customFormat="1">
      <c r="A723" s="316" t="s">
        <v>4635</v>
      </c>
      <c r="B723" s="123" t="s">
        <v>7609</v>
      </c>
      <c r="C723" s="256" t="s">
        <v>6089</v>
      </c>
      <c r="D723" s="328" t="s">
        <v>1938</v>
      </c>
      <c r="E723" s="122" t="str">
        <f t="shared" si="11"/>
        <v xml:space="preserve">1304 : 금액（４）　오류                      </v>
      </c>
    </row>
    <row r="724" spans="1:5" s="64" customFormat="1">
      <c r="A724" s="316" t="s">
        <v>4635</v>
      </c>
      <c r="B724" s="123" t="s">
        <v>7609</v>
      </c>
      <c r="C724" s="256" t="s">
        <v>6090</v>
      </c>
      <c r="D724" s="328" t="s">
        <v>1937</v>
      </c>
      <c r="E724" s="122" t="str">
        <f t="shared" si="11"/>
        <v xml:space="preserve">1305 : 금액（５）　오류                      </v>
      </c>
    </row>
    <row r="725" spans="1:5" s="64" customFormat="1">
      <c r="A725" s="316" t="s">
        <v>4635</v>
      </c>
      <c r="B725" s="123" t="s">
        <v>7609</v>
      </c>
      <c r="C725" s="256" t="s">
        <v>6091</v>
      </c>
      <c r="D725" s="328" t="s">
        <v>1936</v>
      </c>
      <c r="E725" s="122" t="str">
        <f t="shared" si="11"/>
        <v xml:space="preserve">1306 : 금액（６）　오류                      </v>
      </c>
    </row>
    <row r="726" spans="1:5" s="64" customFormat="1">
      <c r="A726" s="316" t="s">
        <v>4635</v>
      </c>
      <c r="B726" s="123" t="s">
        <v>7609</v>
      </c>
      <c r="C726" s="256" t="s">
        <v>6092</v>
      </c>
      <c r="D726" s="328" t="s">
        <v>1935</v>
      </c>
      <c r="E726" s="122" t="str">
        <f t="shared" si="11"/>
        <v xml:space="preserve">1307 : 금액（７）　오류                      </v>
      </c>
    </row>
    <row r="727" spans="1:5" s="64" customFormat="1">
      <c r="A727" s="316" t="s">
        <v>4635</v>
      </c>
      <c r="B727" s="123" t="s">
        <v>7609</v>
      </c>
      <c r="C727" s="256" t="s">
        <v>6093</v>
      </c>
      <c r="D727" s="328" t="s">
        <v>1934</v>
      </c>
      <c r="E727" s="122" t="str">
        <f t="shared" si="11"/>
        <v xml:space="preserve">1308 : 금액（８）　오류                      </v>
      </c>
    </row>
    <row r="728" spans="1:5" s="64" customFormat="1">
      <c r="A728" s="316" t="s">
        <v>4635</v>
      </c>
      <c r="B728" s="123" t="s">
        <v>7609</v>
      </c>
      <c r="C728" s="256" t="s">
        <v>6094</v>
      </c>
      <c r="D728" s="328" t="s">
        <v>1933</v>
      </c>
      <c r="E728" s="122" t="str">
        <f t="shared" si="11"/>
        <v xml:space="preserve">1309 : 금액（９）　오류                      </v>
      </c>
    </row>
    <row r="729" spans="1:5" s="64" customFormat="1">
      <c r="A729" s="316" t="s">
        <v>4635</v>
      </c>
      <c r="B729" s="123" t="s">
        <v>7609</v>
      </c>
      <c r="C729" s="256" t="s">
        <v>6095</v>
      </c>
      <c r="D729" s="328" t="s">
        <v>1932</v>
      </c>
      <c r="E729" s="122" t="str">
        <f t="shared" si="11"/>
        <v xml:space="preserve">1310 : 금액（１０）　오류                    </v>
      </c>
    </row>
    <row r="730" spans="1:5" s="64" customFormat="1">
      <c r="A730" s="316" t="s">
        <v>4635</v>
      </c>
      <c r="B730" s="123" t="s">
        <v>7609</v>
      </c>
      <c r="C730" s="256" t="s">
        <v>6096</v>
      </c>
      <c r="D730" s="328" t="s">
        <v>1931</v>
      </c>
      <c r="E730" s="122" t="str">
        <f t="shared" si="11"/>
        <v xml:space="preserve">1311 : 금액（１１）　오류                    </v>
      </c>
    </row>
    <row r="731" spans="1:5" s="64" customFormat="1">
      <c r="A731" s="316" t="s">
        <v>4635</v>
      </c>
      <c r="B731" s="123" t="s">
        <v>7609</v>
      </c>
      <c r="C731" s="256" t="s">
        <v>6097</v>
      </c>
      <c r="D731" s="328" t="s">
        <v>1930</v>
      </c>
      <c r="E731" s="122" t="str">
        <f t="shared" si="11"/>
        <v xml:space="preserve">1312 : 금액（１２）　오류                    </v>
      </c>
    </row>
    <row r="732" spans="1:5" s="64" customFormat="1">
      <c r="A732" s="316" t="s">
        <v>4635</v>
      </c>
      <c r="B732" s="123" t="s">
        <v>7609</v>
      </c>
      <c r="C732" s="256" t="s">
        <v>6098</v>
      </c>
      <c r="D732" s="328" t="s">
        <v>1929</v>
      </c>
      <c r="E732" s="122" t="str">
        <f t="shared" si="11"/>
        <v xml:space="preserve">1313 : 금액（１３）　오류                    </v>
      </c>
    </row>
    <row r="733" spans="1:5" s="64" customFormat="1">
      <c r="A733" s="316" t="s">
        <v>4635</v>
      </c>
      <c r="B733" s="123" t="s">
        <v>7609</v>
      </c>
      <c r="C733" s="256" t="s">
        <v>6099</v>
      </c>
      <c r="D733" s="328" t="s">
        <v>1928</v>
      </c>
      <c r="E733" s="122" t="str">
        <f t="shared" si="11"/>
        <v xml:space="preserve">1314 : 금액（１４）　오류                    </v>
      </c>
    </row>
    <row r="734" spans="1:5" s="64" customFormat="1">
      <c r="A734" s="316" t="s">
        <v>4635</v>
      </c>
      <c r="B734" s="123" t="s">
        <v>7609</v>
      </c>
      <c r="C734" s="256" t="s">
        <v>6100</v>
      </c>
      <c r="D734" s="328" t="s">
        <v>1927</v>
      </c>
      <c r="E734" s="122" t="str">
        <f t="shared" si="11"/>
        <v xml:space="preserve">1315 : 금액（１５）　오류                    </v>
      </c>
    </row>
    <row r="735" spans="1:5" s="64" customFormat="1">
      <c r="A735" s="316" t="s">
        <v>4635</v>
      </c>
      <c r="B735" s="123" t="s">
        <v>7609</v>
      </c>
      <c r="C735" s="256" t="s">
        <v>6101</v>
      </c>
      <c r="D735" s="328" t="s">
        <v>1876</v>
      </c>
      <c r="E735" s="122" t="str">
        <f t="shared" si="11"/>
        <v xml:space="preserve">1401 : 자금코드（１）　오류                  </v>
      </c>
    </row>
    <row r="736" spans="1:5" s="64" customFormat="1">
      <c r="A736" s="316" t="s">
        <v>4635</v>
      </c>
      <c r="B736" s="123" t="s">
        <v>7609</v>
      </c>
      <c r="C736" s="256" t="s">
        <v>6102</v>
      </c>
      <c r="D736" s="328" t="s">
        <v>1875</v>
      </c>
      <c r="E736" s="122" t="str">
        <f t="shared" si="11"/>
        <v xml:space="preserve">1402 : 자금코드（２）　오류                  </v>
      </c>
    </row>
    <row r="737" spans="1:5" s="64" customFormat="1">
      <c r="A737" s="316" t="s">
        <v>4635</v>
      </c>
      <c r="B737" s="123" t="s">
        <v>7609</v>
      </c>
      <c r="C737" s="256" t="s">
        <v>6103</v>
      </c>
      <c r="D737" s="328" t="s">
        <v>1874</v>
      </c>
      <c r="E737" s="122" t="str">
        <f t="shared" si="11"/>
        <v xml:space="preserve">1403 : 자금코드（３）　오류                  </v>
      </c>
    </row>
    <row r="738" spans="1:5" s="64" customFormat="1">
      <c r="A738" s="316" t="s">
        <v>4635</v>
      </c>
      <c r="B738" s="123" t="s">
        <v>7609</v>
      </c>
      <c r="C738" s="256" t="s">
        <v>6104</v>
      </c>
      <c r="D738" s="328" t="s">
        <v>1873</v>
      </c>
      <c r="E738" s="122" t="str">
        <f t="shared" si="11"/>
        <v xml:space="preserve">1404 : 자금코드（４）　오류                  </v>
      </c>
    </row>
    <row r="739" spans="1:5" s="64" customFormat="1">
      <c r="A739" s="316" t="s">
        <v>4635</v>
      </c>
      <c r="B739" s="123" t="s">
        <v>7609</v>
      </c>
      <c r="C739" s="256" t="s">
        <v>6105</v>
      </c>
      <c r="D739" s="328" t="s">
        <v>1872</v>
      </c>
      <c r="E739" s="122" t="str">
        <f t="shared" si="11"/>
        <v xml:space="preserve">1405 : 자금코드（５）　오류                  </v>
      </c>
    </row>
    <row r="740" spans="1:5" s="64" customFormat="1">
      <c r="A740" s="316" t="s">
        <v>4635</v>
      </c>
      <c r="B740" s="123" t="s">
        <v>7609</v>
      </c>
      <c r="C740" s="256" t="s">
        <v>6106</v>
      </c>
      <c r="D740" s="328" t="s">
        <v>1871</v>
      </c>
      <c r="E740" s="122" t="str">
        <f t="shared" si="11"/>
        <v xml:space="preserve">1406 : 자금코드（６）　오류                  </v>
      </c>
    </row>
    <row r="741" spans="1:5" s="64" customFormat="1">
      <c r="A741" s="316" t="s">
        <v>4635</v>
      </c>
      <c r="B741" s="123" t="s">
        <v>7609</v>
      </c>
      <c r="C741" s="256" t="s">
        <v>6107</v>
      </c>
      <c r="D741" s="328" t="s">
        <v>1870</v>
      </c>
      <c r="E741" s="122" t="str">
        <f t="shared" si="11"/>
        <v xml:space="preserve">1407 : 자금코드（７）　오류                  </v>
      </c>
    </row>
    <row r="742" spans="1:5" s="64" customFormat="1">
      <c r="A742" s="316" t="s">
        <v>4635</v>
      </c>
      <c r="B742" s="123" t="s">
        <v>7609</v>
      </c>
      <c r="C742" s="256" t="s">
        <v>6108</v>
      </c>
      <c r="D742" s="328" t="s">
        <v>1869</v>
      </c>
      <c r="E742" s="122" t="str">
        <f t="shared" si="11"/>
        <v xml:space="preserve">1408 : 자금코드（８）　오류                  </v>
      </c>
    </row>
    <row r="743" spans="1:5" s="64" customFormat="1">
      <c r="A743" s="316" t="s">
        <v>4635</v>
      </c>
      <c r="B743" s="123" t="s">
        <v>7609</v>
      </c>
      <c r="C743" s="256" t="s">
        <v>6109</v>
      </c>
      <c r="D743" s="328" t="s">
        <v>1868</v>
      </c>
      <c r="E743" s="122" t="str">
        <f t="shared" si="11"/>
        <v xml:space="preserve">1409 : 자금코드（９）　오류                  </v>
      </c>
    </row>
    <row r="744" spans="1:5" s="64" customFormat="1">
      <c r="A744" s="316" t="s">
        <v>4635</v>
      </c>
      <c r="B744" s="123" t="s">
        <v>7609</v>
      </c>
      <c r="C744" s="256" t="s">
        <v>6110</v>
      </c>
      <c r="D744" s="328" t="s">
        <v>1867</v>
      </c>
      <c r="E744" s="122" t="str">
        <f t="shared" si="11"/>
        <v xml:space="preserve">1410 : 자금코드（１０）　오류                </v>
      </c>
    </row>
    <row r="745" spans="1:5" s="64" customFormat="1">
      <c r="A745" s="316" t="s">
        <v>4635</v>
      </c>
      <c r="B745" s="123" t="s">
        <v>7609</v>
      </c>
      <c r="C745" s="256" t="s">
        <v>6111</v>
      </c>
      <c r="D745" s="328" t="s">
        <v>1926</v>
      </c>
      <c r="E745" s="122" t="str">
        <f t="shared" si="11"/>
        <v xml:space="preserve">1501 : 계좌번호（１）오류                    </v>
      </c>
    </row>
    <row r="746" spans="1:5" s="64" customFormat="1">
      <c r="A746" s="316" t="s">
        <v>4635</v>
      </c>
      <c r="B746" s="123" t="s">
        <v>7609</v>
      </c>
      <c r="C746" s="256" t="s">
        <v>6112</v>
      </c>
      <c r="D746" s="328" t="s">
        <v>1925</v>
      </c>
      <c r="E746" s="122" t="str">
        <f t="shared" si="11"/>
        <v xml:space="preserve">1502 : 계좌번호（２）오류                    </v>
      </c>
    </row>
    <row r="747" spans="1:5" s="64" customFormat="1">
      <c r="A747" s="316" t="s">
        <v>4635</v>
      </c>
      <c r="B747" s="123" t="s">
        <v>7609</v>
      </c>
      <c r="C747" s="256" t="s">
        <v>6113</v>
      </c>
      <c r="D747" s="328" t="s">
        <v>1924</v>
      </c>
      <c r="E747" s="122" t="str">
        <f t="shared" si="11"/>
        <v xml:space="preserve">1503 : 계좌번호（３）오류                    </v>
      </c>
    </row>
    <row r="748" spans="1:5" s="64" customFormat="1">
      <c r="A748" s="316" t="s">
        <v>4635</v>
      </c>
      <c r="B748" s="123" t="s">
        <v>7609</v>
      </c>
      <c r="C748" s="256" t="s">
        <v>6114</v>
      </c>
      <c r="D748" s="328" t="s">
        <v>1923</v>
      </c>
      <c r="E748" s="122" t="str">
        <f t="shared" si="11"/>
        <v xml:space="preserve">1504 : 계좌번호（４）오류                    </v>
      </c>
    </row>
    <row r="749" spans="1:5" s="64" customFormat="1">
      <c r="A749" s="316" t="s">
        <v>4635</v>
      </c>
      <c r="B749" s="123" t="s">
        <v>7609</v>
      </c>
      <c r="C749" s="256" t="s">
        <v>6115</v>
      </c>
      <c r="D749" s="328" t="s">
        <v>1922</v>
      </c>
      <c r="E749" s="122" t="str">
        <f t="shared" si="11"/>
        <v xml:space="preserve">1505 : 계좌번호（５）오류                    </v>
      </c>
    </row>
    <row r="750" spans="1:5" s="64" customFormat="1">
      <c r="A750" s="316" t="s">
        <v>4635</v>
      </c>
      <c r="B750" s="123" t="s">
        <v>7609</v>
      </c>
      <c r="C750" s="256" t="s">
        <v>6116</v>
      </c>
      <c r="D750" s="328" t="s">
        <v>1921</v>
      </c>
      <c r="E750" s="122" t="str">
        <f t="shared" si="11"/>
        <v xml:space="preserve">1506 : 계좌번호（６）오류                    </v>
      </c>
    </row>
    <row r="751" spans="1:5" s="64" customFormat="1">
      <c r="A751" s="316" t="s">
        <v>4635</v>
      </c>
      <c r="B751" s="123" t="s">
        <v>7609</v>
      </c>
      <c r="C751" s="256" t="s">
        <v>6117</v>
      </c>
      <c r="D751" s="328" t="s">
        <v>1920</v>
      </c>
      <c r="E751" s="122" t="str">
        <f t="shared" si="11"/>
        <v xml:space="preserve">1507 : 계좌번호（７）오류                    </v>
      </c>
    </row>
    <row r="752" spans="1:5" s="64" customFormat="1">
      <c r="A752" s="316" t="s">
        <v>4635</v>
      </c>
      <c r="B752" s="123" t="s">
        <v>7609</v>
      </c>
      <c r="C752" s="256" t="s">
        <v>6118</v>
      </c>
      <c r="D752" s="328" t="s">
        <v>1919</v>
      </c>
      <c r="E752" s="122" t="str">
        <f t="shared" si="11"/>
        <v xml:space="preserve">1508 : 계좌번호（８）오류                    </v>
      </c>
    </row>
    <row r="753" spans="1:5" s="64" customFormat="1">
      <c r="A753" s="316" t="s">
        <v>4635</v>
      </c>
      <c r="B753" s="123" t="s">
        <v>7609</v>
      </c>
      <c r="C753" s="256" t="s">
        <v>6119</v>
      </c>
      <c r="D753" s="328" t="s">
        <v>1918</v>
      </c>
      <c r="E753" s="122" t="str">
        <f t="shared" si="11"/>
        <v xml:space="preserve">1509 : 계좌번호（９）오류                    </v>
      </c>
    </row>
    <row r="754" spans="1:5" s="64" customFormat="1">
      <c r="A754" s="316" t="s">
        <v>4635</v>
      </c>
      <c r="B754" s="123" t="s">
        <v>7609</v>
      </c>
      <c r="C754" s="256" t="s">
        <v>6120</v>
      </c>
      <c r="D754" s="328" t="s">
        <v>1917</v>
      </c>
      <c r="E754" s="122" t="str">
        <f t="shared" si="11"/>
        <v xml:space="preserve">1510 : 계좌번호（１０）오류                  </v>
      </c>
    </row>
    <row r="755" spans="1:5" s="64" customFormat="1">
      <c r="A755" s="316" t="s">
        <v>4635</v>
      </c>
      <c r="B755" s="123" t="s">
        <v>7609</v>
      </c>
      <c r="C755" s="256" t="s">
        <v>6121</v>
      </c>
      <c r="D755" s="328" t="s">
        <v>1916</v>
      </c>
      <c r="E755" s="122" t="str">
        <f t="shared" si="11"/>
        <v xml:space="preserve">1511 : 계좌번호（１１）　오류                </v>
      </c>
    </row>
    <row r="756" spans="1:5" s="64" customFormat="1">
      <c r="A756" s="316" t="s">
        <v>4635</v>
      </c>
      <c r="B756" s="123" t="s">
        <v>7609</v>
      </c>
      <c r="C756" s="256" t="s">
        <v>6122</v>
      </c>
      <c r="D756" s="328" t="s">
        <v>1915</v>
      </c>
      <c r="E756" s="122" t="str">
        <f t="shared" si="11"/>
        <v xml:space="preserve">1512 : 계좌번호（１２）　오류                </v>
      </c>
    </row>
    <row r="757" spans="1:5" s="64" customFormat="1">
      <c r="A757" s="316" t="s">
        <v>4635</v>
      </c>
      <c r="B757" s="123" t="s">
        <v>7609</v>
      </c>
      <c r="C757" s="256" t="s">
        <v>6123</v>
      </c>
      <c r="D757" s="328" t="s">
        <v>1914</v>
      </c>
      <c r="E757" s="122" t="str">
        <f t="shared" si="11"/>
        <v xml:space="preserve">1513 : 계좌번호（１３）　오류                </v>
      </c>
    </row>
    <row r="758" spans="1:5" s="64" customFormat="1">
      <c r="A758" s="316" t="s">
        <v>4635</v>
      </c>
      <c r="B758" s="123" t="s">
        <v>7609</v>
      </c>
      <c r="C758" s="256" t="s">
        <v>6124</v>
      </c>
      <c r="D758" s="328" t="s">
        <v>1913</v>
      </c>
      <c r="E758" s="122" t="str">
        <f t="shared" si="11"/>
        <v xml:space="preserve">1514 : 계좌번호（１４）　오류                </v>
      </c>
    </row>
    <row r="759" spans="1:5" s="64" customFormat="1">
      <c r="A759" s="316" t="s">
        <v>4635</v>
      </c>
      <c r="B759" s="123" t="s">
        <v>7609</v>
      </c>
      <c r="C759" s="256" t="s">
        <v>6125</v>
      </c>
      <c r="D759" s="328" t="s">
        <v>1912</v>
      </c>
      <c r="E759" s="122" t="str">
        <f t="shared" si="11"/>
        <v xml:space="preserve">1515 : 계좌번호（１５）　오류                </v>
      </c>
    </row>
    <row r="760" spans="1:5" s="64" customFormat="1">
      <c r="A760" s="316" t="s">
        <v>4635</v>
      </c>
      <c r="B760" s="123" t="s">
        <v>7609</v>
      </c>
      <c r="C760" s="256" t="s">
        <v>6126</v>
      </c>
      <c r="D760" s="328" t="s">
        <v>1911</v>
      </c>
      <c r="E760" s="122" t="str">
        <f t="shared" si="11"/>
        <v xml:space="preserve">1516 : 계좌번호（１６）　오류                </v>
      </c>
    </row>
    <row r="761" spans="1:5" s="64" customFormat="1">
      <c r="A761" s="316" t="s">
        <v>4635</v>
      </c>
      <c r="B761" s="123" t="s">
        <v>7609</v>
      </c>
      <c r="C761" s="256" t="s">
        <v>6127</v>
      </c>
      <c r="D761" s="328" t="s">
        <v>1910</v>
      </c>
      <c r="E761" s="122" t="str">
        <f t="shared" si="11"/>
        <v xml:space="preserve">1517 : 계좌번호（１７）　오류                </v>
      </c>
    </row>
    <row r="762" spans="1:5" s="64" customFormat="1">
      <c r="A762" s="316" t="s">
        <v>4635</v>
      </c>
      <c r="B762" s="123" t="s">
        <v>7609</v>
      </c>
      <c r="C762" s="256" t="s">
        <v>6128</v>
      </c>
      <c r="D762" s="328" t="s">
        <v>1909</v>
      </c>
      <c r="E762" s="122" t="str">
        <f t="shared" si="11"/>
        <v xml:space="preserve">1518 : 계좌번호（１８）　오류                </v>
      </c>
    </row>
    <row r="763" spans="1:5" s="64" customFormat="1">
      <c r="A763" s="316" t="s">
        <v>4635</v>
      </c>
      <c r="B763" s="123" t="s">
        <v>7609</v>
      </c>
      <c r="C763" s="256" t="s">
        <v>6129</v>
      </c>
      <c r="D763" s="328" t="s">
        <v>1908</v>
      </c>
      <c r="E763" s="122" t="str">
        <f t="shared" si="11"/>
        <v xml:space="preserve">1519 : 계좌번호（１９）　오류                </v>
      </c>
    </row>
    <row r="764" spans="1:5" s="64" customFormat="1">
      <c r="A764" s="316" t="s">
        <v>4635</v>
      </c>
      <c r="B764" s="123" t="s">
        <v>7609</v>
      </c>
      <c r="C764" s="256" t="s">
        <v>6130</v>
      </c>
      <c r="D764" s="328" t="s">
        <v>1907</v>
      </c>
      <c r="E764" s="122" t="str">
        <f t="shared" si="11"/>
        <v xml:space="preserve">1520 : 계좌번호（２０）　오류                </v>
      </c>
    </row>
    <row r="765" spans="1:5" s="64" customFormat="1">
      <c r="A765" s="316" t="s">
        <v>4635</v>
      </c>
      <c r="B765" s="123" t="s">
        <v>7609</v>
      </c>
      <c r="C765" s="256" t="s">
        <v>6131</v>
      </c>
      <c r="D765" s="328" t="s">
        <v>1906</v>
      </c>
      <c r="E765" s="122" t="str">
        <f t="shared" si="11"/>
        <v xml:space="preserve">1601 : 수취인이름（１）　오류                </v>
      </c>
    </row>
    <row r="766" spans="1:5" s="64" customFormat="1">
      <c r="A766" s="316" t="s">
        <v>4635</v>
      </c>
      <c r="B766" s="123" t="s">
        <v>7609</v>
      </c>
      <c r="C766" s="256" t="s">
        <v>6132</v>
      </c>
      <c r="D766" s="328" t="s">
        <v>1905</v>
      </c>
      <c r="E766" s="122" t="str">
        <f t="shared" si="11"/>
        <v xml:space="preserve">1602 : 수취인이름（２）　오류                </v>
      </c>
    </row>
    <row r="767" spans="1:5" s="64" customFormat="1">
      <c r="A767" s="316" t="s">
        <v>4635</v>
      </c>
      <c r="B767" s="123" t="s">
        <v>7609</v>
      </c>
      <c r="C767" s="256" t="s">
        <v>6133</v>
      </c>
      <c r="D767" s="328" t="s">
        <v>1904</v>
      </c>
      <c r="E767" s="122" t="str">
        <f t="shared" si="11"/>
        <v xml:space="preserve">1603 : 수취인이름（３）　오류                </v>
      </c>
    </row>
    <row r="768" spans="1:5" s="64" customFormat="1">
      <c r="A768" s="316" t="s">
        <v>4635</v>
      </c>
      <c r="B768" s="123" t="s">
        <v>7609</v>
      </c>
      <c r="C768" s="256" t="s">
        <v>6134</v>
      </c>
      <c r="D768" s="328" t="s">
        <v>1903</v>
      </c>
      <c r="E768" s="122" t="str">
        <f t="shared" si="11"/>
        <v xml:space="preserve">1604 : 수취인이름（４）　오류                </v>
      </c>
    </row>
    <row r="769" spans="1:5" s="64" customFormat="1">
      <c r="A769" s="316" t="s">
        <v>4635</v>
      </c>
      <c r="B769" s="123" t="s">
        <v>7609</v>
      </c>
      <c r="C769" s="256" t="s">
        <v>6135</v>
      </c>
      <c r="D769" s="328" t="s">
        <v>1902</v>
      </c>
      <c r="E769" s="122" t="str">
        <f t="shared" si="11"/>
        <v xml:space="preserve">1605 : 수취인이름（５）　오류                </v>
      </c>
    </row>
    <row r="770" spans="1:5" s="64" customFormat="1">
      <c r="A770" s="316" t="s">
        <v>4635</v>
      </c>
      <c r="B770" s="123" t="s">
        <v>7609</v>
      </c>
      <c r="C770" s="256" t="s">
        <v>6136</v>
      </c>
      <c r="D770" s="328" t="s">
        <v>1901</v>
      </c>
      <c r="E770" s="122" t="str">
        <f t="shared" si="11"/>
        <v xml:space="preserve">1606 : 수취인이름（６）　오류                </v>
      </c>
    </row>
    <row r="771" spans="1:5" s="64" customFormat="1">
      <c r="A771" s="316" t="s">
        <v>4635</v>
      </c>
      <c r="B771" s="123" t="s">
        <v>7609</v>
      </c>
      <c r="C771" s="256" t="s">
        <v>6137</v>
      </c>
      <c r="D771" s="328" t="s">
        <v>1900</v>
      </c>
      <c r="E771" s="122" t="str">
        <f t="shared" si="11"/>
        <v xml:space="preserve">1607 : 수취인이름（７）　오류                </v>
      </c>
    </row>
    <row r="772" spans="1:5" s="64" customFormat="1">
      <c r="A772" s="316" t="s">
        <v>4635</v>
      </c>
      <c r="B772" s="123" t="s">
        <v>7609</v>
      </c>
      <c r="C772" s="256" t="s">
        <v>6138</v>
      </c>
      <c r="D772" s="328" t="s">
        <v>1899</v>
      </c>
      <c r="E772" s="122" t="str">
        <f t="shared" ref="E772:E835" si="12">_xlfn.TEXTJOIN(" : ",FALSE,C772:D772)</f>
        <v xml:space="preserve">1608 : 수취인이름（８）　오류                </v>
      </c>
    </row>
    <row r="773" spans="1:5" s="64" customFormat="1">
      <c r="A773" s="316" t="s">
        <v>4635</v>
      </c>
      <c r="B773" s="123" t="s">
        <v>7609</v>
      </c>
      <c r="C773" s="256" t="s">
        <v>6139</v>
      </c>
      <c r="D773" s="328" t="s">
        <v>1898</v>
      </c>
      <c r="E773" s="122" t="str">
        <f t="shared" si="12"/>
        <v xml:space="preserve">1609 : 수취인이름（９）　오류                </v>
      </c>
    </row>
    <row r="774" spans="1:5" s="64" customFormat="1">
      <c r="A774" s="316" t="s">
        <v>4635</v>
      </c>
      <c r="B774" s="123" t="s">
        <v>7609</v>
      </c>
      <c r="C774" s="256" t="s">
        <v>6140</v>
      </c>
      <c r="D774" s="328" t="s">
        <v>1897</v>
      </c>
      <c r="E774" s="122" t="str">
        <f t="shared" si="12"/>
        <v xml:space="preserve">1610 : 수취인이름（１０）　오류              </v>
      </c>
    </row>
    <row r="775" spans="1:5" s="64" customFormat="1">
      <c r="A775" s="316" t="s">
        <v>4635</v>
      </c>
      <c r="B775" s="123" t="s">
        <v>7609</v>
      </c>
      <c r="C775" s="256" t="s">
        <v>6141</v>
      </c>
      <c r="D775" s="328" t="s">
        <v>1896</v>
      </c>
      <c r="E775" s="122" t="str">
        <f t="shared" si="12"/>
        <v xml:space="preserve">1611 : 수취인이름（１１）　오류              </v>
      </c>
    </row>
    <row r="776" spans="1:5" s="64" customFormat="1">
      <c r="A776" s="316" t="s">
        <v>4635</v>
      </c>
      <c r="B776" s="123" t="s">
        <v>7609</v>
      </c>
      <c r="C776" s="256" t="s">
        <v>6142</v>
      </c>
      <c r="D776" s="328" t="s">
        <v>1895</v>
      </c>
      <c r="E776" s="122" t="str">
        <f t="shared" si="12"/>
        <v xml:space="preserve">1612 : 수취인이름（１２）　오류              </v>
      </c>
    </row>
    <row r="777" spans="1:5" s="64" customFormat="1">
      <c r="A777" s="316" t="s">
        <v>4635</v>
      </c>
      <c r="B777" s="123" t="s">
        <v>7609</v>
      </c>
      <c r="C777" s="256" t="s">
        <v>6143</v>
      </c>
      <c r="D777" s="328" t="s">
        <v>1894</v>
      </c>
      <c r="E777" s="122" t="str">
        <f t="shared" si="12"/>
        <v xml:space="preserve">1613 : 수취인이름（１３）　오류              </v>
      </c>
    </row>
    <row r="778" spans="1:5" s="64" customFormat="1">
      <c r="A778" s="316" t="s">
        <v>4635</v>
      </c>
      <c r="B778" s="123" t="s">
        <v>7609</v>
      </c>
      <c r="C778" s="256" t="s">
        <v>6144</v>
      </c>
      <c r="D778" s="328" t="s">
        <v>1893</v>
      </c>
      <c r="E778" s="122" t="str">
        <f t="shared" si="12"/>
        <v xml:space="preserve">1614 : 수취인이름（１４）　오류              </v>
      </c>
    </row>
    <row r="779" spans="1:5" s="64" customFormat="1">
      <c r="A779" s="316" t="s">
        <v>4635</v>
      </c>
      <c r="B779" s="123" t="s">
        <v>7609</v>
      </c>
      <c r="C779" s="256" t="s">
        <v>6145</v>
      </c>
      <c r="D779" s="328" t="s">
        <v>1892</v>
      </c>
      <c r="E779" s="122" t="str">
        <f t="shared" si="12"/>
        <v xml:space="preserve">1615 : 수취인이름（１５）　오류              </v>
      </c>
    </row>
    <row r="780" spans="1:5" s="64" customFormat="1">
      <c r="A780" s="316" t="s">
        <v>4635</v>
      </c>
      <c r="B780" s="123" t="s">
        <v>7609</v>
      </c>
      <c r="C780" s="256" t="s">
        <v>6146</v>
      </c>
      <c r="D780" s="328" t="s">
        <v>1891</v>
      </c>
      <c r="E780" s="122" t="str">
        <f t="shared" si="12"/>
        <v xml:space="preserve">1701 : 의뢰인이름（１）　오류                </v>
      </c>
    </row>
    <row r="781" spans="1:5" s="64" customFormat="1">
      <c r="A781" s="316" t="s">
        <v>4635</v>
      </c>
      <c r="B781" s="123" t="s">
        <v>7609</v>
      </c>
      <c r="C781" s="256" t="s">
        <v>6147</v>
      </c>
      <c r="D781" s="328" t="s">
        <v>1890</v>
      </c>
      <c r="E781" s="122" t="str">
        <f t="shared" si="12"/>
        <v xml:space="preserve">1702 : 의뢰인이름（２）　오류                </v>
      </c>
    </row>
    <row r="782" spans="1:5" s="64" customFormat="1">
      <c r="A782" s="316" t="s">
        <v>4635</v>
      </c>
      <c r="B782" s="123" t="s">
        <v>7609</v>
      </c>
      <c r="C782" s="256" t="s">
        <v>6148</v>
      </c>
      <c r="D782" s="328" t="s">
        <v>1889</v>
      </c>
      <c r="E782" s="122" t="str">
        <f t="shared" si="12"/>
        <v xml:space="preserve">1703 : 의뢰인이름（３）　오류                </v>
      </c>
    </row>
    <row r="783" spans="1:5" s="64" customFormat="1">
      <c r="A783" s="316" t="s">
        <v>4635</v>
      </c>
      <c r="B783" s="123" t="s">
        <v>7609</v>
      </c>
      <c r="C783" s="256" t="s">
        <v>6149</v>
      </c>
      <c r="D783" s="328" t="s">
        <v>1888</v>
      </c>
      <c r="E783" s="122" t="str">
        <f t="shared" si="12"/>
        <v xml:space="preserve">1704 : 의뢰인이름（４）　오류                </v>
      </c>
    </row>
    <row r="784" spans="1:5" s="64" customFormat="1">
      <c r="A784" s="316" t="s">
        <v>4635</v>
      </c>
      <c r="B784" s="123" t="s">
        <v>7609</v>
      </c>
      <c r="C784" s="256" t="s">
        <v>6150</v>
      </c>
      <c r="D784" s="328" t="s">
        <v>1887</v>
      </c>
      <c r="E784" s="122" t="str">
        <f t="shared" si="12"/>
        <v xml:space="preserve">1705 : 의뢰인이름（５）　오류                </v>
      </c>
    </row>
    <row r="785" spans="1:5" s="64" customFormat="1">
      <c r="A785" s="316" t="s">
        <v>4635</v>
      </c>
      <c r="B785" s="123" t="s">
        <v>7609</v>
      </c>
      <c r="C785" s="256" t="s">
        <v>6151</v>
      </c>
      <c r="D785" s="328" t="s">
        <v>1886</v>
      </c>
      <c r="E785" s="122" t="str">
        <f t="shared" si="12"/>
        <v xml:space="preserve">1706 : 의뢰인이름（６）　오류                </v>
      </c>
    </row>
    <row r="786" spans="1:5" s="64" customFormat="1">
      <c r="A786" s="316" t="s">
        <v>4635</v>
      </c>
      <c r="B786" s="123" t="s">
        <v>7609</v>
      </c>
      <c r="C786" s="256" t="s">
        <v>6152</v>
      </c>
      <c r="D786" s="328" t="s">
        <v>1885</v>
      </c>
      <c r="E786" s="122" t="str">
        <f t="shared" si="12"/>
        <v xml:space="preserve">1707 : 의뢰인이름（７）　오류                </v>
      </c>
    </row>
    <row r="787" spans="1:5" s="64" customFormat="1">
      <c r="A787" s="316" t="s">
        <v>4635</v>
      </c>
      <c r="B787" s="123" t="s">
        <v>7609</v>
      </c>
      <c r="C787" s="256" t="s">
        <v>6153</v>
      </c>
      <c r="D787" s="328" t="s">
        <v>1884</v>
      </c>
      <c r="E787" s="122" t="str">
        <f t="shared" si="12"/>
        <v xml:space="preserve">1708 : 의뢰인이름（８）　오류                </v>
      </c>
    </row>
    <row r="788" spans="1:5" s="64" customFormat="1">
      <c r="A788" s="316" t="s">
        <v>4635</v>
      </c>
      <c r="B788" s="123" t="s">
        <v>7609</v>
      </c>
      <c r="C788" s="256" t="s">
        <v>6154</v>
      </c>
      <c r="D788" s="328" t="s">
        <v>1883</v>
      </c>
      <c r="E788" s="122" t="str">
        <f t="shared" si="12"/>
        <v xml:space="preserve">1709 : 의뢰인이름（９）　오류                </v>
      </c>
    </row>
    <row r="789" spans="1:5" s="64" customFormat="1">
      <c r="A789" s="316" t="s">
        <v>4635</v>
      </c>
      <c r="B789" s="123" t="s">
        <v>7609</v>
      </c>
      <c r="C789" s="256" t="s">
        <v>6155</v>
      </c>
      <c r="D789" s="328" t="s">
        <v>1882</v>
      </c>
      <c r="E789" s="122" t="str">
        <f t="shared" si="12"/>
        <v xml:space="preserve">1710 : 의뢰인이름（１０）　오류              </v>
      </c>
    </row>
    <row r="790" spans="1:5" s="64" customFormat="1">
      <c r="A790" s="316" t="s">
        <v>4635</v>
      </c>
      <c r="B790" s="123" t="s">
        <v>7609</v>
      </c>
      <c r="C790" s="256" t="s">
        <v>6156</v>
      </c>
      <c r="D790" s="328" t="s">
        <v>1881</v>
      </c>
      <c r="E790" s="122" t="str">
        <f t="shared" si="12"/>
        <v xml:space="preserve">1711 : 의뢰인이름（１１）　오류              </v>
      </c>
    </row>
    <row r="791" spans="1:5" s="64" customFormat="1">
      <c r="A791" s="316" t="s">
        <v>4635</v>
      </c>
      <c r="B791" s="123" t="s">
        <v>7609</v>
      </c>
      <c r="C791" s="256" t="s">
        <v>6157</v>
      </c>
      <c r="D791" s="328" t="s">
        <v>1880</v>
      </c>
      <c r="E791" s="122" t="str">
        <f t="shared" si="12"/>
        <v xml:space="preserve">1712 : 의뢰인이름（１２）　오류              </v>
      </c>
    </row>
    <row r="792" spans="1:5" s="64" customFormat="1">
      <c r="A792" s="316" t="s">
        <v>4635</v>
      </c>
      <c r="B792" s="123" t="s">
        <v>7609</v>
      </c>
      <c r="C792" s="256" t="s">
        <v>6158</v>
      </c>
      <c r="D792" s="328" t="s">
        <v>1879</v>
      </c>
      <c r="E792" s="122" t="str">
        <f t="shared" si="12"/>
        <v xml:space="preserve">1713 : 의뢰인이름（１３）　오류              </v>
      </c>
    </row>
    <row r="793" spans="1:5" s="64" customFormat="1">
      <c r="A793" s="316" t="s">
        <v>4635</v>
      </c>
      <c r="B793" s="123" t="s">
        <v>7609</v>
      </c>
      <c r="C793" s="256" t="s">
        <v>6159</v>
      </c>
      <c r="D793" s="328" t="s">
        <v>1878</v>
      </c>
      <c r="E793" s="122" t="str">
        <f t="shared" si="12"/>
        <v xml:space="preserve">1714 : 의뢰인이름（１４）　오류              </v>
      </c>
    </row>
    <row r="794" spans="1:5" s="64" customFormat="1">
      <c r="A794" s="316" t="s">
        <v>4635</v>
      </c>
      <c r="B794" s="123" t="s">
        <v>7609</v>
      </c>
      <c r="C794" s="256" t="s">
        <v>6160</v>
      </c>
      <c r="D794" s="328" t="s">
        <v>1877</v>
      </c>
      <c r="E794" s="122" t="str">
        <f t="shared" si="12"/>
        <v xml:space="preserve">1715 : 의뢰인이름（１５）　오류              </v>
      </c>
    </row>
    <row r="795" spans="1:5" s="64" customFormat="1">
      <c r="A795" s="316" t="s">
        <v>4635</v>
      </c>
      <c r="B795" s="123" t="s">
        <v>7609</v>
      </c>
      <c r="C795" s="256" t="s">
        <v>6161</v>
      </c>
      <c r="D795" s="328" t="s">
        <v>1876</v>
      </c>
      <c r="E795" s="122" t="str">
        <f t="shared" si="12"/>
        <v xml:space="preserve">1801 : 자금코드（１）　오류                  </v>
      </c>
    </row>
    <row r="796" spans="1:5" s="64" customFormat="1">
      <c r="A796" s="316" t="s">
        <v>4635</v>
      </c>
      <c r="B796" s="123" t="s">
        <v>7609</v>
      </c>
      <c r="C796" s="256" t="s">
        <v>6162</v>
      </c>
      <c r="D796" s="328" t="s">
        <v>1875</v>
      </c>
      <c r="E796" s="122" t="str">
        <f t="shared" si="12"/>
        <v xml:space="preserve">1802 : 자금코드（２）　오류                  </v>
      </c>
    </row>
    <row r="797" spans="1:5" s="64" customFormat="1">
      <c r="A797" s="316" t="s">
        <v>4635</v>
      </c>
      <c r="B797" s="123" t="s">
        <v>7609</v>
      </c>
      <c r="C797" s="256" t="s">
        <v>6163</v>
      </c>
      <c r="D797" s="328" t="s">
        <v>1874</v>
      </c>
      <c r="E797" s="122" t="str">
        <f t="shared" si="12"/>
        <v xml:space="preserve">1803 : 자금코드（３）　오류                  </v>
      </c>
    </row>
    <row r="798" spans="1:5" s="64" customFormat="1">
      <c r="A798" s="316" t="s">
        <v>4635</v>
      </c>
      <c r="B798" s="123" t="s">
        <v>7609</v>
      </c>
      <c r="C798" s="256" t="s">
        <v>6164</v>
      </c>
      <c r="D798" s="328" t="s">
        <v>1873</v>
      </c>
      <c r="E798" s="122" t="str">
        <f t="shared" si="12"/>
        <v xml:space="preserve">1804 : 자금코드（４）　오류                  </v>
      </c>
    </row>
    <row r="799" spans="1:5" s="64" customFormat="1">
      <c r="A799" s="316" t="s">
        <v>4635</v>
      </c>
      <c r="B799" s="123" t="s">
        <v>7609</v>
      </c>
      <c r="C799" s="256" t="s">
        <v>6165</v>
      </c>
      <c r="D799" s="328" t="s">
        <v>1872</v>
      </c>
      <c r="E799" s="122" t="str">
        <f t="shared" si="12"/>
        <v xml:space="preserve">1805 : 자금코드（５）　오류                  </v>
      </c>
    </row>
    <row r="800" spans="1:5" s="64" customFormat="1">
      <c r="A800" s="316" t="s">
        <v>4635</v>
      </c>
      <c r="B800" s="123" t="s">
        <v>7609</v>
      </c>
      <c r="C800" s="256" t="s">
        <v>6166</v>
      </c>
      <c r="D800" s="328" t="s">
        <v>1871</v>
      </c>
      <c r="E800" s="122" t="str">
        <f t="shared" si="12"/>
        <v xml:space="preserve">1806 : 자금코드（６）　오류                  </v>
      </c>
    </row>
    <row r="801" spans="1:5" s="64" customFormat="1">
      <c r="A801" s="316" t="s">
        <v>4635</v>
      </c>
      <c r="B801" s="123" t="s">
        <v>7609</v>
      </c>
      <c r="C801" s="256" t="s">
        <v>6167</v>
      </c>
      <c r="D801" s="328" t="s">
        <v>1870</v>
      </c>
      <c r="E801" s="122" t="str">
        <f t="shared" si="12"/>
        <v xml:space="preserve">1807 : 자금코드（７）　오류                  </v>
      </c>
    </row>
    <row r="802" spans="1:5" s="64" customFormat="1">
      <c r="A802" s="316" t="s">
        <v>4635</v>
      </c>
      <c r="B802" s="123" t="s">
        <v>7609</v>
      </c>
      <c r="C802" s="256" t="s">
        <v>6168</v>
      </c>
      <c r="D802" s="328" t="s">
        <v>1869</v>
      </c>
      <c r="E802" s="122" t="str">
        <f t="shared" si="12"/>
        <v xml:space="preserve">1808 : 자금코드（８）　오류                  </v>
      </c>
    </row>
    <row r="803" spans="1:5" s="64" customFormat="1">
      <c r="A803" s="316" t="s">
        <v>4635</v>
      </c>
      <c r="B803" s="123" t="s">
        <v>7609</v>
      </c>
      <c r="C803" s="256" t="s">
        <v>6169</v>
      </c>
      <c r="D803" s="328" t="s">
        <v>1868</v>
      </c>
      <c r="E803" s="122" t="str">
        <f t="shared" si="12"/>
        <v xml:space="preserve">1809 : 자금코드（９）　오류                  </v>
      </c>
    </row>
    <row r="804" spans="1:5" s="64" customFormat="1">
      <c r="A804" s="316" t="s">
        <v>4635</v>
      </c>
      <c r="B804" s="123" t="s">
        <v>7609</v>
      </c>
      <c r="C804" s="256" t="s">
        <v>6170</v>
      </c>
      <c r="D804" s="328" t="s">
        <v>1867</v>
      </c>
      <c r="E804" s="122" t="str">
        <f t="shared" si="12"/>
        <v xml:space="preserve">1810 : 자금코드（１０）　오류                </v>
      </c>
    </row>
    <row r="805" spans="1:5" s="64" customFormat="1">
      <c r="A805" s="316" t="s">
        <v>4635</v>
      </c>
      <c r="B805" s="123" t="s">
        <v>7609</v>
      </c>
      <c r="C805" s="256" t="s">
        <v>6171</v>
      </c>
      <c r="D805" s="328" t="s">
        <v>1866</v>
      </c>
      <c r="E805" s="122" t="str">
        <f t="shared" si="12"/>
        <v xml:space="preserve">1811 : 자금코드（１１）　오류                </v>
      </c>
    </row>
    <row r="806" spans="1:5" s="64" customFormat="1">
      <c r="A806" s="316" t="s">
        <v>4635</v>
      </c>
      <c r="B806" s="123" t="s">
        <v>7609</v>
      </c>
      <c r="C806" s="256" t="s">
        <v>6172</v>
      </c>
      <c r="D806" s="328" t="s">
        <v>1865</v>
      </c>
      <c r="E806" s="122" t="str">
        <f t="shared" si="12"/>
        <v xml:space="preserve">1812 : 자금코드（１２）　오류                </v>
      </c>
    </row>
    <row r="807" spans="1:5" s="64" customFormat="1">
      <c r="A807" s="316" t="s">
        <v>4635</v>
      </c>
      <c r="B807" s="123" t="s">
        <v>7609</v>
      </c>
      <c r="C807" s="256" t="s">
        <v>6173</v>
      </c>
      <c r="D807" s="328" t="s">
        <v>1864</v>
      </c>
      <c r="E807" s="122" t="str">
        <f t="shared" si="12"/>
        <v xml:space="preserve">1813 : 자금코드（１３）　오류                </v>
      </c>
    </row>
    <row r="808" spans="1:5" s="64" customFormat="1">
      <c r="A808" s="316" t="s">
        <v>4635</v>
      </c>
      <c r="B808" s="123" t="s">
        <v>7609</v>
      </c>
      <c r="C808" s="256" t="s">
        <v>6174</v>
      </c>
      <c r="D808" s="328" t="s">
        <v>1863</v>
      </c>
      <c r="E808" s="122" t="str">
        <f t="shared" si="12"/>
        <v xml:space="preserve">1814 : 자금코드（１４）　오류                </v>
      </c>
    </row>
    <row r="809" spans="1:5" s="64" customFormat="1">
      <c r="A809" s="316" t="s">
        <v>4635</v>
      </c>
      <c r="B809" s="123" t="s">
        <v>7609</v>
      </c>
      <c r="C809" s="256" t="s">
        <v>6175</v>
      </c>
      <c r="D809" s="328" t="s">
        <v>1862</v>
      </c>
      <c r="E809" s="122" t="str">
        <f t="shared" si="12"/>
        <v xml:space="preserve">1815 : 자금코드（１５）　오류                </v>
      </c>
    </row>
    <row r="810" spans="1:5" s="64" customFormat="1">
      <c r="A810" s="316" t="s">
        <v>4635</v>
      </c>
      <c r="B810" s="123" t="s">
        <v>7609</v>
      </c>
      <c r="C810" s="256" t="s">
        <v>6176</v>
      </c>
      <c r="D810" s="328" t="s">
        <v>1861</v>
      </c>
      <c r="E810" s="122" t="str">
        <f t="shared" si="12"/>
        <v xml:space="preserve">1816 : 자금코드（１６）　오류                </v>
      </c>
    </row>
    <row r="811" spans="1:5" s="64" customFormat="1">
      <c r="A811" s="316" t="s">
        <v>4635</v>
      </c>
      <c r="B811" s="123" t="s">
        <v>7609</v>
      </c>
      <c r="C811" s="256" t="s">
        <v>6177</v>
      </c>
      <c r="D811" s="328" t="s">
        <v>1860</v>
      </c>
      <c r="E811" s="122" t="str">
        <f t="shared" si="12"/>
        <v xml:space="preserve">1817 : 자금코드（１７）　오류                </v>
      </c>
    </row>
    <row r="812" spans="1:5" s="64" customFormat="1">
      <c r="A812" s="316" t="s">
        <v>4635</v>
      </c>
      <c r="B812" s="123" t="s">
        <v>7609</v>
      </c>
      <c r="C812" s="256" t="s">
        <v>6178</v>
      </c>
      <c r="D812" s="328" t="s">
        <v>1859</v>
      </c>
      <c r="E812" s="122" t="str">
        <f t="shared" si="12"/>
        <v xml:space="preserve">1818 : 자금코드（１８）　오류                </v>
      </c>
    </row>
    <row r="813" spans="1:5" s="64" customFormat="1">
      <c r="A813" s="316" t="s">
        <v>4635</v>
      </c>
      <c r="B813" s="123" t="s">
        <v>7609</v>
      </c>
      <c r="C813" s="256" t="s">
        <v>6179</v>
      </c>
      <c r="D813" s="328" t="s">
        <v>1858</v>
      </c>
      <c r="E813" s="122" t="str">
        <f t="shared" si="12"/>
        <v xml:space="preserve">1819 : 자금코드（１９）　오류                </v>
      </c>
    </row>
    <row r="814" spans="1:5" s="64" customFormat="1">
      <c r="A814" s="316" t="s">
        <v>4635</v>
      </c>
      <c r="B814" s="123" t="s">
        <v>7609</v>
      </c>
      <c r="C814" s="256" t="s">
        <v>6180</v>
      </c>
      <c r="D814" s="328" t="s">
        <v>1857</v>
      </c>
      <c r="E814" s="122" t="str">
        <f t="shared" si="12"/>
        <v xml:space="preserve">1820 : 자금코드（２０）　오류                </v>
      </c>
    </row>
    <row r="815" spans="1:5" s="64" customFormat="1">
      <c r="A815" s="316" t="s">
        <v>4635</v>
      </c>
      <c r="B815" s="123" t="s">
        <v>7609</v>
      </c>
      <c r="C815" s="256" t="s">
        <v>6181</v>
      </c>
      <c r="D815" s="328" t="s">
        <v>1856</v>
      </c>
      <c r="E815" s="122" t="str">
        <f t="shared" si="12"/>
        <v xml:space="preserve">1821 : 자금코드（２１）　오류                </v>
      </c>
    </row>
    <row r="816" spans="1:5" s="64" customFormat="1">
      <c r="A816" s="316" t="s">
        <v>4635</v>
      </c>
      <c r="B816" s="123" t="s">
        <v>7609</v>
      </c>
      <c r="C816" s="256" t="s">
        <v>6182</v>
      </c>
      <c r="D816" s="328" t="s">
        <v>1855</v>
      </c>
      <c r="E816" s="122" t="str">
        <f t="shared" si="12"/>
        <v xml:space="preserve">1822 : 자금코드（２２）　오류                </v>
      </c>
    </row>
    <row r="817" spans="1:5" s="64" customFormat="1">
      <c r="A817" s="316" t="s">
        <v>4635</v>
      </c>
      <c r="B817" s="123" t="s">
        <v>7609</v>
      </c>
      <c r="C817" s="256" t="s">
        <v>6183</v>
      </c>
      <c r="D817" s="328" t="s">
        <v>1854</v>
      </c>
      <c r="E817" s="122" t="str">
        <f t="shared" si="12"/>
        <v xml:space="preserve">1823 : 자금코드（２３）　오류                </v>
      </c>
    </row>
    <row r="818" spans="1:5" s="64" customFormat="1">
      <c r="A818" s="316" t="s">
        <v>4635</v>
      </c>
      <c r="B818" s="123" t="s">
        <v>7609</v>
      </c>
      <c r="C818" s="256" t="s">
        <v>6184</v>
      </c>
      <c r="D818" s="328" t="s">
        <v>1853</v>
      </c>
      <c r="E818" s="122" t="str">
        <f t="shared" si="12"/>
        <v xml:space="preserve">1824 : 자금코드（２４）　오류                </v>
      </c>
    </row>
    <row r="819" spans="1:5" s="64" customFormat="1">
      <c r="A819" s="316" t="s">
        <v>4635</v>
      </c>
      <c r="B819" s="123" t="s">
        <v>7609</v>
      </c>
      <c r="C819" s="256" t="s">
        <v>6185</v>
      </c>
      <c r="D819" s="328" t="s">
        <v>1852</v>
      </c>
      <c r="E819" s="122" t="str">
        <f t="shared" si="12"/>
        <v xml:space="preserve">1825 : 자금코드（２５）　오류                </v>
      </c>
    </row>
    <row r="820" spans="1:5" s="64" customFormat="1">
      <c r="A820" s="316" t="s">
        <v>4635</v>
      </c>
      <c r="B820" s="123" t="s">
        <v>7609</v>
      </c>
      <c r="C820" s="256" t="s">
        <v>6186</v>
      </c>
      <c r="D820" s="328" t="s">
        <v>1851</v>
      </c>
      <c r="E820" s="122" t="str">
        <f t="shared" si="12"/>
        <v xml:space="preserve">1826 : 자금코드（２６）　오류                </v>
      </c>
    </row>
    <row r="821" spans="1:5" s="64" customFormat="1">
      <c r="A821" s="316" t="s">
        <v>4635</v>
      </c>
      <c r="B821" s="123" t="s">
        <v>7609</v>
      </c>
      <c r="C821" s="256" t="s">
        <v>6187</v>
      </c>
      <c r="D821" s="328" t="s">
        <v>1850</v>
      </c>
      <c r="E821" s="122" t="str">
        <f t="shared" si="12"/>
        <v xml:space="preserve">1827 : 자금코드（２７）　오류                </v>
      </c>
    </row>
    <row r="822" spans="1:5" s="64" customFormat="1">
      <c r="A822" s="316" t="s">
        <v>4635</v>
      </c>
      <c r="B822" s="123" t="s">
        <v>7609</v>
      </c>
      <c r="C822" s="256" t="s">
        <v>6188</v>
      </c>
      <c r="D822" s="328" t="s">
        <v>1849</v>
      </c>
      <c r="E822" s="122" t="str">
        <f t="shared" si="12"/>
        <v xml:space="preserve">1828 : 자금코드（２８）　오류                </v>
      </c>
    </row>
    <row r="823" spans="1:5" s="64" customFormat="1">
      <c r="A823" s="316" t="s">
        <v>4635</v>
      </c>
      <c r="B823" s="123" t="s">
        <v>7609</v>
      </c>
      <c r="C823" s="256" t="s">
        <v>6189</v>
      </c>
      <c r="D823" s="328" t="s">
        <v>1848</v>
      </c>
      <c r="E823" s="122" t="str">
        <f t="shared" si="12"/>
        <v xml:space="preserve">1829 : 자금코드（２９）　오류                </v>
      </c>
    </row>
    <row r="824" spans="1:5" s="64" customFormat="1">
      <c r="A824" s="316" t="s">
        <v>4635</v>
      </c>
      <c r="B824" s="123" t="s">
        <v>7609</v>
      </c>
      <c r="C824" s="256" t="s">
        <v>6190</v>
      </c>
      <c r="D824" s="328" t="s">
        <v>1847</v>
      </c>
      <c r="E824" s="122" t="str">
        <f t="shared" si="12"/>
        <v xml:space="preserve">1830 : 자금코드（３０）　오류                </v>
      </c>
    </row>
    <row r="825" spans="1:5" s="64" customFormat="1">
      <c r="A825" s="316" t="s">
        <v>4635</v>
      </c>
      <c r="B825" s="123" t="s">
        <v>7609</v>
      </c>
      <c r="C825" s="256" t="s">
        <v>6191</v>
      </c>
      <c r="D825" s="328" t="s">
        <v>1846</v>
      </c>
      <c r="E825" s="122" t="str">
        <f t="shared" si="12"/>
        <v xml:space="preserve">1901 : 의뢰인구분（１）　오류                </v>
      </c>
    </row>
    <row r="826" spans="1:5" s="64" customFormat="1">
      <c r="A826" s="316" t="s">
        <v>4635</v>
      </c>
      <c r="B826" s="123" t="s">
        <v>7609</v>
      </c>
      <c r="C826" s="256" t="s">
        <v>6192</v>
      </c>
      <c r="D826" s="328" t="s">
        <v>1845</v>
      </c>
      <c r="E826" s="122" t="str">
        <f t="shared" si="12"/>
        <v xml:space="preserve">1902 : 의뢰인구분（２）　오류                </v>
      </c>
    </row>
    <row r="827" spans="1:5" s="64" customFormat="1">
      <c r="A827" s="316" t="s">
        <v>4635</v>
      </c>
      <c r="B827" s="123" t="s">
        <v>7609</v>
      </c>
      <c r="C827" s="256" t="s">
        <v>6193</v>
      </c>
      <c r="D827" s="328" t="s">
        <v>1844</v>
      </c>
      <c r="E827" s="122" t="str">
        <f t="shared" si="12"/>
        <v xml:space="preserve">1903 : 의뢰인구분（３）　오류                </v>
      </c>
    </row>
    <row r="828" spans="1:5" s="64" customFormat="1">
      <c r="A828" s="316" t="s">
        <v>4635</v>
      </c>
      <c r="B828" s="123" t="s">
        <v>7609</v>
      </c>
      <c r="C828" s="256" t="s">
        <v>6194</v>
      </c>
      <c r="D828" s="328" t="s">
        <v>1843</v>
      </c>
      <c r="E828" s="122" t="str">
        <f t="shared" si="12"/>
        <v xml:space="preserve">1904 : 의뢰인구분（４）　오류                </v>
      </c>
    </row>
    <row r="829" spans="1:5" s="64" customFormat="1">
      <c r="A829" s="316" t="s">
        <v>4635</v>
      </c>
      <c r="B829" s="123" t="s">
        <v>7609</v>
      </c>
      <c r="C829" s="256" t="s">
        <v>6195</v>
      </c>
      <c r="D829" s="328" t="s">
        <v>1842</v>
      </c>
      <c r="E829" s="122" t="str">
        <f t="shared" si="12"/>
        <v xml:space="preserve">1905 : 의뢰인구분（５）　오류                </v>
      </c>
    </row>
    <row r="830" spans="1:5" s="64" customFormat="1">
      <c r="A830" s="316" t="s">
        <v>4635</v>
      </c>
      <c r="B830" s="123" t="s">
        <v>7609</v>
      </c>
      <c r="C830" s="256" t="s">
        <v>6196</v>
      </c>
      <c r="D830" s="328" t="s">
        <v>1841</v>
      </c>
      <c r="E830" s="122" t="str">
        <f t="shared" si="12"/>
        <v xml:space="preserve">1906 : 의뢰인구분（６）　오류                </v>
      </c>
    </row>
    <row r="831" spans="1:5" s="64" customFormat="1">
      <c r="A831" s="316" t="s">
        <v>4635</v>
      </c>
      <c r="B831" s="123" t="s">
        <v>7609</v>
      </c>
      <c r="C831" s="256" t="s">
        <v>6197</v>
      </c>
      <c r="D831" s="328" t="s">
        <v>1840</v>
      </c>
      <c r="E831" s="122" t="str">
        <f t="shared" si="12"/>
        <v xml:space="preserve">1907 : 의뢰인구분（７）　오류                </v>
      </c>
    </row>
    <row r="832" spans="1:5" s="64" customFormat="1">
      <c r="A832" s="316" t="s">
        <v>4635</v>
      </c>
      <c r="B832" s="123" t="s">
        <v>7609</v>
      </c>
      <c r="C832" s="256" t="s">
        <v>6198</v>
      </c>
      <c r="D832" s="328" t="s">
        <v>1839</v>
      </c>
      <c r="E832" s="122" t="str">
        <f t="shared" si="12"/>
        <v xml:space="preserve">1908 : 의뢰인구분（８）　오류                </v>
      </c>
    </row>
    <row r="833" spans="1:5" s="64" customFormat="1">
      <c r="A833" s="316" t="s">
        <v>4635</v>
      </c>
      <c r="B833" s="123" t="s">
        <v>7609</v>
      </c>
      <c r="C833" s="256" t="s">
        <v>6199</v>
      </c>
      <c r="D833" s="328" t="s">
        <v>1838</v>
      </c>
      <c r="E833" s="122" t="str">
        <f t="shared" si="12"/>
        <v xml:space="preserve">1909 : 의뢰인구분（９）　오류                </v>
      </c>
    </row>
    <row r="834" spans="1:5" s="64" customFormat="1">
      <c r="A834" s="316" t="s">
        <v>4635</v>
      </c>
      <c r="B834" s="123" t="s">
        <v>7609</v>
      </c>
      <c r="C834" s="256" t="s">
        <v>6200</v>
      </c>
      <c r="D834" s="328" t="s">
        <v>1837</v>
      </c>
      <c r="E834" s="122" t="str">
        <f t="shared" si="12"/>
        <v xml:space="preserve">1910 : 의뢰인구분（１０）　오류              </v>
      </c>
    </row>
    <row r="835" spans="1:5" s="64" customFormat="1">
      <c r="A835" s="316" t="s">
        <v>4635</v>
      </c>
      <c r="B835" s="123" t="s">
        <v>7609</v>
      </c>
      <c r="C835" s="256" t="s">
        <v>6201</v>
      </c>
      <c r="D835" s="328" t="s">
        <v>1836</v>
      </c>
      <c r="E835" s="122" t="str">
        <f t="shared" si="12"/>
        <v xml:space="preserve">1911 : 원거래(결제)정보가 없습니다     </v>
      </c>
    </row>
    <row r="836" spans="1:5" s="64" customFormat="1">
      <c r="A836" s="316" t="s">
        <v>4635</v>
      </c>
      <c r="B836" s="123" t="s">
        <v>7609</v>
      </c>
      <c r="C836" s="256" t="s">
        <v>6202</v>
      </c>
      <c r="D836" s="328" t="s">
        <v>1835</v>
      </c>
      <c r="E836" s="122" t="str">
        <f t="shared" ref="E836:E899" si="13">_xlfn.TEXTJOIN(" : ",FALSE,C836:D836)</f>
        <v xml:space="preserve">1912 : 수취인지정자금이체업무마감완료        </v>
      </c>
    </row>
    <row r="837" spans="1:5" s="64" customFormat="1">
      <c r="A837" s="316" t="s">
        <v>4635</v>
      </c>
      <c r="B837" s="123" t="s">
        <v>7609</v>
      </c>
      <c r="C837" s="256" t="s">
        <v>6203</v>
      </c>
      <c r="D837" s="328" t="s">
        <v>1834</v>
      </c>
      <c r="E837" s="122" t="str">
        <f t="shared" si="13"/>
        <v>1913 : 수취인지정자금이체 원거래 조회오류</v>
      </c>
    </row>
    <row r="838" spans="1:5" s="64" customFormat="1">
      <c r="A838" s="316" t="s">
        <v>4635</v>
      </c>
      <c r="B838" s="123" t="s">
        <v>7609</v>
      </c>
      <c r="C838" s="256" t="s">
        <v>6204</v>
      </c>
      <c r="D838" s="328" t="s">
        <v>1833</v>
      </c>
      <c r="E838" s="122" t="str">
        <f t="shared" si="13"/>
        <v xml:space="preserve">1914 : CMS코드 사용여부 확인             </v>
      </c>
    </row>
    <row r="839" spans="1:5" s="64" customFormat="1">
      <c r="A839" s="316" t="s">
        <v>4635</v>
      </c>
      <c r="B839" s="123" t="s">
        <v>7609</v>
      </c>
      <c r="C839" s="256" t="s">
        <v>6205</v>
      </c>
      <c r="D839" s="328" t="s">
        <v>1832</v>
      </c>
      <c r="E839" s="122" t="str">
        <f t="shared" si="13"/>
        <v xml:space="preserve">1915 : 송신기관과 수취기관 불일치        </v>
      </c>
    </row>
    <row r="840" spans="1:5" s="64" customFormat="1">
      <c r="A840" s="316" t="s">
        <v>4635</v>
      </c>
      <c r="B840" s="123" t="s">
        <v>7609</v>
      </c>
      <c r="C840" s="256" t="s">
        <v>6206</v>
      </c>
      <c r="D840" s="328" t="s">
        <v>1831</v>
      </c>
      <c r="E840" s="122" t="str">
        <f t="shared" si="13"/>
        <v xml:space="preserve">1916 : 입금결과 입력오류                   </v>
      </c>
    </row>
    <row r="841" spans="1:5" s="64" customFormat="1">
      <c r="A841" s="316" t="s">
        <v>4635</v>
      </c>
      <c r="B841" s="123" t="s">
        <v>7609</v>
      </c>
      <c r="C841" s="256" t="s">
        <v>6207</v>
      </c>
      <c r="D841" s="328" t="s">
        <v>1830</v>
      </c>
      <c r="E841" s="122" t="str">
        <f t="shared" si="13"/>
        <v xml:space="preserve">1917 : 입금처리시간 입력오류               </v>
      </c>
    </row>
    <row r="842" spans="1:5" s="64" customFormat="1">
      <c r="A842" s="316" t="s">
        <v>4635</v>
      </c>
      <c r="B842" s="123" t="s">
        <v>7609</v>
      </c>
      <c r="C842" s="256" t="s">
        <v>6208</v>
      </c>
      <c r="D842" s="328" t="s">
        <v>1829</v>
      </c>
      <c r="E842" s="122" t="str">
        <f t="shared" si="13"/>
        <v xml:space="preserve">1918 : 입금결과통보대상거래 금액 불일치  </v>
      </c>
    </row>
    <row r="843" spans="1:5" s="64" customFormat="1">
      <c r="A843" s="316" t="s">
        <v>4635</v>
      </c>
      <c r="B843" s="123" t="s">
        <v>7609</v>
      </c>
      <c r="C843" s="256" t="s">
        <v>6209</v>
      </c>
      <c r="D843" s="328" t="s">
        <v>1828</v>
      </c>
      <c r="E843" s="122" t="str">
        <f t="shared" si="13"/>
        <v xml:space="preserve">1919 : 입금결과통보대상거래 조회오류       </v>
      </c>
    </row>
    <row r="844" spans="1:5" s="64" customFormat="1">
      <c r="A844" s="316" t="s">
        <v>4635</v>
      </c>
      <c r="B844" s="123" t="s">
        <v>7609</v>
      </c>
      <c r="C844" s="256" t="s">
        <v>6210</v>
      </c>
      <c r="D844" s="328" t="s">
        <v>1827</v>
      </c>
      <c r="E844" s="122" t="str">
        <f t="shared" si="13"/>
        <v xml:space="preserve">1920 : 이미 입금결과통보된 거래임        </v>
      </c>
    </row>
    <row r="845" spans="1:5" s="64" customFormat="1">
      <c r="A845" s="316" t="s">
        <v>4635</v>
      </c>
      <c r="B845" s="123" t="s">
        <v>7609</v>
      </c>
      <c r="C845" s="256" t="s">
        <v>6211</v>
      </c>
      <c r="D845" s="328" t="s">
        <v>1826</v>
      </c>
      <c r="E845" s="122" t="str">
        <f t="shared" si="13"/>
        <v xml:space="preserve">1921 : 이미 반환처리된 거래임            </v>
      </c>
    </row>
    <row r="846" spans="1:5" s="64" customFormat="1">
      <c r="A846" s="316" t="s">
        <v>4635</v>
      </c>
      <c r="B846" s="123" t="s">
        <v>7609</v>
      </c>
      <c r="C846" s="256" t="s">
        <v>6212</v>
      </c>
      <c r="D846" s="328" t="s">
        <v>1825</v>
      </c>
      <c r="E846" s="122" t="str">
        <f t="shared" si="13"/>
        <v xml:space="preserve">1922 : 수취계좌입금실패거래가 아님         </v>
      </c>
    </row>
    <row r="847" spans="1:5" s="64" customFormat="1">
      <c r="A847" s="316" t="s">
        <v>4635</v>
      </c>
      <c r="B847" s="123" t="s">
        <v>7609</v>
      </c>
      <c r="C847" s="256" t="s">
        <v>6213</v>
      </c>
      <c r="D847" s="328" t="s">
        <v>1824</v>
      </c>
      <c r="E847" s="122" t="str">
        <f t="shared" si="13"/>
        <v xml:space="preserve">1923 : 반환거래에 대한 재반환 불가     </v>
      </c>
    </row>
    <row r="848" spans="1:5" s="64" customFormat="1">
      <c r="A848" s="316" t="s">
        <v>4635</v>
      </c>
      <c r="B848" s="123" t="s">
        <v>7609</v>
      </c>
      <c r="C848" s="256" t="s">
        <v>6214</v>
      </c>
      <c r="D848" s="328" t="s">
        <v>1823</v>
      </c>
      <c r="E848" s="122" t="str">
        <f t="shared" si="13"/>
        <v xml:space="preserve">2000 : 환파일　오류                          </v>
      </c>
    </row>
    <row r="849" spans="1:5" s="64" customFormat="1">
      <c r="A849" s="316" t="s">
        <v>4635</v>
      </c>
      <c r="B849" s="123" t="s">
        <v>7609</v>
      </c>
      <c r="C849" s="256" t="s">
        <v>6215</v>
      </c>
      <c r="D849" s="328" t="s">
        <v>1822</v>
      </c>
      <c r="E849" s="122" t="str">
        <f t="shared" si="13"/>
        <v xml:space="preserve">2001 : 거래일자를　확인하시오                </v>
      </c>
    </row>
    <row r="850" spans="1:5" s="64" customFormat="1">
      <c r="A850" s="316" t="s">
        <v>4635</v>
      </c>
      <c r="B850" s="123" t="s">
        <v>7609</v>
      </c>
      <c r="C850" s="256" t="s">
        <v>6216</v>
      </c>
      <c r="D850" s="328" t="s">
        <v>1821</v>
      </c>
      <c r="E850" s="122" t="str">
        <f t="shared" si="13"/>
        <v xml:space="preserve">2002 : 결제번호를　확인하시오                </v>
      </c>
    </row>
    <row r="851" spans="1:5" s="64" customFormat="1">
      <c r="A851" s="316" t="s">
        <v>4635</v>
      </c>
      <c r="B851" s="123" t="s">
        <v>7609</v>
      </c>
      <c r="C851" s="256" t="s">
        <v>6217</v>
      </c>
      <c r="D851" s="328" t="s">
        <v>1820</v>
      </c>
      <c r="E851" s="122" t="str">
        <f t="shared" si="13"/>
        <v xml:space="preserve">2003 : 증권대금코드를　확인하시오            </v>
      </c>
    </row>
    <row r="852" spans="1:5" s="64" customFormat="1">
      <c r="A852" s="316" t="s">
        <v>4635</v>
      </c>
      <c r="B852" s="123" t="s">
        <v>7609</v>
      </c>
      <c r="C852" s="256" t="s">
        <v>6218</v>
      </c>
      <c r="D852" s="328" t="s">
        <v>1819</v>
      </c>
      <c r="E852" s="122" t="str">
        <f t="shared" si="13"/>
        <v xml:space="preserve">2004 : 합계금액을　확인하시오                </v>
      </c>
    </row>
    <row r="853" spans="1:5" s="64" customFormat="1">
      <c r="A853" s="316" t="s">
        <v>4635</v>
      </c>
      <c r="B853" s="123" t="s">
        <v>7609</v>
      </c>
      <c r="C853" s="256" t="s">
        <v>6219</v>
      </c>
      <c r="D853" s="328" t="s">
        <v>1818</v>
      </c>
      <c r="E853" s="122" t="str">
        <f t="shared" si="13"/>
        <v xml:space="preserve">2005 : 거래부호를　확인하시오                </v>
      </c>
    </row>
    <row r="854" spans="1:5" s="64" customFormat="1">
      <c r="A854" s="316" t="s">
        <v>4635</v>
      </c>
      <c r="B854" s="123" t="s">
        <v>7609</v>
      </c>
      <c r="C854" s="256" t="s">
        <v>6220</v>
      </c>
      <c r="D854" s="328" t="s">
        <v>1817</v>
      </c>
      <c r="E854" s="122" t="str">
        <f t="shared" si="13"/>
        <v xml:space="preserve">2006 : 매도기관수를　확인하시오              </v>
      </c>
    </row>
    <row r="855" spans="1:5" s="64" customFormat="1">
      <c r="A855" s="316" t="s">
        <v>4635</v>
      </c>
      <c r="B855" s="123" t="s">
        <v>7609</v>
      </c>
      <c r="C855" s="256" t="s">
        <v>6221</v>
      </c>
      <c r="D855" s="328" t="s">
        <v>1816</v>
      </c>
      <c r="E855" s="122" t="str">
        <f t="shared" si="13"/>
        <v xml:space="preserve">2007 : 발행일자를 확인하시오               </v>
      </c>
    </row>
    <row r="856" spans="1:5" s="64" customFormat="1">
      <c r="A856" s="316" t="s">
        <v>4635</v>
      </c>
      <c r="B856" s="123" t="s">
        <v>7609</v>
      </c>
      <c r="C856" s="256" t="s">
        <v>6222</v>
      </c>
      <c r="D856" s="328" t="s">
        <v>1815</v>
      </c>
      <c r="E856" s="122" t="str">
        <f t="shared" si="13"/>
        <v xml:space="preserve">2008 : KR-CODE를 확인하시오                </v>
      </c>
    </row>
    <row r="857" spans="1:5" s="64" customFormat="1">
      <c r="A857" s="316" t="s">
        <v>4635</v>
      </c>
      <c r="B857" s="123" t="s">
        <v>7609</v>
      </c>
      <c r="C857" s="256" t="s">
        <v>6223</v>
      </c>
      <c r="D857" s="328" t="s">
        <v>1814</v>
      </c>
      <c r="E857" s="122" t="str">
        <f t="shared" si="13"/>
        <v xml:space="preserve">2009 : 수취기관 거래점포코드 오류        </v>
      </c>
    </row>
    <row r="858" spans="1:5" s="64" customFormat="1">
      <c r="A858" s="316" t="s">
        <v>4635</v>
      </c>
      <c r="B858" s="123" t="s">
        <v>7609</v>
      </c>
      <c r="C858" s="256" t="s">
        <v>6224</v>
      </c>
      <c r="D858" s="328" t="s">
        <v>1813</v>
      </c>
      <c r="E858" s="122" t="str">
        <f t="shared" si="13"/>
        <v xml:space="preserve">2010 : 수취기관 계좌번호를 확인하시오    </v>
      </c>
    </row>
    <row r="859" spans="1:5" s="64" customFormat="1">
      <c r="A859" s="316" t="s">
        <v>4635</v>
      </c>
      <c r="B859" s="123" t="s">
        <v>7609</v>
      </c>
      <c r="C859" s="256" t="s">
        <v>6225</v>
      </c>
      <c r="D859" s="328" t="s">
        <v>1812</v>
      </c>
      <c r="E859" s="122" t="str">
        <f t="shared" si="13"/>
        <v xml:space="preserve">2011 : 수취기관명을 확인하시오             </v>
      </c>
    </row>
    <row r="860" spans="1:5" s="64" customFormat="1">
      <c r="A860" s="316" t="s">
        <v>4635</v>
      </c>
      <c r="B860" s="123" t="s">
        <v>7609</v>
      </c>
      <c r="C860" s="256" t="s">
        <v>6226</v>
      </c>
      <c r="D860" s="328" t="s">
        <v>1811</v>
      </c>
      <c r="E860" s="122" t="str">
        <f t="shared" si="13"/>
        <v xml:space="preserve">2012 : 실명번호를 확인하시오               </v>
      </c>
    </row>
    <row r="861" spans="1:5" s="64" customFormat="1">
      <c r="A861" s="316" t="s">
        <v>4635</v>
      </c>
      <c r="B861" s="123" t="s">
        <v>7609</v>
      </c>
      <c r="C861" s="256" t="s">
        <v>6227</v>
      </c>
      <c r="D861" s="328" t="s">
        <v>1810</v>
      </c>
      <c r="E861" s="122" t="str">
        <f t="shared" si="13"/>
        <v xml:space="preserve">2013 : CMS 계좌여부를 확인하시오           </v>
      </c>
    </row>
    <row r="862" spans="1:5" s="64" customFormat="1">
      <c r="A862" s="316" t="s">
        <v>4635</v>
      </c>
      <c r="B862" s="123" t="s">
        <v>7609</v>
      </c>
      <c r="C862" s="256" t="s">
        <v>6228</v>
      </c>
      <c r="D862" s="328" t="s">
        <v>1809</v>
      </c>
      <c r="E862" s="122" t="str">
        <f t="shared" si="13"/>
        <v xml:space="preserve">2014 : CMS 코드를 확인하시오               </v>
      </c>
    </row>
    <row r="863" spans="1:5" s="64" customFormat="1">
      <c r="A863" s="316" t="s">
        <v>4635</v>
      </c>
      <c r="B863" s="123" t="s">
        <v>7609</v>
      </c>
      <c r="C863" s="256" t="s">
        <v>6229</v>
      </c>
      <c r="D863" s="328" t="s">
        <v>1808</v>
      </c>
      <c r="E863" s="122" t="str">
        <f t="shared" si="13"/>
        <v xml:space="preserve">2015 : 전자단기사채 이체인명 조회오류    </v>
      </c>
    </row>
    <row r="864" spans="1:5" s="64" customFormat="1">
      <c r="A864" s="316" t="s">
        <v>4635</v>
      </c>
      <c r="B864" s="123" t="s">
        <v>7609</v>
      </c>
      <c r="C864" s="256" t="s">
        <v>6230</v>
      </c>
      <c r="D864" s="328" t="s">
        <v>1807</v>
      </c>
      <c r="E864" s="122" t="str">
        <f t="shared" si="13"/>
        <v xml:space="preserve">2021 : 한은망입력이　종료되었습니다．        </v>
      </c>
    </row>
    <row r="865" spans="1:5" s="64" customFormat="1">
      <c r="A865" s="316" t="s">
        <v>4635</v>
      </c>
      <c r="B865" s="123" t="s">
        <v>7609</v>
      </c>
      <c r="C865" s="256" t="s">
        <v>6231</v>
      </c>
      <c r="D865" s="328" t="s">
        <v>1806</v>
      </c>
      <c r="E865" s="122" t="str">
        <f t="shared" si="13"/>
        <v xml:space="preserve">2022 : 증권자금이체가　마감되었습니다．      </v>
      </c>
    </row>
    <row r="866" spans="1:5" s="64" customFormat="1">
      <c r="A866" s="316" t="s">
        <v>4635</v>
      </c>
      <c r="B866" s="123" t="s">
        <v>7609</v>
      </c>
      <c r="C866" s="256" t="s">
        <v>6232</v>
      </c>
      <c r="D866" s="328" t="s">
        <v>1805</v>
      </c>
      <c r="E866" s="122" t="str">
        <f t="shared" si="13"/>
        <v xml:space="preserve">2023 : DVP(전자단기사채상환) 마감          </v>
      </c>
    </row>
    <row r="867" spans="1:5" s="64" customFormat="1">
      <c r="A867" s="316" t="s">
        <v>4635</v>
      </c>
      <c r="B867" s="123" t="s">
        <v>7609</v>
      </c>
      <c r="C867" s="256" t="s">
        <v>6233</v>
      </c>
      <c r="D867" s="328" t="s">
        <v>1804</v>
      </c>
      <c r="E867" s="122" t="str">
        <f t="shared" si="13"/>
        <v xml:space="preserve">2031 : 매수기관코드를　확인하시오．          </v>
      </c>
    </row>
    <row r="868" spans="1:5" s="64" customFormat="1">
      <c r="A868" s="316" t="s">
        <v>4635</v>
      </c>
      <c r="B868" s="123" t="s">
        <v>7609</v>
      </c>
      <c r="C868" s="256" t="s">
        <v>6234</v>
      </c>
      <c r="D868" s="328" t="s">
        <v>1803</v>
      </c>
      <c r="E868" s="122" t="str">
        <f t="shared" si="13"/>
        <v xml:space="preserve">2032 : 매수기관약정을　확인하시오．          </v>
      </c>
    </row>
    <row r="869" spans="1:5" s="64" customFormat="1">
      <c r="A869" s="316" t="s">
        <v>4635</v>
      </c>
      <c r="B869" s="123" t="s">
        <v>7609</v>
      </c>
      <c r="C869" s="256" t="s">
        <v>6235</v>
      </c>
      <c r="D869" s="328" t="s">
        <v>1802</v>
      </c>
      <c r="E869" s="122" t="str">
        <f t="shared" si="13"/>
        <v>2041 : 매수기관계정개설처코드를　확인하시오．</v>
      </c>
    </row>
    <row r="870" spans="1:5" s="64" customFormat="1">
      <c r="A870" s="316" t="s">
        <v>4635</v>
      </c>
      <c r="B870" s="123" t="s">
        <v>7609</v>
      </c>
      <c r="C870" s="256" t="s">
        <v>6236</v>
      </c>
      <c r="D870" s="328" t="s">
        <v>1801</v>
      </c>
      <c r="E870" s="122" t="str">
        <f t="shared" si="13"/>
        <v xml:space="preserve">2042 : 증권예탁원계정개설처를　확인하시오．  </v>
      </c>
    </row>
    <row r="871" spans="1:5" s="64" customFormat="1">
      <c r="A871" s="316" t="s">
        <v>4635</v>
      </c>
      <c r="B871" s="123" t="s">
        <v>7609</v>
      </c>
      <c r="C871" s="256" t="s">
        <v>6237</v>
      </c>
      <c r="D871" s="328" t="s">
        <v>1800</v>
      </c>
      <c r="E871" s="122" t="str">
        <f t="shared" si="13"/>
        <v>2043 : 매수기관취급점이　영업일이　아닙니다．</v>
      </c>
    </row>
    <row r="872" spans="1:5" s="64" customFormat="1">
      <c r="A872" s="316" t="s">
        <v>4635</v>
      </c>
      <c r="B872" s="123" t="s">
        <v>7609</v>
      </c>
      <c r="C872" s="256" t="s">
        <v>6238</v>
      </c>
      <c r="D872" s="328" t="s">
        <v>1799</v>
      </c>
      <c r="E872" s="122" t="str">
        <f t="shared" si="13"/>
        <v xml:space="preserve">2044 : 증권예탁원취급점이영업일이아닙니다．  </v>
      </c>
    </row>
    <row r="873" spans="1:5" s="64" customFormat="1">
      <c r="A873" s="316" t="s">
        <v>4635</v>
      </c>
      <c r="B873" s="123" t="s">
        <v>7609</v>
      </c>
      <c r="C873" s="256" t="s">
        <v>6239</v>
      </c>
      <c r="D873" s="328" t="s">
        <v>1798</v>
      </c>
      <c r="E873" s="122" t="str">
        <f t="shared" si="13"/>
        <v xml:space="preserve">2061 : 이미　이체의뢰된　거래입니다．        </v>
      </c>
    </row>
    <row r="874" spans="1:5" s="64" customFormat="1">
      <c r="A874" s="316" t="s">
        <v>4635</v>
      </c>
      <c r="B874" s="123" t="s">
        <v>7609</v>
      </c>
      <c r="C874" s="256" t="s">
        <v>6240</v>
      </c>
      <c r="D874" s="328" t="s">
        <v>1797</v>
      </c>
      <c r="E874" s="122" t="str">
        <f t="shared" si="13"/>
        <v xml:space="preserve">2062 : 이미　이체완료된　거래입니다．        </v>
      </c>
    </row>
    <row r="875" spans="1:5" s="64" customFormat="1">
      <c r="A875" s="316" t="s">
        <v>4635</v>
      </c>
      <c r="B875" s="123" t="s">
        <v>7609</v>
      </c>
      <c r="C875" s="256" t="s">
        <v>6241</v>
      </c>
      <c r="D875" s="328" t="s">
        <v>1796</v>
      </c>
      <c r="E875" s="122" t="str">
        <f t="shared" si="13"/>
        <v xml:space="preserve">2063 : 이미　이체취소된　거래입니다．        </v>
      </c>
    </row>
    <row r="876" spans="1:5" s="64" customFormat="1">
      <c r="A876" s="316" t="s">
        <v>4635</v>
      </c>
      <c r="B876" s="123" t="s">
        <v>7609</v>
      </c>
      <c r="C876" s="256" t="s">
        <v>6242</v>
      </c>
      <c r="D876" s="328" t="s">
        <v>1795</v>
      </c>
      <c r="E876" s="122" t="str">
        <f t="shared" si="13"/>
        <v xml:space="preserve">2064 : 이체대기　취소후　의뢰취소하십시오．  </v>
      </c>
    </row>
    <row r="877" spans="1:5" s="64" customFormat="1">
      <c r="A877" s="316" t="s">
        <v>4635</v>
      </c>
      <c r="B877" s="123" t="s">
        <v>7609</v>
      </c>
      <c r="C877" s="256" t="s">
        <v>6243</v>
      </c>
      <c r="D877" s="328" t="s">
        <v>1794</v>
      </c>
      <c r="E877" s="122" t="str">
        <f t="shared" si="13"/>
        <v xml:space="preserve">2065 : 대기거래 테이블없습니다             </v>
      </c>
    </row>
    <row r="878" spans="1:5" s="64" customFormat="1">
      <c r="A878" s="316" t="s">
        <v>4635</v>
      </c>
      <c r="B878" s="123" t="s">
        <v>7609</v>
      </c>
      <c r="C878" s="256" t="s">
        <v>6244</v>
      </c>
      <c r="D878" s="328" t="s">
        <v>1793</v>
      </c>
      <c r="E878" s="122" t="str">
        <f t="shared" si="13"/>
        <v xml:space="preserve">2066 : 대기취소처리　오류입니다．            </v>
      </c>
    </row>
    <row r="879" spans="1:5" s="64" customFormat="1">
      <c r="A879" s="316" t="s">
        <v>4635</v>
      </c>
      <c r="B879" s="123" t="s">
        <v>7609</v>
      </c>
      <c r="C879" s="256" t="s">
        <v>6245</v>
      </c>
      <c r="D879" s="328" t="s">
        <v>1792</v>
      </c>
      <c r="E879" s="122" t="str">
        <f t="shared" si="13"/>
        <v xml:space="preserve">2067 : 취소할증권대금이체의뢰내역이없습니다  </v>
      </c>
    </row>
    <row r="880" spans="1:5" s="64" customFormat="1">
      <c r="A880" s="316" t="s">
        <v>4635</v>
      </c>
      <c r="B880" s="123" t="s">
        <v>7609</v>
      </c>
      <c r="C880" s="256" t="s">
        <v>6246</v>
      </c>
      <c r="D880" s="328" t="s">
        <v>1791</v>
      </c>
      <c r="E880" s="122" t="str">
        <f t="shared" si="13"/>
        <v xml:space="preserve">2081 : 변환코드 확인오류                   </v>
      </c>
    </row>
    <row r="881" spans="1:5" s="64" customFormat="1">
      <c r="A881" s="316" t="s">
        <v>4635</v>
      </c>
      <c r="B881" s="123" t="s">
        <v>7609</v>
      </c>
      <c r="C881" s="256" t="s">
        <v>6247</v>
      </c>
      <c r="D881" s="328" t="s">
        <v>1790</v>
      </c>
      <c r="E881" s="122" t="str">
        <f t="shared" si="13"/>
        <v xml:space="preserve">2082 : 예금거래정보 테이블없습니다         </v>
      </c>
    </row>
    <row r="882" spans="1:5" s="64" customFormat="1">
      <c r="A882" s="316" t="s">
        <v>4635</v>
      </c>
      <c r="B882" s="123" t="s">
        <v>7609</v>
      </c>
      <c r="C882" s="256" t="s">
        <v>6248</v>
      </c>
      <c r="D882" s="328" t="s">
        <v>1789</v>
      </c>
      <c r="E882" s="122" t="str">
        <f t="shared" si="13"/>
        <v xml:space="preserve">2083 : 부서코드　미등록                      </v>
      </c>
    </row>
    <row r="883" spans="1:5" s="64" customFormat="1">
      <c r="A883" s="316" t="s">
        <v>4635</v>
      </c>
      <c r="B883" s="123" t="s">
        <v>7609</v>
      </c>
      <c r="C883" s="256" t="s">
        <v>6249</v>
      </c>
      <c r="D883" s="328" t="s">
        <v>1788</v>
      </c>
      <c r="E883" s="122" t="str">
        <f t="shared" si="13"/>
        <v xml:space="preserve">2084 : 거래기관코드　미등록                  </v>
      </c>
    </row>
    <row r="884" spans="1:5" s="64" customFormat="1">
      <c r="A884" s="316" t="s">
        <v>4635</v>
      </c>
      <c r="B884" s="123" t="s">
        <v>7609</v>
      </c>
      <c r="C884" s="256" t="s">
        <v>6250</v>
      </c>
      <c r="D884" s="328" t="s">
        <v>1787</v>
      </c>
      <c r="E884" s="122" t="str">
        <f t="shared" si="13"/>
        <v xml:space="preserve">2086 : 사용자단말　미등록                    </v>
      </c>
    </row>
    <row r="885" spans="1:5" s="64" customFormat="1">
      <c r="A885" s="316" t="s">
        <v>4635</v>
      </c>
      <c r="B885" s="123" t="s">
        <v>7609</v>
      </c>
      <c r="C885" s="256" t="s">
        <v>6251</v>
      </c>
      <c r="D885" s="328" t="s">
        <v>1786</v>
      </c>
      <c r="E885" s="122" t="str">
        <f t="shared" si="13"/>
        <v xml:space="preserve">2098 : ＳＱＬ　ＡＢＥＮＤ                    </v>
      </c>
    </row>
    <row r="886" spans="1:5" s="64" customFormat="1">
      <c r="A886" s="316" t="s">
        <v>4635</v>
      </c>
      <c r="B886" s="123" t="s">
        <v>7609</v>
      </c>
      <c r="C886" s="256" t="s">
        <v>6252</v>
      </c>
      <c r="D886" s="328" t="s">
        <v>1785</v>
      </c>
      <c r="E886" s="122" t="str">
        <f t="shared" si="13"/>
        <v xml:space="preserve">2099 : ＣＩＣＳ　ＡＢＥＮＤ                  </v>
      </c>
    </row>
    <row r="887" spans="1:5" s="64" customFormat="1">
      <c r="A887" s="316" t="s">
        <v>4635</v>
      </c>
      <c r="B887" s="123" t="s">
        <v>7609</v>
      </c>
      <c r="C887" s="256" t="s">
        <v>6253</v>
      </c>
      <c r="D887" s="328" t="s">
        <v>1784</v>
      </c>
      <c r="E887" s="122" t="str">
        <f t="shared" si="13"/>
        <v xml:space="preserve">2100 : 미결제자료가　없습니다．              </v>
      </c>
    </row>
    <row r="888" spans="1:5" s="64" customFormat="1">
      <c r="A888" s="316" t="s">
        <v>4635</v>
      </c>
      <c r="B888" s="123" t="s">
        <v>7609</v>
      </c>
      <c r="C888" s="256" t="s">
        <v>6254</v>
      </c>
      <c r="D888" s="328" t="s">
        <v>1783</v>
      </c>
      <c r="E888" s="122" t="str">
        <f t="shared" si="13"/>
        <v xml:space="preserve">2101 : 매도기관코드（０１）를　확인하시오．  </v>
      </c>
    </row>
    <row r="889" spans="1:5" s="64" customFormat="1">
      <c r="A889" s="316" t="s">
        <v>4635</v>
      </c>
      <c r="B889" s="123" t="s">
        <v>7609</v>
      </c>
      <c r="C889" s="256" t="s">
        <v>6255</v>
      </c>
      <c r="D889" s="328" t="s">
        <v>1782</v>
      </c>
      <c r="E889" s="122" t="str">
        <f t="shared" si="13"/>
        <v xml:space="preserve">2102 : 매도기관코드（０２）를　확인하시오．  </v>
      </c>
    </row>
    <row r="890" spans="1:5" s="64" customFormat="1">
      <c r="A890" s="316" t="s">
        <v>4635</v>
      </c>
      <c r="B890" s="123" t="s">
        <v>7609</v>
      </c>
      <c r="C890" s="256" t="s">
        <v>6256</v>
      </c>
      <c r="D890" s="328" t="s">
        <v>1781</v>
      </c>
      <c r="E890" s="122" t="str">
        <f t="shared" si="13"/>
        <v xml:space="preserve">2103 : 매도기관코드（０３）를　확인하시오．  </v>
      </c>
    </row>
    <row r="891" spans="1:5" s="64" customFormat="1">
      <c r="A891" s="316" t="s">
        <v>4635</v>
      </c>
      <c r="B891" s="123" t="s">
        <v>7609</v>
      </c>
      <c r="C891" s="256" t="s">
        <v>6257</v>
      </c>
      <c r="D891" s="328" t="s">
        <v>1780</v>
      </c>
      <c r="E891" s="122" t="str">
        <f t="shared" si="13"/>
        <v xml:space="preserve">2104 : 매도기관코드（０４）를　확인하시오．  </v>
      </c>
    </row>
    <row r="892" spans="1:5" s="64" customFormat="1">
      <c r="A892" s="316" t="s">
        <v>4635</v>
      </c>
      <c r="B892" s="123" t="s">
        <v>7609</v>
      </c>
      <c r="C892" s="256" t="s">
        <v>6258</v>
      </c>
      <c r="D892" s="328" t="s">
        <v>1779</v>
      </c>
      <c r="E892" s="122" t="str">
        <f t="shared" si="13"/>
        <v xml:space="preserve">2105 : 매도기관코드（０５）를　확인하시오．  </v>
      </c>
    </row>
    <row r="893" spans="1:5" s="64" customFormat="1">
      <c r="A893" s="316" t="s">
        <v>4635</v>
      </c>
      <c r="B893" s="123" t="s">
        <v>7609</v>
      </c>
      <c r="C893" s="256" t="s">
        <v>6259</v>
      </c>
      <c r="D893" s="328" t="s">
        <v>1778</v>
      </c>
      <c r="E893" s="122" t="str">
        <f t="shared" si="13"/>
        <v xml:space="preserve">2106 : 매도기관코드（０６）를　확인하시오．  </v>
      </c>
    </row>
    <row r="894" spans="1:5" s="64" customFormat="1">
      <c r="A894" s="316" t="s">
        <v>4635</v>
      </c>
      <c r="B894" s="123" t="s">
        <v>7609</v>
      </c>
      <c r="C894" s="256" t="s">
        <v>6260</v>
      </c>
      <c r="D894" s="328" t="s">
        <v>1777</v>
      </c>
      <c r="E894" s="122" t="str">
        <f t="shared" si="13"/>
        <v xml:space="preserve">2107 : 매도기관코드（０７）를　확인하시오．  </v>
      </c>
    </row>
    <row r="895" spans="1:5" s="64" customFormat="1">
      <c r="A895" s="316" t="s">
        <v>4635</v>
      </c>
      <c r="B895" s="123" t="s">
        <v>7609</v>
      </c>
      <c r="C895" s="256" t="s">
        <v>6261</v>
      </c>
      <c r="D895" s="328" t="s">
        <v>1776</v>
      </c>
      <c r="E895" s="122" t="str">
        <f t="shared" si="13"/>
        <v xml:space="preserve">2108 : 매도기관코드（０８）를　확인하시오．  </v>
      </c>
    </row>
    <row r="896" spans="1:5" s="64" customFormat="1">
      <c r="A896" s="316" t="s">
        <v>4635</v>
      </c>
      <c r="B896" s="123" t="s">
        <v>7609</v>
      </c>
      <c r="C896" s="256" t="s">
        <v>6262</v>
      </c>
      <c r="D896" s="328" t="s">
        <v>1775</v>
      </c>
      <c r="E896" s="122" t="str">
        <f t="shared" si="13"/>
        <v xml:space="preserve">2109 : 매도기관코드（０９）를　확인하시오．  </v>
      </c>
    </row>
    <row r="897" spans="1:5" s="64" customFormat="1">
      <c r="A897" s="316" t="s">
        <v>4635</v>
      </c>
      <c r="B897" s="123" t="s">
        <v>7609</v>
      </c>
      <c r="C897" s="256" t="s">
        <v>6263</v>
      </c>
      <c r="D897" s="328" t="s">
        <v>1774</v>
      </c>
      <c r="E897" s="122" t="str">
        <f t="shared" si="13"/>
        <v xml:space="preserve">2110 : 매도기관코드（１０）를　확인하시오．  </v>
      </c>
    </row>
    <row r="898" spans="1:5" s="64" customFormat="1">
      <c r="A898" s="316" t="s">
        <v>4635</v>
      </c>
      <c r="B898" s="123" t="s">
        <v>7609</v>
      </c>
      <c r="C898" s="256" t="s">
        <v>6264</v>
      </c>
      <c r="D898" s="328" t="s">
        <v>1773</v>
      </c>
      <c r="E898" s="122" t="str">
        <f t="shared" si="13"/>
        <v xml:space="preserve">2111 : 매도기관코드（１１）를　확인하시오．  </v>
      </c>
    </row>
    <row r="899" spans="1:5" s="64" customFormat="1">
      <c r="A899" s="316" t="s">
        <v>4635</v>
      </c>
      <c r="B899" s="123" t="s">
        <v>7609</v>
      </c>
      <c r="C899" s="256" t="s">
        <v>6265</v>
      </c>
      <c r="D899" s="328" t="s">
        <v>1772</v>
      </c>
      <c r="E899" s="122" t="str">
        <f t="shared" si="13"/>
        <v xml:space="preserve">2112 : 매도기관코드（１２）를　확인하시오．  </v>
      </c>
    </row>
    <row r="900" spans="1:5" s="64" customFormat="1">
      <c r="A900" s="316" t="s">
        <v>4635</v>
      </c>
      <c r="B900" s="123" t="s">
        <v>7609</v>
      </c>
      <c r="C900" s="256" t="s">
        <v>6266</v>
      </c>
      <c r="D900" s="328" t="s">
        <v>1771</v>
      </c>
      <c r="E900" s="122" t="str">
        <f t="shared" ref="E900:E963" si="14">_xlfn.TEXTJOIN(" : ",FALSE,C900:D900)</f>
        <v xml:space="preserve">2113 : 매도기관코드（１３）를　확인하시오．  </v>
      </c>
    </row>
    <row r="901" spans="1:5" s="64" customFormat="1">
      <c r="A901" s="316" t="s">
        <v>4635</v>
      </c>
      <c r="B901" s="123" t="s">
        <v>7609</v>
      </c>
      <c r="C901" s="256" t="s">
        <v>6267</v>
      </c>
      <c r="D901" s="328" t="s">
        <v>1770</v>
      </c>
      <c r="E901" s="122" t="str">
        <f t="shared" si="14"/>
        <v xml:space="preserve">2114 : 매도기관코드（１４）를　확인하시오．  </v>
      </c>
    </row>
    <row r="902" spans="1:5" s="64" customFormat="1">
      <c r="A902" s="316" t="s">
        <v>4635</v>
      </c>
      <c r="B902" s="123" t="s">
        <v>7609</v>
      </c>
      <c r="C902" s="256" t="s">
        <v>6268</v>
      </c>
      <c r="D902" s="328" t="s">
        <v>1769</v>
      </c>
      <c r="E902" s="122" t="str">
        <f t="shared" si="14"/>
        <v xml:space="preserve">2115 : 매도기관코드（１５）를　확인하시오．  </v>
      </c>
    </row>
    <row r="903" spans="1:5" s="64" customFormat="1">
      <c r="A903" s="316" t="s">
        <v>4635</v>
      </c>
      <c r="B903" s="123" t="s">
        <v>7609</v>
      </c>
      <c r="C903" s="256" t="s">
        <v>6269</v>
      </c>
      <c r="D903" s="328" t="s">
        <v>1768</v>
      </c>
      <c r="E903" s="122" t="str">
        <f t="shared" si="14"/>
        <v xml:space="preserve">2116 : 매도기관코드（１６）를　확인하시오．  </v>
      </c>
    </row>
    <row r="904" spans="1:5" s="64" customFormat="1">
      <c r="A904" s="316" t="s">
        <v>4635</v>
      </c>
      <c r="B904" s="123" t="s">
        <v>7609</v>
      </c>
      <c r="C904" s="256" t="s">
        <v>6270</v>
      </c>
      <c r="D904" s="328" t="s">
        <v>1767</v>
      </c>
      <c r="E904" s="122" t="str">
        <f t="shared" si="14"/>
        <v xml:space="preserve">2117 : 매도기관코드（１７）를　확인하시오．  </v>
      </c>
    </row>
    <row r="905" spans="1:5" s="64" customFormat="1">
      <c r="A905" s="316" t="s">
        <v>4635</v>
      </c>
      <c r="B905" s="123" t="s">
        <v>7609</v>
      </c>
      <c r="C905" s="256" t="s">
        <v>6271</v>
      </c>
      <c r="D905" s="328" t="s">
        <v>1766</v>
      </c>
      <c r="E905" s="122" t="str">
        <f t="shared" si="14"/>
        <v xml:space="preserve">2118 : 매도기관코드（１８）를　확인하시오．  </v>
      </c>
    </row>
    <row r="906" spans="1:5" s="64" customFormat="1">
      <c r="A906" s="316" t="s">
        <v>4635</v>
      </c>
      <c r="B906" s="123" t="s">
        <v>7609</v>
      </c>
      <c r="C906" s="256" t="s">
        <v>6272</v>
      </c>
      <c r="D906" s="328" t="s">
        <v>1765</v>
      </c>
      <c r="E906" s="122" t="str">
        <f t="shared" si="14"/>
        <v xml:space="preserve">2119 : 매도기관코드（１９）를　확인하시오．  </v>
      </c>
    </row>
    <row r="907" spans="1:5" s="64" customFormat="1">
      <c r="A907" s="316" t="s">
        <v>4635</v>
      </c>
      <c r="B907" s="123" t="s">
        <v>7609</v>
      </c>
      <c r="C907" s="256" t="s">
        <v>6273</v>
      </c>
      <c r="D907" s="328" t="s">
        <v>1764</v>
      </c>
      <c r="E907" s="122" t="str">
        <f t="shared" si="14"/>
        <v xml:space="preserve">2120 : 매도기관코드（２０）를　확인하시오．  </v>
      </c>
    </row>
    <row r="908" spans="1:5" s="64" customFormat="1">
      <c r="A908" s="316" t="s">
        <v>4635</v>
      </c>
      <c r="B908" s="123" t="s">
        <v>7609</v>
      </c>
      <c r="C908" s="256" t="s">
        <v>6274</v>
      </c>
      <c r="D908" s="328" t="s">
        <v>1763</v>
      </c>
      <c r="E908" s="122" t="str">
        <f t="shared" si="14"/>
        <v xml:space="preserve">2121 : 매도기관(01)은　입력항목아닙니다    </v>
      </c>
    </row>
    <row r="909" spans="1:5" s="64" customFormat="1">
      <c r="A909" s="316" t="s">
        <v>4635</v>
      </c>
      <c r="B909" s="123" t="s">
        <v>7609</v>
      </c>
      <c r="C909" s="256" t="s">
        <v>6275</v>
      </c>
      <c r="D909" s="328" t="s">
        <v>1762</v>
      </c>
      <c r="E909" s="122" t="str">
        <f t="shared" si="14"/>
        <v xml:space="preserve">2122 : 매도기관(02)은　입력항목아닙니다    </v>
      </c>
    </row>
    <row r="910" spans="1:5" s="64" customFormat="1">
      <c r="A910" s="316" t="s">
        <v>4635</v>
      </c>
      <c r="B910" s="123" t="s">
        <v>7609</v>
      </c>
      <c r="C910" s="256" t="s">
        <v>6276</v>
      </c>
      <c r="D910" s="328" t="s">
        <v>1761</v>
      </c>
      <c r="E910" s="122" t="str">
        <f t="shared" si="14"/>
        <v xml:space="preserve">2123 : 매도기관(03)은　입력항목아닙니다    </v>
      </c>
    </row>
    <row r="911" spans="1:5" s="64" customFormat="1">
      <c r="A911" s="316" t="s">
        <v>4635</v>
      </c>
      <c r="B911" s="123" t="s">
        <v>7609</v>
      </c>
      <c r="C911" s="256" t="s">
        <v>6277</v>
      </c>
      <c r="D911" s="328" t="s">
        <v>1760</v>
      </c>
      <c r="E911" s="122" t="str">
        <f t="shared" si="14"/>
        <v xml:space="preserve">2124 : 매도기관(04)은　입력항목아닙니다    </v>
      </c>
    </row>
    <row r="912" spans="1:5" s="64" customFormat="1">
      <c r="A912" s="316" t="s">
        <v>4635</v>
      </c>
      <c r="B912" s="123" t="s">
        <v>7609</v>
      </c>
      <c r="C912" s="256" t="s">
        <v>6278</v>
      </c>
      <c r="D912" s="328" t="s">
        <v>1759</v>
      </c>
      <c r="E912" s="122" t="str">
        <f t="shared" si="14"/>
        <v xml:space="preserve">2125 : 매도기관(05)은　입력항목아닙니다    </v>
      </c>
    </row>
    <row r="913" spans="1:5" s="64" customFormat="1">
      <c r="A913" s="316" t="s">
        <v>4635</v>
      </c>
      <c r="B913" s="123" t="s">
        <v>7609</v>
      </c>
      <c r="C913" s="256" t="s">
        <v>6279</v>
      </c>
      <c r="D913" s="328" t="s">
        <v>1758</v>
      </c>
      <c r="E913" s="122" t="str">
        <f t="shared" si="14"/>
        <v xml:space="preserve">2126 : 매도기관(06)은　입력항목아닙니다    </v>
      </c>
    </row>
    <row r="914" spans="1:5" s="64" customFormat="1">
      <c r="A914" s="316" t="s">
        <v>4635</v>
      </c>
      <c r="B914" s="123" t="s">
        <v>7609</v>
      </c>
      <c r="C914" s="256" t="s">
        <v>6280</v>
      </c>
      <c r="D914" s="328" t="s">
        <v>1757</v>
      </c>
      <c r="E914" s="122" t="str">
        <f t="shared" si="14"/>
        <v xml:space="preserve">2127 : 매도기관(07)은　입력항목아닙니다    </v>
      </c>
    </row>
    <row r="915" spans="1:5" s="64" customFormat="1">
      <c r="A915" s="316" t="s">
        <v>4635</v>
      </c>
      <c r="B915" s="123" t="s">
        <v>7609</v>
      </c>
      <c r="C915" s="256" t="s">
        <v>6281</v>
      </c>
      <c r="D915" s="328" t="s">
        <v>1756</v>
      </c>
      <c r="E915" s="122" t="str">
        <f t="shared" si="14"/>
        <v xml:space="preserve">2128 : 매도기관(08)은　입력항목아닙니다    </v>
      </c>
    </row>
    <row r="916" spans="1:5" s="64" customFormat="1">
      <c r="A916" s="316" t="s">
        <v>4635</v>
      </c>
      <c r="B916" s="123" t="s">
        <v>7609</v>
      </c>
      <c r="C916" s="256" t="s">
        <v>6282</v>
      </c>
      <c r="D916" s="328" t="s">
        <v>1755</v>
      </c>
      <c r="E916" s="122" t="str">
        <f t="shared" si="14"/>
        <v xml:space="preserve">2129 : 매도기관(09)은　입력항목아닙니다    </v>
      </c>
    </row>
    <row r="917" spans="1:5" s="64" customFormat="1">
      <c r="A917" s="316" t="s">
        <v>4635</v>
      </c>
      <c r="B917" s="123" t="s">
        <v>7609</v>
      </c>
      <c r="C917" s="256" t="s">
        <v>6283</v>
      </c>
      <c r="D917" s="328" t="s">
        <v>1754</v>
      </c>
      <c r="E917" s="122" t="str">
        <f t="shared" si="14"/>
        <v xml:space="preserve">2130 : 매도기관(10)은　입력항목아닙니다    </v>
      </c>
    </row>
    <row r="918" spans="1:5" s="64" customFormat="1">
      <c r="A918" s="316" t="s">
        <v>4635</v>
      </c>
      <c r="B918" s="123" t="s">
        <v>7609</v>
      </c>
      <c r="C918" s="256" t="s">
        <v>6284</v>
      </c>
      <c r="D918" s="328" t="s">
        <v>1753</v>
      </c>
      <c r="E918" s="122" t="str">
        <f t="shared" si="14"/>
        <v xml:space="preserve">2131 : 매도기관(11)은　입력항목아닙니다    </v>
      </c>
    </row>
    <row r="919" spans="1:5" s="64" customFormat="1">
      <c r="A919" s="316" t="s">
        <v>4635</v>
      </c>
      <c r="B919" s="123" t="s">
        <v>7609</v>
      </c>
      <c r="C919" s="256" t="s">
        <v>6285</v>
      </c>
      <c r="D919" s="328" t="s">
        <v>1752</v>
      </c>
      <c r="E919" s="122" t="str">
        <f t="shared" si="14"/>
        <v xml:space="preserve">2132 : 매도기관(12)은　입력항목아닙니다    </v>
      </c>
    </row>
    <row r="920" spans="1:5" s="64" customFormat="1">
      <c r="A920" s="316" t="s">
        <v>4635</v>
      </c>
      <c r="B920" s="123" t="s">
        <v>7609</v>
      </c>
      <c r="C920" s="256" t="s">
        <v>6286</v>
      </c>
      <c r="D920" s="328" t="s">
        <v>1751</v>
      </c>
      <c r="E920" s="122" t="str">
        <f t="shared" si="14"/>
        <v xml:space="preserve">2133 : 매도기관(13)은　입력항목아닙니다    </v>
      </c>
    </row>
    <row r="921" spans="1:5" s="64" customFormat="1">
      <c r="A921" s="316" t="s">
        <v>4635</v>
      </c>
      <c r="B921" s="123" t="s">
        <v>7609</v>
      </c>
      <c r="C921" s="256" t="s">
        <v>6287</v>
      </c>
      <c r="D921" s="328" t="s">
        <v>1750</v>
      </c>
      <c r="E921" s="122" t="str">
        <f t="shared" si="14"/>
        <v xml:space="preserve">2134 : 매도기관(14)은　입력항목아닙니다    </v>
      </c>
    </row>
    <row r="922" spans="1:5" s="64" customFormat="1">
      <c r="A922" s="316" t="s">
        <v>4635</v>
      </c>
      <c r="B922" s="123" t="s">
        <v>7609</v>
      </c>
      <c r="C922" s="256" t="s">
        <v>6288</v>
      </c>
      <c r="D922" s="328" t="s">
        <v>1749</v>
      </c>
      <c r="E922" s="122" t="str">
        <f t="shared" si="14"/>
        <v xml:space="preserve">2135 : 매도기관(15)은　입력항목아닙니다    </v>
      </c>
    </row>
    <row r="923" spans="1:5" s="64" customFormat="1">
      <c r="A923" s="316" t="s">
        <v>4635</v>
      </c>
      <c r="B923" s="123" t="s">
        <v>7609</v>
      </c>
      <c r="C923" s="256" t="s">
        <v>6289</v>
      </c>
      <c r="D923" s="328" t="s">
        <v>1748</v>
      </c>
      <c r="E923" s="122" t="str">
        <f t="shared" si="14"/>
        <v xml:space="preserve">2136 : 매도기관(16)은　입력항목아닙니다    </v>
      </c>
    </row>
    <row r="924" spans="1:5" s="64" customFormat="1">
      <c r="A924" s="316" t="s">
        <v>4635</v>
      </c>
      <c r="B924" s="123" t="s">
        <v>7609</v>
      </c>
      <c r="C924" s="256" t="s">
        <v>6290</v>
      </c>
      <c r="D924" s="328" t="s">
        <v>1747</v>
      </c>
      <c r="E924" s="122" t="str">
        <f t="shared" si="14"/>
        <v xml:space="preserve">2137 : 매도기관(17)은　입력항목아닙니다    </v>
      </c>
    </row>
    <row r="925" spans="1:5" s="64" customFormat="1">
      <c r="A925" s="316" t="s">
        <v>4635</v>
      </c>
      <c r="B925" s="123" t="s">
        <v>7609</v>
      </c>
      <c r="C925" s="256" t="s">
        <v>6291</v>
      </c>
      <c r="D925" s="328" t="s">
        <v>1746</v>
      </c>
      <c r="E925" s="122" t="str">
        <f t="shared" si="14"/>
        <v xml:space="preserve">2138 : 매도기관(18)은　입력항목아닙니다    </v>
      </c>
    </row>
    <row r="926" spans="1:5" s="64" customFormat="1">
      <c r="A926" s="316" t="s">
        <v>4635</v>
      </c>
      <c r="B926" s="123" t="s">
        <v>7609</v>
      </c>
      <c r="C926" s="256" t="s">
        <v>6292</v>
      </c>
      <c r="D926" s="328" t="s">
        <v>1745</v>
      </c>
      <c r="E926" s="122" t="str">
        <f t="shared" si="14"/>
        <v xml:space="preserve">2139 : 매도기관(19)은　입력항목아닙니다    </v>
      </c>
    </row>
    <row r="927" spans="1:5" s="64" customFormat="1">
      <c r="A927" s="316" t="s">
        <v>4635</v>
      </c>
      <c r="B927" s="123" t="s">
        <v>7609</v>
      </c>
      <c r="C927" s="256" t="s">
        <v>6293</v>
      </c>
      <c r="D927" s="328" t="s">
        <v>1744</v>
      </c>
      <c r="E927" s="122" t="str">
        <f t="shared" si="14"/>
        <v xml:space="preserve">2140 : 매도기관(20)은　입력항목아닙니다    </v>
      </c>
    </row>
    <row r="928" spans="1:5" s="64" customFormat="1">
      <c r="A928" s="316" t="s">
        <v>4635</v>
      </c>
      <c r="B928" s="123" t="s">
        <v>7609</v>
      </c>
      <c r="C928" s="256" t="s">
        <v>6294</v>
      </c>
      <c r="D928" s="328" t="s">
        <v>1743</v>
      </c>
      <c r="E928" s="122" t="str">
        <f t="shared" si="14"/>
        <v xml:space="preserve">2201 : 매도기관약정（０１）을　확인하시오．  </v>
      </c>
    </row>
    <row r="929" spans="1:5" s="64" customFormat="1">
      <c r="A929" s="316" t="s">
        <v>4635</v>
      </c>
      <c r="B929" s="123" t="s">
        <v>7609</v>
      </c>
      <c r="C929" s="256" t="s">
        <v>6295</v>
      </c>
      <c r="D929" s="328" t="s">
        <v>1742</v>
      </c>
      <c r="E929" s="122" t="str">
        <f t="shared" si="14"/>
        <v xml:space="preserve">2202 : 매도기관약정（０２）을　확인하시오．  </v>
      </c>
    </row>
    <row r="930" spans="1:5" s="64" customFormat="1">
      <c r="A930" s="316" t="s">
        <v>4635</v>
      </c>
      <c r="B930" s="123" t="s">
        <v>7609</v>
      </c>
      <c r="C930" s="256" t="s">
        <v>6296</v>
      </c>
      <c r="D930" s="328" t="s">
        <v>1741</v>
      </c>
      <c r="E930" s="122" t="str">
        <f t="shared" si="14"/>
        <v xml:space="preserve">2203 : 매도기관약정（０３）을　확인하시오．  </v>
      </c>
    </row>
    <row r="931" spans="1:5" s="64" customFormat="1">
      <c r="A931" s="316" t="s">
        <v>4635</v>
      </c>
      <c r="B931" s="123" t="s">
        <v>7609</v>
      </c>
      <c r="C931" s="256" t="s">
        <v>6297</v>
      </c>
      <c r="D931" s="328" t="s">
        <v>1740</v>
      </c>
      <c r="E931" s="122" t="str">
        <f t="shared" si="14"/>
        <v xml:space="preserve">2204 : 매도기관약정（０４）을　확인하시오．  </v>
      </c>
    </row>
    <row r="932" spans="1:5" s="64" customFormat="1">
      <c r="A932" s="316" t="s">
        <v>4635</v>
      </c>
      <c r="B932" s="123" t="s">
        <v>7609</v>
      </c>
      <c r="C932" s="256" t="s">
        <v>6298</v>
      </c>
      <c r="D932" s="328" t="s">
        <v>1739</v>
      </c>
      <c r="E932" s="122" t="str">
        <f t="shared" si="14"/>
        <v xml:space="preserve">2205 : 매도기관약정（０５）을　확인하시오．  </v>
      </c>
    </row>
    <row r="933" spans="1:5" s="64" customFormat="1">
      <c r="A933" s="316" t="s">
        <v>4635</v>
      </c>
      <c r="B933" s="123" t="s">
        <v>7609</v>
      </c>
      <c r="C933" s="256" t="s">
        <v>6299</v>
      </c>
      <c r="D933" s="328" t="s">
        <v>1738</v>
      </c>
      <c r="E933" s="122" t="str">
        <f t="shared" si="14"/>
        <v xml:space="preserve">2206 : 매도기관약정（０６）을　확인하시오．  </v>
      </c>
    </row>
    <row r="934" spans="1:5" s="64" customFormat="1">
      <c r="A934" s="316" t="s">
        <v>4635</v>
      </c>
      <c r="B934" s="123" t="s">
        <v>7609</v>
      </c>
      <c r="C934" s="256" t="s">
        <v>6300</v>
      </c>
      <c r="D934" s="328" t="s">
        <v>1737</v>
      </c>
      <c r="E934" s="122" t="str">
        <f t="shared" si="14"/>
        <v xml:space="preserve">2207 : 매도기관약정（０７）을　확인하시오．  </v>
      </c>
    </row>
    <row r="935" spans="1:5" s="64" customFormat="1">
      <c r="A935" s="316" t="s">
        <v>4635</v>
      </c>
      <c r="B935" s="123" t="s">
        <v>7609</v>
      </c>
      <c r="C935" s="256" t="s">
        <v>6301</v>
      </c>
      <c r="D935" s="328" t="s">
        <v>1736</v>
      </c>
      <c r="E935" s="122" t="str">
        <f t="shared" si="14"/>
        <v xml:space="preserve">2208 : 매도기관약정（０８）을　확인하시오．  </v>
      </c>
    </row>
    <row r="936" spans="1:5" s="64" customFormat="1">
      <c r="A936" s="316" t="s">
        <v>4635</v>
      </c>
      <c r="B936" s="123" t="s">
        <v>7609</v>
      </c>
      <c r="C936" s="256" t="s">
        <v>6302</v>
      </c>
      <c r="D936" s="328" t="s">
        <v>1735</v>
      </c>
      <c r="E936" s="122" t="str">
        <f t="shared" si="14"/>
        <v xml:space="preserve">2209 : 매도기관약정（０９）을　확인하시오．  </v>
      </c>
    </row>
    <row r="937" spans="1:5" s="64" customFormat="1">
      <c r="A937" s="316" t="s">
        <v>4635</v>
      </c>
      <c r="B937" s="123" t="s">
        <v>7609</v>
      </c>
      <c r="C937" s="256" t="s">
        <v>6303</v>
      </c>
      <c r="D937" s="328" t="s">
        <v>1734</v>
      </c>
      <c r="E937" s="122" t="str">
        <f t="shared" si="14"/>
        <v xml:space="preserve">2210 : 매도기관약정（１０）을　확인하시오．  </v>
      </c>
    </row>
    <row r="938" spans="1:5" s="64" customFormat="1">
      <c r="A938" s="316" t="s">
        <v>4635</v>
      </c>
      <c r="B938" s="123" t="s">
        <v>7609</v>
      </c>
      <c r="C938" s="256" t="s">
        <v>6304</v>
      </c>
      <c r="D938" s="328" t="s">
        <v>1733</v>
      </c>
      <c r="E938" s="122" t="str">
        <f t="shared" si="14"/>
        <v xml:space="preserve">2211 : 매도기관약정（１１）을　확인하시오．  </v>
      </c>
    </row>
    <row r="939" spans="1:5" s="64" customFormat="1">
      <c r="A939" s="316" t="s">
        <v>4635</v>
      </c>
      <c r="B939" s="123" t="s">
        <v>7609</v>
      </c>
      <c r="C939" s="256" t="s">
        <v>6305</v>
      </c>
      <c r="D939" s="328" t="s">
        <v>1732</v>
      </c>
      <c r="E939" s="122" t="str">
        <f t="shared" si="14"/>
        <v xml:space="preserve">2212 : 매도기관약정（１２）을　확인하시오．  </v>
      </c>
    </row>
    <row r="940" spans="1:5" s="64" customFormat="1">
      <c r="A940" s="316" t="s">
        <v>4635</v>
      </c>
      <c r="B940" s="123" t="s">
        <v>7609</v>
      </c>
      <c r="C940" s="256" t="s">
        <v>6306</v>
      </c>
      <c r="D940" s="328" t="s">
        <v>1731</v>
      </c>
      <c r="E940" s="122" t="str">
        <f t="shared" si="14"/>
        <v xml:space="preserve">2213 : 매도기관약정（１３）을　확인하시오．  </v>
      </c>
    </row>
    <row r="941" spans="1:5" s="64" customFormat="1">
      <c r="A941" s="316" t="s">
        <v>4635</v>
      </c>
      <c r="B941" s="123" t="s">
        <v>7609</v>
      </c>
      <c r="C941" s="256" t="s">
        <v>6307</v>
      </c>
      <c r="D941" s="328" t="s">
        <v>1730</v>
      </c>
      <c r="E941" s="122" t="str">
        <f t="shared" si="14"/>
        <v xml:space="preserve">2214 : 매도기관약정（１４）을　확인하시오．  </v>
      </c>
    </row>
    <row r="942" spans="1:5" s="64" customFormat="1">
      <c r="A942" s="316" t="s">
        <v>4635</v>
      </c>
      <c r="B942" s="123" t="s">
        <v>7609</v>
      </c>
      <c r="C942" s="256" t="s">
        <v>6308</v>
      </c>
      <c r="D942" s="328" t="s">
        <v>1729</v>
      </c>
      <c r="E942" s="122" t="str">
        <f t="shared" si="14"/>
        <v xml:space="preserve">2215 : 매도기관약정（１５）을　확인하시오．  </v>
      </c>
    </row>
    <row r="943" spans="1:5" s="64" customFormat="1">
      <c r="A943" s="316" t="s">
        <v>4635</v>
      </c>
      <c r="B943" s="123" t="s">
        <v>7609</v>
      </c>
      <c r="C943" s="256" t="s">
        <v>6309</v>
      </c>
      <c r="D943" s="328" t="s">
        <v>1728</v>
      </c>
      <c r="E943" s="122" t="str">
        <f t="shared" si="14"/>
        <v xml:space="preserve">2216 : 매도기관약정（１６）을　확인하시오．  </v>
      </c>
    </row>
    <row r="944" spans="1:5" s="64" customFormat="1">
      <c r="A944" s="316" t="s">
        <v>4635</v>
      </c>
      <c r="B944" s="123" t="s">
        <v>7609</v>
      </c>
      <c r="C944" s="256" t="s">
        <v>6310</v>
      </c>
      <c r="D944" s="328" t="s">
        <v>1727</v>
      </c>
      <c r="E944" s="122" t="str">
        <f t="shared" si="14"/>
        <v xml:space="preserve">2217 : 매도기관약정（１７）을　확인하시오．  </v>
      </c>
    </row>
    <row r="945" spans="1:5" s="64" customFormat="1">
      <c r="A945" s="316" t="s">
        <v>4635</v>
      </c>
      <c r="B945" s="123" t="s">
        <v>7609</v>
      </c>
      <c r="C945" s="256" t="s">
        <v>6311</v>
      </c>
      <c r="D945" s="328" t="s">
        <v>1726</v>
      </c>
      <c r="E945" s="122" t="str">
        <f t="shared" si="14"/>
        <v xml:space="preserve">2218 : 매도기관약정（１８）을　확인하시오．  </v>
      </c>
    </row>
    <row r="946" spans="1:5" s="64" customFormat="1">
      <c r="A946" s="316" t="s">
        <v>4635</v>
      </c>
      <c r="B946" s="123" t="s">
        <v>7609</v>
      </c>
      <c r="C946" s="256" t="s">
        <v>6312</v>
      </c>
      <c r="D946" s="328" t="s">
        <v>1725</v>
      </c>
      <c r="E946" s="122" t="str">
        <f t="shared" si="14"/>
        <v xml:space="preserve">2219 : 매도기관약정（１９）을　확인하시오．  </v>
      </c>
    </row>
    <row r="947" spans="1:5" s="64" customFormat="1">
      <c r="A947" s="316" t="s">
        <v>4635</v>
      </c>
      <c r="B947" s="123" t="s">
        <v>7609</v>
      </c>
      <c r="C947" s="256" t="s">
        <v>6313</v>
      </c>
      <c r="D947" s="328" t="s">
        <v>1724</v>
      </c>
      <c r="E947" s="122" t="str">
        <f t="shared" si="14"/>
        <v xml:space="preserve">2220 : 매도기관약정（２０）을　확인하시오．  </v>
      </c>
    </row>
    <row r="948" spans="1:5" s="64" customFormat="1">
      <c r="A948" s="316" t="s">
        <v>4635</v>
      </c>
      <c r="B948" s="123" t="s">
        <v>7609</v>
      </c>
      <c r="C948" s="256" t="s">
        <v>6314</v>
      </c>
      <c r="D948" s="328" t="s">
        <v>1723</v>
      </c>
      <c r="E948" s="122" t="str">
        <f t="shared" si="14"/>
        <v xml:space="preserve">2301 : 매도기관계정개설처(01)를확인하시오  </v>
      </c>
    </row>
    <row r="949" spans="1:5" s="64" customFormat="1">
      <c r="A949" s="316" t="s">
        <v>4635</v>
      </c>
      <c r="B949" s="123" t="s">
        <v>7609</v>
      </c>
      <c r="C949" s="256" t="s">
        <v>6315</v>
      </c>
      <c r="D949" s="328" t="s">
        <v>1722</v>
      </c>
      <c r="E949" s="122" t="str">
        <f t="shared" si="14"/>
        <v xml:space="preserve">2302 : 매도기관계정개설처(02)를확인하시오  </v>
      </c>
    </row>
    <row r="950" spans="1:5" s="64" customFormat="1">
      <c r="A950" s="316" t="s">
        <v>4635</v>
      </c>
      <c r="B950" s="123" t="s">
        <v>7609</v>
      </c>
      <c r="C950" s="256" t="s">
        <v>6316</v>
      </c>
      <c r="D950" s="328" t="s">
        <v>1721</v>
      </c>
      <c r="E950" s="122" t="str">
        <f t="shared" si="14"/>
        <v xml:space="preserve">2303 : 매도기관계정개설처(03)를확인하시오  </v>
      </c>
    </row>
    <row r="951" spans="1:5" s="64" customFormat="1">
      <c r="A951" s="316" t="s">
        <v>4635</v>
      </c>
      <c r="B951" s="123" t="s">
        <v>7609</v>
      </c>
      <c r="C951" s="256" t="s">
        <v>6317</v>
      </c>
      <c r="D951" s="328" t="s">
        <v>1720</v>
      </c>
      <c r="E951" s="122" t="str">
        <f t="shared" si="14"/>
        <v xml:space="preserve">2304 : 매도기관계정개설처(04)를확인하시오  </v>
      </c>
    </row>
    <row r="952" spans="1:5" s="64" customFormat="1">
      <c r="A952" s="316" t="s">
        <v>4635</v>
      </c>
      <c r="B952" s="123" t="s">
        <v>7609</v>
      </c>
      <c r="C952" s="256" t="s">
        <v>6318</v>
      </c>
      <c r="D952" s="328" t="s">
        <v>1719</v>
      </c>
      <c r="E952" s="122" t="str">
        <f t="shared" si="14"/>
        <v xml:space="preserve">2305 : 매도기관계정개설처(05)를확인하시오  </v>
      </c>
    </row>
    <row r="953" spans="1:5" s="64" customFormat="1">
      <c r="A953" s="316" t="s">
        <v>4635</v>
      </c>
      <c r="B953" s="123" t="s">
        <v>7609</v>
      </c>
      <c r="C953" s="256" t="s">
        <v>6319</v>
      </c>
      <c r="D953" s="328" t="s">
        <v>1718</v>
      </c>
      <c r="E953" s="122" t="str">
        <f t="shared" si="14"/>
        <v xml:space="preserve">2306 : 매도기관계정개설처(06)를확인하시오  </v>
      </c>
    </row>
    <row r="954" spans="1:5" s="64" customFormat="1">
      <c r="A954" s="316" t="s">
        <v>4635</v>
      </c>
      <c r="B954" s="123" t="s">
        <v>7609</v>
      </c>
      <c r="C954" s="256" t="s">
        <v>6320</v>
      </c>
      <c r="D954" s="328" t="s">
        <v>1717</v>
      </c>
      <c r="E954" s="122" t="str">
        <f t="shared" si="14"/>
        <v xml:space="preserve">2307 : 매도기관계정개설처(07)를확인하시오  </v>
      </c>
    </row>
    <row r="955" spans="1:5" s="64" customFormat="1">
      <c r="A955" s="316" t="s">
        <v>4635</v>
      </c>
      <c r="B955" s="123" t="s">
        <v>7609</v>
      </c>
      <c r="C955" s="256" t="s">
        <v>6321</v>
      </c>
      <c r="D955" s="328" t="s">
        <v>1716</v>
      </c>
      <c r="E955" s="122" t="str">
        <f t="shared" si="14"/>
        <v xml:space="preserve">2308 : 매도기관계정개설처(08)를확인하시오  </v>
      </c>
    </row>
    <row r="956" spans="1:5" s="64" customFormat="1">
      <c r="A956" s="316" t="s">
        <v>4635</v>
      </c>
      <c r="B956" s="123" t="s">
        <v>7609</v>
      </c>
      <c r="C956" s="256" t="s">
        <v>6322</v>
      </c>
      <c r="D956" s="328" t="s">
        <v>1715</v>
      </c>
      <c r="E956" s="122" t="str">
        <f t="shared" si="14"/>
        <v xml:space="preserve">2309 : 매도기관계정개설처(09)를확인하시오  </v>
      </c>
    </row>
    <row r="957" spans="1:5" s="64" customFormat="1">
      <c r="A957" s="316" t="s">
        <v>4635</v>
      </c>
      <c r="B957" s="123" t="s">
        <v>7609</v>
      </c>
      <c r="C957" s="256" t="s">
        <v>6323</v>
      </c>
      <c r="D957" s="328" t="s">
        <v>1714</v>
      </c>
      <c r="E957" s="122" t="str">
        <f t="shared" si="14"/>
        <v xml:space="preserve">2310 : 매도기관계정개설처(10)를확인하시오  </v>
      </c>
    </row>
    <row r="958" spans="1:5" s="64" customFormat="1">
      <c r="A958" s="316" t="s">
        <v>4635</v>
      </c>
      <c r="B958" s="123" t="s">
        <v>7609</v>
      </c>
      <c r="C958" s="256" t="s">
        <v>6324</v>
      </c>
      <c r="D958" s="328" t="s">
        <v>1713</v>
      </c>
      <c r="E958" s="122" t="str">
        <f t="shared" si="14"/>
        <v xml:space="preserve">2311 : 매도기관계정개설처(11)를확인하시오  </v>
      </c>
    </row>
    <row r="959" spans="1:5" s="64" customFormat="1">
      <c r="A959" s="316" t="s">
        <v>4635</v>
      </c>
      <c r="B959" s="123" t="s">
        <v>7609</v>
      </c>
      <c r="C959" s="256" t="s">
        <v>6325</v>
      </c>
      <c r="D959" s="328" t="s">
        <v>1712</v>
      </c>
      <c r="E959" s="122" t="str">
        <f t="shared" si="14"/>
        <v xml:space="preserve">2312 : 매도기관계정개설처(12)를확인하시오  </v>
      </c>
    </row>
    <row r="960" spans="1:5" s="64" customFormat="1">
      <c r="A960" s="316" t="s">
        <v>4635</v>
      </c>
      <c r="B960" s="123" t="s">
        <v>7609</v>
      </c>
      <c r="C960" s="256" t="s">
        <v>6326</v>
      </c>
      <c r="D960" s="328" t="s">
        <v>1711</v>
      </c>
      <c r="E960" s="122" t="str">
        <f t="shared" si="14"/>
        <v xml:space="preserve">2313 : 매도기관계정개설처(13)를확인하시오  </v>
      </c>
    </row>
    <row r="961" spans="1:5" s="64" customFormat="1">
      <c r="A961" s="316" t="s">
        <v>4635</v>
      </c>
      <c r="B961" s="123" t="s">
        <v>7609</v>
      </c>
      <c r="C961" s="256" t="s">
        <v>6327</v>
      </c>
      <c r="D961" s="328" t="s">
        <v>1710</v>
      </c>
      <c r="E961" s="122" t="str">
        <f t="shared" si="14"/>
        <v xml:space="preserve">2314 : 매도기관계정개설처(14)를확인하시오  </v>
      </c>
    </row>
    <row r="962" spans="1:5" s="64" customFormat="1">
      <c r="A962" s="316" t="s">
        <v>4635</v>
      </c>
      <c r="B962" s="123" t="s">
        <v>7609</v>
      </c>
      <c r="C962" s="256" t="s">
        <v>6328</v>
      </c>
      <c r="D962" s="328" t="s">
        <v>1709</v>
      </c>
      <c r="E962" s="122" t="str">
        <f t="shared" si="14"/>
        <v xml:space="preserve">2315 : 매도기관계정개설처(15)를확인하시오  </v>
      </c>
    </row>
    <row r="963" spans="1:5" s="64" customFormat="1">
      <c r="A963" s="316" t="s">
        <v>4635</v>
      </c>
      <c r="B963" s="123" t="s">
        <v>7609</v>
      </c>
      <c r="C963" s="256" t="s">
        <v>6329</v>
      </c>
      <c r="D963" s="328" t="s">
        <v>1708</v>
      </c>
      <c r="E963" s="122" t="str">
        <f t="shared" si="14"/>
        <v xml:space="preserve">2316 : 매도기관계정개설처(16)를확인하시오  </v>
      </c>
    </row>
    <row r="964" spans="1:5" s="64" customFormat="1">
      <c r="A964" s="316" t="s">
        <v>4635</v>
      </c>
      <c r="B964" s="123" t="s">
        <v>7609</v>
      </c>
      <c r="C964" s="256" t="s">
        <v>6330</v>
      </c>
      <c r="D964" s="328" t="s">
        <v>1707</v>
      </c>
      <c r="E964" s="122" t="str">
        <f t="shared" ref="E964:E1027" si="15">_xlfn.TEXTJOIN(" : ",FALSE,C964:D964)</f>
        <v xml:space="preserve">2317 : 매도기관계정개설처(17)를확인하시오  </v>
      </c>
    </row>
    <row r="965" spans="1:5" s="64" customFormat="1">
      <c r="A965" s="316" t="s">
        <v>4635</v>
      </c>
      <c r="B965" s="123" t="s">
        <v>7609</v>
      </c>
      <c r="C965" s="256" t="s">
        <v>6331</v>
      </c>
      <c r="D965" s="328" t="s">
        <v>1706</v>
      </c>
      <c r="E965" s="122" t="str">
        <f t="shared" si="15"/>
        <v xml:space="preserve">2318 : 매도기관계정개설처(18)를확인하시오  </v>
      </c>
    </row>
    <row r="966" spans="1:5" s="64" customFormat="1">
      <c r="A966" s="316" t="s">
        <v>4635</v>
      </c>
      <c r="B966" s="123" t="s">
        <v>7609</v>
      </c>
      <c r="C966" s="256" t="s">
        <v>6332</v>
      </c>
      <c r="D966" s="328" t="s">
        <v>1705</v>
      </c>
      <c r="E966" s="122" t="str">
        <f t="shared" si="15"/>
        <v xml:space="preserve">2319 : 매도기관계정개설처(19)를확인하시오  </v>
      </c>
    </row>
    <row r="967" spans="1:5" s="64" customFormat="1">
      <c r="A967" s="316" t="s">
        <v>4635</v>
      </c>
      <c r="B967" s="123" t="s">
        <v>7609</v>
      </c>
      <c r="C967" s="256" t="s">
        <v>6333</v>
      </c>
      <c r="D967" s="328" t="s">
        <v>1704</v>
      </c>
      <c r="E967" s="122" t="str">
        <f t="shared" si="15"/>
        <v xml:space="preserve">2320 : 매도기관계정개설처(20)를확인하시오  </v>
      </c>
    </row>
    <row r="968" spans="1:5" s="64" customFormat="1">
      <c r="A968" s="316" t="s">
        <v>4635</v>
      </c>
      <c r="B968" s="123" t="s">
        <v>7609</v>
      </c>
      <c r="C968" s="256" t="s">
        <v>6334</v>
      </c>
      <c r="D968" s="328" t="s">
        <v>1703</v>
      </c>
      <c r="E968" s="122" t="str">
        <f t="shared" si="15"/>
        <v>2321 : 매도기관계정개설처(01)는입력항목아님</v>
      </c>
    </row>
    <row r="969" spans="1:5" s="64" customFormat="1">
      <c r="A969" s="316" t="s">
        <v>4635</v>
      </c>
      <c r="B969" s="123" t="s">
        <v>7609</v>
      </c>
      <c r="C969" s="256" t="s">
        <v>6335</v>
      </c>
      <c r="D969" s="328" t="s">
        <v>1702</v>
      </c>
      <c r="E969" s="122" t="str">
        <f t="shared" si="15"/>
        <v>2322 : 매도기관계정개설처(02)는입력항목아님</v>
      </c>
    </row>
    <row r="970" spans="1:5" s="64" customFormat="1">
      <c r="A970" s="316" t="s">
        <v>4635</v>
      </c>
      <c r="B970" s="123" t="s">
        <v>7609</v>
      </c>
      <c r="C970" s="256" t="s">
        <v>6336</v>
      </c>
      <c r="D970" s="328" t="s">
        <v>1701</v>
      </c>
      <c r="E970" s="122" t="str">
        <f t="shared" si="15"/>
        <v>2323 : 매도기관계정개설처(03)는입력항목아님</v>
      </c>
    </row>
    <row r="971" spans="1:5" s="64" customFormat="1">
      <c r="A971" s="316" t="s">
        <v>4635</v>
      </c>
      <c r="B971" s="123" t="s">
        <v>7609</v>
      </c>
      <c r="C971" s="256" t="s">
        <v>6337</v>
      </c>
      <c r="D971" s="328" t="s">
        <v>1700</v>
      </c>
      <c r="E971" s="122" t="str">
        <f t="shared" si="15"/>
        <v>2324 : 매도기관계정개설처(04)는입력항목아님</v>
      </c>
    </row>
    <row r="972" spans="1:5" s="64" customFormat="1">
      <c r="A972" s="316" t="s">
        <v>4635</v>
      </c>
      <c r="B972" s="123" t="s">
        <v>7609</v>
      </c>
      <c r="C972" s="256" t="s">
        <v>6338</v>
      </c>
      <c r="D972" s="328" t="s">
        <v>1699</v>
      </c>
      <c r="E972" s="122" t="str">
        <f t="shared" si="15"/>
        <v>2325 : 매도기관계정개설처(05)는입력항목아님</v>
      </c>
    </row>
    <row r="973" spans="1:5" s="64" customFormat="1">
      <c r="A973" s="316" t="s">
        <v>4635</v>
      </c>
      <c r="B973" s="123" t="s">
        <v>7609</v>
      </c>
      <c r="C973" s="256" t="s">
        <v>6339</v>
      </c>
      <c r="D973" s="328" t="s">
        <v>1698</v>
      </c>
      <c r="E973" s="122" t="str">
        <f t="shared" si="15"/>
        <v>2326 : 매도기관계정개설처(06)는입력항목아님</v>
      </c>
    </row>
    <row r="974" spans="1:5" s="64" customFormat="1">
      <c r="A974" s="316" t="s">
        <v>4635</v>
      </c>
      <c r="B974" s="123" t="s">
        <v>7609</v>
      </c>
      <c r="C974" s="256" t="s">
        <v>6340</v>
      </c>
      <c r="D974" s="328" t="s">
        <v>1697</v>
      </c>
      <c r="E974" s="122" t="str">
        <f t="shared" si="15"/>
        <v>2327 : 매도기관계정개설처(07)는입력항목아님</v>
      </c>
    </row>
    <row r="975" spans="1:5" s="64" customFormat="1">
      <c r="A975" s="316" t="s">
        <v>4635</v>
      </c>
      <c r="B975" s="123" t="s">
        <v>7609</v>
      </c>
      <c r="C975" s="256" t="s">
        <v>6341</v>
      </c>
      <c r="D975" s="328" t="s">
        <v>1696</v>
      </c>
      <c r="E975" s="122" t="str">
        <f t="shared" si="15"/>
        <v>2328 : 매도기관계정개설처(08)는입력항목아님</v>
      </c>
    </row>
    <row r="976" spans="1:5" s="64" customFormat="1">
      <c r="A976" s="316" t="s">
        <v>4635</v>
      </c>
      <c r="B976" s="123" t="s">
        <v>7609</v>
      </c>
      <c r="C976" s="256" t="s">
        <v>6342</v>
      </c>
      <c r="D976" s="328" t="s">
        <v>1695</v>
      </c>
      <c r="E976" s="122" t="str">
        <f t="shared" si="15"/>
        <v>2329 : 매도기관계정개설처(09)는입력항목아님</v>
      </c>
    </row>
    <row r="977" spans="1:5" s="64" customFormat="1">
      <c r="A977" s="316" t="s">
        <v>4635</v>
      </c>
      <c r="B977" s="123" t="s">
        <v>7609</v>
      </c>
      <c r="C977" s="256" t="s">
        <v>6343</v>
      </c>
      <c r="D977" s="328" t="s">
        <v>1694</v>
      </c>
      <c r="E977" s="122" t="str">
        <f t="shared" si="15"/>
        <v>2330 : 매도기관계정개설처(10)는입력항목아님</v>
      </c>
    </row>
    <row r="978" spans="1:5" s="64" customFormat="1">
      <c r="A978" s="316" t="s">
        <v>4635</v>
      </c>
      <c r="B978" s="123" t="s">
        <v>7609</v>
      </c>
      <c r="C978" s="256" t="s">
        <v>6344</v>
      </c>
      <c r="D978" s="328" t="s">
        <v>1693</v>
      </c>
      <c r="E978" s="122" t="str">
        <f t="shared" si="15"/>
        <v>2331 : 매도기관계정개설처(11)는입력항목아님</v>
      </c>
    </row>
    <row r="979" spans="1:5" s="64" customFormat="1">
      <c r="A979" s="316" t="s">
        <v>4635</v>
      </c>
      <c r="B979" s="123" t="s">
        <v>7609</v>
      </c>
      <c r="C979" s="256" t="s">
        <v>6345</v>
      </c>
      <c r="D979" s="328" t="s">
        <v>1692</v>
      </c>
      <c r="E979" s="122" t="str">
        <f t="shared" si="15"/>
        <v>2332 : 매도기관계정개설처(12)는입력항목아님</v>
      </c>
    </row>
    <row r="980" spans="1:5" s="64" customFormat="1">
      <c r="A980" s="316" t="s">
        <v>4635</v>
      </c>
      <c r="B980" s="123" t="s">
        <v>7609</v>
      </c>
      <c r="C980" s="256" t="s">
        <v>6346</v>
      </c>
      <c r="D980" s="328" t="s">
        <v>1691</v>
      </c>
      <c r="E980" s="122" t="str">
        <f t="shared" si="15"/>
        <v>2333 : 매도기관계정개설처(13)는입력항목아님</v>
      </c>
    </row>
    <row r="981" spans="1:5" s="64" customFormat="1">
      <c r="A981" s="316" t="s">
        <v>4635</v>
      </c>
      <c r="B981" s="123" t="s">
        <v>7609</v>
      </c>
      <c r="C981" s="256" t="s">
        <v>6347</v>
      </c>
      <c r="D981" s="328" t="s">
        <v>1690</v>
      </c>
      <c r="E981" s="122" t="str">
        <f t="shared" si="15"/>
        <v>2334 : 매도기관계정개설처(14)는입력항목아님</v>
      </c>
    </row>
    <row r="982" spans="1:5" s="64" customFormat="1">
      <c r="A982" s="316" t="s">
        <v>4635</v>
      </c>
      <c r="B982" s="123" t="s">
        <v>7609</v>
      </c>
      <c r="C982" s="256" t="s">
        <v>6348</v>
      </c>
      <c r="D982" s="328" t="s">
        <v>1689</v>
      </c>
      <c r="E982" s="122" t="str">
        <f t="shared" si="15"/>
        <v>2335 : 매도기관계정개설처(15)는입력항목아님</v>
      </c>
    </row>
    <row r="983" spans="1:5" s="64" customFormat="1">
      <c r="A983" s="316" t="s">
        <v>4635</v>
      </c>
      <c r="B983" s="123" t="s">
        <v>7609</v>
      </c>
      <c r="C983" s="256" t="s">
        <v>6349</v>
      </c>
      <c r="D983" s="328" t="s">
        <v>1688</v>
      </c>
      <c r="E983" s="122" t="str">
        <f t="shared" si="15"/>
        <v>2336 : 매도기관계정개설처(16)는입력항목아님</v>
      </c>
    </row>
    <row r="984" spans="1:5" s="64" customFormat="1">
      <c r="A984" s="316" t="s">
        <v>4635</v>
      </c>
      <c r="B984" s="123" t="s">
        <v>7609</v>
      </c>
      <c r="C984" s="256" t="s">
        <v>6350</v>
      </c>
      <c r="D984" s="328" t="s">
        <v>1687</v>
      </c>
      <c r="E984" s="122" t="str">
        <f t="shared" si="15"/>
        <v>2337 : 매도기관계정개설처(17)는입력항목아님</v>
      </c>
    </row>
    <row r="985" spans="1:5" s="64" customFormat="1">
      <c r="A985" s="316" t="s">
        <v>4635</v>
      </c>
      <c r="B985" s="123" t="s">
        <v>7609</v>
      </c>
      <c r="C985" s="256" t="s">
        <v>6351</v>
      </c>
      <c r="D985" s="328" t="s">
        <v>1686</v>
      </c>
      <c r="E985" s="122" t="str">
        <f t="shared" si="15"/>
        <v>2338 : 매도기관계정개설처(18)는입력항목아님</v>
      </c>
    </row>
    <row r="986" spans="1:5" s="64" customFormat="1">
      <c r="A986" s="316" t="s">
        <v>4635</v>
      </c>
      <c r="B986" s="123" t="s">
        <v>7609</v>
      </c>
      <c r="C986" s="256" t="s">
        <v>6352</v>
      </c>
      <c r="D986" s="328" t="s">
        <v>1685</v>
      </c>
      <c r="E986" s="122" t="str">
        <f t="shared" si="15"/>
        <v>2339 : 매도기관계정개설처(19)는입력항목아님</v>
      </c>
    </row>
    <row r="987" spans="1:5" s="64" customFormat="1">
      <c r="A987" s="316" t="s">
        <v>4635</v>
      </c>
      <c r="B987" s="123" t="s">
        <v>7609</v>
      </c>
      <c r="C987" s="256" t="s">
        <v>6353</v>
      </c>
      <c r="D987" s="328" t="s">
        <v>1684</v>
      </c>
      <c r="E987" s="122" t="str">
        <f t="shared" si="15"/>
        <v>2340 : 매도기관계정개설처(20)는입력항목아님</v>
      </c>
    </row>
    <row r="988" spans="1:5" s="64" customFormat="1">
      <c r="A988" s="316" t="s">
        <v>4635</v>
      </c>
      <c r="B988" s="123" t="s">
        <v>7609</v>
      </c>
      <c r="C988" s="256" t="s">
        <v>6354</v>
      </c>
      <c r="D988" s="328" t="s">
        <v>1683</v>
      </c>
      <c r="E988" s="122" t="str">
        <f t="shared" si="15"/>
        <v xml:space="preserve">2401 : 매도기관계정개설처(01)가영업일아님  </v>
      </c>
    </row>
    <row r="989" spans="1:5" s="64" customFormat="1">
      <c r="A989" s="316" t="s">
        <v>4635</v>
      </c>
      <c r="B989" s="123" t="s">
        <v>7609</v>
      </c>
      <c r="C989" s="256" t="s">
        <v>6355</v>
      </c>
      <c r="D989" s="328" t="s">
        <v>1682</v>
      </c>
      <c r="E989" s="122" t="str">
        <f t="shared" si="15"/>
        <v xml:space="preserve">2402 : 매도기관계정개설처(02)가영업일아님  </v>
      </c>
    </row>
    <row r="990" spans="1:5" s="64" customFormat="1">
      <c r="A990" s="316" t="s">
        <v>4635</v>
      </c>
      <c r="B990" s="123" t="s">
        <v>7609</v>
      </c>
      <c r="C990" s="256" t="s">
        <v>6356</v>
      </c>
      <c r="D990" s="328" t="s">
        <v>1681</v>
      </c>
      <c r="E990" s="122" t="str">
        <f t="shared" si="15"/>
        <v xml:space="preserve">2403 : 매도기관계정개설처(03)가영업일아님  </v>
      </c>
    </row>
    <row r="991" spans="1:5" s="64" customFormat="1">
      <c r="A991" s="316" t="s">
        <v>4635</v>
      </c>
      <c r="B991" s="123" t="s">
        <v>7609</v>
      </c>
      <c r="C991" s="256" t="s">
        <v>6357</v>
      </c>
      <c r="D991" s="328" t="s">
        <v>1680</v>
      </c>
      <c r="E991" s="122" t="str">
        <f t="shared" si="15"/>
        <v xml:space="preserve">2404 : 매도기관계정개설처(04)가영업일아님  </v>
      </c>
    </row>
    <row r="992" spans="1:5" s="64" customFormat="1">
      <c r="A992" s="316" t="s">
        <v>4635</v>
      </c>
      <c r="B992" s="123" t="s">
        <v>7609</v>
      </c>
      <c r="C992" s="256" t="s">
        <v>6358</v>
      </c>
      <c r="D992" s="328" t="s">
        <v>1679</v>
      </c>
      <c r="E992" s="122" t="str">
        <f t="shared" si="15"/>
        <v xml:space="preserve">2405 : 매도기관계정개설처(05)가영업일아님  </v>
      </c>
    </row>
    <row r="993" spans="1:5" s="64" customFormat="1">
      <c r="A993" s="316" t="s">
        <v>4635</v>
      </c>
      <c r="B993" s="123" t="s">
        <v>7609</v>
      </c>
      <c r="C993" s="256" t="s">
        <v>6359</v>
      </c>
      <c r="D993" s="328" t="s">
        <v>1678</v>
      </c>
      <c r="E993" s="122" t="str">
        <f t="shared" si="15"/>
        <v xml:space="preserve">2406 : 매도기관계정개설처(06)가영업일아님  </v>
      </c>
    </row>
    <row r="994" spans="1:5" s="64" customFormat="1">
      <c r="A994" s="316" t="s">
        <v>4635</v>
      </c>
      <c r="B994" s="123" t="s">
        <v>7609</v>
      </c>
      <c r="C994" s="256" t="s">
        <v>6360</v>
      </c>
      <c r="D994" s="328" t="s">
        <v>1677</v>
      </c>
      <c r="E994" s="122" t="str">
        <f t="shared" si="15"/>
        <v xml:space="preserve">2407 : 매도기관계정개설처(07)가영업일아님  </v>
      </c>
    </row>
    <row r="995" spans="1:5" s="64" customFormat="1">
      <c r="A995" s="316" t="s">
        <v>4635</v>
      </c>
      <c r="B995" s="123" t="s">
        <v>7609</v>
      </c>
      <c r="C995" s="256" t="s">
        <v>6361</v>
      </c>
      <c r="D995" s="328" t="s">
        <v>1676</v>
      </c>
      <c r="E995" s="122" t="str">
        <f t="shared" si="15"/>
        <v xml:space="preserve">2408 : 매도기관계정개설처(08)가영업일아님  </v>
      </c>
    </row>
    <row r="996" spans="1:5" s="64" customFormat="1">
      <c r="A996" s="316" t="s">
        <v>4635</v>
      </c>
      <c r="B996" s="123" t="s">
        <v>7609</v>
      </c>
      <c r="C996" s="256" t="s">
        <v>6362</v>
      </c>
      <c r="D996" s="328" t="s">
        <v>1675</v>
      </c>
      <c r="E996" s="122" t="str">
        <f t="shared" si="15"/>
        <v xml:space="preserve">2409 : 매도기관계정개설처(09)가영업일아님  </v>
      </c>
    </row>
    <row r="997" spans="1:5" s="64" customFormat="1">
      <c r="A997" s="316" t="s">
        <v>4635</v>
      </c>
      <c r="B997" s="123" t="s">
        <v>7609</v>
      </c>
      <c r="C997" s="256" t="s">
        <v>6363</v>
      </c>
      <c r="D997" s="328" t="s">
        <v>1665</v>
      </c>
      <c r="E997" s="122" t="str">
        <f t="shared" si="15"/>
        <v xml:space="preserve">2410 : 매도기관계정개설처(20)가영업일아님  </v>
      </c>
    </row>
    <row r="998" spans="1:5" s="64" customFormat="1">
      <c r="A998" s="316" t="s">
        <v>4635</v>
      </c>
      <c r="B998" s="123" t="s">
        <v>7609</v>
      </c>
      <c r="C998" s="256" t="s">
        <v>6364</v>
      </c>
      <c r="D998" s="328" t="s">
        <v>1674</v>
      </c>
      <c r="E998" s="122" t="str">
        <f t="shared" si="15"/>
        <v xml:space="preserve">2411 : 매도기관계정개설처(21)가영업일아님  </v>
      </c>
    </row>
    <row r="999" spans="1:5" s="64" customFormat="1">
      <c r="A999" s="316" t="s">
        <v>4635</v>
      </c>
      <c r="B999" s="123" t="s">
        <v>7609</v>
      </c>
      <c r="C999" s="256" t="s">
        <v>6365</v>
      </c>
      <c r="D999" s="328" t="s">
        <v>1673</v>
      </c>
      <c r="E999" s="122" t="str">
        <f t="shared" si="15"/>
        <v xml:space="preserve">2412 : 매도기관계정개설처(12)가영업일아님  </v>
      </c>
    </row>
    <row r="1000" spans="1:5" s="64" customFormat="1">
      <c r="A1000" s="316" t="s">
        <v>4635</v>
      </c>
      <c r="B1000" s="123" t="s">
        <v>7609</v>
      </c>
      <c r="C1000" s="256" t="s">
        <v>6366</v>
      </c>
      <c r="D1000" s="328" t="s">
        <v>1672</v>
      </c>
      <c r="E1000" s="122" t="str">
        <f t="shared" si="15"/>
        <v xml:space="preserve">2413 : 매도기관계정개설처(13)가영업일아님  </v>
      </c>
    </row>
    <row r="1001" spans="1:5" s="64" customFormat="1">
      <c r="A1001" s="316" t="s">
        <v>4635</v>
      </c>
      <c r="B1001" s="123" t="s">
        <v>7609</v>
      </c>
      <c r="C1001" s="256" t="s">
        <v>6367</v>
      </c>
      <c r="D1001" s="328" t="s">
        <v>1671</v>
      </c>
      <c r="E1001" s="122" t="str">
        <f t="shared" si="15"/>
        <v xml:space="preserve">2414 : 매도기관계정개설처(14)가영업일아님  </v>
      </c>
    </row>
    <row r="1002" spans="1:5" s="64" customFormat="1">
      <c r="A1002" s="316" t="s">
        <v>4635</v>
      </c>
      <c r="B1002" s="123" t="s">
        <v>7609</v>
      </c>
      <c r="C1002" s="256" t="s">
        <v>6368</v>
      </c>
      <c r="D1002" s="328" t="s">
        <v>1670</v>
      </c>
      <c r="E1002" s="122" t="str">
        <f t="shared" si="15"/>
        <v xml:space="preserve">2415 : 매도기관계정개설처(15)가영업일아님  </v>
      </c>
    </row>
    <row r="1003" spans="1:5" s="64" customFormat="1">
      <c r="A1003" s="316" t="s">
        <v>4635</v>
      </c>
      <c r="B1003" s="123" t="s">
        <v>7609</v>
      </c>
      <c r="C1003" s="256" t="s">
        <v>6369</v>
      </c>
      <c r="D1003" s="328" t="s">
        <v>1669</v>
      </c>
      <c r="E1003" s="122" t="str">
        <f t="shared" si="15"/>
        <v xml:space="preserve">2416 : 매도기관계정개설처(16)가영업일아님  </v>
      </c>
    </row>
    <row r="1004" spans="1:5" s="64" customFormat="1">
      <c r="A1004" s="316" t="s">
        <v>4635</v>
      </c>
      <c r="B1004" s="123" t="s">
        <v>7609</v>
      </c>
      <c r="C1004" s="256" t="s">
        <v>6370</v>
      </c>
      <c r="D1004" s="328" t="s">
        <v>1668</v>
      </c>
      <c r="E1004" s="122" t="str">
        <f t="shared" si="15"/>
        <v xml:space="preserve">2417 : 매도기관계정개설처(17)가영업일아님  </v>
      </c>
    </row>
    <row r="1005" spans="1:5" s="64" customFormat="1">
      <c r="A1005" s="316" t="s">
        <v>4635</v>
      </c>
      <c r="B1005" s="123" t="s">
        <v>7609</v>
      </c>
      <c r="C1005" s="256" t="s">
        <v>6371</v>
      </c>
      <c r="D1005" s="328" t="s">
        <v>1667</v>
      </c>
      <c r="E1005" s="122" t="str">
        <f t="shared" si="15"/>
        <v xml:space="preserve">2418 : 매도기관계정개설처(18)가영업일아님  </v>
      </c>
    </row>
    <row r="1006" spans="1:5" s="64" customFormat="1">
      <c r="A1006" s="316" t="s">
        <v>4635</v>
      </c>
      <c r="B1006" s="123" t="s">
        <v>7609</v>
      </c>
      <c r="C1006" s="256" t="s">
        <v>6372</v>
      </c>
      <c r="D1006" s="328" t="s">
        <v>1666</v>
      </c>
      <c r="E1006" s="122" t="str">
        <f t="shared" si="15"/>
        <v xml:space="preserve">2419 : 매도기관계정개설처(19)가영업일아님  </v>
      </c>
    </row>
    <row r="1007" spans="1:5" s="64" customFormat="1">
      <c r="A1007" s="316" t="s">
        <v>4635</v>
      </c>
      <c r="B1007" s="123" t="s">
        <v>7609</v>
      </c>
      <c r="C1007" s="256" t="s">
        <v>6373</v>
      </c>
      <c r="D1007" s="328" t="s">
        <v>1665</v>
      </c>
      <c r="E1007" s="122" t="str">
        <f t="shared" si="15"/>
        <v xml:space="preserve">2420 : 매도기관계정개설처(20)가영업일아님  </v>
      </c>
    </row>
    <row r="1008" spans="1:5" s="64" customFormat="1">
      <c r="A1008" s="316" t="s">
        <v>4635</v>
      </c>
      <c r="B1008" s="123" t="s">
        <v>7609</v>
      </c>
      <c r="C1008" s="256" t="s">
        <v>6374</v>
      </c>
      <c r="D1008" s="328" t="s">
        <v>1664</v>
      </c>
      <c r="E1008" s="122" t="str">
        <f t="shared" si="15"/>
        <v xml:space="preserve">2501 : 개별결제번호（０１）를　확인하시오．  </v>
      </c>
    </row>
    <row r="1009" spans="1:5" s="64" customFormat="1">
      <c r="A1009" s="316" t="s">
        <v>4635</v>
      </c>
      <c r="B1009" s="123" t="s">
        <v>7609</v>
      </c>
      <c r="C1009" s="256" t="s">
        <v>6375</v>
      </c>
      <c r="D1009" s="328" t="s">
        <v>1663</v>
      </c>
      <c r="E1009" s="122" t="str">
        <f t="shared" si="15"/>
        <v xml:space="preserve">2502 : 개별결제번호（０２）를　확인하시오．  </v>
      </c>
    </row>
    <row r="1010" spans="1:5" s="64" customFormat="1">
      <c r="A1010" s="316" t="s">
        <v>4635</v>
      </c>
      <c r="B1010" s="123" t="s">
        <v>7609</v>
      </c>
      <c r="C1010" s="256" t="s">
        <v>6376</v>
      </c>
      <c r="D1010" s="328" t="s">
        <v>1662</v>
      </c>
      <c r="E1010" s="122" t="str">
        <f t="shared" si="15"/>
        <v xml:space="preserve">2503 : 개별결제번호（０３）를　확인하시오．  </v>
      </c>
    </row>
    <row r="1011" spans="1:5" s="64" customFormat="1">
      <c r="A1011" s="316" t="s">
        <v>4635</v>
      </c>
      <c r="B1011" s="123" t="s">
        <v>7609</v>
      </c>
      <c r="C1011" s="256" t="s">
        <v>6377</v>
      </c>
      <c r="D1011" s="328" t="s">
        <v>1661</v>
      </c>
      <c r="E1011" s="122" t="str">
        <f t="shared" si="15"/>
        <v xml:space="preserve">2504 : 개별결제번호（０４）를　확인하시오．  </v>
      </c>
    </row>
    <row r="1012" spans="1:5" s="64" customFormat="1">
      <c r="A1012" s="316" t="s">
        <v>4635</v>
      </c>
      <c r="B1012" s="123" t="s">
        <v>7609</v>
      </c>
      <c r="C1012" s="256" t="s">
        <v>6378</v>
      </c>
      <c r="D1012" s="328" t="s">
        <v>1660</v>
      </c>
      <c r="E1012" s="122" t="str">
        <f t="shared" si="15"/>
        <v xml:space="preserve">2505 : 개별결제번호（０５）를　확인하시오．  </v>
      </c>
    </row>
    <row r="1013" spans="1:5" s="64" customFormat="1">
      <c r="A1013" s="316" t="s">
        <v>4635</v>
      </c>
      <c r="B1013" s="123" t="s">
        <v>7609</v>
      </c>
      <c r="C1013" s="256" t="s">
        <v>6379</v>
      </c>
      <c r="D1013" s="328" t="s">
        <v>1659</v>
      </c>
      <c r="E1013" s="122" t="str">
        <f t="shared" si="15"/>
        <v xml:space="preserve">2506 : 개별결제번호（０６）를　확인하시오．  </v>
      </c>
    </row>
    <row r="1014" spans="1:5" s="64" customFormat="1">
      <c r="A1014" s="316" t="s">
        <v>4635</v>
      </c>
      <c r="B1014" s="123" t="s">
        <v>7609</v>
      </c>
      <c r="C1014" s="256" t="s">
        <v>6380</v>
      </c>
      <c r="D1014" s="328" t="s">
        <v>1658</v>
      </c>
      <c r="E1014" s="122" t="str">
        <f t="shared" si="15"/>
        <v xml:space="preserve">2507 : 개별결제번호（０７）를　확인하시오．  </v>
      </c>
    </row>
    <row r="1015" spans="1:5" s="64" customFormat="1">
      <c r="A1015" s="316" t="s">
        <v>4635</v>
      </c>
      <c r="B1015" s="123" t="s">
        <v>7609</v>
      </c>
      <c r="C1015" s="256" t="s">
        <v>6381</v>
      </c>
      <c r="D1015" s="328" t="s">
        <v>1657</v>
      </c>
      <c r="E1015" s="122" t="str">
        <f t="shared" si="15"/>
        <v xml:space="preserve">2508 : 개별결제번호（０８）를　확인하시오．  </v>
      </c>
    </row>
    <row r="1016" spans="1:5" s="64" customFormat="1">
      <c r="A1016" s="316" t="s">
        <v>4635</v>
      </c>
      <c r="B1016" s="123" t="s">
        <v>7609</v>
      </c>
      <c r="C1016" s="256" t="s">
        <v>6382</v>
      </c>
      <c r="D1016" s="328" t="s">
        <v>1656</v>
      </c>
      <c r="E1016" s="122" t="str">
        <f t="shared" si="15"/>
        <v xml:space="preserve">2509 : 개별결제번호（０９）를　확인하시오．  </v>
      </c>
    </row>
    <row r="1017" spans="1:5" s="64" customFormat="1">
      <c r="A1017" s="316" t="s">
        <v>4635</v>
      </c>
      <c r="B1017" s="123" t="s">
        <v>7609</v>
      </c>
      <c r="C1017" s="256" t="s">
        <v>6383</v>
      </c>
      <c r="D1017" s="328" t="s">
        <v>1655</v>
      </c>
      <c r="E1017" s="122" t="str">
        <f t="shared" si="15"/>
        <v xml:space="preserve">2510 : 개별결제번호（１０）를　확인하시오．  </v>
      </c>
    </row>
    <row r="1018" spans="1:5" s="64" customFormat="1">
      <c r="A1018" s="316" t="s">
        <v>4635</v>
      </c>
      <c r="B1018" s="123" t="s">
        <v>7609</v>
      </c>
      <c r="C1018" s="256" t="s">
        <v>6384</v>
      </c>
      <c r="D1018" s="328" t="s">
        <v>1654</v>
      </c>
      <c r="E1018" s="122" t="str">
        <f t="shared" si="15"/>
        <v xml:space="preserve">2511 : 개별결제번호（１１）를　확인하시오．  </v>
      </c>
    </row>
    <row r="1019" spans="1:5" s="64" customFormat="1">
      <c r="A1019" s="316" t="s">
        <v>4635</v>
      </c>
      <c r="B1019" s="123" t="s">
        <v>7609</v>
      </c>
      <c r="C1019" s="256" t="s">
        <v>6385</v>
      </c>
      <c r="D1019" s="328" t="s">
        <v>1653</v>
      </c>
      <c r="E1019" s="122" t="str">
        <f t="shared" si="15"/>
        <v xml:space="preserve">2512 : 개별결제번호（１２）를　확인하시오．  </v>
      </c>
    </row>
    <row r="1020" spans="1:5" s="64" customFormat="1">
      <c r="A1020" s="316" t="s">
        <v>4635</v>
      </c>
      <c r="B1020" s="123" t="s">
        <v>7609</v>
      </c>
      <c r="C1020" s="256" t="s">
        <v>6386</v>
      </c>
      <c r="D1020" s="328" t="s">
        <v>1652</v>
      </c>
      <c r="E1020" s="122" t="str">
        <f t="shared" si="15"/>
        <v xml:space="preserve">2513 : 개별결제번호（１３）를　확인하시오．  </v>
      </c>
    </row>
    <row r="1021" spans="1:5" s="64" customFormat="1">
      <c r="A1021" s="316" t="s">
        <v>4635</v>
      </c>
      <c r="B1021" s="123" t="s">
        <v>7609</v>
      </c>
      <c r="C1021" s="256" t="s">
        <v>6387</v>
      </c>
      <c r="D1021" s="328" t="s">
        <v>1651</v>
      </c>
      <c r="E1021" s="122" t="str">
        <f t="shared" si="15"/>
        <v xml:space="preserve">2514 : 개별결제번호（１４）를　확인하시오．  </v>
      </c>
    </row>
    <row r="1022" spans="1:5" s="64" customFormat="1">
      <c r="A1022" s="316" t="s">
        <v>4635</v>
      </c>
      <c r="B1022" s="123" t="s">
        <v>7609</v>
      </c>
      <c r="C1022" s="256" t="s">
        <v>6388</v>
      </c>
      <c r="D1022" s="328" t="s">
        <v>1650</v>
      </c>
      <c r="E1022" s="122" t="str">
        <f t="shared" si="15"/>
        <v xml:space="preserve">2515 : 개별결제번호（１５）를　확인하시오．  </v>
      </c>
    </row>
    <row r="1023" spans="1:5" s="64" customFormat="1">
      <c r="A1023" s="316" t="s">
        <v>4635</v>
      </c>
      <c r="B1023" s="123" t="s">
        <v>7609</v>
      </c>
      <c r="C1023" s="256" t="s">
        <v>6389</v>
      </c>
      <c r="D1023" s="328" t="s">
        <v>1649</v>
      </c>
      <c r="E1023" s="122" t="str">
        <f t="shared" si="15"/>
        <v xml:space="preserve">2516 : 개별결제번호（１６）를　확인하시오．  </v>
      </c>
    </row>
    <row r="1024" spans="1:5" s="64" customFormat="1">
      <c r="A1024" s="316" t="s">
        <v>4635</v>
      </c>
      <c r="B1024" s="123" t="s">
        <v>7609</v>
      </c>
      <c r="C1024" s="256" t="s">
        <v>6390</v>
      </c>
      <c r="D1024" s="328" t="s">
        <v>1648</v>
      </c>
      <c r="E1024" s="122" t="str">
        <f t="shared" si="15"/>
        <v xml:space="preserve">2517 : 개별결제번호（１７）를　확인하시오．  </v>
      </c>
    </row>
    <row r="1025" spans="1:5" s="64" customFormat="1">
      <c r="A1025" s="316" t="s">
        <v>4635</v>
      </c>
      <c r="B1025" s="123" t="s">
        <v>7609</v>
      </c>
      <c r="C1025" s="256" t="s">
        <v>6391</v>
      </c>
      <c r="D1025" s="328" t="s">
        <v>1647</v>
      </c>
      <c r="E1025" s="122" t="str">
        <f t="shared" si="15"/>
        <v xml:space="preserve">2518 : 개별결제번호（１８）를　확인하시오．  </v>
      </c>
    </row>
    <row r="1026" spans="1:5" s="64" customFormat="1">
      <c r="A1026" s="316" t="s">
        <v>4635</v>
      </c>
      <c r="B1026" s="123" t="s">
        <v>7609</v>
      </c>
      <c r="C1026" s="256" t="s">
        <v>6392</v>
      </c>
      <c r="D1026" s="328" t="s">
        <v>1646</v>
      </c>
      <c r="E1026" s="122" t="str">
        <f t="shared" si="15"/>
        <v xml:space="preserve">2519 : 개별결제번호（１９）를　확인하시오．  </v>
      </c>
    </row>
    <row r="1027" spans="1:5" s="64" customFormat="1">
      <c r="A1027" s="316" t="s">
        <v>4635</v>
      </c>
      <c r="B1027" s="123" t="s">
        <v>7609</v>
      </c>
      <c r="C1027" s="256" t="s">
        <v>6393</v>
      </c>
      <c r="D1027" s="328" t="s">
        <v>1645</v>
      </c>
      <c r="E1027" s="122" t="str">
        <f t="shared" si="15"/>
        <v xml:space="preserve">2520 : 개별결제번호（２０）를　확인하시오．  </v>
      </c>
    </row>
    <row r="1028" spans="1:5" s="64" customFormat="1">
      <c r="A1028" s="316" t="s">
        <v>4635</v>
      </c>
      <c r="B1028" s="123" t="s">
        <v>7609</v>
      </c>
      <c r="C1028" s="256" t="s">
        <v>6394</v>
      </c>
      <c r="D1028" s="328" t="s">
        <v>1644</v>
      </c>
      <c r="E1028" s="122" t="str">
        <f t="shared" ref="E1028:E1091" si="16">_xlfn.TEXTJOIN(" : ",FALSE,C1028:D1028)</f>
        <v>2521 : 개별결제번호(01)는　입력항목아닙니다</v>
      </c>
    </row>
    <row r="1029" spans="1:5" s="64" customFormat="1">
      <c r="A1029" s="316" t="s">
        <v>4635</v>
      </c>
      <c r="B1029" s="123" t="s">
        <v>7609</v>
      </c>
      <c r="C1029" s="256" t="s">
        <v>6395</v>
      </c>
      <c r="D1029" s="328" t="s">
        <v>1643</v>
      </c>
      <c r="E1029" s="122" t="str">
        <f t="shared" si="16"/>
        <v>2522 : 개별결제번호(02)는　입력항목아닙니다</v>
      </c>
    </row>
    <row r="1030" spans="1:5" s="64" customFormat="1">
      <c r="A1030" s="316" t="s">
        <v>4635</v>
      </c>
      <c r="B1030" s="123" t="s">
        <v>7609</v>
      </c>
      <c r="C1030" s="256" t="s">
        <v>6396</v>
      </c>
      <c r="D1030" s="328" t="s">
        <v>1642</v>
      </c>
      <c r="E1030" s="122" t="str">
        <f t="shared" si="16"/>
        <v>2523 : 개별결제번호(03)는　입력항목아닙니다</v>
      </c>
    </row>
    <row r="1031" spans="1:5" s="64" customFormat="1">
      <c r="A1031" s="316" t="s">
        <v>4635</v>
      </c>
      <c r="B1031" s="123" t="s">
        <v>7609</v>
      </c>
      <c r="C1031" s="256" t="s">
        <v>6397</v>
      </c>
      <c r="D1031" s="328" t="s">
        <v>1641</v>
      </c>
      <c r="E1031" s="122" t="str">
        <f t="shared" si="16"/>
        <v>2524 : 개별결제번호(04)는　입력항목아닙니다</v>
      </c>
    </row>
    <row r="1032" spans="1:5" s="64" customFormat="1">
      <c r="A1032" s="316" t="s">
        <v>4635</v>
      </c>
      <c r="B1032" s="123" t="s">
        <v>7609</v>
      </c>
      <c r="C1032" s="256" t="s">
        <v>6398</v>
      </c>
      <c r="D1032" s="328" t="s">
        <v>1640</v>
      </c>
      <c r="E1032" s="122" t="str">
        <f t="shared" si="16"/>
        <v>2525 : 개별결제번호(05)는　입력항목아닙니다</v>
      </c>
    </row>
    <row r="1033" spans="1:5" s="64" customFormat="1">
      <c r="A1033" s="316" t="s">
        <v>4635</v>
      </c>
      <c r="B1033" s="123" t="s">
        <v>7609</v>
      </c>
      <c r="C1033" s="256" t="s">
        <v>6399</v>
      </c>
      <c r="D1033" s="328" t="s">
        <v>1639</v>
      </c>
      <c r="E1033" s="122" t="str">
        <f t="shared" si="16"/>
        <v>2526 : 개별결제번호(06)는　입력항목아닙니다</v>
      </c>
    </row>
    <row r="1034" spans="1:5" s="64" customFormat="1">
      <c r="A1034" s="316" t="s">
        <v>4635</v>
      </c>
      <c r="B1034" s="123" t="s">
        <v>7609</v>
      </c>
      <c r="C1034" s="256" t="s">
        <v>6400</v>
      </c>
      <c r="D1034" s="328" t="s">
        <v>1638</v>
      </c>
      <c r="E1034" s="122" t="str">
        <f t="shared" si="16"/>
        <v>2527 : 개별결제번호(07)는　입력항목아닙니다</v>
      </c>
    </row>
    <row r="1035" spans="1:5" s="64" customFormat="1">
      <c r="A1035" s="316" t="s">
        <v>4635</v>
      </c>
      <c r="B1035" s="123" t="s">
        <v>7609</v>
      </c>
      <c r="C1035" s="256" t="s">
        <v>6401</v>
      </c>
      <c r="D1035" s="328" t="s">
        <v>1637</v>
      </c>
      <c r="E1035" s="122" t="str">
        <f t="shared" si="16"/>
        <v>2528 : 개별결제번호(08)는　입력항목아닙니다</v>
      </c>
    </row>
    <row r="1036" spans="1:5" s="64" customFormat="1">
      <c r="A1036" s="316" t="s">
        <v>4635</v>
      </c>
      <c r="B1036" s="123" t="s">
        <v>7609</v>
      </c>
      <c r="C1036" s="256" t="s">
        <v>6402</v>
      </c>
      <c r="D1036" s="328" t="s">
        <v>1636</v>
      </c>
      <c r="E1036" s="122" t="str">
        <f t="shared" si="16"/>
        <v>2529 : 개별결제번호(09)는　입력항목아닙니다</v>
      </c>
    </row>
    <row r="1037" spans="1:5" s="64" customFormat="1">
      <c r="A1037" s="316" t="s">
        <v>4635</v>
      </c>
      <c r="B1037" s="123" t="s">
        <v>7609</v>
      </c>
      <c r="C1037" s="256" t="s">
        <v>6403</v>
      </c>
      <c r="D1037" s="328" t="s">
        <v>1635</v>
      </c>
      <c r="E1037" s="122" t="str">
        <f t="shared" si="16"/>
        <v>2530 : 개별결제번호(10)는　입력항목아닙니다</v>
      </c>
    </row>
    <row r="1038" spans="1:5" s="64" customFormat="1">
      <c r="A1038" s="316" t="s">
        <v>4635</v>
      </c>
      <c r="B1038" s="123" t="s">
        <v>7609</v>
      </c>
      <c r="C1038" s="256" t="s">
        <v>6404</v>
      </c>
      <c r="D1038" s="328" t="s">
        <v>1634</v>
      </c>
      <c r="E1038" s="122" t="str">
        <f t="shared" si="16"/>
        <v>2531 : 개별결제번호(11)는　입력항목아닙니다</v>
      </c>
    </row>
    <row r="1039" spans="1:5" s="64" customFormat="1">
      <c r="A1039" s="316" t="s">
        <v>4635</v>
      </c>
      <c r="B1039" s="123" t="s">
        <v>7609</v>
      </c>
      <c r="C1039" s="256" t="s">
        <v>6405</v>
      </c>
      <c r="D1039" s="328" t="s">
        <v>1633</v>
      </c>
      <c r="E1039" s="122" t="str">
        <f t="shared" si="16"/>
        <v>2532 : 개별결제번호(12)는　입력항목아닙니다</v>
      </c>
    </row>
    <row r="1040" spans="1:5" s="64" customFormat="1">
      <c r="A1040" s="316" t="s">
        <v>4635</v>
      </c>
      <c r="B1040" s="123" t="s">
        <v>7609</v>
      </c>
      <c r="C1040" s="256" t="s">
        <v>6406</v>
      </c>
      <c r="D1040" s="328" t="s">
        <v>1632</v>
      </c>
      <c r="E1040" s="122" t="str">
        <f t="shared" si="16"/>
        <v>2533 : 개별결제번호(13)는　입력항목아닙니다</v>
      </c>
    </row>
    <row r="1041" spans="1:5" s="64" customFormat="1">
      <c r="A1041" s="316" t="s">
        <v>4635</v>
      </c>
      <c r="B1041" s="123" t="s">
        <v>7609</v>
      </c>
      <c r="C1041" s="256" t="s">
        <v>6407</v>
      </c>
      <c r="D1041" s="328" t="s">
        <v>1631</v>
      </c>
      <c r="E1041" s="122" t="str">
        <f t="shared" si="16"/>
        <v>2534 : 개별결제번호(14)는　입력항목아닙니다</v>
      </c>
    </row>
    <row r="1042" spans="1:5" s="64" customFormat="1">
      <c r="A1042" s="316" t="s">
        <v>4635</v>
      </c>
      <c r="B1042" s="123" t="s">
        <v>7609</v>
      </c>
      <c r="C1042" s="256" t="s">
        <v>6408</v>
      </c>
      <c r="D1042" s="328" t="s">
        <v>1630</v>
      </c>
      <c r="E1042" s="122" t="str">
        <f t="shared" si="16"/>
        <v>2535 : 개별결제번호(15)는　입력항목아닙니다</v>
      </c>
    </row>
    <row r="1043" spans="1:5" s="64" customFormat="1">
      <c r="A1043" s="316" t="s">
        <v>4635</v>
      </c>
      <c r="B1043" s="123" t="s">
        <v>7609</v>
      </c>
      <c r="C1043" s="256" t="s">
        <v>6409</v>
      </c>
      <c r="D1043" s="328" t="s">
        <v>1629</v>
      </c>
      <c r="E1043" s="122" t="str">
        <f t="shared" si="16"/>
        <v>2536 : 개별결제번호(16)는　입력항목아닙니다</v>
      </c>
    </row>
    <row r="1044" spans="1:5" s="64" customFormat="1">
      <c r="A1044" s="316" t="s">
        <v>4635</v>
      </c>
      <c r="B1044" s="123" t="s">
        <v>7609</v>
      </c>
      <c r="C1044" s="256" t="s">
        <v>6410</v>
      </c>
      <c r="D1044" s="328" t="s">
        <v>1628</v>
      </c>
      <c r="E1044" s="122" t="str">
        <f t="shared" si="16"/>
        <v>2537 : 개별결제번호(17)는　입력항목아닙니다</v>
      </c>
    </row>
    <row r="1045" spans="1:5" s="64" customFormat="1">
      <c r="A1045" s="316" t="s">
        <v>4635</v>
      </c>
      <c r="B1045" s="123" t="s">
        <v>7609</v>
      </c>
      <c r="C1045" s="256" t="s">
        <v>6411</v>
      </c>
      <c r="D1045" s="328" t="s">
        <v>1627</v>
      </c>
      <c r="E1045" s="122" t="str">
        <f t="shared" si="16"/>
        <v>2538 : 개별결제번호(18)는　입력항목아닙니다</v>
      </c>
    </row>
    <row r="1046" spans="1:5" s="64" customFormat="1">
      <c r="A1046" s="316" t="s">
        <v>4635</v>
      </c>
      <c r="B1046" s="123" t="s">
        <v>7609</v>
      </c>
      <c r="C1046" s="256" t="s">
        <v>6412</v>
      </c>
      <c r="D1046" s="328" t="s">
        <v>1626</v>
      </c>
      <c r="E1046" s="122" t="str">
        <f t="shared" si="16"/>
        <v>2539 : 개별결제번호(19)는　입력항목아닙니다</v>
      </c>
    </row>
    <row r="1047" spans="1:5" s="64" customFormat="1">
      <c r="A1047" s="316" t="s">
        <v>4635</v>
      </c>
      <c r="B1047" s="123" t="s">
        <v>7609</v>
      </c>
      <c r="C1047" s="256" t="s">
        <v>6413</v>
      </c>
      <c r="D1047" s="328" t="s">
        <v>1625</v>
      </c>
      <c r="E1047" s="122" t="str">
        <f t="shared" si="16"/>
        <v>2540 : 개별결제번호(20)는　입력항목아닙니다</v>
      </c>
    </row>
    <row r="1048" spans="1:5" s="64" customFormat="1">
      <c r="A1048" s="316" t="s">
        <v>4635</v>
      </c>
      <c r="B1048" s="123" t="s">
        <v>7609</v>
      </c>
      <c r="C1048" s="256" t="s">
        <v>6414</v>
      </c>
      <c r="D1048" s="328" t="s">
        <v>1624</v>
      </c>
      <c r="E1048" s="122" t="str">
        <f t="shared" si="16"/>
        <v xml:space="preserve">2601 : 금액（０１）을　확인하시오．          </v>
      </c>
    </row>
    <row r="1049" spans="1:5" s="64" customFormat="1">
      <c r="A1049" s="316" t="s">
        <v>4635</v>
      </c>
      <c r="B1049" s="123" t="s">
        <v>7609</v>
      </c>
      <c r="C1049" s="256" t="s">
        <v>6415</v>
      </c>
      <c r="D1049" s="328" t="s">
        <v>1623</v>
      </c>
      <c r="E1049" s="122" t="str">
        <f t="shared" si="16"/>
        <v xml:space="preserve">2602 : 금액（０２）을　확인하시오．          </v>
      </c>
    </row>
    <row r="1050" spans="1:5" s="64" customFormat="1">
      <c r="A1050" s="316" t="s">
        <v>4635</v>
      </c>
      <c r="B1050" s="123" t="s">
        <v>7609</v>
      </c>
      <c r="C1050" s="256" t="s">
        <v>6416</v>
      </c>
      <c r="D1050" s="328" t="s">
        <v>1622</v>
      </c>
      <c r="E1050" s="122" t="str">
        <f t="shared" si="16"/>
        <v xml:space="preserve">2603 : 금액（０３）을　확인하시오．          </v>
      </c>
    </row>
    <row r="1051" spans="1:5" s="64" customFormat="1">
      <c r="A1051" s="316" t="s">
        <v>4635</v>
      </c>
      <c r="B1051" s="123" t="s">
        <v>7609</v>
      </c>
      <c r="C1051" s="256" t="s">
        <v>6417</v>
      </c>
      <c r="D1051" s="328" t="s">
        <v>1621</v>
      </c>
      <c r="E1051" s="122" t="str">
        <f t="shared" si="16"/>
        <v xml:space="preserve">2604 : 금액（０４）을　확인하시오．          </v>
      </c>
    </row>
    <row r="1052" spans="1:5" s="64" customFormat="1">
      <c r="A1052" s="316" t="s">
        <v>4635</v>
      </c>
      <c r="B1052" s="123" t="s">
        <v>7609</v>
      </c>
      <c r="C1052" s="256" t="s">
        <v>6418</v>
      </c>
      <c r="D1052" s="328" t="s">
        <v>1620</v>
      </c>
      <c r="E1052" s="122" t="str">
        <f t="shared" si="16"/>
        <v xml:space="preserve">2605 : 금액（０５）을　확인하시오．          </v>
      </c>
    </row>
    <row r="1053" spans="1:5" s="64" customFormat="1">
      <c r="A1053" s="316" t="s">
        <v>4635</v>
      </c>
      <c r="B1053" s="123" t="s">
        <v>7609</v>
      </c>
      <c r="C1053" s="256" t="s">
        <v>6419</v>
      </c>
      <c r="D1053" s="328" t="s">
        <v>1619</v>
      </c>
      <c r="E1053" s="122" t="str">
        <f t="shared" si="16"/>
        <v xml:space="preserve">2606 : 금액（０６）을　확인하시오．          </v>
      </c>
    </row>
    <row r="1054" spans="1:5" s="64" customFormat="1">
      <c r="A1054" s="316" t="s">
        <v>4635</v>
      </c>
      <c r="B1054" s="123" t="s">
        <v>7609</v>
      </c>
      <c r="C1054" s="256" t="s">
        <v>6420</v>
      </c>
      <c r="D1054" s="328" t="s">
        <v>1618</v>
      </c>
      <c r="E1054" s="122" t="str">
        <f t="shared" si="16"/>
        <v xml:space="preserve">2607 : 금액（０７）을　확인하시오．          </v>
      </c>
    </row>
    <row r="1055" spans="1:5" s="64" customFormat="1">
      <c r="A1055" s="316" t="s">
        <v>4635</v>
      </c>
      <c r="B1055" s="123" t="s">
        <v>7609</v>
      </c>
      <c r="C1055" s="256" t="s">
        <v>6421</v>
      </c>
      <c r="D1055" s="328" t="s">
        <v>1617</v>
      </c>
      <c r="E1055" s="122" t="str">
        <f t="shared" si="16"/>
        <v xml:space="preserve">2608 : 금액（０８）을　확인하시오．          </v>
      </c>
    </row>
    <row r="1056" spans="1:5" s="64" customFormat="1">
      <c r="A1056" s="316" t="s">
        <v>4635</v>
      </c>
      <c r="B1056" s="123" t="s">
        <v>7609</v>
      </c>
      <c r="C1056" s="256" t="s">
        <v>6422</v>
      </c>
      <c r="D1056" s="328" t="s">
        <v>1616</v>
      </c>
      <c r="E1056" s="122" t="str">
        <f t="shared" si="16"/>
        <v xml:space="preserve">2609 : 금액（０９）을　확인하시오．          </v>
      </c>
    </row>
    <row r="1057" spans="1:5" s="64" customFormat="1">
      <c r="A1057" s="316" t="s">
        <v>4635</v>
      </c>
      <c r="B1057" s="123" t="s">
        <v>7609</v>
      </c>
      <c r="C1057" s="256" t="s">
        <v>6423</v>
      </c>
      <c r="D1057" s="328" t="s">
        <v>1615</v>
      </c>
      <c r="E1057" s="122" t="str">
        <f t="shared" si="16"/>
        <v xml:space="preserve">2610 : 금액（１０）을　확인하시오．          </v>
      </c>
    </row>
    <row r="1058" spans="1:5" s="64" customFormat="1">
      <c r="A1058" s="316" t="s">
        <v>4635</v>
      </c>
      <c r="B1058" s="123" t="s">
        <v>7609</v>
      </c>
      <c r="C1058" s="256" t="s">
        <v>6424</v>
      </c>
      <c r="D1058" s="328" t="s">
        <v>1614</v>
      </c>
      <c r="E1058" s="122" t="str">
        <f t="shared" si="16"/>
        <v xml:space="preserve">2611 : 금액（１１）을　확인하시오．          </v>
      </c>
    </row>
    <row r="1059" spans="1:5" s="64" customFormat="1">
      <c r="A1059" s="316" t="s">
        <v>4635</v>
      </c>
      <c r="B1059" s="123" t="s">
        <v>7609</v>
      </c>
      <c r="C1059" s="256" t="s">
        <v>6425</v>
      </c>
      <c r="D1059" s="328" t="s">
        <v>1613</v>
      </c>
      <c r="E1059" s="122" t="str">
        <f t="shared" si="16"/>
        <v xml:space="preserve">2612 : 금액（１２）을　확인하시오．          </v>
      </c>
    </row>
    <row r="1060" spans="1:5" s="64" customFormat="1">
      <c r="A1060" s="316" t="s">
        <v>4635</v>
      </c>
      <c r="B1060" s="123" t="s">
        <v>7609</v>
      </c>
      <c r="C1060" s="256" t="s">
        <v>6426</v>
      </c>
      <c r="D1060" s="328" t="s">
        <v>1612</v>
      </c>
      <c r="E1060" s="122" t="str">
        <f t="shared" si="16"/>
        <v xml:space="preserve">2613 : 금액（１３）을　확인하시오．          </v>
      </c>
    </row>
    <row r="1061" spans="1:5" s="64" customFormat="1">
      <c r="A1061" s="316" t="s">
        <v>4635</v>
      </c>
      <c r="B1061" s="123" t="s">
        <v>7609</v>
      </c>
      <c r="C1061" s="256" t="s">
        <v>6427</v>
      </c>
      <c r="D1061" s="328" t="s">
        <v>1611</v>
      </c>
      <c r="E1061" s="122" t="str">
        <f t="shared" si="16"/>
        <v xml:space="preserve">2614 : 금액（１４）을　확인하시오．          </v>
      </c>
    </row>
    <row r="1062" spans="1:5" s="64" customFormat="1">
      <c r="A1062" s="316" t="s">
        <v>4635</v>
      </c>
      <c r="B1062" s="123" t="s">
        <v>7609</v>
      </c>
      <c r="C1062" s="256" t="s">
        <v>6428</v>
      </c>
      <c r="D1062" s="328" t="s">
        <v>1610</v>
      </c>
      <c r="E1062" s="122" t="str">
        <f t="shared" si="16"/>
        <v xml:space="preserve">2615 : 금액（１５）을　확인하시오．          </v>
      </c>
    </row>
    <row r="1063" spans="1:5" s="64" customFormat="1">
      <c r="A1063" s="316" t="s">
        <v>4635</v>
      </c>
      <c r="B1063" s="123" t="s">
        <v>7609</v>
      </c>
      <c r="C1063" s="256" t="s">
        <v>6429</v>
      </c>
      <c r="D1063" s="328" t="s">
        <v>1609</v>
      </c>
      <c r="E1063" s="122" t="str">
        <f t="shared" si="16"/>
        <v xml:space="preserve">2616 : 금액（１６）을　확인하시오．          </v>
      </c>
    </row>
    <row r="1064" spans="1:5" s="64" customFormat="1">
      <c r="A1064" s="316" t="s">
        <v>4635</v>
      </c>
      <c r="B1064" s="123" t="s">
        <v>7609</v>
      </c>
      <c r="C1064" s="256" t="s">
        <v>6430</v>
      </c>
      <c r="D1064" s="328" t="s">
        <v>1608</v>
      </c>
      <c r="E1064" s="122" t="str">
        <f t="shared" si="16"/>
        <v xml:space="preserve">2617 : 금액（１７）을　확인하시오．          </v>
      </c>
    </row>
    <row r="1065" spans="1:5" s="64" customFormat="1">
      <c r="A1065" s="316" t="s">
        <v>4635</v>
      </c>
      <c r="B1065" s="123" t="s">
        <v>7609</v>
      </c>
      <c r="C1065" s="256" t="s">
        <v>6431</v>
      </c>
      <c r="D1065" s="328" t="s">
        <v>1607</v>
      </c>
      <c r="E1065" s="122" t="str">
        <f t="shared" si="16"/>
        <v xml:space="preserve">2618 : 금액（１８）을　확인하시오．          </v>
      </c>
    </row>
    <row r="1066" spans="1:5" s="64" customFormat="1">
      <c r="A1066" s="316" t="s">
        <v>4635</v>
      </c>
      <c r="B1066" s="123" t="s">
        <v>7609</v>
      </c>
      <c r="C1066" s="256" t="s">
        <v>6432</v>
      </c>
      <c r="D1066" s="328" t="s">
        <v>1606</v>
      </c>
      <c r="E1066" s="122" t="str">
        <f t="shared" si="16"/>
        <v xml:space="preserve">2619 : 금액（１９）을　확인하시오．          </v>
      </c>
    </row>
    <row r="1067" spans="1:5" s="64" customFormat="1">
      <c r="A1067" s="316" t="s">
        <v>4635</v>
      </c>
      <c r="B1067" s="123" t="s">
        <v>7609</v>
      </c>
      <c r="C1067" s="256" t="s">
        <v>6433</v>
      </c>
      <c r="D1067" s="328" t="s">
        <v>1605</v>
      </c>
      <c r="E1067" s="122" t="str">
        <f t="shared" si="16"/>
        <v xml:space="preserve">2620 : 금액（２０）을　확인하시오．          </v>
      </c>
    </row>
    <row r="1068" spans="1:5" s="64" customFormat="1">
      <c r="A1068" s="316" t="s">
        <v>4635</v>
      </c>
      <c r="B1068" s="123" t="s">
        <v>7609</v>
      </c>
      <c r="C1068" s="256" t="s">
        <v>6434</v>
      </c>
      <c r="D1068" s="328" t="s">
        <v>1604</v>
      </c>
      <c r="E1068" s="122" t="str">
        <f t="shared" si="16"/>
        <v xml:space="preserve">2631 : 증권결제형태코드를확인하세요          </v>
      </c>
    </row>
    <row r="1069" spans="1:5" s="64" customFormat="1">
      <c r="A1069" s="316" t="s">
        <v>4635</v>
      </c>
      <c r="B1069" s="123" t="s">
        <v>7609</v>
      </c>
      <c r="C1069" s="256" t="s">
        <v>6435</v>
      </c>
      <c r="D1069" s="328" t="s">
        <v>1603</v>
      </c>
      <c r="E1069" s="122" t="str">
        <f t="shared" si="16"/>
        <v xml:space="preserve">2632 : 예탁원코드를　확인하세요              </v>
      </c>
    </row>
    <row r="1070" spans="1:5" s="64" customFormat="1">
      <c r="A1070" s="316" t="s">
        <v>4635</v>
      </c>
      <c r="B1070" s="123" t="s">
        <v>7609</v>
      </c>
      <c r="C1070" s="256" t="s">
        <v>6436</v>
      </c>
      <c r="D1070" s="328" t="s">
        <v>1602</v>
      </c>
      <c r="E1070" s="122" t="str">
        <f t="shared" si="16"/>
        <v xml:space="preserve">2633 : 증권대금이체의뢰내역이없습니다        </v>
      </c>
    </row>
    <row r="1071" spans="1:5" s="64" customFormat="1">
      <c r="A1071" s="316" t="s">
        <v>4635</v>
      </c>
      <c r="B1071" s="123" t="s">
        <v>7609</v>
      </c>
      <c r="C1071" s="256" t="s">
        <v>6437</v>
      </c>
      <c r="D1071" s="328" t="s">
        <v>1601</v>
      </c>
      <c r="E1071" s="122" t="str">
        <f t="shared" si="16"/>
        <v xml:space="preserve">2634 : 대표매도기관을　확인하세요            </v>
      </c>
    </row>
    <row r="1072" spans="1:5" s="64" customFormat="1">
      <c r="A1072" s="316" t="s">
        <v>4635</v>
      </c>
      <c r="B1072" s="123" t="s">
        <v>7609</v>
      </c>
      <c r="C1072" s="256" t="s">
        <v>6438</v>
      </c>
      <c r="D1072" s="328" t="s">
        <v>1600</v>
      </c>
      <c r="E1072" s="122" t="str">
        <f t="shared" si="16"/>
        <v xml:space="preserve">2635 : 매도기관수를　확인하세요              </v>
      </c>
    </row>
    <row r="1073" spans="1:5" s="64" customFormat="1">
      <c r="A1073" s="316" t="s">
        <v>4635</v>
      </c>
      <c r="B1073" s="123" t="s">
        <v>7609</v>
      </c>
      <c r="C1073" s="256" t="s">
        <v>6439</v>
      </c>
      <c r="D1073" s="328" t="s">
        <v>1599</v>
      </c>
      <c r="E1073" s="122" t="str">
        <f t="shared" si="16"/>
        <v xml:space="preserve">2636 : 결제상태는　입력항목이　아닙니다      </v>
      </c>
    </row>
    <row r="1074" spans="1:5" s="64" customFormat="1">
      <c r="A1074" s="316" t="s">
        <v>4635</v>
      </c>
      <c r="B1074" s="123" t="s">
        <v>7609</v>
      </c>
      <c r="C1074" s="256" t="s">
        <v>6440</v>
      </c>
      <c r="D1074" s="328" t="s">
        <v>1598</v>
      </c>
      <c r="E1074" s="122" t="str">
        <f t="shared" si="16"/>
        <v xml:space="preserve">2637 : 가용총순지급한도는입력항목아닙니다    </v>
      </c>
    </row>
    <row r="1075" spans="1:5" s="64" customFormat="1">
      <c r="A1075" s="316" t="s">
        <v>4635</v>
      </c>
      <c r="B1075" s="123" t="s">
        <v>7609</v>
      </c>
      <c r="C1075" s="256" t="s">
        <v>6441</v>
      </c>
      <c r="D1075" s="328" t="s">
        <v>1597</v>
      </c>
      <c r="E1075" s="122" t="str">
        <f t="shared" si="16"/>
        <v xml:space="preserve">2638 : 가용양자간총순지급한도는입력항목아님  </v>
      </c>
    </row>
    <row r="1076" spans="1:5" s="64" customFormat="1">
      <c r="A1076" s="316" t="s">
        <v>4635</v>
      </c>
      <c r="B1076" s="123" t="s">
        <v>7609</v>
      </c>
      <c r="C1076" s="256" t="s">
        <v>6442</v>
      </c>
      <c r="D1076" s="328" t="s">
        <v>1596</v>
      </c>
      <c r="E1076" s="122" t="str">
        <f t="shared" si="16"/>
        <v xml:space="preserve">2639 : 대기번호는　입력항목이아닙니다        </v>
      </c>
    </row>
    <row r="1077" spans="1:5" s="64" customFormat="1">
      <c r="A1077" s="316" t="s">
        <v>4635</v>
      </c>
      <c r="B1077" s="123" t="s">
        <v>7609</v>
      </c>
      <c r="C1077" s="256" t="s">
        <v>6443</v>
      </c>
      <c r="D1077" s="328" t="s">
        <v>1595</v>
      </c>
      <c r="E1077" s="122" t="str">
        <f t="shared" si="16"/>
        <v xml:space="preserve">2640 : 복합대기순서는　입력항목이아닙니다    </v>
      </c>
    </row>
    <row r="1078" spans="1:5" s="64" customFormat="1">
      <c r="A1078" s="316" t="s">
        <v>4635</v>
      </c>
      <c r="B1078" s="123" t="s">
        <v>7609</v>
      </c>
      <c r="C1078" s="256" t="s">
        <v>6444</v>
      </c>
      <c r="D1078" s="328" t="s">
        <v>1594</v>
      </c>
      <c r="E1078" s="122" t="str">
        <f t="shared" si="16"/>
        <v xml:space="preserve">2641 : 회계번호는　입력항목이아닙니다        </v>
      </c>
    </row>
    <row r="1079" spans="1:5" s="64" customFormat="1">
      <c r="A1079" s="316" t="s">
        <v>4635</v>
      </c>
      <c r="B1079" s="123" t="s">
        <v>7609</v>
      </c>
      <c r="C1079" s="256" t="s">
        <v>6445</v>
      </c>
      <c r="D1079" s="328" t="s">
        <v>1593</v>
      </c>
      <c r="E1079" s="122" t="str">
        <f t="shared" si="16"/>
        <v xml:space="preserve">2642 : 이체요청시간은　입력항목이아닙니다    </v>
      </c>
    </row>
    <row r="1080" spans="1:5" s="64" customFormat="1">
      <c r="A1080" s="316" t="s">
        <v>4635</v>
      </c>
      <c r="B1080" s="123" t="s">
        <v>7609</v>
      </c>
      <c r="C1080" s="256" t="s">
        <v>6446</v>
      </c>
      <c r="D1080" s="328" t="s">
        <v>1592</v>
      </c>
      <c r="E1080" s="122" t="str">
        <f t="shared" si="16"/>
        <v xml:space="preserve">2643 : 처리시간은　입력항목이아닙니다        </v>
      </c>
    </row>
    <row r="1081" spans="1:5" s="64" customFormat="1">
      <c r="A1081" s="316" t="s">
        <v>4635</v>
      </c>
      <c r="B1081" s="123" t="s">
        <v>7609</v>
      </c>
      <c r="C1081" s="256" t="s">
        <v>6447</v>
      </c>
      <c r="D1081" s="328" t="s">
        <v>1591</v>
      </c>
      <c r="E1081" s="122" t="str">
        <f t="shared" si="16"/>
        <v xml:space="preserve">2644 : 결제방법은　입력항목이아닙니다        </v>
      </c>
    </row>
    <row r="1082" spans="1:5" s="64" customFormat="1">
      <c r="A1082" s="316" t="s">
        <v>4635</v>
      </c>
      <c r="B1082" s="123" t="s">
        <v>7609</v>
      </c>
      <c r="C1082" s="256" t="s">
        <v>6448</v>
      </c>
      <c r="D1082" s="328" t="s">
        <v>1590</v>
      </c>
      <c r="E1082" s="122" t="str">
        <f t="shared" si="16"/>
        <v xml:space="preserve">2645 : 결제실패원인은　입력항목이아닙니다    </v>
      </c>
    </row>
    <row r="1083" spans="1:5" s="64" customFormat="1">
      <c r="A1083" s="316" t="s">
        <v>4635</v>
      </c>
      <c r="B1083" s="123" t="s">
        <v>7609</v>
      </c>
      <c r="C1083" s="256" t="s">
        <v>6449</v>
      </c>
      <c r="D1083" s="328" t="s">
        <v>1589</v>
      </c>
      <c r="E1083" s="122" t="str">
        <f t="shared" si="16"/>
        <v xml:space="preserve">2646 : 매수기관과예탁원이동일합니다          </v>
      </c>
    </row>
    <row r="1084" spans="1:5" s="64" customFormat="1">
      <c r="A1084" s="316" t="s">
        <v>4635</v>
      </c>
      <c r="B1084" s="123" t="s">
        <v>7609</v>
      </c>
      <c r="C1084" s="256" t="s">
        <v>6450</v>
      </c>
      <c r="D1084" s="328" t="s">
        <v>1588</v>
      </c>
      <c r="E1084" s="122" t="str">
        <f t="shared" si="16"/>
        <v xml:space="preserve">2647 : 합계금액은 입력항목이 아닙니다    </v>
      </c>
    </row>
    <row r="1085" spans="1:5" s="64" customFormat="1">
      <c r="A1085" s="316" t="s">
        <v>4635</v>
      </c>
      <c r="B1085" s="123" t="s">
        <v>7609</v>
      </c>
      <c r="C1085" s="256" t="s">
        <v>6451</v>
      </c>
      <c r="D1085" s="328" t="s">
        <v>1587</v>
      </c>
      <c r="E1085" s="122" t="str">
        <f t="shared" si="16"/>
        <v xml:space="preserve">2648 : 매도기관수는 입력항목이아닙니다     </v>
      </c>
    </row>
    <row r="1086" spans="1:5" s="64" customFormat="1">
      <c r="A1086" s="316" t="s">
        <v>4635</v>
      </c>
      <c r="B1086" s="123" t="s">
        <v>7609</v>
      </c>
      <c r="C1086" s="256" t="s">
        <v>6452</v>
      </c>
      <c r="D1086" s="328" t="s">
        <v>1586</v>
      </c>
      <c r="E1086" s="122" t="str">
        <f t="shared" si="16"/>
        <v xml:space="preserve">2701 : 일련번호(01)는　입력항목이아닙니다  </v>
      </c>
    </row>
    <row r="1087" spans="1:5" s="64" customFormat="1">
      <c r="A1087" s="316" t="s">
        <v>4635</v>
      </c>
      <c r="B1087" s="123" t="s">
        <v>7609</v>
      </c>
      <c r="C1087" s="256" t="s">
        <v>6453</v>
      </c>
      <c r="D1087" s="328" t="s">
        <v>1585</v>
      </c>
      <c r="E1087" s="122" t="str">
        <f t="shared" si="16"/>
        <v xml:space="preserve">2702 : 일련번호(02)는　입력항목이아닙니다  </v>
      </c>
    </row>
    <row r="1088" spans="1:5" s="64" customFormat="1">
      <c r="A1088" s="316" t="s">
        <v>4635</v>
      </c>
      <c r="B1088" s="123" t="s">
        <v>7609</v>
      </c>
      <c r="C1088" s="256" t="s">
        <v>6454</v>
      </c>
      <c r="D1088" s="328" t="s">
        <v>1584</v>
      </c>
      <c r="E1088" s="122" t="str">
        <f t="shared" si="16"/>
        <v xml:space="preserve">2703 : 일련번호(03)는　입력항목이아닙니다  </v>
      </c>
    </row>
    <row r="1089" spans="1:5" s="64" customFormat="1">
      <c r="A1089" s="316" t="s">
        <v>4635</v>
      </c>
      <c r="B1089" s="123" t="s">
        <v>7609</v>
      </c>
      <c r="C1089" s="256" t="s">
        <v>6455</v>
      </c>
      <c r="D1089" s="328" t="s">
        <v>1583</v>
      </c>
      <c r="E1089" s="122" t="str">
        <f t="shared" si="16"/>
        <v xml:space="preserve">2704 : 일련번호(04)는　입력항목이아닙니다  </v>
      </c>
    </row>
    <row r="1090" spans="1:5" s="64" customFormat="1">
      <c r="A1090" s="316" t="s">
        <v>4635</v>
      </c>
      <c r="B1090" s="123" t="s">
        <v>7609</v>
      </c>
      <c r="C1090" s="256" t="s">
        <v>6456</v>
      </c>
      <c r="D1090" s="328" t="s">
        <v>1582</v>
      </c>
      <c r="E1090" s="122" t="str">
        <f t="shared" si="16"/>
        <v xml:space="preserve">2705 : 일련번호(05)는　입력항목이아닙니다  </v>
      </c>
    </row>
    <row r="1091" spans="1:5" s="64" customFormat="1">
      <c r="A1091" s="316" t="s">
        <v>4635</v>
      </c>
      <c r="B1091" s="123" t="s">
        <v>7609</v>
      </c>
      <c r="C1091" s="256" t="s">
        <v>6457</v>
      </c>
      <c r="D1091" s="328" t="s">
        <v>1581</v>
      </c>
      <c r="E1091" s="122" t="str">
        <f t="shared" si="16"/>
        <v xml:space="preserve">2706 : 일련번호(06)는　입력항목이아닙니다  </v>
      </c>
    </row>
    <row r="1092" spans="1:5" s="64" customFormat="1">
      <c r="A1092" s="316" t="s">
        <v>4635</v>
      </c>
      <c r="B1092" s="123" t="s">
        <v>7609</v>
      </c>
      <c r="C1092" s="256" t="s">
        <v>6458</v>
      </c>
      <c r="D1092" s="328" t="s">
        <v>1580</v>
      </c>
      <c r="E1092" s="122" t="str">
        <f t="shared" ref="E1092:E1155" si="17">_xlfn.TEXTJOIN(" : ",FALSE,C1092:D1092)</f>
        <v xml:space="preserve">2707 : 일련번호(07)는　입력항목이아닙니다  </v>
      </c>
    </row>
    <row r="1093" spans="1:5" s="64" customFormat="1">
      <c r="A1093" s="316" t="s">
        <v>4635</v>
      </c>
      <c r="B1093" s="123" t="s">
        <v>7609</v>
      </c>
      <c r="C1093" s="256" t="s">
        <v>6459</v>
      </c>
      <c r="D1093" s="328" t="s">
        <v>1579</v>
      </c>
      <c r="E1093" s="122" t="str">
        <f t="shared" si="17"/>
        <v xml:space="preserve">2708 : 일련번호(08)는　입력항목이아닙니다  </v>
      </c>
    </row>
    <row r="1094" spans="1:5" s="64" customFormat="1">
      <c r="A1094" s="316" t="s">
        <v>4635</v>
      </c>
      <c r="B1094" s="123" t="s">
        <v>7609</v>
      </c>
      <c r="C1094" s="256" t="s">
        <v>6460</v>
      </c>
      <c r="D1094" s="328" t="s">
        <v>1578</v>
      </c>
      <c r="E1094" s="122" t="str">
        <f t="shared" si="17"/>
        <v xml:space="preserve">2709 : 일련번호(09)는　입력항목이아닙니다  </v>
      </c>
    </row>
    <row r="1095" spans="1:5" s="64" customFormat="1">
      <c r="A1095" s="316" t="s">
        <v>4635</v>
      </c>
      <c r="B1095" s="123" t="s">
        <v>7609</v>
      </c>
      <c r="C1095" s="256" t="s">
        <v>6461</v>
      </c>
      <c r="D1095" s="328" t="s">
        <v>1577</v>
      </c>
      <c r="E1095" s="122" t="str">
        <f t="shared" si="17"/>
        <v xml:space="preserve">2710 : 일련번호(10)는　입력항목이아닙니다  </v>
      </c>
    </row>
    <row r="1096" spans="1:5" s="64" customFormat="1">
      <c r="A1096" s="316" t="s">
        <v>4635</v>
      </c>
      <c r="B1096" s="123" t="s">
        <v>7609</v>
      </c>
      <c r="C1096" s="256" t="s">
        <v>6462</v>
      </c>
      <c r="D1096" s="328" t="s">
        <v>1576</v>
      </c>
      <c r="E1096" s="122" t="str">
        <f t="shared" si="17"/>
        <v xml:space="preserve">2711 : 일련번호(11)는　입력항목이아닙니다  </v>
      </c>
    </row>
    <row r="1097" spans="1:5" s="64" customFormat="1">
      <c r="A1097" s="316" t="s">
        <v>4635</v>
      </c>
      <c r="B1097" s="123" t="s">
        <v>7609</v>
      </c>
      <c r="C1097" s="256" t="s">
        <v>6463</v>
      </c>
      <c r="D1097" s="328" t="s">
        <v>1575</v>
      </c>
      <c r="E1097" s="122" t="str">
        <f t="shared" si="17"/>
        <v xml:space="preserve">2712 : 일련번호(12)는　입력항목이아닙니다  </v>
      </c>
    </row>
    <row r="1098" spans="1:5" s="64" customFormat="1">
      <c r="A1098" s="316" t="s">
        <v>4635</v>
      </c>
      <c r="B1098" s="123" t="s">
        <v>7609</v>
      </c>
      <c r="C1098" s="256" t="s">
        <v>6464</v>
      </c>
      <c r="D1098" s="328" t="s">
        <v>1574</v>
      </c>
      <c r="E1098" s="122" t="str">
        <f t="shared" si="17"/>
        <v xml:space="preserve">2713 : 일련번호(13)는　입력항목이아닙니다  </v>
      </c>
    </row>
    <row r="1099" spans="1:5" s="64" customFormat="1">
      <c r="A1099" s="316" t="s">
        <v>4635</v>
      </c>
      <c r="B1099" s="123" t="s">
        <v>7609</v>
      </c>
      <c r="C1099" s="256" t="s">
        <v>6465</v>
      </c>
      <c r="D1099" s="328" t="s">
        <v>1573</v>
      </c>
      <c r="E1099" s="122" t="str">
        <f t="shared" si="17"/>
        <v xml:space="preserve">2714 : 일련번호(14)는　입력항목이아닙니다  </v>
      </c>
    </row>
    <row r="1100" spans="1:5" s="64" customFormat="1">
      <c r="A1100" s="316" t="s">
        <v>4635</v>
      </c>
      <c r="B1100" s="123" t="s">
        <v>7609</v>
      </c>
      <c r="C1100" s="256" t="s">
        <v>6466</v>
      </c>
      <c r="D1100" s="328" t="s">
        <v>1572</v>
      </c>
      <c r="E1100" s="122" t="str">
        <f t="shared" si="17"/>
        <v xml:space="preserve">2715 : 일련번호(15)는　입력항목이아닙니다  </v>
      </c>
    </row>
    <row r="1101" spans="1:5" s="64" customFormat="1">
      <c r="A1101" s="316" t="s">
        <v>4635</v>
      </c>
      <c r="B1101" s="123" t="s">
        <v>7609</v>
      </c>
      <c r="C1101" s="256" t="s">
        <v>6467</v>
      </c>
      <c r="D1101" s="328" t="s">
        <v>1571</v>
      </c>
      <c r="E1101" s="122" t="str">
        <f t="shared" si="17"/>
        <v xml:space="preserve">2716 : 일련번호(16)는　입력항목이아닙니다  </v>
      </c>
    </row>
    <row r="1102" spans="1:5" s="64" customFormat="1">
      <c r="A1102" s="316" t="s">
        <v>4635</v>
      </c>
      <c r="B1102" s="123" t="s">
        <v>7609</v>
      </c>
      <c r="C1102" s="256" t="s">
        <v>6468</v>
      </c>
      <c r="D1102" s="328" t="s">
        <v>1570</v>
      </c>
      <c r="E1102" s="122" t="str">
        <f t="shared" si="17"/>
        <v xml:space="preserve">2717 : 일련번호(17)는　입력항목이아닙니다  </v>
      </c>
    </row>
    <row r="1103" spans="1:5" s="64" customFormat="1">
      <c r="A1103" s="316" t="s">
        <v>4635</v>
      </c>
      <c r="B1103" s="123" t="s">
        <v>7609</v>
      </c>
      <c r="C1103" s="256" t="s">
        <v>6469</v>
      </c>
      <c r="D1103" s="328" t="s">
        <v>1569</v>
      </c>
      <c r="E1103" s="122" t="str">
        <f t="shared" si="17"/>
        <v xml:space="preserve">2718 : 일련번호(18)는　입력항목이아닙니다  </v>
      </c>
    </row>
    <row r="1104" spans="1:5" s="64" customFormat="1">
      <c r="A1104" s="316" t="s">
        <v>4635</v>
      </c>
      <c r="B1104" s="123" t="s">
        <v>7609</v>
      </c>
      <c r="C1104" s="256" t="s">
        <v>6470</v>
      </c>
      <c r="D1104" s="328" t="s">
        <v>1568</v>
      </c>
      <c r="E1104" s="122" t="str">
        <f t="shared" si="17"/>
        <v xml:space="preserve">2719 : 일련번호(19)는　입력항목이아닙니다  </v>
      </c>
    </row>
    <row r="1105" spans="1:5" s="64" customFormat="1">
      <c r="A1105" s="316" t="s">
        <v>4635</v>
      </c>
      <c r="B1105" s="123" t="s">
        <v>7609</v>
      </c>
      <c r="C1105" s="256" t="s">
        <v>6471</v>
      </c>
      <c r="D1105" s="328" t="s">
        <v>1567</v>
      </c>
      <c r="E1105" s="122" t="str">
        <f t="shared" si="17"/>
        <v xml:space="preserve">2720 : 일련번호(20)는　입력항목이아닙니다  </v>
      </c>
    </row>
    <row r="1106" spans="1:5" s="64" customFormat="1">
      <c r="A1106" s="316" t="s">
        <v>4635</v>
      </c>
      <c r="B1106" s="123" t="s">
        <v>7609</v>
      </c>
      <c r="C1106" s="256" t="s">
        <v>6472</v>
      </c>
      <c r="D1106" s="328" t="s">
        <v>1566</v>
      </c>
      <c r="E1106" s="122" t="str">
        <f t="shared" si="17"/>
        <v xml:space="preserve">2801 : 공란(01)은　입력항목이　아닙니다    </v>
      </c>
    </row>
    <row r="1107" spans="1:5" s="64" customFormat="1">
      <c r="A1107" s="316" t="s">
        <v>4635</v>
      </c>
      <c r="B1107" s="123" t="s">
        <v>7609</v>
      </c>
      <c r="C1107" s="256" t="s">
        <v>6473</v>
      </c>
      <c r="D1107" s="328" t="s">
        <v>1565</v>
      </c>
      <c r="E1107" s="122" t="str">
        <f t="shared" si="17"/>
        <v xml:space="preserve">2802 : 공란(02)은　입력항목이　아닙니다    </v>
      </c>
    </row>
    <row r="1108" spans="1:5" s="64" customFormat="1">
      <c r="A1108" s="316" t="s">
        <v>4635</v>
      </c>
      <c r="B1108" s="123" t="s">
        <v>7609</v>
      </c>
      <c r="C1108" s="256" t="s">
        <v>6474</v>
      </c>
      <c r="D1108" s="328" t="s">
        <v>1564</v>
      </c>
      <c r="E1108" s="122" t="str">
        <f t="shared" si="17"/>
        <v xml:space="preserve">2803 : 공란(03)은　입력항목이　아닙니다    </v>
      </c>
    </row>
    <row r="1109" spans="1:5" s="64" customFormat="1">
      <c r="A1109" s="316" t="s">
        <v>4635</v>
      </c>
      <c r="B1109" s="123" t="s">
        <v>7609</v>
      </c>
      <c r="C1109" s="256" t="s">
        <v>6475</v>
      </c>
      <c r="D1109" s="328" t="s">
        <v>1563</v>
      </c>
      <c r="E1109" s="122" t="str">
        <f t="shared" si="17"/>
        <v xml:space="preserve">2804 : 공란(04)은　입력항목이　아닙니다    </v>
      </c>
    </row>
    <row r="1110" spans="1:5" s="64" customFormat="1">
      <c r="A1110" s="316" t="s">
        <v>4635</v>
      </c>
      <c r="B1110" s="123" t="s">
        <v>7609</v>
      </c>
      <c r="C1110" s="256" t="s">
        <v>6476</v>
      </c>
      <c r="D1110" s="328" t="s">
        <v>1562</v>
      </c>
      <c r="E1110" s="122" t="str">
        <f t="shared" si="17"/>
        <v xml:space="preserve">2805 : 공란(05)은　입력항목이　아닙니다    </v>
      </c>
    </row>
    <row r="1111" spans="1:5" s="64" customFormat="1">
      <c r="A1111" s="316" t="s">
        <v>4635</v>
      </c>
      <c r="B1111" s="123" t="s">
        <v>7609</v>
      </c>
      <c r="C1111" s="256" t="s">
        <v>6477</v>
      </c>
      <c r="D1111" s="328" t="s">
        <v>1561</v>
      </c>
      <c r="E1111" s="122" t="str">
        <f t="shared" si="17"/>
        <v xml:space="preserve">2806 : 공란(06)은　입력항목이　아닙니다    </v>
      </c>
    </row>
    <row r="1112" spans="1:5" s="64" customFormat="1">
      <c r="A1112" s="316" t="s">
        <v>4635</v>
      </c>
      <c r="B1112" s="123" t="s">
        <v>7609</v>
      </c>
      <c r="C1112" s="256" t="s">
        <v>6478</v>
      </c>
      <c r="D1112" s="328" t="s">
        <v>1560</v>
      </c>
      <c r="E1112" s="122" t="str">
        <f t="shared" si="17"/>
        <v xml:space="preserve">2807 : 공란(07)은　입력항목이　아닙니다    </v>
      </c>
    </row>
    <row r="1113" spans="1:5" s="64" customFormat="1">
      <c r="A1113" s="316" t="s">
        <v>4635</v>
      </c>
      <c r="B1113" s="123" t="s">
        <v>7609</v>
      </c>
      <c r="C1113" s="256" t="s">
        <v>6479</v>
      </c>
      <c r="D1113" s="328" t="s">
        <v>1559</v>
      </c>
      <c r="E1113" s="122" t="str">
        <f t="shared" si="17"/>
        <v xml:space="preserve">2808 : 공란(08)은　입력항목이　아닙니다    </v>
      </c>
    </row>
    <row r="1114" spans="1:5" s="64" customFormat="1">
      <c r="A1114" s="316" t="s">
        <v>4635</v>
      </c>
      <c r="B1114" s="123" t="s">
        <v>7609</v>
      </c>
      <c r="C1114" s="256" t="s">
        <v>6480</v>
      </c>
      <c r="D1114" s="328" t="s">
        <v>1558</v>
      </c>
      <c r="E1114" s="122" t="str">
        <f t="shared" si="17"/>
        <v xml:space="preserve">2809 : 공란(09)은　입력항목이　아닙니다    </v>
      </c>
    </row>
    <row r="1115" spans="1:5" s="64" customFormat="1">
      <c r="A1115" s="316" t="s">
        <v>4635</v>
      </c>
      <c r="B1115" s="123" t="s">
        <v>7609</v>
      </c>
      <c r="C1115" s="256" t="s">
        <v>6481</v>
      </c>
      <c r="D1115" s="328" t="s">
        <v>1557</v>
      </c>
      <c r="E1115" s="122" t="str">
        <f t="shared" si="17"/>
        <v xml:space="preserve">2810 : 공란(10)은　입력항목이　아닙니다    </v>
      </c>
    </row>
    <row r="1116" spans="1:5" s="64" customFormat="1">
      <c r="A1116" s="316" t="s">
        <v>4635</v>
      </c>
      <c r="B1116" s="123" t="s">
        <v>7609</v>
      </c>
      <c r="C1116" s="256" t="s">
        <v>6482</v>
      </c>
      <c r="D1116" s="328" t="s">
        <v>1556</v>
      </c>
      <c r="E1116" s="122" t="str">
        <f t="shared" si="17"/>
        <v xml:space="preserve">2811 : 공란(11)은　입력항목이　아닙니다    </v>
      </c>
    </row>
    <row r="1117" spans="1:5" s="64" customFormat="1">
      <c r="A1117" s="316" t="s">
        <v>4635</v>
      </c>
      <c r="B1117" s="123" t="s">
        <v>7609</v>
      </c>
      <c r="C1117" s="256" t="s">
        <v>6483</v>
      </c>
      <c r="D1117" s="328" t="s">
        <v>1555</v>
      </c>
      <c r="E1117" s="122" t="str">
        <f t="shared" si="17"/>
        <v xml:space="preserve">2812 : 공란(12)은　입력항목이　아닙니다    </v>
      </c>
    </row>
    <row r="1118" spans="1:5" s="64" customFormat="1">
      <c r="A1118" s="316" t="s">
        <v>4635</v>
      </c>
      <c r="B1118" s="123" t="s">
        <v>7609</v>
      </c>
      <c r="C1118" s="256" t="s">
        <v>6484</v>
      </c>
      <c r="D1118" s="328" t="s">
        <v>1554</v>
      </c>
      <c r="E1118" s="122" t="str">
        <f t="shared" si="17"/>
        <v xml:space="preserve">2813 : 공란(13)은　입력항목이　아닙니다    </v>
      </c>
    </row>
    <row r="1119" spans="1:5" s="64" customFormat="1">
      <c r="A1119" s="316" t="s">
        <v>4635</v>
      </c>
      <c r="B1119" s="123" t="s">
        <v>7609</v>
      </c>
      <c r="C1119" s="256" t="s">
        <v>6485</v>
      </c>
      <c r="D1119" s="328" t="s">
        <v>1553</v>
      </c>
      <c r="E1119" s="122" t="str">
        <f t="shared" si="17"/>
        <v xml:space="preserve">2814 : 공란(14)은　입력항목이　아닙니다    </v>
      </c>
    </row>
    <row r="1120" spans="1:5" s="64" customFormat="1">
      <c r="A1120" s="316" t="s">
        <v>4635</v>
      </c>
      <c r="B1120" s="123" t="s">
        <v>7609</v>
      </c>
      <c r="C1120" s="256" t="s">
        <v>6486</v>
      </c>
      <c r="D1120" s="328" t="s">
        <v>1552</v>
      </c>
      <c r="E1120" s="122" t="str">
        <f t="shared" si="17"/>
        <v xml:space="preserve">2815 : 공란(15)은　입력항목이　아닙니다    </v>
      </c>
    </row>
    <row r="1121" spans="1:5" s="64" customFormat="1">
      <c r="A1121" s="316" t="s">
        <v>4635</v>
      </c>
      <c r="B1121" s="123" t="s">
        <v>7609</v>
      </c>
      <c r="C1121" s="256" t="s">
        <v>6487</v>
      </c>
      <c r="D1121" s="328" t="s">
        <v>1551</v>
      </c>
      <c r="E1121" s="122" t="str">
        <f t="shared" si="17"/>
        <v xml:space="preserve">2816 : 공란(16)은　입력항목이　아닙니다    </v>
      </c>
    </row>
    <row r="1122" spans="1:5" s="64" customFormat="1">
      <c r="A1122" s="316" t="s">
        <v>4635</v>
      </c>
      <c r="B1122" s="123" t="s">
        <v>7609</v>
      </c>
      <c r="C1122" s="256" t="s">
        <v>6488</v>
      </c>
      <c r="D1122" s="328" t="s">
        <v>1550</v>
      </c>
      <c r="E1122" s="122" t="str">
        <f t="shared" si="17"/>
        <v xml:space="preserve">2817 : 공란(17)은　입력항목이　아닙니다    </v>
      </c>
    </row>
    <row r="1123" spans="1:5" s="64" customFormat="1">
      <c r="A1123" s="316" t="s">
        <v>4635</v>
      </c>
      <c r="B1123" s="123" t="s">
        <v>7609</v>
      </c>
      <c r="C1123" s="256" t="s">
        <v>6489</v>
      </c>
      <c r="D1123" s="328" t="s">
        <v>1549</v>
      </c>
      <c r="E1123" s="122" t="str">
        <f t="shared" si="17"/>
        <v xml:space="preserve">2818 : 공란(18)은　입력항목이　아닙니다    </v>
      </c>
    </row>
    <row r="1124" spans="1:5" s="64" customFormat="1">
      <c r="A1124" s="316" t="s">
        <v>4635</v>
      </c>
      <c r="B1124" s="123" t="s">
        <v>7609</v>
      </c>
      <c r="C1124" s="256" t="s">
        <v>6490</v>
      </c>
      <c r="D1124" s="328" t="s">
        <v>1548</v>
      </c>
      <c r="E1124" s="122" t="str">
        <f t="shared" si="17"/>
        <v xml:space="preserve">2819 : 공란(19)은　입력항목이　아닙니다    </v>
      </c>
    </row>
    <row r="1125" spans="1:5" s="64" customFormat="1">
      <c r="A1125" s="316" t="s">
        <v>4635</v>
      </c>
      <c r="B1125" s="123" t="s">
        <v>7609</v>
      </c>
      <c r="C1125" s="256" t="s">
        <v>6491</v>
      </c>
      <c r="D1125" s="328" t="s">
        <v>1547</v>
      </c>
      <c r="E1125" s="122" t="str">
        <f t="shared" si="17"/>
        <v xml:space="preserve">2820 : 공란(20)은　입력항목이　아닙니다    </v>
      </c>
    </row>
    <row r="1126" spans="1:5" s="64" customFormat="1">
      <c r="A1126" s="316" t="s">
        <v>4635</v>
      </c>
      <c r="B1126" s="123" t="s">
        <v>7609</v>
      </c>
      <c r="C1126" s="256" t="s">
        <v>6492</v>
      </c>
      <c r="D1126" s="328" t="s">
        <v>1546</v>
      </c>
      <c r="E1126" s="122" t="str">
        <f t="shared" si="17"/>
        <v xml:space="preserve">2901 : 금액(01)은　입력항목아닙니다        </v>
      </c>
    </row>
    <row r="1127" spans="1:5" s="64" customFormat="1">
      <c r="A1127" s="316" t="s">
        <v>4635</v>
      </c>
      <c r="B1127" s="123" t="s">
        <v>7609</v>
      </c>
      <c r="C1127" s="256" t="s">
        <v>6493</v>
      </c>
      <c r="D1127" s="328" t="s">
        <v>1545</v>
      </c>
      <c r="E1127" s="122" t="str">
        <f t="shared" si="17"/>
        <v xml:space="preserve">2902 : 금액(02)은　입력항목아닙니다        </v>
      </c>
    </row>
    <row r="1128" spans="1:5" s="64" customFormat="1">
      <c r="A1128" s="316" t="s">
        <v>4635</v>
      </c>
      <c r="B1128" s="123" t="s">
        <v>7609</v>
      </c>
      <c r="C1128" s="256" t="s">
        <v>6494</v>
      </c>
      <c r="D1128" s="328" t="s">
        <v>1544</v>
      </c>
      <c r="E1128" s="122" t="str">
        <f t="shared" si="17"/>
        <v xml:space="preserve">2903 : 금액(03)은　입력항목아닙니다        </v>
      </c>
    </row>
    <row r="1129" spans="1:5" s="64" customFormat="1">
      <c r="A1129" s="316" t="s">
        <v>4635</v>
      </c>
      <c r="B1129" s="123" t="s">
        <v>7609</v>
      </c>
      <c r="C1129" s="256" t="s">
        <v>6495</v>
      </c>
      <c r="D1129" s="328" t="s">
        <v>1543</v>
      </c>
      <c r="E1129" s="122" t="str">
        <f t="shared" si="17"/>
        <v xml:space="preserve">2904 : 금액(04)은　입력항목아닙니다        </v>
      </c>
    </row>
    <row r="1130" spans="1:5" s="64" customFormat="1">
      <c r="A1130" s="316" t="s">
        <v>4635</v>
      </c>
      <c r="B1130" s="123" t="s">
        <v>7609</v>
      </c>
      <c r="C1130" s="256" t="s">
        <v>6496</v>
      </c>
      <c r="D1130" s="328" t="s">
        <v>1542</v>
      </c>
      <c r="E1130" s="122" t="str">
        <f t="shared" si="17"/>
        <v xml:space="preserve">2905 : 금액(05)은　입력항목아닙니다        </v>
      </c>
    </row>
    <row r="1131" spans="1:5" s="64" customFormat="1">
      <c r="A1131" s="316" t="s">
        <v>4635</v>
      </c>
      <c r="B1131" s="123" t="s">
        <v>7609</v>
      </c>
      <c r="C1131" s="256" t="s">
        <v>6497</v>
      </c>
      <c r="D1131" s="328" t="s">
        <v>1541</v>
      </c>
      <c r="E1131" s="122" t="str">
        <f t="shared" si="17"/>
        <v xml:space="preserve">2906 : 금액(06)은　입력항목아닙니다        </v>
      </c>
    </row>
    <row r="1132" spans="1:5" s="64" customFormat="1">
      <c r="A1132" s="316" t="s">
        <v>4635</v>
      </c>
      <c r="B1132" s="123" t="s">
        <v>7609</v>
      </c>
      <c r="C1132" s="256" t="s">
        <v>6498</v>
      </c>
      <c r="D1132" s="328" t="s">
        <v>1540</v>
      </c>
      <c r="E1132" s="122" t="str">
        <f t="shared" si="17"/>
        <v xml:space="preserve">2907 : 금액(07)은　입력항목아닙니다        </v>
      </c>
    </row>
    <row r="1133" spans="1:5" s="64" customFormat="1">
      <c r="A1133" s="316" t="s">
        <v>4635</v>
      </c>
      <c r="B1133" s="123" t="s">
        <v>7609</v>
      </c>
      <c r="C1133" s="256" t="s">
        <v>6499</v>
      </c>
      <c r="D1133" s="328" t="s">
        <v>1539</v>
      </c>
      <c r="E1133" s="122" t="str">
        <f t="shared" si="17"/>
        <v xml:space="preserve">2908 : 금액(08)은　입력항목아닙니다        </v>
      </c>
    </row>
    <row r="1134" spans="1:5" s="64" customFormat="1">
      <c r="A1134" s="316" t="s">
        <v>4635</v>
      </c>
      <c r="B1134" s="123" t="s">
        <v>7609</v>
      </c>
      <c r="C1134" s="256" t="s">
        <v>6500</v>
      </c>
      <c r="D1134" s="328" t="s">
        <v>1538</v>
      </c>
      <c r="E1134" s="122" t="str">
        <f t="shared" si="17"/>
        <v xml:space="preserve">2909 : 금액(09)은　입력항목아닙니다        </v>
      </c>
    </row>
    <row r="1135" spans="1:5" s="64" customFormat="1">
      <c r="A1135" s="316" t="s">
        <v>4635</v>
      </c>
      <c r="B1135" s="123" t="s">
        <v>7609</v>
      </c>
      <c r="C1135" s="256" t="s">
        <v>6501</v>
      </c>
      <c r="D1135" s="328" t="s">
        <v>1537</v>
      </c>
      <c r="E1135" s="122" t="str">
        <f t="shared" si="17"/>
        <v xml:space="preserve">2910 : 금액(10)은　입력항목아닙니다        </v>
      </c>
    </row>
    <row r="1136" spans="1:5" s="64" customFormat="1">
      <c r="A1136" s="316" t="s">
        <v>4635</v>
      </c>
      <c r="B1136" s="123" t="s">
        <v>7609</v>
      </c>
      <c r="C1136" s="256" t="s">
        <v>6502</v>
      </c>
      <c r="D1136" s="328" t="s">
        <v>1536</v>
      </c>
      <c r="E1136" s="122" t="str">
        <f t="shared" si="17"/>
        <v xml:space="preserve">2911 : 금액(11)은　입력항목아닙니다        </v>
      </c>
    </row>
    <row r="1137" spans="1:5" s="64" customFormat="1">
      <c r="A1137" s="316" t="s">
        <v>4635</v>
      </c>
      <c r="B1137" s="123" t="s">
        <v>7609</v>
      </c>
      <c r="C1137" s="256" t="s">
        <v>6503</v>
      </c>
      <c r="D1137" s="328" t="s">
        <v>1535</v>
      </c>
      <c r="E1137" s="122" t="str">
        <f t="shared" si="17"/>
        <v xml:space="preserve">2912 : 금액(12)은　입력항목아닙니다        </v>
      </c>
    </row>
    <row r="1138" spans="1:5" s="64" customFormat="1">
      <c r="A1138" s="316" t="s">
        <v>4635</v>
      </c>
      <c r="B1138" s="123" t="s">
        <v>7609</v>
      </c>
      <c r="C1138" s="256" t="s">
        <v>6504</v>
      </c>
      <c r="D1138" s="328" t="s">
        <v>1534</v>
      </c>
      <c r="E1138" s="122" t="str">
        <f t="shared" si="17"/>
        <v xml:space="preserve">2913 : 금액(13)은　입력항목아닙니다        </v>
      </c>
    </row>
    <row r="1139" spans="1:5" s="64" customFormat="1">
      <c r="A1139" s="316" t="s">
        <v>4635</v>
      </c>
      <c r="B1139" s="123" t="s">
        <v>7609</v>
      </c>
      <c r="C1139" s="256" t="s">
        <v>6505</v>
      </c>
      <c r="D1139" s="328" t="s">
        <v>1533</v>
      </c>
      <c r="E1139" s="122" t="str">
        <f t="shared" si="17"/>
        <v xml:space="preserve">2914 : 금액(14)은　입력항목아닙니다        </v>
      </c>
    </row>
    <row r="1140" spans="1:5" s="64" customFormat="1">
      <c r="A1140" s="316" t="s">
        <v>4635</v>
      </c>
      <c r="B1140" s="123" t="s">
        <v>7609</v>
      </c>
      <c r="C1140" s="256" t="s">
        <v>6506</v>
      </c>
      <c r="D1140" s="328" t="s">
        <v>1532</v>
      </c>
      <c r="E1140" s="122" t="str">
        <f t="shared" si="17"/>
        <v xml:space="preserve">2915 : 금액(15)은　입력항목아닙니다        </v>
      </c>
    </row>
    <row r="1141" spans="1:5" s="64" customFormat="1">
      <c r="A1141" s="316" t="s">
        <v>4635</v>
      </c>
      <c r="B1141" s="123" t="s">
        <v>7609</v>
      </c>
      <c r="C1141" s="256" t="s">
        <v>6507</v>
      </c>
      <c r="D1141" s="328" t="s">
        <v>1531</v>
      </c>
      <c r="E1141" s="122" t="str">
        <f t="shared" si="17"/>
        <v xml:space="preserve">2916 : 금액(16)은　입력항목아닙니다        </v>
      </c>
    </row>
    <row r="1142" spans="1:5" s="64" customFormat="1">
      <c r="A1142" s="316" t="s">
        <v>4635</v>
      </c>
      <c r="B1142" s="123" t="s">
        <v>7609</v>
      </c>
      <c r="C1142" s="256" t="s">
        <v>6508</v>
      </c>
      <c r="D1142" s="328" t="s">
        <v>1530</v>
      </c>
      <c r="E1142" s="122" t="str">
        <f t="shared" si="17"/>
        <v xml:space="preserve">2917 : 금액(17)은　입력항목아닙니다        </v>
      </c>
    </row>
    <row r="1143" spans="1:5" s="64" customFormat="1">
      <c r="A1143" s="316" t="s">
        <v>4635</v>
      </c>
      <c r="B1143" s="123" t="s">
        <v>7609</v>
      </c>
      <c r="C1143" s="256" t="s">
        <v>6509</v>
      </c>
      <c r="D1143" s="328" t="s">
        <v>1529</v>
      </c>
      <c r="E1143" s="122" t="str">
        <f t="shared" si="17"/>
        <v xml:space="preserve">2918 : 금액(18)은　입력항목아닙니다        </v>
      </c>
    </row>
    <row r="1144" spans="1:5" s="64" customFormat="1">
      <c r="A1144" s="316" t="s">
        <v>4635</v>
      </c>
      <c r="B1144" s="123" t="s">
        <v>7609</v>
      </c>
      <c r="C1144" s="256" t="s">
        <v>6510</v>
      </c>
      <c r="D1144" s="328" t="s">
        <v>1528</v>
      </c>
      <c r="E1144" s="122" t="str">
        <f t="shared" si="17"/>
        <v xml:space="preserve">2919 : 금액(19)은　입력항목아닙니다        </v>
      </c>
    </row>
    <row r="1145" spans="1:5" s="64" customFormat="1">
      <c r="A1145" s="316" t="s">
        <v>4635</v>
      </c>
      <c r="B1145" s="123" t="s">
        <v>7609</v>
      </c>
      <c r="C1145" s="256" t="s">
        <v>6511</v>
      </c>
      <c r="D1145" s="328" t="s">
        <v>1527</v>
      </c>
      <c r="E1145" s="122" t="str">
        <f t="shared" si="17"/>
        <v xml:space="preserve">2920 : 금액(20)은　입력항목아닙니다        </v>
      </c>
    </row>
    <row r="1146" spans="1:5" s="64" customFormat="1">
      <c r="A1146" s="316" t="s">
        <v>4635</v>
      </c>
      <c r="B1146" s="123" t="s">
        <v>7609</v>
      </c>
      <c r="C1146" s="256" t="s">
        <v>6512</v>
      </c>
      <c r="D1146" s="328" t="s">
        <v>1526</v>
      </c>
      <c r="E1146" s="122" t="str">
        <f t="shared" si="17"/>
        <v xml:space="preserve">2921 : 전자단기사채 심사 미처리          </v>
      </c>
    </row>
    <row r="1147" spans="1:5" s="64" customFormat="1">
      <c r="A1147" s="316" t="s">
        <v>4635</v>
      </c>
      <c r="B1147" s="123" t="s">
        <v>7609</v>
      </c>
      <c r="C1147" s="256" t="s">
        <v>6513</v>
      </c>
      <c r="D1147" s="328" t="s">
        <v>1525</v>
      </c>
      <c r="E1147" s="122" t="str">
        <f t="shared" si="17"/>
        <v xml:space="preserve">2922 : 전자단기사채 심사결과 오류발생    </v>
      </c>
    </row>
    <row r="1148" spans="1:5" s="64" customFormat="1">
      <c r="A1148" s="316" t="s">
        <v>4635</v>
      </c>
      <c r="B1148" s="123" t="s">
        <v>7609</v>
      </c>
      <c r="C1148" s="256" t="s">
        <v>6514</v>
      </c>
      <c r="D1148" s="328" t="s">
        <v>1524</v>
      </c>
      <c r="E1148" s="122" t="str">
        <f t="shared" si="17"/>
        <v xml:space="preserve">3000 : 국제금융시스템　오류                  </v>
      </c>
    </row>
    <row r="1149" spans="1:5" s="64" customFormat="1">
      <c r="A1149" s="316" t="s">
        <v>4635</v>
      </c>
      <c r="B1149" s="123" t="s">
        <v>7609</v>
      </c>
      <c r="C1149" s="256" t="s">
        <v>6515</v>
      </c>
      <c r="D1149" s="328" t="s">
        <v>1523</v>
      </c>
      <c r="E1149" s="122" t="str">
        <f t="shared" si="17"/>
        <v xml:space="preserve">3001 : 국제금융　요일파일　오류              </v>
      </c>
    </row>
    <row r="1150" spans="1:5" s="64" customFormat="1">
      <c r="A1150" s="316" t="s">
        <v>4635</v>
      </c>
      <c r="B1150" s="123" t="s">
        <v>7609</v>
      </c>
      <c r="C1150" s="256" t="s">
        <v>6516</v>
      </c>
      <c r="D1150" s="328" t="s">
        <v>1522</v>
      </c>
      <c r="E1150" s="122" t="str">
        <f t="shared" si="17"/>
        <v xml:space="preserve">3201 : 콜론계정개설처　오류                  </v>
      </c>
    </row>
    <row r="1151" spans="1:5" s="64" customFormat="1">
      <c r="A1151" s="316" t="s">
        <v>4635</v>
      </c>
      <c r="B1151" s="123" t="s">
        <v>7609</v>
      </c>
      <c r="C1151" s="256" t="s">
        <v>6517</v>
      </c>
      <c r="D1151" s="328" t="s">
        <v>1521</v>
      </c>
      <c r="E1151" s="122" t="str">
        <f t="shared" si="17"/>
        <v xml:space="preserve">3202 : 론기관　약정확인　오류                </v>
      </c>
    </row>
    <row r="1152" spans="1:5" s="64" customFormat="1">
      <c r="A1152" s="316" t="s">
        <v>4635</v>
      </c>
      <c r="B1152" s="123" t="s">
        <v>7609</v>
      </c>
      <c r="C1152" s="256" t="s">
        <v>6518</v>
      </c>
      <c r="D1152" s="328" t="s">
        <v>1520</v>
      </c>
      <c r="E1152" s="122" t="str">
        <f t="shared" si="17"/>
        <v xml:space="preserve">3203 : 콜론기관코드　오류                    </v>
      </c>
    </row>
    <row r="1153" spans="1:5" s="64" customFormat="1">
      <c r="A1153" s="316" t="s">
        <v>4635</v>
      </c>
      <c r="B1153" s="123" t="s">
        <v>7609</v>
      </c>
      <c r="C1153" s="256" t="s">
        <v>6519</v>
      </c>
      <c r="D1153" s="328" t="s">
        <v>1519</v>
      </c>
      <c r="E1153" s="122" t="str">
        <f t="shared" si="17"/>
        <v xml:space="preserve">3204 : 대행기관코드오류                      </v>
      </c>
    </row>
    <row r="1154" spans="1:5" s="64" customFormat="1">
      <c r="A1154" s="316" t="s">
        <v>4635</v>
      </c>
      <c r="B1154" s="123" t="s">
        <v>7609</v>
      </c>
      <c r="C1154" s="256" t="s">
        <v>6520</v>
      </c>
      <c r="D1154" s="328" t="s">
        <v>1518</v>
      </c>
      <c r="E1154" s="122" t="str">
        <f t="shared" si="17"/>
        <v xml:space="preserve">3205 : 콜머니계정개설처　오류                </v>
      </c>
    </row>
    <row r="1155" spans="1:5" s="64" customFormat="1">
      <c r="A1155" s="316" t="s">
        <v>4635</v>
      </c>
      <c r="B1155" s="123" t="s">
        <v>7609</v>
      </c>
      <c r="C1155" s="256" t="s">
        <v>6521</v>
      </c>
      <c r="D1155" s="328" t="s">
        <v>1517</v>
      </c>
      <c r="E1155" s="122" t="str">
        <f t="shared" si="17"/>
        <v xml:space="preserve">3206 : 만기일자　오류                        </v>
      </c>
    </row>
    <row r="1156" spans="1:5" s="64" customFormat="1">
      <c r="A1156" s="316" t="s">
        <v>4635</v>
      </c>
      <c r="B1156" s="123" t="s">
        <v>7609</v>
      </c>
      <c r="C1156" s="256" t="s">
        <v>6522</v>
      </c>
      <c r="D1156" s="328" t="s">
        <v>1516</v>
      </c>
      <c r="E1156" s="122" t="str">
        <f t="shared" ref="E1156:E1219" si="18">_xlfn.TEXTJOIN(" : ",FALSE,C1156:D1156)</f>
        <v xml:space="preserve">3207 : 콜머니기관코드　오류                  </v>
      </c>
    </row>
    <row r="1157" spans="1:5" s="64" customFormat="1">
      <c r="A1157" s="316" t="s">
        <v>4635</v>
      </c>
      <c r="B1157" s="123" t="s">
        <v>7609</v>
      </c>
      <c r="C1157" s="256" t="s">
        <v>6523</v>
      </c>
      <c r="D1157" s="328" t="s">
        <v>1515</v>
      </c>
      <c r="E1157" s="122" t="str">
        <f t="shared" si="18"/>
        <v xml:space="preserve">3208 : 머니기관　약정확인오류                </v>
      </c>
    </row>
    <row r="1158" spans="1:5" s="64" customFormat="1">
      <c r="A1158" s="316" t="s">
        <v>4635</v>
      </c>
      <c r="B1158" s="123" t="s">
        <v>7609</v>
      </c>
      <c r="C1158" s="256" t="s">
        <v>6524</v>
      </c>
      <c r="D1158" s="328" t="s">
        <v>1514</v>
      </c>
      <c r="E1158" s="122" t="str">
        <f t="shared" si="18"/>
        <v xml:space="preserve">3209 : 거래금액　오류                        </v>
      </c>
    </row>
    <row r="1159" spans="1:5" s="64" customFormat="1">
      <c r="A1159" s="316" t="s">
        <v>4635</v>
      </c>
      <c r="B1159" s="123" t="s">
        <v>7609</v>
      </c>
      <c r="C1159" s="256" t="s">
        <v>6525</v>
      </c>
      <c r="D1159" s="328" t="s">
        <v>1513</v>
      </c>
      <c r="E1159" s="122" t="str">
        <f t="shared" si="18"/>
        <v xml:space="preserve">3210 : 기일물　오류                          </v>
      </c>
    </row>
    <row r="1160" spans="1:5" s="64" customFormat="1">
      <c r="A1160" s="316" t="s">
        <v>4635</v>
      </c>
      <c r="B1160" s="123" t="s">
        <v>7609</v>
      </c>
      <c r="C1160" s="256" t="s">
        <v>6526</v>
      </c>
      <c r="D1160" s="328" t="s">
        <v>1512</v>
      </c>
      <c r="E1160" s="122" t="str">
        <f t="shared" si="18"/>
        <v xml:space="preserve">3211 : 금리　오류                            </v>
      </c>
    </row>
    <row r="1161" spans="1:5" s="64" customFormat="1">
      <c r="A1161" s="316" t="s">
        <v>4635</v>
      </c>
      <c r="B1161" s="123" t="s">
        <v>7609</v>
      </c>
      <c r="C1161" s="256" t="s">
        <v>6527</v>
      </c>
      <c r="D1161" s="328" t="s">
        <v>1511</v>
      </c>
      <c r="E1161" s="122" t="str">
        <f t="shared" si="18"/>
        <v xml:space="preserve">3212 : 이자액　오류                          </v>
      </c>
    </row>
    <row r="1162" spans="1:5" s="64" customFormat="1">
      <c r="A1162" s="316" t="s">
        <v>4635</v>
      </c>
      <c r="B1162" s="123" t="s">
        <v>7609</v>
      </c>
      <c r="C1162" s="256" t="s">
        <v>6528</v>
      </c>
      <c r="D1162" s="328" t="s">
        <v>1510</v>
      </c>
      <c r="E1162" s="122" t="str">
        <f t="shared" si="18"/>
        <v xml:space="preserve">3213 : 상환금액　오류                        </v>
      </c>
    </row>
    <row r="1163" spans="1:5" s="64" customFormat="1">
      <c r="A1163" s="316" t="s">
        <v>4635</v>
      </c>
      <c r="B1163" s="123" t="s">
        <v>7609</v>
      </c>
      <c r="C1163" s="256" t="s">
        <v>6529</v>
      </c>
      <c r="D1163" s="328" t="s">
        <v>1509</v>
      </c>
      <c r="E1163" s="122" t="str">
        <f t="shared" si="18"/>
        <v xml:space="preserve">3214 : 담보여부　오류                        </v>
      </c>
    </row>
    <row r="1164" spans="1:5" s="64" customFormat="1">
      <c r="A1164" s="316" t="s">
        <v>4635</v>
      </c>
      <c r="B1164" s="123" t="s">
        <v>7609</v>
      </c>
      <c r="C1164" s="256" t="s">
        <v>6530</v>
      </c>
      <c r="D1164" s="328" t="s">
        <v>1508</v>
      </c>
      <c r="E1164" s="122" t="str">
        <f t="shared" si="18"/>
        <v xml:space="preserve">3215 : 결제시점　오류                        </v>
      </c>
    </row>
    <row r="1165" spans="1:5" s="64" customFormat="1">
      <c r="A1165" s="316" t="s">
        <v>4635</v>
      </c>
      <c r="B1165" s="123" t="s">
        <v>7609</v>
      </c>
      <c r="C1165" s="256" t="s">
        <v>6531</v>
      </c>
      <c r="D1165" s="328" t="s">
        <v>1507</v>
      </c>
      <c r="E1165" s="122" t="str">
        <f t="shared" si="18"/>
        <v xml:space="preserve">3216 : ＢＯＫ결제유무　오류                  </v>
      </c>
    </row>
    <row r="1166" spans="1:5" s="64" customFormat="1">
      <c r="A1166" s="316" t="s">
        <v>4635</v>
      </c>
      <c r="B1166" s="123" t="s">
        <v>7609</v>
      </c>
      <c r="C1166" s="256" t="s">
        <v>6532</v>
      </c>
      <c r="D1166" s="328" t="s">
        <v>1506</v>
      </c>
      <c r="E1166" s="122" t="str">
        <f t="shared" si="18"/>
        <v xml:space="preserve">3217 : 총합계건수　오류                      </v>
      </c>
    </row>
    <row r="1167" spans="1:5" s="64" customFormat="1">
      <c r="A1167" s="316" t="s">
        <v>4635</v>
      </c>
      <c r="B1167" s="123" t="s">
        <v>7609</v>
      </c>
      <c r="C1167" s="256" t="s">
        <v>6533</v>
      </c>
      <c r="D1167" s="328" t="s">
        <v>1505</v>
      </c>
      <c r="E1167" s="122" t="str">
        <f t="shared" si="18"/>
        <v xml:space="preserve">3218 : 총합계금액　오류                      </v>
      </c>
    </row>
    <row r="1168" spans="1:5" s="64" customFormat="1">
      <c r="A1168" s="316" t="s">
        <v>4635</v>
      </c>
      <c r="B1168" s="123" t="s">
        <v>7609</v>
      </c>
      <c r="C1168" s="256" t="s">
        <v>6534</v>
      </c>
      <c r="D1168" s="328" t="s">
        <v>1504</v>
      </c>
      <c r="E1168" s="122" t="str">
        <f t="shared" si="18"/>
        <v xml:space="preserve">3219 : 중개기관코드　오류                    </v>
      </c>
    </row>
    <row r="1169" spans="1:5" s="64" customFormat="1">
      <c r="A1169" s="316" t="s">
        <v>4635</v>
      </c>
      <c r="B1169" s="123" t="s">
        <v>7609</v>
      </c>
      <c r="C1169" s="256" t="s">
        <v>6535</v>
      </c>
      <c r="D1169" s="328" t="s">
        <v>1503</v>
      </c>
      <c r="E1169" s="122" t="str">
        <f t="shared" si="18"/>
        <v xml:space="preserve">3220 : 중개기관담당자　오류                  </v>
      </c>
    </row>
    <row r="1170" spans="1:5" s="64" customFormat="1">
      <c r="A1170" s="316" t="s">
        <v>4635</v>
      </c>
      <c r="B1170" s="123" t="s">
        <v>7609</v>
      </c>
      <c r="C1170" s="256" t="s">
        <v>6536</v>
      </c>
      <c r="D1170" s="328" t="s">
        <v>1502</v>
      </c>
      <c r="E1170" s="122" t="str">
        <f t="shared" si="18"/>
        <v xml:space="preserve">3221 : 중개기관책임자　오류                  </v>
      </c>
    </row>
    <row r="1171" spans="1:5" s="64" customFormat="1">
      <c r="A1171" s="316" t="s">
        <v>4635</v>
      </c>
      <c r="B1171" s="123" t="s">
        <v>7609</v>
      </c>
      <c r="C1171" s="256" t="s">
        <v>6537</v>
      </c>
      <c r="D1171" s="328" t="s">
        <v>1501</v>
      </c>
      <c r="E1171" s="122" t="str">
        <f t="shared" si="18"/>
        <v xml:space="preserve">3222 : 중개기관단말기　오류                  </v>
      </c>
    </row>
    <row r="1172" spans="1:5" s="64" customFormat="1">
      <c r="A1172" s="316" t="s">
        <v>4635</v>
      </c>
      <c r="B1172" s="123" t="s">
        <v>7609</v>
      </c>
      <c r="C1172" s="256" t="s">
        <v>6538</v>
      </c>
      <c r="D1172" s="328" t="s">
        <v>1500</v>
      </c>
      <c r="E1172" s="122" t="str">
        <f t="shared" si="18"/>
        <v xml:space="preserve">3223 : 중개기관입력시간　오류                </v>
      </c>
    </row>
    <row r="1173" spans="1:5" s="64" customFormat="1">
      <c r="A1173" s="316" t="s">
        <v>4635</v>
      </c>
      <c r="B1173" s="123" t="s">
        <v>7609</v>
      </c>
      <c r="C1173" s="256" t="s">
        <v>6539</v>
      </c>
      <c r="D1173" s="328" t="s">
        <v>1499</v>
      </c>
      <c r="E1173" s="122" t="str">
        <f t="shared" si="18"/>
        <v xml:space="preserve">3224 : 콜론기관담당자　오류                  </v>
      </c>
    </row>
    <row r="1174" spans="1:5" s="64" customFormat="1">
      <c r="A1174" s="316" t="s">
        <v>4635</v>
      </c>
      <c r="B1174" s="123" t="s">
        <v>7609</v>
      </c>
      <c r="C1174" s="256" t="s">
        <v>6540</v>
      </c>
      <c r="D1174" s="328" t="s">
        <v>1498</v>
      </c>
      <c r="E1174" s="122" t="str">
        <f t="shared" si="18"/>
        <v xml:space="preserve">3225 : 콜론기관책임자　오류                  </v>
      </c>
    </row>
    <row r="1175" spans="1:5" s="64" customFormat="1">
      <c r="A1175" s="316" t="s">
        <v>4635</v>
      </c>
      <c r="B1175" s="123" t="s">
        <v>7609</v>
      </c>
      <c r="C1175" s="256" t="s">
        <v>6541</v>
      </c>
      <c r="D1175" s="328" t="s">
        <v>1497</v>
      </c>
      <c r="E1175" s="122" t="str">
        <f t="shared" si="18"/>
        <v xml:space="preserve">3226 : 콜론기관단말기　오류                  </v>
      </c>
    </row>
    <row r="1176" spans="1:5" s="64" customFormat="1">
      <c r="A1176" s="316" t="s">
        <v>4635</v>
      </c>
      <c r="B1176" s="123" t="s">
        <v>7609</v>
      </c>
      <c r="C1176" s="256" t="s">
        <v>6542</v>
      </c>
      <c r="D1176" s="328" t="s">
        <v>1496</v>
      </c>
      <c r="E1176" s="122" t="str">
        <f t="shared" si="18"/>
        <v xml:space="preserve">3227 : 콜론기관확인시간　오류                </v>
      </c>
    </row>
    <row r="1177" spans="1:5" s="64" customFormat="1">
      <c r="A1177" s="316" t="s">
        <v>4635</v>
      </c>
      <c r="B1177" s="123" t="s">
        <v>7609</v>
      </c>
      <c r="C1177" s="256" t="s">
        <v>6543</v>
      </c>
      <c r="D1177" s="328" t="s">
        <v>1495</v>
      </c>
      <c r="E1177" s="122" t="str">
        <f t="shared" si="18"/>
        <v xml:space="preserve">3228 : 콜론기관입력시간　오류                </v>
      </c>
    </row>
    <row r="1178" spans="1:5" s="64" customFormat="1">
      <c r="A1178" s="316" t="s">
        <v>4635</v>
      </c>
      <c r="B1178" s="123" t="s">
        <v>7609</v>
      </c>
      <c r="C1178" s="256" t="s">
        <v>6544</v>
      </c>
      <c r="D1178" s="328" t="s">
        <v>1494</v>
      </c>
      <c r="E1178" s="122" t="str">
        <f t="shared" si="18"/>
        <v xml:space="preserve">3229 : 취소담당자　오류                      </v>
      </c>
    </row>
    <row r="1179" spans="1:5" s="64" customFormat="1">
      <c r="A1179" s="316" t="s">
        <v>4635</v>
      </c>
      <c r="B1179" s="123" t="s">
        <v>7609</v>
      </c>
      <c r="C1179" s="256" t="s">
        <v>6545</v>
      </c>
      <c r="D1179" s="328" t="s">
        <v>1493</v>
      </c>
      <c r="E1179" s="122" t="str">
        <f t="shared" si="18"/>
        <v xml:space="preserve">3230 : 취소책임자　오류                      </v>
      </c>
    </row>
    <row r="1180" spans="1:5" s="64" customFormat="1">
      <c r="A1180" s="316" t="s">
        <v>4635</v>
      </c>
      <c r="B1180" s="123" t="s">
        <v>7609</v>
      </c>
      <c r="C1180" s="256" t="s">
        <v>6546</v>
      </c>
      <c r="D1180" s="328" t="s">
        <v>1492</v>
      </c>
      <c r="E1180" s="122" t="str">
        <f t="shared" si="18"/>
        <v xml:space="preserve">3231 : 취소단말기　오류                      </v>
      </c>
    </row>
    <row r="1181" spans="1:5" s="64" customFormat="1">
      <c r="A1181" s="316" t="s">
        <v>4635</v>
      </c>
      <c r="B1181" s="123" t="s">
        <v>7609</v>
      </c>
      <c r="C1181" s="256" t="s">
        <v>6547</v>
      </c>
      <c r="D1181" s="328" t="s">
        <v>1491</v>
      </c>
      <c r="E1181" s="122" t="str">
        <f t="shared" si="18"/>
        <v xml:space="preserve">3232 : 취소시간　오류                        </v>
      </c>
    </row>
    <row r="1182" spans="1:5" s="64" customFormat="1">
      <c r="A1182" s="316" t="s">
        <v>4635</v>
      </c>
      <c r="B1182" s="123" t="s">
        <v>7609</v>
      </c>
      <c r="C1182" s="256" t="s">
        <v>6548</v>
      </c>
      <c r="D1182" s="328" t="s">
        <v>1490</v>
      </c>
      <c r="E1182" s="122" t="str">
        <f t="shared" si="18"/>
        <v xml:space="preserve">3233 : 콜머니기관담당자　오류                </v>
      </c>
    </row>
    <row r="1183" spans="1:5" s="64" customFormat="1">
      <c r="A1183" s="316" t="s">
        <v>4635</v>
      </c>
      <c r="B1183" s="123" t="s">
        <v>7609</v>
      </c>
      <c r="C1183" s="256" t="s">
        <v>6549</v>
      </c>
      <c r="D1183" s="328" t="s">
        <v>1489</v>
      </c>
      <c r="E1183" s="122" t="str">
        <f t="shared" si="18"/>
        <v xml:space="preserve">3234 : 콜머니기관책임자　오류                </v>
      </c>
    </row>
    <row r="1184" spans="1:5" s="64" customFormat="1">
      <c r="A1184" s="316" t="s">
        <v>4635</v>
      </c>
      <c r="B1184" s="123" t="s">
        <v>7609</v>
      </c>
      <c r="C1184" s="256" t="s">
        <v>6550</v>
      </c>
      <c r="D1184" s="328" t="s">
        <v>1488</v>
      </c>
      <c r="E1184" s="122" t="str">
        <f t="shared" si="18"/>
        <v xml:space="preserve">3235 : 콜머니기관단말기　오류                </v>
      </c>
    </row>
    <row r="1185" spans="1:5" s="64" customFormat="1">
      <c r="A1185" s="316" t="s">
        <v>4635</v>
      </c>
      <c r="B1185" s="123" t="s">
        <v>7609</v>
      </c>
      <c r="C1185" s="256" t="s">
        <v>6551</v>
      </c>
      <c r="D1185" s="328" t="s">
        <v>1487</v>
      </c>
      <c r="E1185" s="122" t="str">
        <f t="shared" si="18"/>
        <v xml:space="preserve">3236 : 콜머니기관확인시간　오류              </v>
      </c>
    </row>
    <row r="1186" spans="1:5" s="64" customFormat="1">
      <c r="A1186" s="316" t="s">
        <v>4635</v>
      </c>
      <c r="B1186" s="123" t="s">
        <v>7609</v>
      </c>
      <c r="C1186" s="256" t="s">
        <v>6552</v>
      </c>
      <c r="D1186" s="328" t="s">
        <v>1486</v>
      </c>
      <c r="E1186" s="122" t="str">
        <f t="shared" si="18"/>
        <v xml:space="preserve">3237 : 콜론승인ＳＩＧＮ　오류                </v>
      </c>
    </row>
    <row r="1187" spans="1:5" s="64" customFormat="1">
      <c r="A1187" s="316" t="s">
        <v>4635</v>
      </c>
      <c r="B1187" s="123" t="s">
        <v>7609</v>
      </c>
      <c r="C1187" s="256" t="s">
        <v>6553</v>
      </c>
      <c r="D1187" s="328" t="s">
        <v>1485</v>
      </c>
      <c r="E1187" s="122" t="str">
        <f t="shared" si="18"/>
        <v xml:space="preserve">3238 : 콜머니승인ＳＩＧＮ　오류              </v>
      </c>
    </row>
    <row r="1188" spans="1:5" s="64" customFormat="1">
      <c r="A1188" s="316" t="s">
        <v>4635</v>
      </c>
      <c r="B1188" s="123" t="s">
        <v>7609</v>
      </c>
      <c r="C1188" s="256" t="s">
        <v>6554</v>
      </c>
      <c r="D1188" s="328" t="s">
        <v>1484</v>
      </c>
      <c r="E1188" s="122" t="str">
        <f t="shared" si="18"/>
        <v xml:space="preserve">3239 : 결제상태　오류                        </v>
      </c>
    </row>
    <row r="1189" spans="1:5" s="64" customFormat="1">
      <c r="A1189" s="316" t="s">
        <v>4635</v>
      </c>
      <c r="B1189" s="123" t="s">
        <v>7609</v>
      </c>
      <c r="C1189" s="256" t="s">
        <v>6555</v>
      </c>
      <c r="D1189" s="328" t="s">
        <v>1483</v>
      </c>
      <c r="E1189" s="122" t="str">
        <f t="shared" si="18"/>
        <v xml:space="preserve">3240 : 응답코드　오류                        </v>
      </c>
    </row>
    <row r="1190" spans="1:5" s="64" customFormat="1">
      <c r="A1190" s="316" t="s">
        <v>4635</v>
      </c>
      <c r="B1190" s="123" t="s">
        <v>7609</v>
      </c>
      <c r="C1190" s="256" t="s">
        <v>6556</v>
      </c>
      <c r="D1190" s="328" t="s">
        <v>1482</v>
      </c>
      <c r="E1190" s="122" t="str">
        <f t="shared" si="18"/>
        <v xml:space="preserve">3241 : 대기번호　오류                        </v>
      </c>
    </row>
    <row r="1191" spans="1:5" s="64" customFormat="1">
      <c r="A1191" s="316" t="s">
        <v>4635</v>
      </c>
      <c r="B1191" s="123" t="s">
        <v>7609</v>
      </c>
      <c r="C1191" s="256" t="s">
        <v>6557</v>
      </c>
      <c r="D1191" s="328" t="s">
        <v>1481</v>
      </c>
      <c r="E1191" s="122" t="str">
        <f t="shared" si="18"/>
        <v xml:space="preserve">3242 : 회계번호　오류                        </v>
      </c>
    </row>
    <row r="1192" spans="1:5" s="64" customFormat="1">
      <c r="A1192" s="316" t="s">
        <v>4635</v>
      </c>
      <c r="B1192" s="123" t="s">
        <v>7609</v>
      </c>
      <c r="C1192" s="256" t="s">
        <v>6558</v>
      </c>
      <c r="D1192" s="328" t="s">
        <v>1480</v>
      </c>
      <c r="E1192" s="122" t="str">
        <f t="shared" si="18"/>
        <v xml:space="preserve">3243 : 이체완료시간　오류                    </v>
      </c>
    </row>
    <row r="1193" spans="1:5" s="64" customFormat="1">
      <c r="A1193" s="316" t="s">
        <v>4635</v>
      </c>
      <c r="B1193" s="123" t="s">
        <v>7609</v>
      </c>
      <c r="C1193" s="256" t="s">
        <v>6559</v>
      </c>
      <c r="D1193" s="328" t="s">
        <v>1479</v>
      </c>
      <c r="E1193" s="122" t="str">
        <f t="shared" si="18"/>
        <v xml:space="preserve">3244 : 승인상태　오류                        </v>
      </c>
    </row>
    <row r="1194" spans="1:5" s="64" customFormat="1">
      <c r="A1194" s="316" t="s">
        <v>4635</v>
      </c>
      <c r="B1194" s="123" t="s">
        <v>7609</v>
      </c>
      <c r="C1194" s="256" t="s">
        <v>6560</v>
      </c>
      <c r="D1194" s="328" t="s">
        <v>1478</v>
      </c>
      <c r="E1194" s="122" t="str">
        <f t="shared" si="18"/>
        <v xml:space="preserve">3245 : 중개수수료　오류                      </v>
      </c>
    </row>
    <row r="1195" spans="1:5" s="64" customFormat="1">
      <c r="A1195" s="316" t="s">
        <v>4635</v>
      </c>
      <c r="B1195" s="123" t="s">
        <v>7609</v>
      </c>
      <c r="C1195" s="256" t="s">
        <v>6561</v>
      </c>
      <c r="D1195" s="328" t="s">
        <v>1461</v>
      </c>
      <c r="E1195" s="122" t="str">
        <f t="shared" si="18"/>
        <v xml:space="preserve">3246 : 참가기관코드　오류                    </v>
      </c>
    </row>
    <row r="1196" spans="1:5" s="64" customFormat="1">
      <c r="A1196" s="316" t="s">
        <v>4635</v>
      </c>
      <c r="B1196" s="123" t="s">
        <v>7609</v>
      </c>
      <c r="C1196" s="256" t="s">
        <v>6562</v>
      </c>
      <c r="D1196" s="328" t="s">
        <v>1477</v>
      </c>
      <c r="E1196" s="122" t="str">
        <f t="shared" si="18"/>
        <v xml:space="preserve">3247 : 승인기관담당자　오류                  </v>
      </c>
    </row>
    <row r="1197" spans="1:5" s="64" customFormat="1">
      <c r="A1197" s="316" t="s">
        <v>4635</v>
      </c>
      <c r="B1197" s="123" t="s">
        <v>7609</v>
      </c>
      <c r="C1197" s="256" t="s">
        <v>6563</v>
      </c>
      <c r="D1197" s="328" t="s">
        <v>1476</v>
      </c>
      <c r="E1197" s="122" t="str">
        <f t="shared" si="18"/>
        <v xml:space="preserve">3248 : 승인기관책임자　오류                  </v>
      </c>
    </row>
    <row r="1198" spans="1:5" s="64" customFormat="1">
      <c r="A1198" s="316" t="s">
        <v>4635</v>
      </c>
      <c r="B1198" s="123" t="s">
        <v>7609</v>
      </c>
      <c r="C1198" s="256" t="s">
        <v>6564</v>
      </c>
      <c r="D1198" s="328" t="s">
        <v>1475</v>
      </c>
      <c r="E1198" s="122" t="str">
        <f t="shared" si="18"/>
        <v xml:space="preserve">3249 : 승인기관단말기　오류                  </v>
      </c>
    </row>
    <row r="1199" spans="1:5" s="64" customFormat="1">
      <c r="A1199" s="316" t="s">
        <v>4635</v>
      </c>
      <c r="B1199" s="123" t="s">
        <v>7609</v>
      </c>
      <c r="C1199" s="256" t="s">
        <v>6565</v>
      </c>
      <c r="D1199" s="328" t="s">
        <v>1474</v>
      </c>
      <c r="E1199" s="122" t="str">
        <f t="shared" si="18"/>
        <v xml:space="preserve">3250 : 자금이체승인여부　오류                </v>
      </c>
    </row>
    <row r="1200" spans="1:5" s="64" customFormat="1">
      <c r="A1200" s="316" t="s">
        <v>4635</v>
      </c>
      <c r="B1200" s="123" t="s">
        <v>7609</v>
      </c>
      <c r="C1200" s="256" t="s">
        <v>6566</v>
      </c>
      <c r="D1200" s="328" t="s">
        <v>1473</v>
      </c>
      <c r="E1200" s="122" t="str">
        <f t="shared" si="18"/>
        <v xml:space="preserve">3251 : 당초　체결거래와　상이합니다．        </v>
      </c>
    </row>
    <row r="1201" spans="1:5" s="64" customFormat="1">
      <c r="A1201" s="316" t="s">
        <v>4635</v>
      </c>
      <c r="B1201" s="123" t="s">
        <v>7609</v>
      </c>
      <c r="C1201" s="256" t="s">
        <v>6567</v>
      </c>
      <c r="D1201" s="328" t="s">
        <v>1472</v>
      </c>
      <c r="E1201" s="122" t="str">
        <f t="shared" si="18"/>
        <v xml:space="preserve">3252 : ＢＯＫ결제거래가　아닙니다．          </v>
      </c>
    </row>
    <row r="1202" spans="1:5" s="64" customFormat="1">
      <c r="A1202" s="316" t="s">
        <v>4635</v>
      </c>
      <c r="B1202" s="123" t="s">
        <v>7609</v>
      </c>
      <c r="C1202" s="256" t="s">
        <v>6568</v>
      </c>
      <c r="D1202" s="328" t="s">
        <v>1471</v>
      </c>
      <c r="E1202" s="122" t="str">
        <f t="shared" si="18"/>
        <v xml:space="preserve">3253 : 중개기관　콜거래가　아닙니다．        </v>
      </c>
    </row>
    <row r="1203" spans="1:5" s="64" customFormat="1">
      <c r="A1203" s="316" t="s">
        <v>4635</v>
      </c>
      <c r="B1203" s="123" t="s">
        <v>7609</v>
      </c>
      <c r="C1203" s="256" t="s">
        <v>6569</v>
      </c>
      <c r="D1203" s="328" t="s">
        <v>1470</v>
      </c>
      <c r="E1203" s="122" t="str">
        <f t="shared" si="18"/>
        <v xml:space="preserve">3254 : 이미　결제한　거래입니다．            </v>
      </c>
    </row>
    <row r="1204" spans="1:5" s="64" customFormat="1">
      <c r="A1204" s="316" t="s">
        <v>4635</v>
      </c>
      <c r="B1204" s="123" t="s">
        <v>7609</v>
      </c>
      <c r="C1204" s="256" t="s">
        <v>6570</v>
      </c>
      <c r="D1204" s="328" t="s">
        <v>1469</v>
      </c>
      <c r="E1204" s="122" t="str">
        <f t="shared" si="18"/>
        <v xml:space="preserve">3255 : 이미　취소한　거래입니다．            </v>
      </c>
    </row>
    <row r="1205" spans="1:5" s="64" customFormat="1">
      <c r="A1205" s="316" t="s">
        <v>4635</v>
      </c>
      <c r="B1205" s="123" t="s">
        <v>7609</v>
      </c>
      <c r="C1205" s="256" t="s">
        <v>6571</v>
      </c>
      <c r="D1205" s="328" t="s">
        <v>1468</v>
      </c>
      <c r="E1205" s="122" t="str">
        <f t="shared" si="18"/>
        <v xml:space="preserve">3256 : 이미　양기관확인한　거래입니다．      </v>
      </c>
    </row>
    <row r="1206" spans="1:5" s="64" customFormat="1">
      <c r="A1206" s="316" t="s">
        <v>4635</v>
      </c>
      <c r="B1206" s="123" t="s">
        <v>7609</v>
      </c>
      <c r="C1206" s="256" t="s">
        <v>6572</v>
      </c>
      <c r="D1206" s="328" t="s">
        <v>1467</v>
      </c>
      <c r="E1206" s="122" t="str">
        <f t="shared" si="18"/>
        <v xml:space="preserve">3257 : 이미　론기관확인한　거래입니다．      </v>
      </c>
    </row>
    <row r="1207" spans="1:5" s="64" customFormat="1">
      <c r="A1207" s="316" t="s">
        <v>4635</v>
      </c>
      <c r="B1207" s="123" t="s">
        <v>7609</v>
      </c>
      <c r="C1207" s="256" t="s">
        <v>6573</v>
      </c>
      <c r="D1207" s="328" t="s">
        <v>1466</v>
      </c>
      <c r="E1207" s="122" t="str">
        <f t="shared" si="18"/>
        <v xml:space="preserve">3258 : 이미　머니기관확인한　거래입니다．    </v>
      </c>
    </row>
    <row r="1208" spans="1:5" s="64" customFormat="1">
      <c r="A1208" s="316" t="s">
        <v>4635</v>
      </c>
      <c r="B1208" s="123" t="s">
        <v>7609</v>
      </c>
      <c r="C1208" s="256" t="s">
        <v>6574</v>
      </c>
      <c r="D1208" s="328" t="s">
        <v>1454</v>
      </c>
      <c r="E1208" s="122" t="str">
        <f t="shared" si="18"/>
        <v xml:space="preserve">3259 : 거래종류　오류                        </v>
      </c>
    </row>
    <row r="1209" spans="1:5" s="64" customFormat="1">
      <c r="A1209" s="316" t="s">
        <v>4635</v>
      </c>
      <c r="B1209" s="123" t="s">
        <v>7609</v>
      </c>
      <c r="C1209" s="256" t="s">
        <v>6575</v>
      </c>
      <c r="D1209" s="328" t="s">
        <v>1465</v>
      </c>
      <c r="E1209" s="122" t="str">
        <f t="shared" si="18"/>
        <v xml:space="preserve">3260 : 거래번호　오류                        </v>
      </c>
    </row>
    <row r="1210" spans="1:5" s="64" customFormat="1">
      <c r="A1210" s="316" t="s">
        <v>4635</v>
      </c>
      <c r="B1210" s="123" t="s">
        <v>7609</v>
      </c>
      <c r="C1210" s="256" t="s">
        <v>6576</v>
      </c>
      <c r="D1210" s="328" t="s">
        <v>1464</v>
      </c>
      <c r="E1210" s="122" t="str">
        <f t="shared" si="18"/>
        <v xml:space="preserve">3261 : 현재결제대기건수　오류                </v>
      </c>
    </row>
    <row r="1211" spans="1:5" s="64" customFormat="1">
      <c r="A1211" s="316" t="s">
        <v>4635</v>
      </c>
      <c r="B1211" s="123" t="s">
        <v>7609</v>
      </c>
      <c r="C1211" s="256" t="s">
        <v>6577</v>
      </c>
      <c r="D1211" s="328" t="s">
        <v>1463</v>
      </c>
      <c r="E1211" s="122" t="str">
        <f t="shared" si="18"/>
        <v xml:space="preserve">3262 : 현재결제대기금액　오류                </v>
      </c>
    </row>
    <row r="1212" spans="1:5" s="64" customFormat="1">
      <c r="A1212" s="316" t="s">
        <v>4635</v>
      </c>
      <c r="B1212" s="123" t="s">
        <v>7609</v>
      </c>
      <c r="C1212" s="256" t="s">
        <v>6578</v>
      </c>
      <c r="D1212" s="328" t="s">
        <v>1462</v>
      </c>
      <c r="E1212" s="122" t="str">
        <f t="shared" si="18"/>
        <v xml:space="preserve">3263 : 현재당좌계정잔액　오류                </v>
      </c>
    </row>
    <row r="1213" spans="1:5" s="64" customFormat="1">
      <c r="A1213" s="316" t="s">
        <v>4635</v>
      </c>
      <c r="B1213" s="123" t="s">
        <v>7609</v>
      </c>
      <c r="C1213" s="256" t="s">
        <v>6579</v>
      </c>
      <c r="D1213" s="328" t="s">
        <v>1461</v>
      </c>
      <c r="E1213" s="122" t="str">
        <f t="shared" si="18"/>
        <v xml:space="preserve">3264 : 참가기관코드　오류                    </v>
      </c>
    </row>
    <row r="1214" spans="1:5" s="64" customFormat="1">
      <c r="A1214" s="316" t="s">
        <v>4635</v>
      </c>
      <c r="B1214" s="123" t="s">
        <v>7609</v>
      </c>
      <c r="C1214" s="256" t="s">
        <v>6580</v>
      </c>
      <c r="D1214" s="328" t="s">
        <v>1460</v>
      </c>
      <c r="E1214" s="122" t="str">
        <f t="shared" si="18"/>
        <v xml:space="preserve">3265 : 업무종류　오류                        </v>
      </c>
    </row>
    <row r="1215" spans="1:5" s="64" customFormat="1">
      <c r="A1215" s="316" t="s">
        <v>4635</v>
      </c>
      <c r="B1215" s="123" t="s">
        <v>7609</v>
      </c>
      <c r="C1215" s="256" t="s">
        <v>6581</v>
      </c>
      <c r="D1215" s="328" t="s">
        <v>1459</v>
      </c>
      <c r="E1215" s="122" t="str">
        <f t="shared" si="18"/>
        <v xml:space="preserve">3266 : 콜론，　콜머니기관　동일              </v>
      </c>
    </row>
    <row r="1216" spans="1:5" s="64" customFormat="1">
      <c r="A1216" s="316" t="s">
        <v>4635</v>
      </c>
      <c r="B1216" s="123" t="s">
        <v>7609</v>
      </c>
      <c r="C1216" s="256" t="s">
        <v>6582</v>
      </c>
      <c r="D1216" s="328" t="s">
        <v>1458</v>
      </c>
      <c r="E1216" s="122" t="str">
        <f t="shared" si="18"/>
        <v xml:space="preserve">3267 : 거래구분　오류                        </v>
      </c>
    </row>
    <row r="1217" spans="1:5" s="64" customFormat="1">
      <c r="A1217" s="316" t="s">
        <v>4635</v>
      </c>
      <c r="B1217" s="123" t="s">
        <v>7609</v>
      </c>
      <c r="C1217" s="256" t="s">
        <v>6583</v>
      </c>
      <c r="D1217" s="328" t="s">
        <v>1457</v>
      </c>
      <c r="E1217" s="122" t="str">
        <f t="shared" si="18"/>
        <v xml:space="preserve">3268 : 취소대상　거래가　아닙니다．          </v>
      </c>
    </row>
    <row r="1218" spans="1:5" s="64" customFormat="1">
      <c r="A1218" s="316" t="s">
        <v>4635</v>
      </c>
      <c r="B1218" s="123" t="s">
        <v>7609</v>
      </c>
      <c r="C1218" s="256" t="s">
        <v>6584</v>
      </c>
      <c r="D1218" s="328" t="s">
        <v>1456</v>
      </c>
      <c r="E1218" s="122" t="str">
        <f t="shared" si="18"/>
        <v xml:space="preserve">3269 : 파일간　내용이　상이합니다．          </v>
      </c>
    </row>
    <row r="1219" spans="1:5" s="64" customFormat="1">
      <c r="A1219" s="316" t="s">
        <v>4635</v>
      </c>
      <c r="B1219" s="123" t="s">
        <v>7609</v>
      </c>
      <c r="C1219" s="256" t="s">
        <v>6585</v>
      </c>
      <c r="D1219" s="328" t="s">
        <v>714</v>
      </c>
      <c r="E1219" s="122" t="str">
        <f t="shared" si="18"/>
        <v xml:space="preserve">3270 : 점별정보파일　오류                    </v>
      </c>
    </row>
    <row r="1220" spans="1:5" s="64" customFormat="1">
      <c r="A1220" s="316" t="s">
        <v>4635</v>
      </c>
      <c r="B1220" s="123" t="s">
        <v>7609</v>
      </c>
      <c r="C1220" s="256" t="s">
        <v>6586</v>
      </c>
      <c r="D1220" s="328" t="s">
        <v>1455</v>
      </c>
      <c r="E1220" s="122" t="str">
        <f t="shared" ref="E1220:E1283" si="19">_xlfn.TEXTJOIN(" : ",FALSE,C1220:D1220)</f>
        <v xml:space="preserve">3271 : 거래번호파일　오류                    </v>
      </c>
    </row>
    <row r="1221" spans="1:5" s="64" customFormat="1">
      <c r="A1221" s="316" t="s">
        <v>4635</v>
      </c>
      <c r="B1221" s="123" t="s">
        <v>7609</v>
      </c>
      <c r="C1221" s="256" t="s">
        <v>6587</v>
      </c>
      <c r="D1221" s="328" t="s">
        <v>795</v>
      </c>
      <c r="E1221" s="122" t="str">
        <f t="shared" si="19"/>
        <v xml:space="preserve">3272 : 회계구좌파일　오류                    </v>
      </c>
    </row>
    <row r="1222" spans="1:5" s="64" customFormat="1">
      <c r="A1222" s="316" t="s">
        <v>4635</v>
      </c>
      <c r="B1222" s="123" t="s">
        <v>7609</v>
      </c>
      <c r="C1222" s="256" t="s">
        <v>6588</v>
      </c>
      <c r="D1222" s="328" t="s">
        <v>1454</v>
      </c>
      <c r="E1222" s="122" t="str">
        <f t="shared" si="19"/>
        <v xml:space="preserve">3273 : 거래종류　오류                        </v>
      </c>
    </row>
    <row r="1223" spans="1:5" s="64" customFormat="1">
      <c r="A1223" s="316" t="s">
        <v>4635</v>
      </c>
      <c r="B1223" s="123" t="s">
        <v>7609</v>
      </c>
      <c r="C1223" s="256" t="s">
        <v>6589</v>
      </c>
      <c r="D1223" s="328" t="s">
        <v>1453</v>
      </c>
      <c r="E1223" s="122" t="str">
        <f t="shared" si="19"/>
        <v xml:space="preserve">3274 : 만기연장　가능시간　오류              </v>
      </c>
    </row>
    <row r="1224" spans="1:5" s="64" customFormat="1">
      <c r="A1224" s="316" t="s">
        <v>4635</v>
      </c>
      <c r="B1224" s="123" t="s">
        <v>7609</v>
      </c>
      <c r="C1224" s="256" t="s">
        <v>6590</v>
      </c>
      <c r="D1224" s="328" t="s">
        <v>1452</v>
      </c>
      <c r="E1224" s="122" t="str">
        <f t="shared" si="19"/>
        <v xml:space="preserve">3275 : 론기관　미확인　거래입니다．          </v>
      </c>
    </row>
    <row r="1225" spans="1:5" s="64" customFormat="1">
      <c r="A1225" s="316" t="s">
        <v>4635</v>
      </c>
      <c r="B1225" s="123" t="s">
        <v>7609</v>
      </c>
      <c r="C1225" s="256" t="s">
        <v>6591</v>
      </c>
      <c r="D1225" s="328" t="s">
        <v>1451</v>
      </c>
      <c r="E1225" s="122" t="str">
        <f t="shared" si="19"/>
        <v xml:space="preserve">3276 : 만기연장　가능거래　아닙니다．        </v>
      </c>
    </row>
    <row r="1226" spans="1:5" s="64" customFormat="1">
      <c r="A1226" s="316" t="s">
        <v>4635</v>
      </c>
      <c r="B1226" s="123" t="s">
        <v>7609</v>
      </c>
      <c r="C1226" s="256" t="s">
        <v>6592</v>
      </c>
      <c r="D1226" s="328" t="s">
        <v>1450</v>
      </c>
      <c r="E1226" s="122" t="str">
        <f t="shared" si="19"/>
        <v xml:space="preserve">3277 : 이미　만기연장　완료상태입니다．      </v>
      </c>
    </row>
    <row r="1227" spans="1:5" s="64" customFormat="1">
      <c r="A1227" s="316" t="s">
        <v>4635</v>
      </c>
      <c r="B1227" s="123" t="s">
        <v>7609</v>
      </c>
      <c r="C1227" s="256" t="s">
        <v>6593</v>
      </c>
      <c r="D1227" s="328" t="s">
        <v>1449</v>
      </c>
      <c r="E1227" s="122" t="str">
        <f t="shared" si="19"/>
        <v xml:space="preserve">3278 : 연장후　만기일　오류                  </v>
      </c>
    </row>
    <row r="1228" spans="1:5" s="64" customFormat="1">
      <c r="A1228" s="316" t="s">
        <v>4635</v>
      </c>
      <c r="B1228" s="123" t="s">
        <v>7609</v>
      </c>
      <c r="C1228" s="256" t="s">
        <v>6594</v>
      </c>
      <c r="D1228" s="328" t="s">
        <v>1448</v>
      </c>
      <c r="E1228" s="122" t="str">
        <f t="shared" si="19"/>
        <v xml:space="preserve">3279 : 콜론기관　약정상태　오류              </v>
      </c>
    </row>
    <row r="1229" spans="1:5" s="64" customFormat="1">
      <c r="A1229" s="316" t="s">
        <v>4635</v>
      </c>
      <c r="B1229" s="123" t="s">
        <v>7609</v>
      </c>
      <c r="C1229" s="256" t="s">
        <v>6595</v>
      </c>
      <c r="D1229" s="328" t="s">
        <v>1447</v>
      </c>
      <c r="E1229" s="122" t="str">
        <f t="shared" si="19"/>
        <v xml:space="preserve">3280 : 머니기관　약정상태　오류              </v>
      </c>
    </row>
    <row r="1230" spans="1:5" s="64" customFormat="1">
      <c r="A1230" s="316" t="s">
        <v>4635</v>
      </c>
      <c r="B1230" s="123" t="s">
        <v>7609</v>
      </c>
      <c r="C1230" s="256" t="s">
        <v>6596</v>
      </c>
      <c r="D1230" s="328" t="s">
        <v>1446</v>
      </c>
      <c r="E1230" s="122" t="str">
        <f t="shared" si="19"/>
        <v xml:space="preserve">3281 : 콜체결파일　오류                      </v>
      </c>
    </row>
    <row r="1231" spans="1:5" s="64" customFormat="1">
      <c r="A1231" s="316" t="s">
        <v>4635</v>
      </c>
      <c r="B1231" s="123" t="s">
        <v>7609</v>
      </c>
      <c r="C1231" s="256" t="s">
        <v>6597</v>
      </c>
      <c r="D1231" s="328" t="s">
        <v>1445</v>
      </c>
      <c r="E1231" s="122" t="str">
        <f t="shared" si="19"/>
        <v xml:space="preserve">3282 : 콜상환파일　오류                      </v>
      </c>
    </row>
    <row r="1232" spans="1:5" s="64" customFormat="1">
      <c r="A1232" s="316" t="s">
        <v>4635</v>
      </c>
      <c r="B1232" s="123" t="s">
        <v>7609</v>
      </c>
      <c r="C1232" s="256" t="s">
        <v>6598</v>
      </c>
      <c r="D1232" s="328" t="s">
        <v>1188</v>
      </c>
      <c r="E1232" s="122" t="str">
        <f t="shared" si="19"/>
        <v xml:space="preserve">3283 : 대기파일　오류                        </v>
      </c>
    </row>
    <row r="1233" spans="1:5" s="64" customFormat="1">
      <c r="A1233" s="316" t="s">
        <v>4635</v>
      </c>
      <c r="B1233" s="123" t="s">
        <v>7609</v>
      </c>
      <c r="C1233" s="256" t="s">
        <v>6599</v>
      </c>
      <c r="D1233" s="328" t="s">
        <v>1435</v>
      </c>
      <c r="E1233" s="122" t="str">
        <f t="shared" si="19"/>
        <v xml:space="preserve">3284 : 원장거래일자　오류                    </v>
      </c>
    </row>
    <row r="1234" spans="1:5" s="64" customFormat="1">
      <c r="A1234" s="316" t="s">
        <v>4635</v>
      </c>
      <c r="B1234" s="123" t="s">
        <v>7609</v>
      </c>
      <c r="C1234" s="256" t="s">
        <v>6600</v>
      </c>
      <c r="D1234" s="328" t="s">
        <v>1444</v>
      </c>
      <c r="E1234" s="122" t="str">
        <f t="shared" si="19"/>
        <v xml:space="preserve">3285 : 파일이　없습니다．                    </v>
      </c>
    </row>
    <row r="1235" spans="1:5" s="64" customFormat="1">
      <c r="A1235" s="316" t="s">
        <v>4635</v>
      </c>
      <c r="B1235" s="123" t="s">
        <v>7609</v>
      </c>
      <c r="C1235" s="256" t="s">
        <v>6601</v>
      </c>
      <c r="D1235" s="328" t="s">
        <v>1443</v>
      </c>
      <c r="E1235" s="122" t="str">
        <f t="shared" si="19"/>
        <v xml:space="preserve">3286 : 지불가능액　부족                      </v>
      </c>
    </row>
    <row r="1236" spans="1:5" s="64" customFormat="1">
      <c r="A1236" s="316" t="s">
        <v>4635</v>
      </c>
      <c r="B1236" s="123" t="s">
        <v>7609</v>
      </c>
      <c r="C1236" s="256" t="s">
        <v>6602</v>
      </c>
      <c r="D1236" s="328" t="s">
        <v>1442</v>
      </c>
      <c r="E1236" s="122" t="str">
        <f t="shared" si="19"/>
        <v xml:space="preserve">3287 : 거래번호　파일　오류                  </v>
      </c>
    </row>
    <row r="1237" spans="1:5" s="64" customFormat="1">
      <c r="A1237" s="316" t="s">
        <v>4635</v>
      </c>
      <c r="B1237" s="123" t="s">
        <v>7609</v>
      </c>
      <c r="C1237" s="256" t="s">
        <v>6603</v>
      </c>
      <c r="D1237" s="328" t="s">
        <v>1441</v>
      </c>
      <c r="E1237" s="122" t="str">
        <f t="shared" si="19"/>
        <v xml:space="preserve">3288 : 차액결제　정보파일　오류              </v>
      </c>
    </row>
    <row r="1238" spans="1:5" s="64" customFormat="1">
      <c r="A1238" s="316" t="s">
        <v>4635</v>
      </c>
      <c r="B1238" s="123" t="s">
        <v>7609</v>
      </c>
      <c r="C1238" s="256" t="s">
        <v>6604</v>
      </c>
      <c r="D1238" s="328" t="s">
        <v>1440</v>
      </c>
      <c r="E1238" s="122" t="str">
        <f t="shared" si="19"/>
        <v xml:space="preserve">3289 : 차액결제　정보파일　내용　오류        </v>
      </c>
    </row>
    <row r="1239" spans="1:5" s="64" customFormat="1">
      <c r="A1239" s="316" t="s">
        <v>4635</v>
      </c>
      <c r="B1239" s="123" t="s">
        <v>7609</v>
      </c>
      <c r="C1239" s="256" t="s">
        <v>6605</v>
      </c>
      <c r="D1239" s="328" t="s">
        <v>491</v>
      </c>
      <c r="E1239" s="122" t="str">
        <f t="shared" si="19"/>
        <v xml:space="preserve">3290 : 차액결제　결제파일　오류              </v>
      </c>
    </row>
    <row r="1240" spans="1:5" s="64" customFormat="1">
      <c r="A1240" s="316" t="s">
        <v>4635</v>
      </c>
      <c r="B1240" s="123" t="s">
        <v>7609</v>
      </c>
      <c r="C1240" s="256" t="s">
        <v>6606</v>
      </c>
      <c r="D1240" s="328" t="s">
        <v>1439</v>
      </c>
      <c r="E1240" s="122" t="str">
        <f t="shared" si="19"/>
        <v xml:space="preserve">3291 : 차액결제　결제파일　내용　오류        </v>
      </c>
    </row>
    <row r="1241" spans="1:5" s="64" customFormat="1">
      <c r="A1241" s="316" t="s">
        <v>4635</v>
      </c>
      <c r="B1241" s="123" t="s">
        <v>7609</v>
      </c>
      <c r="C1241" s="256" t="s">
        <v>6607</v>
      </c>
      <c r="D1241" s="328" t="s">
        <v>1438</v>
      </c>
      <c r="E1241" s="122" t="str">
        <f t="shared" si="19"/>
        <v xml:space="preserve">3292 : 오전예약거래할수없음-차액결제완료   </v>
      </c>
    </row>
    <row r="1242" spans="1:5" s="64" customFormat="1">
      <c r="A1242" s="316" t="s">
        <v>4635</v>
      </c>
      <c r="B1242" s="123" t="s">
        <v>7609</v>
      </c>
      <c r="C1242" s="256" t="s">
        <v>6608</v>
      </c>
      <c r="D1242" s="328" t="s">
        <v>1437</v>
      </c>
      <c r="E1242" s="122" t="str">
        <f t="shared" si="19"/>
        <v xml:space="preserve">3293 : 오후예약거래할수없음-차액결제완료   </v>
      </c>
    </row>
    <row r="1243" spans="1:5" s="64" customFormat="1">
      <c r="A1243" s="316" t="s">
        <v>4635</v>
      </c>
      <c r="B1243" s="123" t="s">
        <v>7609</v>
      </c>
      <c r="C1243" s="256" t="s">
        <v>6609</v>
      </c>
      <c r="D1243" s="328" t="s">
        <v>1436</v>
      </c>
      <c r="E1243" s="122" t="str">
        <f t="shared" si="19"/>
        <v xml:space="preserve">3294 : 자금이체　번호파일　오류              </v>
      </c>
    </row>
    <row r="1244" spans="1:5" s="64" customFormat="1">
      <c r="A1244" s="316" t="s">
        <v>4635</v>
      </c>
      <c r="B1244" s="123" t="s">
        <v>7609</v>
      </c>
      <c r="C1244" s="256" t="s">
        <v>6610</v>
      </c>
      <c r="D1244" s="328" t="s">
        <v>1435</v>
      </c>
      <c r="E1244" s="122" t="str">
        <f t="shared" si="19"/>
        <v xml:space="preserve">3295 : 원장거래일자　오류                    </v>
      </c>
    </row>
    <row r="1245" spans="1:5" s="64" customFormat="1">
      <c r="A1245" s="316" t="s">
        <v>4635</v>
      </c>
      <c r="B1245" s="123" t="s">
        <v>7609</v>
      </c>
      <c r="C1245" s="256" t="s">
        <v>6611</v>
      </c>
      <c r="D1245" s="328" t="s">
        <v>1434</v>
      </c>
      <c r="E1245" s="122" t="str">
        <f t="shared" si="19"/>
        <v xml:space="preserve">3296 : 구좌파일이　없습니다．                </v>
      </c>
    </row>
    <row r="1246" spans="1:5" s="64" customFormat="1">
      <c r="A1246" s="316" t="s">
        <v>4635</v>
      </c>
      <c r="B1246" s="123" t="s">
        <v>7609</v>
      </c>
      <c r="C1246" s="256" t="s">
        <v>6612</v>
      </c>
      <c r="D1246" s="328" t="s">
        <v>1433</v>
      </c>
      <c r="E1246" s="122" t="str">
        <f t="shared" si="19"/>
        <v xml:space="preserve">3297 : 잔액이　부족합니다．                  </v>
      </c>
    </row>
    <row r="1247" spans="1:5" s="64" customFormat="1">
      <c r="A1247" s="316" t="s">
        <v>4635</v>
      </c>
      <c r="B1247" s="123" t="s">
        <v>7609</v>
      </c>
      <c r="C1247" s="256" t="s">
        <v>6613</v>
      </c>
      <c r="D1247" s="328" t="s">
        <v>1432</v>
      </c>
      <c r="E1247" s="122" t="str">
        <f t="shared" si="19"/>
        <v xml:space="preserve">3298 : 지불가능액이　부족합니다．            </v>
      </c>
    </row>
    <row r="1248" spans="1:5" s="64" customFormat="1">
      <c r="A1248" s="316" t="s">
        <v>4635</v>
      </c>
      <c r="B1248" s="123" t="s">
        <v>7609</v>
      </c>
      <c r="C1248" s="256" t="s">
        <v>6614</v>
      </c>
      <c r="D1248" s="328" t="s">
        <v>1431</v>
      </c>
      <c r="E1248" s="122" t="str">
        <f t="shared" si="19"/>
        <v xml:space="preserve">3299 : 차액결제수행중-거래할수없습니다     </v>
      </c>
    </row>
    <row r="1249" spans="1:5" s="64" customFormat="1">
      <c r="A1249" s="316" t="s">
        <v>4635</v>
      </c>
      <c r="B1249" s="123" t="s">
        <v>7609</v>
      </c>
      <c r="C1249" s="256" t="s">
        <v>6615</v>
      </c>
      <c r="D1249" s="328" t="s">
        <v>1430</v>
      </c>
      <c r="E1249" s="122" t="str">
        <f t="shared" si="19"/>
        <v xml:space="preserve">3300 : 마감후　거래불가입니다．              </v>
      </c>
    </row>
    <row r="1250" spans="1:5" s="64" customFormat="1">
      <c r="A1250" s="316" t="s">
        <v>4635</v>
      </c>
      <c r="B1250" s="123" t="s">
        <v>7609</v>
      </c>
      <c r="C1250" s="256" t="s">
        <v>6616</v>
      </c>
      <c r="D1250" s="328" t="s">
        <v>1429</v>
      </c>
      <c r="E1250" s="122" t="str">
        <f t="shared" si="19"/>
        <v xml:space="preserve">3301 : 론기관　토요일　휴무                  </v>
      </c>
    </row>
    <row r="1251" spans="1:5" s="64" customFormat="1">
      <c r="A1251" s="316" t="s">
        <v>4635</v>
      </c>
      <c r="B1251" s="123" t="s">
        <v>7609</v>
      </c>
      <c r="C1251" s="256" t="s">
        <v>6617</v>
      </c>
      <c r="D1251" s="328" t="s">
        <v>1428</v>
      </c>
      <c r="E1251" s="122" t="str">
        <f t="shared" si="19"/>
        <v xml:space="preserve">3302 : 머니기관　토요일　휴무                </v>
      </c>
    </row>
    <row r="1252" spans="1:5" s="64" customFormat="1">
      <c r="A1252" s="316" t="s">
        <v>4635</v>
      </c>
      <c r="B1252" s="123" t="s">
        <v>7609</v>
      </c>
      <c r="C1252" s="256" t="s">
        <v>6618</v>
      </c>
      <c r="D1252" s="328" t="s">
        <v>1427</v>
      </c>
      <c r="E1252" s="122" t="str">
        <f t="shared" si="19"/>
        <v>3303 : 지정예약이체는예상당좌잔액내에서만가능</v>
      </c>
    </row>
    <row r="1253" spans="1:5" s="64" customFormat="1">
      <c r="A1253" s="316" t="s">
        <v>4635</v>
      </c>
      <c r="B1253" s="123" t="s">
        <v>7609</v>
      </c>
      <c r="C1253" s="256" t="s">
        <v>6619</v>
      </c>
      <c r="D1253" s="328" t="s">
        <v>1426</v>
      </c>
      <c r="E1253" s="122" t="str">
        <f t="shared" si="19"/>
        <v xml:space="preserve">3304 : 선택항목　입력　오류                  </v>
      </c>
    </row>
    <row r="1254" spans="1:5" s="64" customFormat="1">
      <c r="A1254" s="316" t="s">
        <v>4635</v>
      </c>
      <c r="B1254" s="123" t="s">
        <v>7609</v>
      </c>
      <c r="C1254" s="256" t="s">
        <v>6620</v>
      </c>
      <c r="D1254" s="328" t="s">
        <v>1425</v>
      </c>
      <c r="E1254" s="122" t="str">
        <f t="shared" si="19"/>
        <v xml:space="preserve">3401 : 기일물　입력　오류                    </v>
      </c>
    </row>
    <row r="1255" spans="1:5" s="64" customFormat="1">
      <c r="A1255" s="316" t="s">
        <v>4635</v>
      </c>
      <c r="B1255" s="123" t="s">
        <v>7609</v>
      </c>
      <c r="C1255" s="256" t="s">
        <v>6621</v>
      </c>
      <c r="D1255" s="328" t="s">
        <v>1424</v>
      </c>
      <c r="E1255" s="122" t="str">
        <f t="shared" si="19"/>
        <v xml:space="preserve">3402 : 대기거래종류가콜체결/상환이아닙니다 </v>
      </c>
    </row>
    <row r="1256" spans="1:5" s="64" customFormat="1">
      <c r="A1256" s="316" t="s">
        <v>4635</v>
      </c>
      <c r="B1256" s="123" t="s">
        <v>7609</v>
      </c>
      <c r="C1256" s="256" t="s">
        <v>6622</v>
      </c>
      <c r="D1256" s="328" t="s">
        <v>1423</v>
      </c>
      <c r="E1256" s="122" t="str">
        <f t="shared" si="19"/>
        <v xml:space="preserve">3403 : 신청기관과　콜론기관이　불일치        </v>
      </c>
    </row>
    <row r="1257" spans="1:5" s="64" customFormat="1">
      <c r="A1257" s="316" t="s">
        <v>4635</v>
      </c>
      <c r="B1257" s="123" t="s">
        <v>7609</v>
      </c>
      <c r="C1257" s="256" t="s">
        <v>6623</v>
      </c>
      <c r="D1257" s="328" t="s">
        <v>1422</v>
      </c>
      <c r="E1257" s="122" t="str">
        <f t="shared" si="19"/>
        <v xml:space="preserve">3404 : 예약거래처리（혼합형）　처리　오류    </v>
      </c>
    </row>
    <row r="1258" spans="1:5" s="64" customFormat="1">
      <c r="A1258" s="316" t="s">
        <v>4635</v>
      </c>
      <c r="B1258" s="123" t="s">
        <v>7609</v>
      </c>
      <c r="C1258" s="256" t="s">
        <v>6624</v>
      </c>
      <c r="D1258" s="328" t="s">
        <v>1421</v>
      </c>
      <c r="E1258" s="122" t="str">
        <f t="shared" si="19"/>
        <v xml:space="preserve">3405 : 예약상태가　아님                      </v>
      </c>
    </row>
    <row r="1259" spans="1:5" s="64" customFormat="1">
      <c r="A1259" s="316" t="s">
        <v>4635</v>
      </c>
      <c r="B1259" s="123" t="s">
        <v>7609</v>
      </c>
      <c r="C1259" s="256" t="s">
        <v>6625</v>
      </c>
      <c r="D1259" s="328" t="s">
        <v>1420</v>
      </c>
      <c r="E1259" s="122" t="str">
        <f t="shared" si="19"/>
        <v xml:space="preserve">3406 : 오후반일물콜상환　미결제              </v>
      </c>
    </row>
    <row r="1260" spans="1:5" s="64" customFormat="1">
      <c r="A1260" s="316" t="s">
        <v>4635</v>
      </c>
      <c r="B1260" s="123" t="s">
        <v>7609</v>
      </c>
      <c r="C1260" s="256" t="s">
        <v>6626</v>
      </c>
      <c r="D1260" s="328" t="s">
        <v>1419</v>
      </c>
      <c r="E1260" s="122" t="str">
        <f t="shared" si="19"/>
        <v xml:space="preserve">3407 : 처리종류오류-기일물및오전오후반일물 </v>
      </c>
    </row>
    <row r="1261" spans="1:5" s="64" customFormat="1">
      <c r="A1261" s="316" t="s">
        <v>4635</v>
      </c>
      <c r="B1261" s="123" t="s">
        <v>7609</v>
      </c>
      <c r="C1261" s="256" t="s">
        <v>6627</v>
      </c>
      <c r="D1261" s="328" t="s">
        <v>1418</v>
      </c>
      <c r="E1261" s="122" t="str">
        <f t="shared" si="19"/>
        <v xml:space="preserve">3408 : 콜론기관　오류                        </v>
      </c>
    </row>
    <row r="1262" spans="1:5" s="64" customFormat="1">
      <c r="A1262" s="316" t="s">
        <v>4635</v>
      </c>
      <c r="B1262" s="123" t="s">
        <v>7609</v>
      </c>
      <c r="C1262" s="256" t="s">
        <v>6628</v>
      </c>
      <c r="D1262" s="328" t="s">
        <v>1417</v>
      </c>
      <c r="E1262" s="122" t="str">
        <f t="shared" si="19"/>
        <v xml:space="preserve">3409 : 콜론기관계정개설처　오류              </v>
      </c>
    </row>
    <row r="1263" spans="1:5" s="64" customFormat="1">
      <c r="A1263" s="316" t="s">
        <v>4635</v>
      </c>
      <c r="B1263" s="123" t="s">
        <v>7609</v>
      </c>
      <c r="C1263" s="256" t="s">
        <v>6629</v>
      </c>
      <c r="D1263" s="328" t="s">
        <v>1416</v>
      </c>
      <c r="E1263" s="122" t="str">
        <f t="shared" si="19"/>
        <v xml:space="preserve">3410 : 콜상환이　대기상태가　아님            </v>
      </c>
    </row>
    <row r="1264" spans="1:5" s="64" customFormat="1">
      <c r="A1264" s="316" t="s">
        <v>4635</v>
      </c>
      <c r="B1264" s="123" t="s">
        <v>7609</v>
      </c>
      <c r="C1264" s="256" t="s">
        <v>6630</v>
      </c>
      <c r="D1264" s="328" t="s">
        <v>1415</v>
      </c>
      <c r="E1264" s="122" t="str">
        <f t="shared" si="19"/>
        <v>3411 : 콜체결거래상태가　대기상태가　아닙니다</v>
      </c>
    </row>
    <row r="1265" spans="1:5" s="64" customFormat="1">
      <c r="A1265" s="316" t="s">
        <v>4635</v>
      </c>
      <c r="B1265" s="123" t="s">
        <v>7609</v>
      </c>
      <c r="C1265" s="256" t="s">
        <v>6631</v>
      </c>
      <c r="D1265" s="328" t="s">
        <v>1414</v>
      </c>
      <c r="E1265" s="122" t="str">
        <f t="shared" si="19"/>
        <v xml:space="preserve">3412 : 콜상환 확인오류                     </v>
      </c>
    </row>
    <row r="1266" spans="1:5" s="64" customFormat="1">
      <c r="A1266" s="316" t="s">
        <v>4635</v>
      </c>
      <c r="B1266" s="123" t="s">
        <v>7609</v>
      </c>
      <c r="C1266" s="256" t="s">
        <v>6632</v>
      </c>
      <c r="D1266" s="328" t="s">
        <v>1413</v>
      </c>
      <c r="E1266" s="122" t="str">
        <f t="shared" si="19"/>
        <v xml:space="preserve">3413 : 콜체결 확인오류                     </v>
      </c>
    </row>
    <row r="1267" spans="1:5" s="64" customFormat="1">
      <c r="A1267" s="316" t="s">
        <v>4635</v>
      </c>
      <c r="B1267" s="123" t="s">
        <v>7609</v>
      </c>
      <c r="C1267" s="256" t="s">
        <v>6633</v>
      </c>
      <c r="D1267" s="328" t="s">
        <v>1412</v>
      </c>
      <c r="E1267" s="122" t="str">
        <f t="shared" si="19"/>
        <v xml:space="preserve">3414 : 콜체결 확인오류입니다               </v>
      </c>
    </row>
    <row r="1268" spans="1:5" s="64" customFormat="1">
      <c r="A1268" s="316" t="s">
        <v>4635</v>
      </c>
      <c r="B1268" s="123" t="s">
        <v>7609</v>
      </c>
      <c r="C1268" s="256" t="s">
        <v>6634</v>
      </c>
      <c r="D1268" s="328" t="s">
        <v>1411</v>
      </c>
      <c r="E1268" s="122" t="str">
        <f t="shared" si="19"/>
        <v xml:space="preserve">3415 : 콜체결(EB012)테이블 UPDATE  오류  </v>
      </c>
    </row>
    <row r="1269" spans="1:5" s="64" customFormat="1">
      <c r="A1269" s="316" t="s">
        <v>4635</v>
      </c>
      <c r="B1269" s="123" t="s">
        <v>7609</v>
      </c>
      <c r="C1269" s="256" t="s">
        <v>6635</v>
      </c>
      <c r="D1269" s="328" t="s">
        <v>1410</v>
      </c>
      <c r="E1269" s="122" t="str">
        <f t="shared" si="19"/>
        <v xml:space="preserve">3416 : 기일물콜　연결상환신청　마감상태　임  </v>
      </c>
    </row>
    <row r="1270" spans="1:5" s="64" customFormat="1">
      <c r="A1270" s="316" t="s">
        <v>4635</v>
      </c>
      <c r="B1270" s="123" t="s">
        <v>7609</v>
      </c>
      <c r="C1270" s="256" t="s">
        <v>6636</v>
      </c>
      <c r="D1270" s="328" t="s">
        <v>1409</v>
      </c>
      <c r="E1270" s="122" t="str">
        <f t="shared" si="19"/>
        <v xml:space="preserve">3417 : 콜상환　일련번호　오류                </v>
      </c>
    </row>
    <row r="1271" spans="1:5" s="64" customFormat="1">
      <c r="A1271" s="316" t="s">
        <v>4635</v>
      </c>
      <c r="B1271" s="123" t="s">
        <v>7609</v>
      </c>
      <c r="C1271" s="256" t="s">
        <v>6637</v>
      </c>
      <c r="D1271" s="328" t="s">
        <v>1408</v>
      </c>
      <c r="E1271" s="122" t="str">
        <f t="shared" si="19"/>
        <v xml:space="preserve">3418 : 미결제　상태가　아님                  </v>
      </c>
    </row>
    <row r="1272" spans="1:5" s="64" customFormat="1">
      <c r="A1272" s="316" t="s">
        <v>4635</v>
      </c>
      <c r="B1272" s="123" t="s">
        <v>7609</v>
      </c>
      <c r="C1272" s="256" t="s">
        <v>6638</v>
      </c>
      <c r="D1272" s="328" t="s">
        <v>1407</v>
      </c>
      <c r="E1272" s="122" t="str">
        <f t="shared" si="19"/>
        <v xml:space="preserve">3419 : 기일물이　아닙니다                    </v>
      </c>
    </row>
    <row r="1273" spans="1:5" s="64" customFormat="1">
      <c r="A1273" s="316" t="s">
        <v>4635</v>
      </c>
      <c r="B1273" s="123" t="s">
        <v>7609</v>
      </c>
      <c r="C1273" s="256" t="s">
        <v>6639</v>
      </c>
      <c r="D1273" s="328" t="s">
        <v>1406</v>
      </c>
      <c r="E1273" s="122" t="str">
        <f t="shared" si="19"/>
        <v xml:space="preserve">3420 : 연결신청　상태　임                    </v>
      </c>
    </row>
    <row r="1274" spans="1:5" s="64" customFormat="1">
      <c r="A1274" s="316" t="s">
        <v>4635</v>
      </c>
      <c r="B1274" s="123" t="s">
        <v>7609</v>
      </c>
      <c r="C1274" s="256" t="s">
        <v>6640</v>
      </c>
      <c r="D1274" s="328" t="s">
        <v>1405</v>
      </c>
      <c r="E1274" s="122" t="str">
        <f t="shared" si="19"/>
        <v xml:space="preserve">3421 : 지급지시유형이　보통만　가능합니다    </v>
      </c>
    </row>
    <row r="1275" spans="1:5" s="64" customFormat="1">
      <c r="A1275" s="316" t="s">
        <v>4635</v>
      </c>
      <c r="B1275" s="123" t="s">
        <v>7609</v>
      </c>
      <c r="C1275" s="256" t="s">
        <v>6641</v>
      </c>
      <c r="D1275" s="328" t="s">
        <v>1404</v>
      </c>
      <c r="E1275" s="122" t="str">
        <f t="shared" si="19"/>
        <v xml:space="preserve">3422 : 연결신청　상태가　아닙니다            </v>
      </c>
    </row>
    <row r="1276" spans="1:5" s="64" customFormat="1">
      <c r="A1276" s="316" t="s">
        <v>4635</v>
      </c>
      <c r="B1276" s="123" t="s">
        <v>7609</v>
      </c>
      <c r="C1276" s="256" t="s">
        <v>6642</v>
      </c>
      <c r="D1276" s="328" t="s">
        <v>1403</v>
      </c>
      <c r="E1276" s="122" t="str">
        <f t="shared" si="19"/>
        <v xml:space="preserve">3423 : 콜연결상환 확인오류                 </v>
      </c>
    </row>
    <row r="1277" spans="1:5" s="64" customFormat="1">
      <c r="A1277" s="316" t="s">
        <v>4635</v>
      </c>
      <c r="B1277" s="123" t="s">
        <v>7609</v>
      </c>
      <c r="C1277" s="256" t="s">
        <v>6643</v>
      </c>
      <c r="D1277" s="328" t="s">
        <v>1402</v>
      </c>
      <c r="E1277" s="122" t="str">
        <f t="shared" si="19"/>
        <v xml:space="preserve">3424 : 통보　거래코드가　한건이　아닙니다    </v>
      </c>
    </row>
    <row r="1278" spans="1:5" s="64" customFormat="1">
      <c r="A1278" s="316" t="s">
        <v>4635</v>
      </c>
      <c r="B1278" s="123" t="s">
        <v>7609</v>
      </c>
      <c r="C1278" s="256" t="s">
        <v>6644</v>
      </c>
      <c r="D1278" s="328" t="s">
        <v>1401</v>
      </c>
      <c r="E1278" s="122" t="str">
        <f t="shared" si="19"/>
        <v xml:space="preserve">3425 : 통보처리오류                          </v>
      </c>
    </row>
    <row r="1279" spans="1:5" s="64" customFormat="1">
      <c r="A1279" s="316" t="s">
        <v>4635</v>
      </c>
      <c r="B1279" s="123" t="s">
        <v>7609</v>
      </c>
      <c r="C1279" s="256" t="s">
        <v>6645</v>
      </c>
      <c r="D1279" s="328" t="s">
        <v>1400</v>
      </c>
      <c r="E1279" s="122" t="str">
        <f t="shared" si="19"/>
        <v xml:space="preserve">3426 : 연결상환확정신청　마감상태　임        </v>
      </c>
    </row>
    <row r="1280" spans="1:5" s="64" customFormat="1">
      <c r="A1280" s="316" t="s">
        <v>4635</v>
      </c>
      <c r="B1280" s="123" t="s">
        <v>7609</v>
      </c>
      <c r="C1280" s="256" t="s">
        <v>6646</v>
      </c>
      <c r="D1280" s="328" t="s">
        <v>1399</v>
      </c>
      <c r="E1280" s="122" t="str">
        <f t="shared" si="19"/>
        <v xml:space="preserve">3427 : 자동상환으로　전환된　상태　임        </v>
      </c>
    </row>
    <row r="1281" spans="1:5" s="64" customFormat="1">
      <c r="A1281" s="316" t="s">
        <v>4635</v>
      </c>
      <c r="B1281" s="123" t="s">
        <v>7609</v>
      </c>
      <c r="C1281" s="256" t="s">
        <v>6647</v>
      </c>
      <c r="D1281" s="328" t="s">
        <v>1398</v>
      </c>
      <c r="E1281" s="122" t="str">
        <f t="shared" si="19"/>
        <v xml:space="preserve">3428 : 연결번호　오류                        </v>
      </c>
    </row>
    <row r="1282" spans="1:5" s="64" customFormat="1">
      <c r="A1282" s="316" t="s">
        <v>4635</v>
      </c>
      <c r="B1282" s="123" t="s">
        <v>7609</v>
      </c>
      <c r="C1282" s="256" t="s">
        <v>6648</v>
      </c>
      <c r="D1282" s="328" t="s">
        <v>1397</v>
      </c>
      <c r="E1282" s="122" t="str">
        <f t="shared" si="19"/>
        <v xml:space="preserve">3429 : 신청시간　오류                        </v>
      </c>
    </row>
    <row r="1283" spans="1:5" s="64" customFormat="1">
      <c r="A1283" s="316" t="s">
        <v>4635</v>
      </c>
      <c r="B1283" s="123" t="s">
        <v>7609</v>
      </c>
      <c r="C1283" s="256" t="s">
        <v>6649</v>
      </c>
      <c r="D1283" s="328" t="s">
        <v>1396</v>
      </c>
      <c r="E1283" s="122" t="str">
        <f t="shared" si="19"/>
        <v xml:space="preserve">3430 : 신규보통지급지시　입력중지상태　임    </v>
      </c>
    </row>
    <row r="1284" spans="1:5" s="64" customFormat="1">
      <c r="A1284" s="316" t="s">
        <v>4635</v>
      </c>
      <c r="B1284" s="123" t="s">
        <v>7609</v>
      </c>
      <c r="C1284" s="256" t="s">
        <v>6650</v>
      </c>
      <c r="D1284" s="328" t="s">
        <v>1395</v>
      </c>
      <c r="E1284" s="122" t="str">
        <f t="shared" ref="E1284:E1347" si="20">_xlfn.TEXTJOIN(" : ",FALSE,C1284:D1284)</f>
        <v xml:space="preserve">3431 : 예약시간이　예약가능시간을　초과함    </v>
      </c>
    </row>
    <row r="1285" spans="1:5" s="64" customFormat="1">
      <c r="A1285" s="316" t="s">
        <v>4635</v>
      </c>
      <c r="B1285" s="123" t="s">
        <v>7609</v>
      </c>
      <c r="C1285" s="256" t="s">
        <v>6651</v>
      </c>
      <c r="D1285" s="328" t="s">
        <v>1394</v>
      </c>
      <c r="E1285" s="122" t="str">
        <f t="shared" si="20"/>
        <v xml:space="preserve">3432 : 금액이　콜거래최소금액　보다　적음    </v>
      </c>
    </row>
    <row r="1286" spans="1:5" s="64" customFormat="1">
      <c r="A1286" s="316" t="s">
        <v>4635</v>
      </c>
      <c r="B1286" s="123" t="s">
        <v>7609</v>
      </c>
      <c r="C1286" s="256" t="s">
        <v>6652</v>
      </c>
      <c r="D1286" s="328" t="s">
        <v>1393</v>
      </c>
      <c r="E1286" s="122" t="str">
        <f t="shared" si="20"/>
        <v xml:space="preserve">3433 : 기일물콜　예약입력　마감상태　임      </v>
      </c>
    </row>
    <row r="1287" spans="1:5" s="64" customFormat="1">
      <c r="A1287" s="316" t="s">
        <v>4635</v>
      </c>
      <c r="B1287" s="123" t="s">
        <v>7609</v>
      </c>
      <c r="C1287" s="256" t="s">
        <v>6653</v>
      </c>
      <c r="D1287" s="328" t="s">
        <v>1392</v>
      </c>
      <c r="E1287" s="122" t="str">
        <f t="shared" si="20"/>
        <v>3434 : 오전반일물　즉시거래　입력마감상태　임</v>
      </c>
    </row>
    <row r="1288" spans="1:5" s="64" customFormat="1">
      <c r="A1288" s="316" t="s">
        <v>4635</v>
      </c>
      <c r="B1288" s="123" t="s">
        <v>7609</v>
      </c>
      <c r="C1288" s="256" t="s">
        <v>6654</v>
      </c>
      <c r="D1288" s="328" t="s">
        <v>1391</v>
      </c>
      <c r="E1288" s="122" t="str">
        <f t="shared" si="20"/>
        <v>3435 : 오전반일물　예약거래　입력마감상태　임</v>
      </c>
    </row>
    <row r="1289" spans="1:5" s="64" customFormat="1">
      <c r="A1289" s="316" t="s">
        <v>4635</v>
      </c>
      <c r="B1289" s="123" t="s">
        <v>7609</v>
      </c>
      <c r="C1289" s="256" t="s">
        <v>6655</v>
      </c>
      <c r="D1289" s="328" t="s">
        <v>1390</v>
      </c>
      <c r="E1289" s="122" t="str">
        <f t="shared" si="20"/>
        <v>3436 : 오후반일물　즉시거래　입력마감상태　임</v>
      </c>
    </row>
    <row r="1290" spans="1:5" s="64" customFormat="1">
      <c r="A1290" s="316" t="s">
        <v>4635</v>
      </c>
      <c r="B1290" s="123" t="s">
        <v>7609</v>
      </c>
      <c r="C1290" s="256" t="s">
        <v>6656</v>
      </c>
      <c r="D1290" s="328" t="s">
        <v>1389</v>
      </c>
      <c r="E1290" s="122" t="str">
        <f t="shared" si="20"/>
        <v>3437 : 오후반일물　예약거래　입력마감상태　임</v>
      </c>
    </row>
    <row r="1291" spans="1:5" s="64" customFormat="1">
      <c r="A1291" s="316" t="s">
        <v>4635</v>
      </c>
      <c r="B1291" s="123" t="s">
        <v>7609</v>
      </c>
      <c r="C1291" s="256" t="s">
        <v>6657</v>
      </c>
      <c r="D1291" s="328" t="s">
        <v>1388</v>
      </c>
      <c r="E1291" s="122" t="str">
        <f t="shared" si="20"/>
        <v xml:space="preserve">3438 : 예약거래 처리오류                   </v>
      </c>
    </row>
    <row r="1292" spans="1:5" s="64" customFormat="1">
      <c r="A1292" s="316" t="s">
        <v>4635</v>
      </c>
      <c r="B1292" s="123" t="s">
        <v>7609</v>
      </c>
      <c r="C1292" s="256" t="s">
        <v>6658</v>
      </c>
      <c r="D1292" s="328" t="s">
        <v>1387</v>
      </c>
      <c r="E1292" s="122" t="str">
        <f t="shared" si="20"/>
        <v xml:space="preserve">3439 : 예약거래 취소오류                   </v>
      </c>
    </row>
    <row r="1293" spans="1:5" s="64" customFormat="1">
      <c r="A1293" s="316" t="s">
        <v>4635</v>
      </c>
      <c r="B1293" s="123" t="s">
        <v>7609</v>
      </c>
      <c r="C1293" s="256" t="s">
        <v>6659</v>
      </c>
      <c r="D1293" s="328" t="s">
        <v>1386</v>
      </c>
      <c r="E1293" s="122" t="str">
        <f t="shared" si="20"/>
        <v xml:space="preserve">3440 : 위탁기관（콜론기관）　오류            </v>
      </c>
    </row>
    <row r="1294" spans="1:5" s="64" customFormat="1">
      <c r="A1294" s="316" t="s">
        <v>4635</v>
      </c>
      <c r="B1294" s="123" t="s">
        <v>7609</v>
      </c>
      <c r="C1294" s="256" t="s">
        <v>6660</v>
      </c>
      <c r="D1294" s="328" t="s">
        <v>1385</v>
      </c>
      <c r="E1294" s="122" t="str">
        <f t="shared" si="20"/>
        <v xml:space="preserve">3441 : 이미　취소동의　상태　임              </v>
      </c>
    </row>
    <row r="1295" spans="1:5" s="64" customFormat="1">
      <c r="A1295" s="316" t="s">
        <v>4635</v>
      </c>
      <c r="B1295" s="123" t="s">
        <v>7609</v>
      </c>
      <c r="C1295" s="256" t="s">
        <v>6661</v>
      </c>
      <c r="D1295" s="328" t="s">
        <v>1384</v>
      </c>
      <c r="E1295" s="122" t="str">
        <f t="shared" si="20"/>
        <v xml:space="preserve">3442 : 콜론기관　취소동의후　거래요          </v>
      </c>
    </row>
    <row r="1296" spans="1:5" s="64" customFormat="1">
      <c r="A1296" s="316" t="s">
        <v>4635</v>
      </c>
      <c r="B1296" s="123" t="s">
        <v>7609</v>
      </c>
      <c r="C1296" s="256" t="s">
        <v>6662</v>
      </c>
      <c r="D1296" s="328" t="s">
        <v>1383</v>
      </c>
      <c r="E1296" s="122" t="str">
        <f t="shared" si="20"/>
        <v xml:space="preserve">3443 : 회계처리여부　오류                    </v>
      </c>
    </row>
    <row r="1297" spans="1:5" s="64" customFormat="1">
      <c r="A1297" s="316" t="s">
        <v>4635</v>
      </c>
      <c r="B1297" s="123" t="s">
        <v>7609</v>
      </c>
      <c r="C1297" s="256" t="s">
        <v>6663</v>
      </c>
      <c r="D1297" s="328" t="s">
        <v>1382</v>
      </c>
      <c r="E1297" s="122" t="str">
        <f t="shared" si="20"/>
        <v xml:space="preserve">3444 : 거래코드，프로그램　미등록(TBEB246)   </v>
      </c>
    </row>
    <row r="1298" spans="1:5" s="64" customFormat="1">
      <c r="A1298" s="316" t="s">
        <v>4635</v>
      </c>
      <c r="B1298" s="123" t="s">
        <v>7609</v>
      </c>
      <c r="C1298" s="256" t="s">
        <v>6664</v>
      </c>
      <c r="D1298" s="328" t="s">
        <v>1381</v>
      </c>
      <c r="E1298" s="122" t="str">
        <f t="shared" si="20"/>
        <v xml:space="preserve">3445 : 만기일　산출　오류                    </v>
      </c>
    </row>
    <row r="1299" spans="1:5" s="64" customFormat="1">
      <c r="A1299" s="316" t="s">
        <v>4635</v>
      </c>
      <c r="B1299" s="123" t="s">
        <v>7609</v>
      </c>
      <c r="C1299" s="256" t="s">
        <v>6665</v>
      </c>
      <c r="D1299" s="328" t="s">
        <v>1380</v>
      </c>
      <c r="E1299" s="122" t="str">
        <f t="shared" si="20"/>
        <v xml:space="preserve">3446 : 직접기일물콜수도 확인오류           </v>
      </c>
    </row>
    <row r="1300" spans="1:5" s="64" customFormat="1">
      <c r="A1300" s="316" t="s">
        <v>4635</v>
      </c>
      <c r="B1300" s="123" t="s">
        <v>7609</v>
      </c>
      <c r="C1300" s="256" t="s">
        <v>6666</v>
      </c>
      <c r="D1300" s="328" t="s">
        <v>1379</v>
      </c>
      <c r="E1300" s="122" t="str">
        <f t="shared" si="20"/>
        <v xml:space="preserve">3447 : 반일물콜수도 확인오류               </v>
      </c>
    </row>
    <row r="1301" spans="1:5" s="64" customFormat="1">
      <c r="A1301" s="316" t="s">
        <v>4635</v>
      </c>
      <c r="B1301" s="123" t="s">
        <v>7609</v>
      </c>
      <c r="C1301" s="256" t="s">
        <v>6667</v>
      </c>
      <c r="D1301" s="328" t="s">
        <v>1378</v>
      </c>
      <c r="E1301" s="122" t="str">
        <f t="shared" si="20"/>
        <v xml:space="preserve">3448 : 콜수도(EVENT)확인오류               </v>
      </c>
    </row>
    <row r="1302" spans="1:5" s="64" customFormat="1">
      <c r="A1302" s="316" t="s">
        <v>4635</v>
      </c>
      <c r="B1302" s="123" t="s">
        <v>7609</v>
      </c>
      <c r="C1302" s="256" t="s">
        <v>6668</v>
      </c>
      <c r="D1302" s="328" t="s">
        <v>1377</v>
      </c>
      <c r="E1302" s="122" t="str">
        <f t="shared" si="20"/>
        <v xml:space="preserve">3449 : 콜지급지시유형 변경내역 확인오류  </v>
      </c>
    </row>
    <row r="1303" spans="1:5" s="64" customFormat="1">
      <c r="A1303" s="316" t="s">
        <v>4635</v>
      </c>
      <c r="B1303" s="123" t="s">
        <v>7609</v>
      </c>
      <c r="C1303" s="256" t="s">
        <v>6669</v>
      </c>
      <c r="D1303" s="328" t="s">
        <v>1376</v>
      </c>
      <c r="E1303" s="122" t="str">
        <f t="shared" si="20"/>
        <v xml:space="preserve">3450 : 콜상환EVENT 테이블　오류            </v>
      </c>
    </row>
    <row r="1304" spans="1:5" s="64" customFormat="1">
      <c r="A1304" s="316" t="s">
        <v>4635</v>
      </c>
      <c r="B1304" s="123" t="s">
        <v>7609</v>
      </c>
      <c r="C1304" s="256" t="s">
        <v>6670</v>
      </c>
      <c r="D1304" s="328" t="s">
        <v>1375</v>
      </c>
      <c r="E1304" s="122" t="str">
        <f t="shared" si="20"/>
        <v xml:space="preserve">3451 : 콜거래　종류　오류                    </v>
      </c>
    </row>
    <row r="1305" spans="1:5" s="64" customFormat="1">
      <c r="A1305" s="316" t="s">
        <v>4635</v>
      </c>
      <c r="B1305" s="123" t="s">
        <v>7609</v>
      </c>
      <c r="C1305" s="256" t="s">
        <v>6671</v>
      </c>
      <c r="D1305" s="328" t="s">
        <v>1374</v>
      </c>
      <c r="E1305" s="122" t="str">
        <f t="shared" si="20"/>
        <v xml:space="preserve">3452 : 종료일자가　시작일자보다　큽니다      </v>
      </c>
    </row>
    <row r="1306" spans="1:5" s="64" customFormat="1">
      <c r="A1306" s="316" t="s">
        <v>4635</v>
      </c>
      <c r="B1306" s="123" t="s">
        <v>7609</v>
      </c>
      <c r="C1306" s="256" t="s">
        <v>6672</v>
      </c>
      <c r="D1306" s="328" t="s">
        <v>1373</v>
      </c>
      <c r="E1306" s="122" t="str">
        <f t="shared" si="20"/>
        <v xml:space="preserve">3453 : 상환일자　입력　오류                  </v>
      </c>
    </row>
    <row r="1307" spans="1:5" s="64" customFormat="1">
      <c r="A1307" s="316" t="s">
        <v>4635</v>
      </c>
      <c r="B1307" s="123" t="s">
        <v>7609</v>
      </c>
      <c r="C1307" s="256" t="s">
        <v>6673</v>
      </c>
      <c r="D1307" s="328" t="s">
        <v>1372</v>
      </c>
      <c r="E1307" s="122" t="str">
        <f t="shared" si="20"/>
        <v xml:space="preserve">3454 : 콜체결금액은　억단위로　입력하세요    </v>
      </c>
    </row>
    <row r="1308" spans="1:5" s="64" customFormat="1">
      <c r="A1308" s="316" t="s">
        <v>4635</v>
      </c>
      <c r="B1308" s="123" t="s">
        <v>7609</v>
      </c>
      <c r="C1308" s="256" t="s">
        <v>6674</v>
      </c>
      <c r="D1308" s="328" t="s">
        <v>1371</v>
      </c>
      <c r="E1308" s="122" t="str">
        <f t="shared" si="20"/>
        <v xml:space="preserve">3455 : 연결상환신청　신규기일물과　불일치함  </v>
      </c>
    </row>
    <row r="1309" spans="1:5" s="64" customFormat="1">
      <c r="A1309" s="316" t="s">
        <v>4635</v>
      </c>
      <c r="B1309" s="123" t="s">
        <v>7609</v>
      </c>
      <c r="C1309" s="256" t="s">
        <v>6675</v>
      </c>
      <c r="D1309" s="328" t="s">
        <v>1370</v>
      </c>
      <c r="E1309" s="122" t="str">
        <f t="shared" si="20"/>
        <v xml:space="preserve">3456 : 연결상환신청　신규금액과　불일치함    </v>
      </c>
    </row>
    <row r="1310" spans="1:5" s="64" customFormat="1">
      <c r="A1310" s="316" t="s">
        <v>4635</v>
      </c>
      <c r="B1310" s="123" t="s">
        <v>7609</v>
      </c>
      <c r="C1310" s="256" t="s">
        <v>6676</v>
      </c>
      <c r="D1310" s="328" t="s">
        <v>1369</v>
      </c>
      <c r="E1310" s="122" t="str">
        <f t="shared" si="20"/>
        <v xml:space="preserve">3457 : 연결상환신청　신규금리와　불일치함    </v>
      </c>
    </row>
    <row r="1311" spans="1:5" s="64" customFormat="1">
      <c r="A1311" s="316" t="s">
        <v>4635</v>
      </c>
      <c r="B1311" s="123" t="s">
        <v>7609</v>
      </c>
      <c r="C1311" s="256" t="s">
        <v>6677</v>
      </c>
      <c r="D1311" s="328" t="s">
        <v>1368</v>
      </c>
      <c r="E1311" s="122" t="str">
        <f t="shared" si="20"/>
        <v xml:space="preserve">3458 : 콜체결금액이　불일치함                </v>
      </c>
    </row>
    <row r="1312" spans="1:5" s="64" customFormat="1">
      <c r="A1312" s="316" t="s">
        <v>4635</v>
      </c>
      <c r="B1312" s="123" t="s">
        <v>7609</v>
      </c>
      <c r="C1312" s="256" t="s">
        <v>6678</v>
      </c>
      <c r="D1312" s="328" t="s">
        <v>1367</v>
      </c>
      <c r="E1312" s="122" t="str">
        <f t="shared" si="20"/>
        <v xml:space="preserve">3459 : 콜상환금액이　불일치함                </v>
      </c>
    </row>
    <row r="1313" spans="1:5" s="64" customFormat="1">
      <c r="A1313" s="316" t="s">
        <v>4635</v>
      </c>
      <c r="B1313" s="123" t="s">
        <v>7609</v>
      </c>
      <c r="C1313" s="256" t="s">
        <v>6679</v>
      </c>
      <c r="D1313" s="328" t="s">
        <v>1366</v>
      </c>
      <c r="E1313" s="122" t="str">
        <f t="shared" si="20"/>
        <v xml:space="preserve">3460 : 콜체결일련번호는　입력항목이　아님    </v>
      </c>
    </row>
    <row r="1314" spans="1:5" s="64" customFormat="1">
      <c r="A1314" s="316" t="s">
        <v>4635</v>
      </c>
      <c r="B1314" s="123" t="s">
        <v>7609</v>
      </c>
      <c r="C1314" s="256" t="s">
        <v>6680</v>
      </c>
      <c r="D1314" s="328" t="s">
        <v>1365</v>
      </c>
      <c r="E1314" s="122" t="str">
        <f t="shared" si="20"/>
        <v xml:space="preserve">3461 : 만기일자는　입력항목이　아님          </v>
      </c>
    </row>
    <row r="1315" spans="1:5" s="64" customFormat="1">
      <c r="A1315" s="316" t="s">
        <v>4635</v>
      </c>
      <c r="B1315" s="123" t="s">
        <v>7609</v>
      </c>
      <c r="C1315" s="256" t="s">
        <v>6681</v>
      </c>
      <c r="D1315" s="328" t="s">
        <v>1364</v>
      </c>
      <c r="E1315" s="122" t="str">
        <f t="shared" si="20"/>
        <v xml:space="preserve">3462 : 콜상환일련번호는　입력항목이　아님    </v>
      </c>
    </row>
    <row r="1316" spans="1:5" s="64" customFormat="1">
      <c r="A1316" s="316" t="s">
        <v>4635</v>
      </c>
      <c r="B1316" s="123" t="s">
        <v>7609</v>
      </c>
      <c r="C1316" s="256" t="s">
        <v>6682</v>
      </c>
      <c r="D1316" s="328" t="s">
        <v>1363</v>
      </c>
      <c r="E1316" s="122" t="str">
        <f t="shared" si="20"/>
        <v xml:space="preserve">3463 : 이자금액은　입력항목이　아님          </v>
      </c>
    </row>
    <row r="1317" spans="1:5" s="64" customFormat="1">
      <c r="A1317" s="316" t="s">
        <v>4635</v>
      </c>
      <c r="B1317" s="123" t="s">
        <v>7609</v>
      </c>
      <c r="C1317" s="256" t="s">
        <v>6683</v>
      </c>
      <c r="D1317" s="328" t="s">
        <v>1362</v>
      </c>
      <c r="E1317" s="122" t="str">
        <f t="shared" si="20"/>
        <v xml:space="preserve">3464 : 상환금액은　입력항목이　아님          </v>
      </c>
    </row>
    <row r="1318" spans="1:5" s="64" customFormat="1">
      <c r="A1318" s="316" t="s">
        <v>4635</v>
      </c>
      <c r="B1318" s="123" t="s">
        <v>7609</v>
      </c>
      <c r="C1318" s="256" t="s">
        <v>6684</v>
      </c>
      <c r="D1318" s="328" t="s">
        <v>1361</v>
      </c>
      <c r="E1318" s="122" t="str">
        <f t="shared" si="20"/>
        <v xml:space="preserve">3465 : 결제상태는　입력항목이　아님          </v>
      </c>
    </row>
    <row r="1319" spans="1:5" s="64" customFormat="1">
      <c r="A1319" s="316" t="s">
        <v>4635</v>
      </c>
      <c r="B1319" s="123" t="s">
        <v>7609</v>
      </c>
      <c r="C1319" s="256" t="s">
        <v>6685</v>
      </c>
      <c r="D1319" s="328" t="s">
        <v>1360</v>
      </c>
      <c r="E1319" s="122" t="str">
        <f t="shared" si="20"/>
        <v xml:space="preserve">3466 : 예약번호는　입력항목이　아님          </v>
      </c>
    </row>
    <row r="1320" spans="1:5" s="64" customFormat="1">
      <c r="A1320" s="316" t="s">
        <v>4635</v>
      </c>
      <c r="B1320" s="123" t="s">
        <v>7609</v>
      </c>
      <c r="C1320" s="256" t="s">
        <v>6686</v>
      </c>
      <c r="D1320" s="328" t="s">
        <v>1359</v>
      </c>
      <c r="E1320" s="122" t="str">
        <f t="shared" si="20"/>
        <v xml:space="preserve">3467 : 회계번호는　입력항목이　아님          </v>
      </c>
    </row>
    <row r="1321" spans="1:5" s="64" customFormat="1">
      <c r="A1321" s="316" t="s">
        <v>4635</v>
      </c>
      <c r="B1321" s="123" t="s">
        <v>7609</v>
      </c>
      <c r="C1321" s="256" t="s">
        <v>6687</v>
      </c>
      <c r="D1321" s="328" t="s">
        <v>1358</v>
      </c>
      <c r="E1321" s="122" t="str">
        <f t="shared" si="20"/>
        <v xml:space="preserve">3468 : 대기번호는　입력항목이　아님          </v>
      </c>
    </row>
    <row r="1322" spans="1:5" s="64" customFormat="1">
      <c r="A1322" s="316" t="s">
        <v>4635</v>
      </c>
      <c r="B1322" s="123" t="s">
        <v>7609</v>
      </c>
      <c r="C1322" s="256" t="s">
        <v>6688</v>
      </c>
      <c r="D1322" s="328" t="s">
        <v>1357</v>
      </c>
      <c r="E1322" s="122" t="str">
        <f t="shared" si="20"/>
        <v xml:space="preserve">3469 : 복합대기순서는　입력항목이　아님      </v>
      </c>
    </row>
    <row r="1323" spans="1:5" s="64" customFormat="1">
      <c r="A1323" s="316" t="s">
        <v>4635</v>
      </c>
      <c r="B1323" s="123" t="s">
        <v>7609</v>
      </c>
      <c r="C1323" s="256" t="s">
        <v>6689</v>
      </c>
      <c r="D1323" s="328" t="s">
        <v>1356</v>
      </c>
      <c r="E1323" s="122" t="str">
        <f t="shared" si="20"/>
        <v xml:space="preserve">3470 : 신청시간은　입력항목이　아님          </v>
      </c>
    </row>
    <row r="1324" spans="1:5" s="64" customFormat="1">
      <c r="A1324" s="316" t="s">
        <v>4635</v>
      </c>
      <c r="B1324" s="123" t="s">
        <v>7609</v>
      </c>
      <c r="C1324" s="256" t="s">
        <v>6690</v>
      </c>
      <c r="D1324" s="328" t="s">
        <v>1355</v>
      </c>
      <c r="E1324" s="122" t="str">
        <f t="shared" si="20"/>
        <v xml:space="preserve">3471 : 결제시간은　입력항목이　아님          </v>
      </c>
    </row>
    <row r="1325" spans="1:5" s="64" customFormat="1">
      <c r="A1325" s="316" t="s">
        <v>4635</v>
      </c>
      <c r="B1325" s="123" t="s">
        <v>7609</v>
      </c>
      <c r="C1325" s="256" t="s">
        <v>6691</v>
      </c>
      <c r="D1325" s="328" t="s">
        <v>1354</v>
      </c>
      <c r="E1325" s="122" t="str">
        <f t="shared" si="20"/>
        <v xml:space="preserve">3472 : 결제방법은　입력항목이　아님          </v>
      </c>
    </row>
    <row r="1326" spans="1:5" s="64" customFormat="1">
      <c r="A1326" s="316" t="s">
        <v>4635</v>
      </c>
      <c r="B1326" s="123" t="s">
        <v>7609</v>
      </c>
      <c r="C1326" s="256" t="s">
        <v>6692</v>
      </c>
      <c r="D1326" s="328" t="s">
        <v>1353</v>
      </c>
      <c r="E1326" s="122" t="str">
        <f t="shared" si="20"/>
        <v xml:space="preserve">3473 : 결제실패원인은　입력항목이　아님      </v>
      </c>
    </row>
    <row r="1327" spans="1:5" s="64" customFormat="1">
      <c r="A1327" s="316" t="s">
        <v>4635</v>
      </c>
      <c r="B1327" s="123" t="s">
        <v>7609</v>
      </c>
      <c r="C1327" s="256" t="s">
        <v>6693</v>
      </c>
      <c r="D1327" s="328" t="s">
        <v>1352</v>
      </c>
      <c r="E1327" s="122" t="str">
        <f t="shared" si="20"/>
        <v xml:space="preserve">3474 : 당좌예금잔액은　입력항목이　아님      </v>
      </c>
    </row>
    <row r="1328" spans="1:5" s="64" customFormat="1">
      <c r="A1328" s="316" t="s">
        <v>4635</v>
      </c>
      <c r="B1328" s="123" t="s">
        <v>7609</v>
      </c>
      <c r="C1328" s="256" t="s">
        <v>6694</v>
      </c>
      <c r="D1328" s="328" t="s">
        <v>1351</v>
      </c>
      <c r="E1328" s="122" t="str">
        <f t="shared" si="20"/>
        <v xml:space="preserve">3475 : 결제전용예금잔액은　입력항목이　아님  </v>
      </c>
    </row>
    <row r="1329" spans="1:5" s="64" customFormat="1">
      <c r="A1329" s="316" t="s">
        <v>4635</v>
      </c>
      <c r="B1329" s="123" t="s">
        <v>7609</v>
      </c>
      <c r="C1329" s="256" t="s">
        <v>6695</v>
      </c>
      <c r="D1329" s="328" t="s">
        <v>1350</v>
      </c>
      <c r="E1329" s="122" t="str">
        <f t="shared" si="20"/>
        <v xml:space="preserve">3476 : 당좌대출가능금액은　입력항목이　아님  </v>
      </c>
    </row>
    <row r="1330" spans="1:5" s="64" customFormat="1">
      <c r="A1330" s="316" t="s">
        <v>4635</v>
      </c>
      <c r="B1330" s="123" t="s">
        <v>7609</v>
      </c>
      <c r="C1330" s="256" t="s">
        <v>6696</v>
      </c>
      <c r="D1330" s="328" t="s">
        <v>1349</v>
      </c>
      <c r="E1330" s="122" t="str">
        <f t="shared" si="20"/>
        <v xml:space="preserve">3477 : 가용총순지급한도는　입력항목이　아님  </v>
      </c>
    </row>
    <row r="1331" spans="1:5" s="64" customFormat="1">
      <c r="A1331" s="316" t="s">
        <v>4635</v>
      </c>
      <c r="B1331" s="123" t="s">
        <v>7609</v>
      </c>
      <c r="C1331" s="256" t="s">
        <v>6697</v>
      </c>
      <c r="D1331" s="328" t="s">
        <v>1348</v>
      </c>
      <c r="E1331" s="122" t="str">
        <f t="shared" si="20"/>
        <v>3478 : 가용양자간순지급한도는　입력항목　아님</v>
      </c>
    </row>
    <row r="1332" spans="1:5" s="64" customFormat="1">
      <c r="A1332" s="316" t="s">
        <v>4635</v>
      </c>
      <c r="B1332" s="123" t="s">
        <v>7609</v>
      </c>
      <c r="C1332" s="256" t="s">
        <v>6698</v>
      </c>
      <c r="D1332" s="328" t="s">
        <v>1344</v>
      </c>
      <c r="E1332" s="122" t="str">
        <f t="shared" si="20"/>
        <v xml:space="preserve">3479 : 신규거래종류는　입력항목이　아님      </v>
      </c>
    </row>
    <row r="1333" spans="1:5" s="64" customFormat="1">
      <c r="A1333" s="316" t="s">
        <v>4635</v>
      </c>
      <c r="B1333" s="123" t="s">
        <v>7609</v>
      </c>
      <c r="C1333" s="256" t="s">
        <v>6699</v>
      </c>
      <c r="D1333" s="328" t="s">
        <v>1347</v>
      </c>
      <c r="E1333" s="122" t="str">
        <f t="shared" si="20"/>
        <v xml:space="preserve">3480 : 처리상태는　입력항목이　아님          </v>
      </c>
    </row>
    <row r="1334" spans="1:5" s="64" customFormat="1">
      <c r="A1334" s="316" t="s">
        <v>4635</v>
      </c>
      <c r="B1334" s="123" t="s">
        <v>7609</v>
      </c>
      <c r="C1334" s="256" t="s">
        <v>6700</v>
      </c>
      <c r="D1334" s="328" t="s">
        <v>1346</v>
      </c>
      <c r="E1334" s="122" t="str">
        <f t="shared" si="20"/>
        <v xml:space="preserve">3481 : 처리시간은　입력항목이　아님          </v>
      </c>
    </row>
    <row r="1335" spans="1:5" s="64" customFormat="1">
      <c r="A1335" s="316" t="s">
        <v>4635</v>
      </c>
      <c r="B1335" s="123" t="s">
        <v>7609</v>
      </c>
      <c r="C1335" s="256" t="s">
        <v>6701</v>
      </c>
      <c r="D1335" s="328" t="s">
        <v>1345</v>
      </c>
      <c r="E1335" s="122" t="str">
        <f t="shared" si="20"/>
        <v xml:space="preserve">3482 : 신규담보여부는　입력항목이　아님      </v>
      </c>
    </row>
    <row r="1336" spans="1:5" s="64" customFormat="1">
      <c r="A1336" s="316" t="s">
        <v>4635</v>
      </c>
      <c r="B1336" s="123" t="s">
        <v>7609</v>
      </c>
      <c r="C1336" s="256" t="s">
        <v>6702</v>
      </c>
      <c r="D1336" s="328" t="s">
        <v>1344</v>
      </c>
      <c r="E1336" s="122" t="str">
        <f t="shared" si="20"/>
        <v xml:space="preserve">3483 : 신규거래종류는　입력항목이　아님      </v>
      </c>
    </row>
    <row r="1337" spans="1:5" s="64" customFormat="1">
      <c r="A1337" s="316" t="s">
        <v>4635</v>
      </c>
      <c r="B1337" s="123" t="s">
        <v>7609</v>
      </c>
      <c r="C1337" s="256" t="s">
        <v>6703</v>
      </c>
      <c r="D1337" s="328" t="s">
        <v>1343</v>
      </c>
      <c r="E1337" s="122" t="str">
        <f t="shared" si="20"/>
        <v>3484 : 신규콜체결일련번호는　입력항목이　아님</v>
      </c>
    </row>
    <row r="1338" spans="1:5" s="64" customFormat="1">
      <c r="A1338" s="316" t="s">
        <v>4635</v>
      </c>
      <c r="B1338" s="123" t="s">
        <v>7609</v>
      </c>
      <c r="C1338" s="256" t="s">
        <v>6704</v>
      </c>
      <c r="D1338" s="328" t="s">
        <v>1342</v>
      </c>
      <c r="E1338" s="122" t="str">
        <f t="shared" si="20"/>
        <v>3485 : 신규콜상환일련번호는　입력항목이　아님</v>
      </c>
    </row>
    <row r="1339" spans="1:5" s="64" customFormat="1">
      <c r="A1339" s="316" t="s">
        <v>4635</v>
      </c>
      <c r="B1339" s="123" t="s">
        <v>7609</v>
      </c>
      <c r="C1339" s="256" t="s">
        <v>6705</v>
      </c>
      <c r="D1339" s="328" t="s">
        <v>1341</v>
      </c>
      <c r="E1339" s="122" t="str">
        <f t="shared" si="20"/>
        <v xml:space="preserve">3486 : 신규만기일자는　입력항목이　아님      </v>
      </c>
    </row>
    <row r="1340" spans="1:5" s="64" customFormat="1">
      <c r="A1340" s="316" t="s">
        <v>4635</v>
      </c>
      <c r="B1340" s="123" t="s">
        <v>7609</v>
      </c>
      <c r="C1340" s="256" t="s">
        <v>6706</v>
      </c>
      <c r="D1340" s="328" t="s">
        <v>1340</v>
      </c>
      <c r="E1340" s="122" t="str">
        <f t="shared" si="20"/>
        <v xml:space="preserve">3487 : 신규이자금액은　입력항목이　아님      </v>
      </c>
    </row>
    <row r="1341" spans="1:5" s="64" customFormat="1">
      <c r="A1341" s="316" t="s">
        <v>4635</v>
      </c>
      <c r="B1341" s="123" t="s">
        <v>7609</v>
      </c>
      <c r="C1341" s="256" t="s">
        <v>6707</v>
      </c>
      <c r="D1341" s="328" t="s">
        <v>1339</v>
      </c>
      <c r="E1341" s="122" t="str">
        <f t="shared" si="20"/>
        <v xml:space="preserve">3488 : 신규상환금액은　입력항목이　아님      </v>
      </c>
    </row>
    <row r="1342" spans="1:5" s="64" customFormat="1">
      <c r="A1342" s="316" t="s">
        <v>4635</v>
      </c>
      <c r="B1342" s="123" t="s">
        <v>7609</v>
      </c>
      <c r="C1342" s="256" t="s">
        <v>6708</v>
      </c>
      <c r="D1342" s="328" t="s">
        <v>1338</v>
      </c>
      <c r="E1342" s="122" t="str">
        <f t="shared" si="20"/>
        <v xml:space="preserve">3489 : 콜상환회계번호는　입력항목이　아님    </v>
      </c>
    </row>
    <row r="1343" spans="1:5" s="64" customFormat="1">
      <c r="A1343" s="316" t="s">
        <v>4635</v>
      </c>
      <c r="B1343" s="123" t="s">
        <v>7609</v>
      </c>
      <c r="C1343" s="256" t="s">
        <v>6709</v>
      </c>
      <c r="D1343" s="328" t="s">
        <v>1337</v>
      </c>
      <c r="E1343" s="122" t="str">
        <f t="shared" si="20"/>
        <v xml:space="preserve">3490 : 콜체결회계번호는　입력항목이　아님    </v>
      </c>
    </row>
    <row r="1344" spans="1:5" s="64" customFormat="1">
      <c r="A1344" s="316" t="s">
        <v>4635</v>
      </c>
      <c r="B1344" s="123" t="s">
        <v>7609</v>
      </c>
      <c r="C1344" s="256" t="s">
        <v>6710</v>
      </c>
      <c r="D1344" s="328" t="s">
        <v>1336</v>
      </c>
      <c r="E1344" s="122" t="str">
        <f t="shared" si="20"/>
        <v xml:space="preserve">3491 : 일련번호는　입력항목이　아님          </v>
      </c>
    </row>
    <row r="1345" spans="1:5" s="64" customFormat="1">
      <c r="A1345" s="316" t="s">
        <v>4635</v>
      </c>
      <c r="B1345" s="123" t="s">
        <v>7609</v>
      </c>
      <c r="C1345" s="256" t="s">
        <v>6711</v>
      </c>
      <c r="D1345" s="328" t="s">
        <v>1335</v>
      </c>
      <c r="E1345" s="122" t="str">
        <f t="shared" si="20"/>
        <v xml:space="preserve">3492 : 거래참조번호는　입력항목이　아님      </v>
      </c>
    </row>
    <row r="1346" spans="1:5" s="64" customFormat="1">
      <c r="A1346" s="316" t="s">
        <v>4635</v>
      </c>
      <c r="B1346" s="123" t="s">
        <v>7609</v>
      </c>
      <c r="C1346" s="256" t="s">
        <v>6712</v>
      </c>
      <c r="D1346" s="328" t="s">
        <v>1334</v>
      </c>
      <c r="E1346" s="122" t="str">
        <f t="shared" si="20"/>
        <v xml:space="preserve">3493 : 거래선택　입력　오류                  </v>
      </c>
    </row>
    <row r="1347" spans="1:5" s="64" customFormat="1">
      <c r="A1347" s="316" t="s">
        <v>4635</v>
      </c>
      <c r="B1347" s="123" t="s">
        <v>7609</v>
      </c>
      <c r="C1347" s="256" t="s">
        <v>6713</v>
      </c>
      <c r="D1347" s="328" t="s">
        <v>1333</v>
      </c>
      <c r="E1347" s="122" t="str">
        <f t="shared" si="20"/>
        <v xml:space="preserve">3494 : 콜체결일련번호　입력　오류            </v>
      </c>
    </row>
    <row r="1348" spans="1:5" s="64" customFormat="1">
      <c r="A1348" s="316" t="s">
        <v>4635</v>
      </c>
      <c r="B1348" s="123" t="s">
        <v>7609</v>
      </c>
      <c r="C1348" s="256" t="s">
        <v>6714</v>
      </c>
      <c r="D1348" s="328" t="s">
        <v>1332</v>
      </c>
      <c r="E1348" s="122" t="str">
        <f t="shared" ref="E1348:E1411" si="21">_xlfn.TEXTJOIN(" : ",FALSE,C1348:D1348)</f>
        <v xml:space="preserve">3495 : 반복수는　입력항목이　아님            </v>
      </c>
    </row>
    <row r="1349" spans="1:5" s="64" customFormat="1">
      <c r="A1349" s="316" t="s">
        <v>4635</v>
      </c>
      <c r="B1349" s="123" t="s">
        <v>7609</v>
      </c>
      <c r="C1349" s="256" t="s">
        <v>6715</v>
      </c>
      <c r="D1349" s="328" t="s">
        <v>1331</v>
      </c>
      <c r="E1349" s="122" t="str">
        <f t="shared" si="21"/>
        <v xml:space="preserve">3496 : 징수여부는　입력항목이　아님          </v>
      </c>
    </row>
    <row r="1350" spans="1:5" s="64" customFormat="1">
      <c r="A1350" s="316" t="s">
        <v>4635</v>
      </c>
      <c r="B1350" s="123" t="s">
        <v>7609</v>
      </c>
      <c r="C1350" s="256" t="s">
        <v>6716</v>
      </c>
      <c r="D1350" s="328" t="s">
        <v>1330</v>
      </c>
      <c r="E1350" s="122" t="str">
        <f t="shared" si="21"/>
        <v xml:space="preserve">3497 : 징수년월일은　입력항목이　아님        </v>
      </c>
    </row>
    <row r="1351" spans="1:5" s="64" customFormat="1">
      <c r="A1351" s="316" t="s">
        <v>4635</v>
      </c>
      <c r="B1351" s="123" t="s">
        <v>7609</v>
      </c>
      <c r="C1351" s="256" t="s">
        <v>6717</v>
      </c>
      <c r="D1351" s="328" t="s">
        <v>1329</v>
      </c>
      <c r="E1351" s="122" t="str">
        <f t="shared" si="21"/>
        <v>3498 : 국고전산망사용금액은　입력항목이　아님</v>
      </c>
    </row>
    <row r="1352" spans="1:5" s="64" customFormat="1">
      <c r="A1352" s="316" t="s">
        <v>4635</v>
      </c>
      <c r="B1352" s="123" t="s">
        <v>7609</v>
      </c>
      <c r="C1352" s="256" t="s">
        <v>6718</v>
      </c>
      <c r="D1352" s="328" t="s">
        <v>1328</v>
      </c>
      <c r="E1352" s="122" t="str">
        <f t="shared" si="21"/>
        <v>3499 : 징수(예정)금액은　입력항목이　아님</v>
      </c>
    </row>
    <row r="1353" spans="1:5" s="64" customFormat="1">
      <c r="A1353" s="316" t="s">
        <v>4635</v>
      </c>
      <c r="B1353" s="123" t="s">
        <v>7609</v>
      </c>
      <c r="C1353" s="256" t="s">
        <v>6719</v>
      </c>
      <c r="D1353" s="328" t="s">
        <v>1327</v>
      </c>
      <c r="E1353" s="122" t="str">
        <f t="shared" si="21"/>
        <v xml:space="preserve">3500 : 통신회선사업자는　입력항목이　아님    </v>
      </c>
    </row>
    <row r="1354" spans="1:5" s="64" customFormat="1">
      <c r="A1354" s="316" t="s">
        <v>4635</v>
      </c>
      <c r="B1354" s="123" t="s">
        <v>7609</v>
      </c>
      <c r="C1354" s="256" t="s">
        <v>6720</v>
      </c>
      <c r="D1354" s="328" t="s">
        <v>1326</v>
      </c>
      <c r="E1354" s="122" t="str">
        <f t="shared" si="21"/>
        <v xml:space="preserve">3501 : 신규체결금액　입력　오류              </v>
      </c>
    </row>
    <row r="1355" spans="1:5" s="64" customFormat="1">
      <c r="A1355" s="316" t="s">
        <v>4635</v>
      </c>
      <c r="B1355" s="123" t="s">
        <v>7609</v>
      </c>
      <c r="C1355" s="256" t="s">
        <v>6721</v>
      </c>
      <c r="D1355" s="328" t="s">
        <v>1325</v>
      </c>
      <c r="E1355" s="122" t="str">
        <f t="shared" si="21"/>
        <v xml:space="preserve">3502 : 송신기관과　콜론기관　불일치          </v>
      </c>
    </row>
    <row r="1356" spans="1:5" s="64" customFormat="1">
      <c r="A1356" s="316" t="s">
        <v>4635</v>
      </c>
      <c r="B1356" s="123" t="s">
        <v>7609</v>
      </c>
      <c r="C1356" s="256" t="s">
        <v>6722</v>
      </c>
      <c r="D1356" s="328" t="s">
        <v>1324</v>
      </c>
      <c r="E1356" s="122" t="str">
        <f t="shared" si="21"/>
        <v xml:space="preserve">3503 : 송신기관과　콜머니기관　불일치        </v>
      </c>
    </row>
    <row r="1357" spans="1:5" s="64" customFormat="1">
      <c r="A1357" s="316" t="s">
        <v>4635</v>
      </c>
      <c r="B1357" s="123" t="s">
        <v>7609</v>
      </c>
      <c r="C1357" s="256" t="s">
        <v>6723</v>
      </c>
      <c r="D1357" s="328" t="s">
        <v>1323</v>
      </c>
      <c r="E1357" s="122" t="str">
        <f t="shared" si="21"/>
        <v xml:space="preserve">3504 : 송신기관과　대행기관　불일치          </v>
      </c>
    </row>
    <row r="1358" spans="1:5" s="64" customFormat="1">
      <c r="A1358" s="316" t="s">
        <v>4635</v>
      </c>
      <c r="B1358" s="123" t="s">
        <v>7609</v>
      </c>
      <c r="C1358" s="256" t="s">
        <v>6724</v>
      </c>
      <c r="D1358" s="328" t="s">
        <v>1322</v>
      </c>
      <c r="E1358" s="122" t="str">
        <f t="shared" si="21"/>
        <v xml:space="preserve">3505 : 반일물콜은지급지시유형변경불가합니다  </v>
      </c>
    </row>
    <row r="1359" spans="1:5" s="64" customFormat="1">
      <c r="A1359" s="316" t="s">
        <v>4635</v>
      </c>
      <c r="B1359" s="123" t="s">
        <v>7609</v>
      </c>
      <c r="C1359" s="256" t="s">
        <v>6725</v>
      </c>
      <c r="D1359" s="328" t="s">
        <v>1321</v>
      </c>
      <c r="E1359" s="122" t="str">
        <f t="shared" si="21"/>
        <v>3506 : 공급마감시간을　예약시각으로　지정불가</v>
      </c>
    </row>
    <row r="1360" spans="1:5" s="64" customFormat="1">
      <c r="A1360" s="316" t="s">
        <v>4635</v>
      </c>
      <c r="B1360" s="123" t="s">
        <v>7609</v>
      </c>
      <c r="C1360" s="256" t="s">
        <v>6726</v>
      </c>
      <c r="D1360" s="328" t="s">
        <v>1320</v>
      </c>
      <c r="E1360" s="122" t="str">
        <f t="shared" si="21"/>
        <v xml:space="preserve">3507 : 콜중개거래 참가기관코드 확인      </v>
      </c>
    </row>
    <row r="1361" spans="1:5" s="64" customFormat="1">
      <c r="A1361" s="316" t="s">
        <v>4635</v>
      </c>
      <c r="B1361" s="123" t="s">
        <v>7609</v>
      </c>
      <c r="C1361" s="256" t="s">
        <v>6727</v>
      </c>
      <c r="D1361" s="328" t="s">
        <v>1319</v>
      </c>
      <c r="E1361" s="122" t="str">
        <f t="shared" si="21"/>
        <v xml:space="preserve">3508 : 콜중개거래참가기관명확인　　　　　　  </v>
      </c>
    </row>
    <row r="1362" spans="1:5" s="64" customFormat="1">
      <c r="A1362" s="316" t="s">
        <v>4635</v>
      </c>
      <c r="B1362" s="123" t="s">
        <v>7609</v>
      </c>
      <c r="C1362" s="256" t="s">
        <v>6728</v>
      </c>
      <c r="D1362" s="328" t="s">
        <v>1318</v>
      </c>
      <c r="E1362" s="122" t="str">
        <f t="shared" si="21"/>
        <v xml:space="preserve">3509 : 콜중개거래참가기관통합코드확인　　　  </v>
      </c>
    </row>
    <row r="1363" spans="1:5" s="64" customFormat="1">
      <c r="A1363" s="316" t="s">
        <v>4635</v>
      </c>
      <c r="B1363" s="123" t="s">
        <v>7609</v>
      </c>
      <c r="C1363" s="256" t="s">
        <v>6729</v>
      </c>
      <c r="D1363" s="328" t="s">
        <v>1317</v>
      </c>
      <c r="E1363" s="122" t="str">
        <f t="shared" si="21"/>
        <v xml:space="preserve">3510 : 중개회사콜체결번호확인　　　　　　　  </v>
      </c>
    </row>
    <row r="1364" spans="1:5" s="64" customFormat="1">
      <c r="A1364" s="316" t="s">
        <v>4635</v>
      </c>
      <c r="B1364" s="123" t="s">
        <v>7609</v>
      </c>
      <c r="C1364" s="256" t="s">
        <v>6730</v>
      </c>
      <c r="D1364" s="328" t="s">
        <v>1316</v>
      </c>
      <c r="E1364" s="122" t="str">
        <f t="shared" si="21"/>
        <v xml:space="preserve">3511 : 중개회사콜체결번호중복　　　　　　　  </v>
      </c>
    </row>
    <row r="1365" spans="1:5" s="64" customFormat="1">
      <c r="A1365" s="316" t="s">
        <v>4635</v>
      </c>
      <c r="B1365" s="123" t="s">
        <v>7609</v>
      </c>
      <c r="C1365" s="256" t="s">
        <v>6731</v>
      </c>
      <c r="D1365" s="328" t="s">
        <v>1315</v>
      </c>
      <c r="E1365" s="122" t="str">
        <f t="shared" si="21"/>
        <v xml:space="preserve">3512 : 중개회사콜체결내역테이블조회오류　　  </v>
      </c>
    </row>
    <row r="1366" spans="1:5" s="64" customFormat="1">
      <c r="A1366" s="316" t="s">
        <v>4635</v>
      </c>
      <c r="B1366" s="123" t="s">
        <v>7609</v>
      </c>
      <c r="C1366" s="256" t="s">
        <v>6732</v>
      </c>
      <c r="D1366" s="328" t="s">
        <v>1314</v>
      </c>
      <c r="E1366" s="122" t="str">
        <f t="shared" si="21"/>
        <v xml:space="preserve">3513 : 상환금액 불일치                     </v>
      </c>
    </row>
    <row r="1367" spans="1:5" s="64" customFormat="1">
      <c r="A1367" s="316" t="s">
        <v>4635</v>
      </c>
      <c r="B1367" s="123" t="s">
        <v>7609</v>
      </c>
      <c r="C1367" s="256" t="s">
        <v>6733</v>
      </c>
      <c r="D1367" s="328" t="s">
        <v>1313</v>
      </c>
      <c r="E1367" s="122" t="str">
        <f t="shared" si="21"/>
        <v xml:space="preserve">3514 : 결제구분확인　　　　　　　　　　　　  </v>
      </c>
    </row>
    <row r="1368" spans="1:5" s="64" customFormat="1">
      <c r="A1368" s="316" t="s">
        <v>4635</v>
      </c>
      <c r="B1368" s="123" t="s">
        <v>7609</v>
      </c>
      <c r="C1368" s="256" t="s">
        <v>6734</v>
      </c>
      <c r="D1368" s="328" t="s">
        <v>1312</v>
      </c>
      <c r="E1368" s="122" t="str">
        <f t="shared" si="21"/>
        <v xml:space="preserve">3515 : 중개회사부여콜공급업체코드확인　　　  </v>
      </c>
    </row>
    <row r="1369" spans="1:5" s="64" customFormat="1">
      <c r="A1369" s="316" t="s">
        <v>4635</v>
      </c>
      <c r="B1369" s="123" t="s">
        <v>7609</v>
      </c>
      <c r="C1369" s="256" t="s">
        <v>6735</v>
      </c>
      <c r="D1369" s="328" t="s">
        <v>1311</v>
      </c>
      <c r="E1369" s="122" t="str">
        <f t="shared" si="21"/>
        <v xml:space="preserve">3516 : 중개회사부여콜공급업체코드미등록　　  </v>
      </c>
    </row>
    <row r="1370" spans="1:5" s="64" customFormat="1">
      <c r="A1370" s="316" t="s">
        <v>4635</v>
      </c>
      <c r="B1370" s="123" t="s">
        <v>7609</v>
      </c>
      <c r="C1370" s="256" t="s">
        <v>6736</v>
      </c>
      <c r="D1370" s="328" t="s">
        <v>1310</v>
      </c>
      <c r="E1370" s="122" t="str">
        <f t="shared" si="21"/>
        <v xml:space="preserve">3517 : 중개회사부여콜공급업체코드테이블조회  </v>
      </c>
    </row>
    <row r="1371" spans="1:5" s="64" customFormat="1">
      <c r="A1371" s="316" t="s">
        <v>4635</v>
      </c>
      <c r="B1371" s="123" t="s">
        <v>7609</v>
      </c>
      <c r="C1371" s="256" t="s">
        <v>6737</v>
      </c>
      <c r="D1371" s="328" t="s">
        <v>1309</v>
      </c>
      <c r="E1371" s="122" t="str">
        <f t="shared" si="21"/>
        <v xml:space="preserve">3518 : 콜공급업체통합코드확인　　　　　　　  </v>
      </c>
    </row>
    <row r="1372" spans="1:5" s="64" customFormat="1">
      <c r="A1372" s="316" t="s">
        <v>4635</v>
      </c>
      <c r="B1372" s="123" t="s">
        <v>7609</v>
      </c>
      <c r="C1372" s="256" t="s">
        <v>6738</v>
      </c>
      <c r="D1372" s="328" t="s">
        <v>1308</v>
      </c>
      <c r="E1372" s="122" t="str">
        <f t="shared" si="21"/>
        <v xml:space="preserve">3519 : 콜공급업체통합코드미등록　　　　　　  </v>
      </c>
    </row>
    <row r="1373" spans="1:5" s="64" customFormat="1">
      <c r="A1373" s="316" t="s">
        <v>4635</v>
      </c>
      <c r="B1373" s="123" t="s">
        <v>7609</v>
      </c>
      <c r="C1373" s="256" t="s">
        <v>6739</v>
      </c>
      <c r="D1373" s="328" t="s">
        <v>1307</v>
      </c>
      <c r="E1373" s="122" t="str">
        <f t="shared" si="21"/>
        <v xml:space="preserve">3520 : 콜공급업체통합코드테이블조회오류　　  </v>
      </c>
    </row>
    <row r="1374" spans="1:5" s="64" customFormat="1">
      <c r="A1374" s="316" t="s">
        <v>4635</v>
      </c>
      <c r="B1374" s="123" t="s">
        <v>7609</v>
      </c>
      <c r="C1374" s="256" t="s">
        <v>6740</v>
      </c>
      <c r="D1374" s="328" t="s">
        <v>1306</v>
      </c>
      <c r="E1374" s="122" t="str">
        <f t="shared" si="21"/>
        <v xml:space="preserve">3521 : 콜공급업체접수번호확인　　　　　　　  </v>
      </c>
    </row>
    <row r="1375" spans="1:5" s="64" customFormat="1">
      <c r="A1375" s="316" t="s">
        <v>4635</v>
      </c>
      <c r="B1375" s="123" t="s">
        <v>7609</v>
      </c>
      <c r="C1375" s="256" t="s">
        <v>6741</v>
      </c>
      <c r="D1375" s="328" t="s">
        <v>1305</v>
      </c>
      <c r="E1375" s="122" t="str">
        <f t="shared" si="21"/>
        <v xml:space="preserve">3522 : 중개회사부여콜차입업체코드확인　　　  </v>
      </c>
    </row>
    <row r="1376" spans="1:5" s="64" customFormat="1">
      <c r="A1376" s="316" t="s">
        <v>4635</v>
      </c>
      <c r="B1376" s="123" t="s">
        <v>7609</v>
      </c>
      <c r="C1376" s="256" t="s">
        <v>6742</v>
      </c>
      <c r="D1376" s="328" t="s">
        <v>1304</v>
      </c>
      <c r="E1376" s="122" t="str">
        <f t="shared" si="21"/>
        <v xml:space="preserve">3523 : 중개회사부여콜차입업체코드미등록　　  </v>
      </c>
    </row>
    <row r="1377" spans="1:5" s="64" customFormat="1">
      <c r="A1377" s="316" t="s">
        <v>4635</v>
      </c>
      <c r="B1377" s="123" t="s">
        <v>7609</v>
      </c>
      <c r="C1377" s="256" t="s">
        <v>6743</v>
      </c>
      <c r="D1377" s="328" t="s">
        <v>1303</v>
      </c>
      <c r="E1377" s="122" t="str">
        <f t="shared" si="21"/>
        <v xml:space="preserve">3524 : 중개회사부여콜차입업체코드테이블조회  </v>
      </c>
    </row>
    <row r="1378" spans="1:5" s="64" customFormat="1">
      <c r="A1378" s="316" t="s">
        <v>4635</v>
      </c>
      <c r="B1378" s="123" t="s">
        <v>7609</v>
      </c>
      <c r="C1378" s="256" t="s">
        <v>6744</v>
      </c>
      <c r="D1378" s="328" t="s">
        <v>1302</v>
      </c>
      <c r="E1378" s="122" t="str">
        <f t="shared" si="21"/>
        <v xml:space="preserve">3525 : 콜차입업체통합코드확인　　　　　　　  </v>
      </c>
    </row>
    <row r="1379" spans="1:5" s="64" customFormat="1">
      <c r="A1379" s="316" t="s">
        <v>4635</v>
      </c>
      <c r="B1379" s="123" t="s">
        <v>7609</v>
      </c>
      <c r="C1379" s="256" t="s">
        <v>6745</v>
      </c>
      <c r="D1379" s="328" t="s">
        <v>1301</v>
      </c>
      <c r="E1379" s="122" t="str">
        <f t="shared" si="21"/>
        <v xml:space="preserve">3526 : 콜차입업체통합코드미등록　　　　　　  </v>
      </c>
    </row>
    <row r="1380" spans="1:5" s="64" customFormat="1">
      <c r="A1380" s="316" t="s">
        <v>4635</v>
      </c>
      <c r="B1380" s="123" t="s">
        <v>7609</v>
      </c>
      <c r="C1380" s="256" t="s">
        <v>6746</v>
      </c>
      <c r="D1380" s="328" t="s">
        <v>1300</v>
      </c>
      <c r="E1380" s="122" t="str">
        <f t="shared" si="21"/>
        <v xml:space="preserve">3527 : 콜차입업체통합코드테이블조회오류　　  </v>
      </c>
    </row>
    <row r="1381" spans="1:5" s="64" customFormat="1">
      <c r="A1381" s="316" t="s">
        <v>4635</v>
      </c>
      <c r="B1381" s="123" t="s">
        <v>7609</v>
      </c>
      <c r="C1381" s="256" t="s">
        <v>6747</v>
      </c>
      <c r="D1381" s="328" t="s">
        <v>1299</v>
      </c>
      <c r="E1381" s="122" t="str">
        <f t="shared" si="21"/>
        <v xml:space="preserve">3528 : 콜차입업체접수번호확인　　　　　　　  </v>
      </c>
    </row>
    <row r="1382" spans="1:5" s="64" customFormat="1">
      <c r="A1382" s="316" t="s">
        <v>4635</v>
      </c>
      <c r="B1382" s="123" t="s">
        <v>7609</v>
      </c>
      <c r="C1382" s="256" t="s">
        <v>6748</v>
      </c>
      <c r="D1382" s="328" t="s">
        <v>1298</v>
      </c>
      <c r="E1382" s="122" t="str">
        <f t="shared" si="21"/>
        <v xml:space="preserve">3529 : 중개회사부여수탁업체코드미등록　　　  </v>
      </c>
    </row>
    <row r="1383" spans="1:5" s="64" customFormat="1">
      <c r="A1383" s="316" t="s">
        <v>4635</v>
      </c>
      <c r="B1383" s="123" t="s">
        <v>7609</v>
      </c>
      <c r="C1383" s="256" t="s">
        <v>6749</v>
      </c>
      <c r="D1383" s="328" t="s">
        <v>1297</v>
      </c>
      <c r="E1383" s="122" t="str">
        <f t="shared" si="21"/>
        <v xml:space="preserve">3530 : 중개회사부여수탁업체코드테이블조회오  </v>
      </c>
    </row>
    <row r="1384" spans="1:5" s="64" customFormat="1">
      <c r="A1384" s="316" t="s">
        <v>4635</v>
      </c>
      <c r="B1384" s="123" t="s">
        <v>7609</v>
      </c>
      <c r="C1384" s="256" t="s">
        <v>6750</v>
      </c>
      <c r="D1384" s="328" t="s">
        <v>1296</v>
      </c>
      <c r="E1384" s="122" t="str">
        <f t="shared" si="21"/>
        <v xml:space="preserve">3531 : 수탁업체통합코드확인　　　　　　　　  </v>
      </c>
    </row>
    <row r="1385" spans="1:5" s="64" customFormat="1">
      <c r="A1385" s="316" t="s">
        <v>4635</v>
      </c>
      <c r="B1385" s="123" t="s">
        <v>7609</v>
      </c>
      <c r="C1385" s="256" t="s">
        <v>6751</v>
      </c>
      <c r="D1385" s="328" t="s">
        <v>1295</v>
      </c>
      <c r="E1385" s="122" t="str">
        <f t="shared" si="21"/>
        <v xml:space="preserve">3532 : 수탁업체통합코드미등록　　　　　　　  </v>
      </c>
    </row>
    <row r="1386" spans="1:5" s="64" customFormat="1">
      <c r="A1386" s="316" t="s">
        <v>4635</v>
      </c>
      <c r="B1386" s="123" t="s">
        <v>7609</v>
      </c>
      <c r="C1386" s="256" t="s">
        <v>6752</v>
      </c>
      <c r="D1386" s="328" t="s">
        <v>1294</v>
      </c>
      <c r="E1386" s="122" t="str">
        <f t="shared" si="21"/>
        <v xml:space="preserve">3533 : 수탁업체통합코드테이블조회오류　　　  </v>
      </c>
    </row>
    <row r="1387" spans="1:5" s="64" customFormat="1">
      <c r="A1387" s="316" t="s">
        <v>4635</v>
      </c>
      <c r="B1387" s="123" t="s">
        <v>7609</v>
      </c>
      <c r="C1387" s="256" t="s">
        <v>6753</v>
      </c>
      <c r="D1387" s="328" t="s">
        <v>1293</v>
      </c>
      <c r="E1387" s="122" t="str">
        <f t="shared" si="21"/>
        <v xml:space="preserve">3534 : 만기일자계산오류　　　　　　　　　　  </v>
      </c>
    </row>
    <row r="1388" spans="1:5" s="64" customFormat="1">
      <c r="A1388" s="316" t="s">
        <v>4635</v>
      </c>
      <c r="B1388" s="123" t="s">
        <v>7609</v>
      </c>
      <c r="C1388" s="256" t="s">
        <v>6754</v>
      </c>
      <c r="D1388" s="328" t="s">
        <v>1292</v>
      </c>
      <c r="E1388" s="122" t="str">
        <f t="shared" si="21"/>
        <v xml:space="preserve">3535 : 공급업체지준코드미등록　　　　　　　  </v>
      </c>
    </row>
    <row r="1389" spans="1:5" s="64" customFormat="1">
      <c r="A1389" s="316" t="s">
        <v>4635</v>
      </c>
      <c r="B1389" s="123" t="s">
        <v>7609</v>
      </c>
      <c r="C1389" s="256" t="s">
        <v>6755</v>
      </c>
      <c r="D1389" s="328" t="s">
        <v>1291</v>
      </c>
      <c r="E1389" s="122" t="str">
        <f t="shared" si="21"/>
        <v xml:space="preserve">3536 : 공급업체지준코드테이블조회오류　　　  </v>
      </c>
    </row>
    <row r="1390" spans="1:5" s="64" customFormat="1">
      <c r="A1390" s="316" t="s">
        <v>4635</v>
      </c>
      <c r="B1390" s="123" t="s">
        <v>7609</v>
      </c>
      <c r="C1390" s="256" t="s">
        <v>6756</v>
      </c>
      <c r="D1390" s="328" t="s">
        <v>1290</v>
      </c>
      <c r="E1390" s="122" t="str">
        <f t="shared" si="21"/>
        <v xml:space="preserve">3537 : 차입업체지준코드미등록　　　　　　　  </v>
      </c>
    </row>
    <row r="1391" spans="1:5" s="64" customFormat="1">
      <c r="A1391" s="316" t="s">
        <v>4635</v>
      </c>
      <c r="B1391" s="123" t="s">
        <v>7609</v>
      </c>
      <c r="C1391" s="256" t="s">
        <v>6757</v>
      </c>
      <c r="D1391" s="328" t="s">
        <v>1289</v>
      </c>
      <c r="E1391" s="122" t="str">
        <f t="shared" si="21"/>
        <v xml:space="preserve">3538 : 차입업체지준코드테이블조회오류　　　  </v>
      </c>
    </row>
    <row r="1392" spans="1:5" s="64" customFormat="1">
      <c r="A1392" s="316" t="s">
        <v>4635</v>
      </c>
      <c r="B1392" s="123" t="s">
        <v>7609</v>
      </c>
      <c r="C1392" s="256" t="s">
        <v>6758</v>
      </c>
      <c r="D1392" s="328" t="s">
        <v>1288</v>
      </c>
      <c r="E1392" s="122" t="str">
        <f t="shared" si="21"/>
        <v xml:space="preserve">3539 : 수탁업체지준코드확인　　　　　　　　  </v>
      </c>
    </row>
    <row r="1393" spans="1:5" s="64" customFormat="1">
      <c r="A1393" s="316" t="s">
        <v>4635</v>
      </c>
      <c r="B1393" s="123" t="s">
        <v>7609</v>
      </c>
      <c r="C1393" s="256" t="s">
        <v>6759</v>
      </c>
      <c r="D1393" s="328" t="s">
        <v>1287</v>
      </c>
      <c r="E1393" s="122" t="str">
        <f t="shared" si="21"/>
        <v xml:space="preserve">3540 : 수탁업체지준코드미등록　　　　　　　  </v>
      </c>
    </row>
    <row r="1394" spans="1:5" s="64" customFormat="1">
      <c r="A1394" s="316" t="s">
        <v>4635</v>
      </c>
      <c r="B1394" s="123" t="s">
        <v>7609</v>
      </c>
      <c r="C1394" s="256" t="s">
        <v>6760</v>
      </c>
      <c r="D1394" s="328" t="s">
        <v>1286</v>
      </c>
      <c r="E1394" s="122" t="str">
        <f t="shared" si="21"/>
        <v xml:space="preserve">3541 : 수탁업체지준코드테이블조회오류　　　  </v>
      </c>
    </row>
    <row r="1395" spans="1:5" s="64" customFormat="1">
      <c r="A1395" s="316" t="s">
        <v>4635</v>
      </c>
      <c r="B1395" s="123" t="s">
        <v>7609</v>
      </c>
      <c r="C1395" s="256" t="s">
        <v>6761</v>
      </c>
      <c r="D1395" s="328" t="s">
        <v>1285</v>
      </c>
      <c r="E1395" s="122" t="str">
        <f t="shared" si="21"/>
        <v xml:space="preserve">3542 : 공급업체거래은행지준코드확인　        </v>
      </c>
    </row>
    <row r="1396" spans="1:5" s="64" customFormat="1">
      <c r="A1396" s="316" t="s">
        <v>4635</v>
      </c>
      <c r="B1396" s="123" t="s">
        <v>7609</v>
      </c>
      <c r="C1396" s="256" t="s">
        <v>6762</v>
      </c>
      <c r="D1396" s="328" t="s">
        <v>1284</v>
      </c>
      <c r="E1396" s="122" t="str">
        <f t="shared" si="21"/>
        <v xml:space="preserve">3543 : 공급업체거래은행지준코드테이블조회오  </v>
      </c>
    </row>
    <row r="1397" spans="1:5" s="64" customFormat="1">
      <c r="A1397" s="316" t="s">
        <v>4635</v>
      </c>
      <c r="B1397" s="123" t="s">
        <v>7609</v>
      </c>
      <c r="C1397" s="256" t="s">
        <v>6763</v>
      </c>
      <c r="D1397" s="328" t="s">
        <v>1283</v>
      </c>
      <c r="E1397" s="122" t="str">
        <f t="shared" si="21"/>
        <v xml:space="preserve">3544 : 차입업체거래은행지준코드확인　        </v>
      </c>
    </row>
    <row r="1398" spans="1:5" s="64" customFormat="1">
      <c r="A1398" s="316" t="s">
        <v>4635</v>
      </c>
      <c r="B1398" s="123" t="s">
        <v>7609</v>
      </c>
      <c r="C1398" s="256" t="s">
        <v>6764</v>
      </c>
      <c r="D1398" s="328" t="s">
        <v>1282</v>
      </c>
      <c r="E1398" s="122" t="str">
        <f t="shared" si="21"/>
        <v xml:space="preserve">3545 : 차입업체거래은행지준코드테이블조회오  </v>
      </c>
    </row>
    <row r="1399" spans="1:5" s="64" customFormat="1">
      <c r="A1399" s="316" t="s">
        <v>4635</v>
      </c>
      <c r="B1399" s="123" t="s">
        <v>7609</v>
      </c>
      <c r="C1399" s="256" t="s">
        <v>6765</v>
      </c>
      <c r="D1399" s="328" t="s">
        <v>1281</v>
      </c>
      <c r="E1399" s="122" t="str">
        <f t="shared" si="21"/>
        <v xml:space="preserve">3546 : 결제구분지준인데공급지준코드미등록    </v>
      </c>
    </row>
    <row r="1400" spans="1:5" s="64" customFormat="1">
      <c r="A1400" s="316" t="s">
        <v>4635</v>
      </c>
      <c r="B1400" s="123" t="s">
        <v>7609</v>
      </c>
      <c r="C1400" s="256" t="s">
        <v>6766</v>
      </c>
      <c r="D1400" s="328" t="s">
        <v>1280</v>
      </c>
      <c r="E1400" s="122" t="str">
        <f t="shared" si="21"/>
        <v xml:space="preserve">3547 : 결제구분지준인데수탁업체지준코드미입  </v>
      </c>
    </row>
    <row r="1401" spans="1:5" s="64" customFormat="1">
      <c r="A1401" s="316" t="s">
        <v>4635</v>
      </c>
      <c r="B1401" s="123" t="s">
        <v>7609</v>
      </c>
      <c r="C1401" s="256" t="s">
        <v>6767</v>
      </c>
      <c r="D1401" s="328" t="s">
        <v>1279</v>
      </c>
      <c r="E1401" s="122" t="str">
        <f t="shared" si="21"/>
        <v xml:space="preserve">3548 : 공급업체거래은행지준코드와계좌확인　  </v>
      </c>
    </row>
    <row r="1402" spans="1:5" s="64" customFormat="1">
      <c r="A1402" s="316" t="s">
        <v>4635</v>
      </c>
      <c r="B1402" s="123" t="s">
        <v>7609</v>
      </c>
      <c r="C1402" s="256" t="s">
        <v>6768</v>
      </c>
      <c r="D1402" s="328" t="s">
        <v>1278</v>
      </c>
      <c r="E1402" s="122" t="str">
        <f t="shared" si="21"/>
        <v xml:space="preserve">3549 : 차입업체거래은행지준코드와계좌확인　  </v>
      </c>
    </row>
    <row r="1403" spans="1:5" s="64" customFormat="1">
      <c r="A1403" s="316" t="s">
        <v>4635</v>
      </c>
      <c r="B1403" s="123" t="s">
        <v>7609</v>
      </c>
      <c r="C1403" s="256" t="s">
        <v>6769</v>
      </c>
      <c r="D1403" s="328" t="s">
        <v>1277</v>
      </c>
      <c r="E1403" s="122" t="str">
        <f t="shared" si="21"/>
        <v xml:space="preserve">3550 : 체결시점(당일소급구분)확인　　　  </v>
      </c>
    </row>
    <row r="1404" spans="1:5" s="64" customFormat="1">
      <c r="A1404" s="316" t="s">
        <v>4635</v>
      </c>
      <c r="B1404" s="123" t="s">
        <v>7609</v>
      </c>
      <c r="C1404" s="256" t="s">
        <v>6770</v>
      </c>
      <c r="D1404" s="328" t="s">
        <v>1276</v>
      </c>
      <c r="E1404" s="122" t="str">
        <f t="shared" si="21"/>
        <v xml:space="preserve">3551 : 체결시점과체결일자불일치　　　　　　  </v>
      </c>
    </row>
    <row r="1405" spans="1:5" s="64" customFormat="1">
      <c r="A1405" s="316" t="s">
        <v>4635</v>
      </c>
      <c r="B1405" s="123" t="s">
        <v>7609</v>
      </c>
      <c r="C1405" s="256" t="s">
        <v>6771</v>
      </c>
      <c r="D1405" s="328" t="s">
        <v>1275</v>
      </c>
      <c r="E1405" s="122" t="str">
        <f t="shared" si="21"/>
        <v xml:space="preserve">3552 : 상환방식확인　　　　　　　　　　　　  </v>
      </c>
    </row>
    <row r="1406" spans="1:5" s="64" customFormat="1">
      <c r="A1406" s="316" t="s">
        <v>4635</v>
      </c>
      <c r="B1406" s="123" t="s">
        <v>7609</v>
      </c>
      <c r="C1406" s="256" t="s">
        <v>6772</v>
      </c>
      <c r="D1406" s="328" t="s">
        <v>1274</v>
      </c>
      <c r="E1406" s="122" t="str">
        <f t="shared" si="21"/>
        <v xml:space="preserve">3553 : 자동및일반상환방식입력불가　　　　　  </v>
      </c>
    </row>
    <row r="1407" spans="1:5" s="64" customFormat="1">
      <c r="A1407" s="316" t="s">
        <v>4635</v>
      </c>
      <c r="B1407" s="123" t="s">
        <v>7609</v>
      </c>
      <c r="C1407" s="256" t="s">
        <v>6773</v>
      </c>
      <c r="D1407" s="328" t="s">
        <v>1273</v>
      </c>
      <c r="E1407" s="122" t="str">
        <f t="shared" si="21"/>
        <v xml:space="preserve">3554 : 상환방식및결제구분불일치　　　　　　  </v>
      </c>
    </row>
    <row r="1408" spans="1:5" s="64" customFormat="1">
      <c r="A1408" s="316" t="s">
        <v>4635</v>
      </c>
      <c r="B1408" s="123" t="s">
        <v>7609</v>
      </c>
      <c r="C1408" s="256" t="s">
        <v>6774</v>
      </c>
      <c r="D1408" s="328" t="s">
        <v>1272</v>
      </c>
      <c r="E1408" s="122" t="str">
        <f t="shared" si="21"/>
        <v xml:space="preserve">3555 : 콜중개거래체결테이블입력오류　　　　  </v>
      </c>
    </row>
    <row r="1409" spans="1:5" s="64" customFormat="1">
      <c r="A1409" s="316" t="s">
        <v>4635</v>
      </c>
      <c r="B1409" s="123" t="s">
        <v>7609</v>
      </c>
      <c r="C1409" s="256" t="s">
        <v>6775</v>
      </c>
      <c r="D1409" s="328" t="s">
        <v>1271</v>
      </c>
      <c r="E1409" s="122" t="str">
        <f t="shared" si="21"/>
        <v xml:space="preserve">3556 : 한국은행콜체결일련번호확인　　　　　  </v>
      </c>
    </row>
    <row r="1410" spans="1:5" s="64" customFormat="1">
      <c r="A1410" s="316" t="s">
        <v>4635</v>
      </c>
      <c r="B1410" s="123" t="s">
        <v>7609</v>
      </c>
      <c r="C1410" s="256" t="s">
        <v>6776</v>
      </c>
      <c r="D1410" s="328" t="s">
        <v>1270</v>
      </c>
      <c r="E1410" s="122" t="str">
        <f t="shared" si="21"/>
        <v>3557 : 변경(취소)사유확인　　　　　　　　</v>
      </c>
    </row>
    <row r="1411" spans="1:5" s="64" customFormat="1">
      <c r="A1411" s="316" t="s">
        <v>4635</v>
      </c>
      <c r="B1411" s="123" t="s">
        <v>7609</v>
      </c>
      <c r="C1411" s="256" t="s">
        <v>6777</v>
      </c>
      <c r="D1411" s="328" t="s">
        <v>1269</v>
      </c>
      <c r="E1411" s="122" t="str">
        <f t="shared" si="21"/>
        <v xml:space="preserve">3558 : 공급업체지준코드확인　　　　　　　　  </v>
      </c>
    </row>
    <row r="1412" spans="1:5" s="64" customFormat="1">
      <c r="A1412" s="316" t="s">
        <v>4635</v>
      </c>
      <c r="B1412" s="123" t="s">
        <v>7609</v>
      </c>
      <c r="C1412" s="256" t="s">
        <v>6778</v>
      </c>
      <c r="D1412" s="328" t="s">
        <v>1268</v>
      </c>
      <c r="E1412" s="122" t="str">
        <f t="shared" ref="E1412:E1475" si="22">_xlfn.TEXTJOIN(" : ",FALSE,C1412:D1412)</f>
        <v xml:space="preserve">3559 : 차입업체지준코드확인　　　　　　　　  </v>
      </c>
    </row>
    <row r="1413" spans="1:5" s="64" customFormat="1">
      <c r="A1413" s="316" t="s">
        <v>4635</v>
      </c>
      <c r="B1413" s="123" t="s">
        <v>7609</v>
      </c>
      <c r="C1413" s="256" t="s">
        <v>6779</v>
      </c>
      <c r="D1413" s="328" t="s">
        <v>1267</v>
      </c>
      <c r="E1413" s="122" t="str">
        <f t="shared" si="22"/>
        <v xml:space="preserve">3560 : 콜중개거래체결테이블갱신오류　　　　  </v>
      </c>
    </row>
    <row r="1414" spans="1:5" s="64" customFormat="1">
      <c r="A1414" s="316" t="s">
        <v>4635</v>
      </c>
      <c r="B1414" s="123" t="s">
        <v>7609</v>
      </c>
      <c r="C1414" s="256" t="s">
        <v>6780</v>
      </c>
      <c r="D1414" s="328" t="s">
        <v>1266</v>
      </c>
      <c r="E1414" s="122" t="str">
        <f t="shared" si="22"/>
        <v xml:space="preserve">3561 : 미등록된참가기관지준코드임　　　　　  </v>
      </c>
    </row>
    <row r="1415" spans="1:5" s="64" customFormat="1">
      <c r="A1415" s="316" t="s">
        <v>4635</v>
      </c>
      <c r="B1415" s="123" t="s">
        <v>7609</v>
      </c>
      <c r="C1415" s="256" t="s">
        <v>6781</v>
      </c>
      <c r="D1415" s="328" t="s">
        <v>1265</v>
      </c>
      <c r="E1415" s="122" t="str">
        <f t="shared" si="22"/>
        <v xml:space="preserve">3562 : 참가기관지준코드테이블조회오류　　　  </v>
      </c>
    </row>
    <row r="1416" spans="1:5" s="64" customFormat="1">
      <c r="A1416" s="316" t="s">
        <v>4635</v>
      </c>
      <c r="B1416" s="123" t="s">
        <v>7609</v>
      </c>
      <c r="C1416" s="256" t="s">
        <v>6782</v>
      </c>
      <c r="D1416" s="328" t="s">
        <v>1264</v>
      </c>
      <c r="E1416" s="122" t="str">
        <f t="shared" si="22"/>
        <v xml:space="preserve">3563 : 이미등록된콜중개거래참가기관임　　　  </v>
      </c>
    </row>
    <row r="1417" spans="1:5" s="64" customFormat="1">
      <c r="A1417" s="316" t="s">
        <v>4635</v>
      </c>
      <c r="B1417" s="123" t="s">
        <v>7609</v>
      </c>
      <c r="C1417" s="256" t="s">
        <v>6783</v>
      </c>
      <c r="D1417" s="328" t="s">
        <v>1263</v>
      </c>
      <c r="E1417" s="122" t="str">
        <f t="shared" si="22"/>
        <v xml:space="preserve">3564 : 이미탈퇴한콜중개거래참가기관임　　　  </v>
      </c>
    </row>
    <row r="1418" spans="1:5" s="64" customFormat="1">
      <c r="A1418" s="316" t="s">
        <v>4635</v>
      </c>
      <c r="B1418" s="123" t="s">
        <v>7609</v>
      </c>
      <c r="C1418" s="256" t="s">
        <v>6784</v>
      </c>
      <c r="D1418" s="328" t="s">
        <v>1262</v>
      </c>
      <c r="E1418" s="122" t="str">
        <f t="shared" si="22"/>
        <v xml:space="preserve">3565 : 등록되지않은콜중개거래참가기관임　　  </v>
      </c>
    </row>
    <row r="1419" spans="1:5" s="64" customFormat="1">
      <c r="A1419" s="316" t="s">
        <v>4635</v>
      </c>
      <c r="B1419" s="123" t="s">
        <v>7609</v>
      </c>
      <c r="C1419" s="256" t="s">
        <v>6785</v>
      </c>
      <c r="D1419" s="328" t="s">
        <v>1261</v>
      </c>
      <c r="E1419" s="122" t="str">
        <f t="shared" si="22"/>
        <v xml:space="preserve">3566 : 콜중개거래참가기관테이블조회오류　　  </v>
      </c>
    </row>
    <row r="1420" spans="1:5" s="64" customFormat="1">
      <c r="A1420" s="316" t="s">
        <v>4635</v>
      </c>
      <c r="B1420" s="123" t="s">
        <v>7609</v>
      </c>
      <c r="C1420" s="256" t="s">
        <v>6786</v>
      </c>
      <c r="D1420" s="328" t="s">
        <v>1260</v>
      </c>
      <c r="E1420" s="122" t="str">
        <f t="shared" si="22"/>
        <v xml:space="preserve">3567 : 콜중개거래참가기관테이블신규입력오류  </v>
      </c>
    </row>
    <row r="1421" spans="1:5" s="64" customFormat="1">
      <c r="A1421" s="316" t="s">
        <v>4635</v>
      </c>
      <c r="B1421" s="123" t="s">
        <v>7609</v>
      </c>
      <c r="C1421" s="256" t="s">
        <v>6787</v>
      </c>
      <c r="D1421" s="328" t="s">
        <v>1259</v>
      </c>
      <c r="E1421" s="122" t="str">
        <f t="shared" si="22"/>
        <v xml:space="preserve">3568 : 콜중개거래참가기관테이블갱신처리오류  </v>
      </c>
    </row>
    <row r="1422" spans="1:5" s="64" customFormat="1">
      <c r="A1422" s="316" t="s">
        <v>4635</v>
      </c>
      <c r="B1422" s="123" t="s">
        <v>7609</v>
      </c>
      <c r="C1422" s="256" t="s">
        <v>6788</v>
      </c>
      <c r="D1422" s="328" t="s">
        <v>1258</v>
      </c>
      <c r="E1422" s="122" t="str">
        <f t="shared" si="22"/>
        <v xml:space="preserve">3569 : 콜중개거래참가기관테이블탈퇴처리오류  </v>
      </c>
    </row>
    <row r="1423" spans="1:5" s="64" customFormat="1">
      <c r="A1423" s="316" t="s">
        <v>4635</v>
      </c>
      <c r="B1423" s="123" t="s">
        <v>7609</v>
      </c>
      <c r="C1423" s="256" t="s">
        <v>6789</v>
      </c>
      <c r="D1423" s="328" t="s">
        <v>1257</v>
      </c>
      <c r="E1423" s="122" t="str">
        <f t="shared" si="22"/>
        <v xml:space="preserve">3570 : 서버기관테이블조회오류　　　　　　　  </v>
      </c>
    </row>
    <row r="1424" spans="1:5" s="64" customFormat="1">
      <c r="A1424" s="316" t="s">
        <v>4635</v>
      </c>
      <c r="B1424" s="123" t="s">
        <v>7609</v>
      </c>
      <c r="C1424" s="256" t="s">
        <v>6790</v>
      </c>
      <c r="D1424" s="328" t="s">
        <v>1257</v>
      </c>
      <c r="E1424" s="122" t="str">
        <f t="shared" si="22"/>
        <v xml:space="preserve">3571 : 서버기관테이블조회오류　　　　　　　  </v>
      </c>
    </row>
    <row r="1425" spans="1:5" s="64" customFormat="1">
      <c r="A1425" s="316" t="s">
        <v>4635</v>
      </c>
      <c r="B1425" s="123" t="s">
        <v>7609</v>
      </c>
      <c r="C1425" s="256" t="s">
        <v>6791</v>
      </c>
      <c r="D1425" s="328" t="s">
        <v>1256</v>
      </c>
      <c r="E1425" s="122" t="str">
        <f t="shared" si="22"/>
        <v xml:space="preserve">3572 : 콜체결내역이없습니다　　　　　　　　  </v>
      </c>
    </row>
    <row r="1426" spans="1:5" s="64" customFormat="1">
      <c r="A1426" s="316" t="s">
        <v>4635</v>
      </c>
      <c r="B1426" s="123" t="s">
        <v>7609</v>
      </c>
      <c r="C1426" s="256" t="s">
        <v>6792</v>
      </c>
      <c r="D1426" s="328" t="s">
        <v>1255</v>
      </c>
      <c r="E1426" s="122" t="str">
        <f t="shared" si="22"/>
        <v xml:space="preserve">3573 : 콜체결변경테이블조회오류　　　　　　  </v>
      </c>
    </row>
    <row r="1427" spans="1:5" s="64" customFormat="1">
      <c r="A1427" s="316" t="s">
        <v>4635</v>
      </c>
      <c r="B1427" s="123" t="s">
        <v>7609</v>
      </c>
      <c r="C1427" s="256" t="s">
        <v>6793</v>
      </c>
      <c r="D1427" s="328" t="s">
        <v>1254</v>
      </c>
      <c r="E1427" s="122" t="str">
        <f t="shared" si="22"/>
        <v xml:space="preserve">3574 : 콜제결변경테이블입력오류　　　　　　  </v>
      </c>
    </row>
    <row r="1428" spans="1:5" s="64" customFormat="1">
      <c r="A1428" s="316" t="s">
        <v>4635</v>
      </c>
      <c r="B1428" s="123" t="s">
        <v>7609</v>
      </c>
      <c r="C1428" s="256" t="s">
        <v>6794</v>
      </c>
      <c r="D1428" s="328" t="s">
        <v>1253</v>
      </c>
      <c r="E1428" s="122" t="str">
        <f t="shared" si="22"/>
        <v xml:space="preserve">3575 : 이미취소된거래입니다　　　　　　　　  </v>
      </c>
    </row>
    <row r="1429" spans="1:5" s="64" customFormat="1">
      <c r="A1429" s="316" t="s">
        <v>4635</v>
      </c>
      <c r="B1429" s="123" t="s">
        <v>7609</v>
      </c>
      <c r="C1429" s="256" t="s">
        <v>6795</v>
      </c>
      <c r="D1429" s="328" t="s">
        <v>1252</v>
      </c>
      <c r="E1429" s="122" t="str">
        <f t="shared" si="22"/>
        <v xml:space="preserve">3576 : 소급거래는변경이불가합니다　　　　　  </v>
      </c>
    </row>
    <row r="1430" spans="1:5" s="64" customFormat="1">
      <c r="A1430" s="316" t="s">
        <v>4635</v>
      </c>
      <c r="B1430" s="123" t="s">
        <v>7609</v>
      </c>
      <c r="C1430" s="256" t="s">
        <v>6796</v>
      </c>
      <c r="D1430" s="328" t="s">
        <v>1251</v>
      </c>
      <c r="E1430" s="122" t="str">
        <f t="shared" si="22"/>
        <v xml:space="preserve">3577 : 이미상환된거래입니다　　　　　　　　  </v>
      </c>
    </row>
    <row r="1431" spans="1:5" s="64" customFormat="1">
      <c r="A1431" s="316" t="s">
        <v>4635</v>
      </c>
      <c r="B1431" s="123" t="s">
        <v>7609</v>
      </c>
      <c r="C1431" s="256" t="s">
        <v>6797</v>
      </c>
      <c r="D1431" s="328" t="s">
        <v>1250</v>
      </c>
      <c r="E1431" s="122" t="str">
        <f t="shared" si="22"/>
        <v xml:space="preserve">3578 : 변경전상환방식확인　　　　　　　　　  </v>
      </c>
    </row>
    <row r="1432" spans="1:5" s="64" customFormat="1">
      <c r="A1432" s="316" t="s">
        <v>4635</v>
      </c>
      <c r="B1432" s="123" t="s">
        <v>7609</v>
      </c>
      <c r="C1432" s="256" t="s">
        <v>6798</v>
      </c>
      <c r="D1432" s="328" t="s">
        <v>1249</v>
      </c>
      <c r="E1432" s="122" t="str">
        <f t="shared" si="22"/>
        <v xml:space="preserve">3579 : 변경후상환방식확인　　　　　　　　　  </v>
      </c>
    </row>
    <row r="1433" spans="1:5" s="64" customFormat="1">
      <c r="A1433" s="316" t="s">
        <v>4635</v>
      </c>
      <c r="B1433" s="123" t="s">
        <v>7609</v>
      </c>
      <c r="C1433" s="256" t="s">
        <v>6799</v>
      </c>
      <c r="D1433" s="328" t="s">
        <v>1248</v>
      </c>
      <c r="E1433" s="122" t="str">
        <f t="shared" si="22"/>
        <v xml:space="preserve">3580 : 변경신청미처리건이존재합니다　　　　  </v>
      </c>
    </row>
    <row r="1434" spans="1:5" s="64" customFormat="1">
      <c r="A1434" s="316" t="s">
        <v>4635</v>
      </c>
      <c r="B1434" s="123" t="s">
        <v>7609</v>
      </c>
      <c r="C1434" s="256" t="s">
        <v>6800</v>
      </c>
      <c r="D1434" s="328" t="s">
        <v>1247</v>
      </c>
      <c r="E1434" s="122" t="str">
        <f t="shared" si="22"/>
        <v xml:space="preserve">3581 : 거래구분확인　　　　　　　　　　　　  </v>
      </c>
    </row>
    <row r="1435" spans="1:5" s="64" customFormat="1">
      <c r="A1435" s="316" t="s">
        <v>4635</v>
      </c>
      <c r="B1435" s="123" t="s">
        <v>7609</v>
      </c>
      <c r="C1435" s="256" t="s">
        <v>6801</v>
      </c>
      <c r="D1435" s="328" t="s">
        <v>1246</v>
      </c>
      <c r="E1435" s="122" t="str">
        <f t="shared" si="22"/>
        <v xml:space="preserve">3582 : 신청이불가능한체결상태입니다　　　　  </v>
      </c>
    </row>
    <row r="1436" spans="1:5" s="64" customFormat="1">
      <c r="A1436" s="316" t="s">
        <v>4635</v>
      </c>
      <c r="B1436" s="123" t="s">
        <v>7609</v>
      </c>
      <c r="C1436" s="256" t="s">
        <v>6802</v>
      </c>
      <c r="D1436" s="328" t="s">
        <v>1245</v>
      </c>
      <c r="E1436" s="122" t="str">
        <f t="shared" si="22"/>
        <v xml:space="preserve">3583 : 콜체결변경신청내역이없습니다　　　　  </v>
      </c>
    </row>
    <row r="1437" spans="1:5" s="64" customFormat="1">
      <c r="A1437" s="316" t="s">
        <v>4635</v>
      </c>
      <c r="B1437" s="123" t="s">
        <v>7609</v>
      </c>
      <c r="C1437" s="256" t="s">
        <v>6803</v>
      </c>
      <c r="D1437" s="328" t="s">
        <v>1244</v>
      </c>
      <c r="E1437" s="122" t="str">
        <f t="shared" si="22"/>
        <v xml:space="preserve">3584 : 변경신청일자확인　　　　　　　　　　  </v>
      </c>
    </row>
    <row r="1438" spans="1:5" s="64" customFormat="1">
      <c r="A1438" s="316" t="s">
        <v>4635</v>
      </c>
      <c r="B1438" s="123" t="s">
        <v>7609</v>
      </c>
      <c r="C1438" s="256" t="s">
        <v>6804</v>
      </c>
      <c r="D1438" s="328" t="s">
        <v>1243</v>
      </c>
      <c r="E1438" s="122" t="str">
        <f t="shared" si="22"/>
        <v xml:space="preserve">3585 : 콜제결변경테이블갱신오류　　　　　　  </v>
      </c>
    </row>
    <row r="1439" spans="1:5" s="64" customFormat="1">
      <c r="A1439" s="316" t="s">
        <v>4635</v>
      </c>
      <c r="B1439" s="123" t="s">
        <v>7609</v>
      </c>
      <c r="C1439" s="256" t="s">
        <v>6805</v>
      </c>
      <c r="D1439" s="328" t="s">
        <v>1242</v>
      </c>
      <c r="E1439" s="122" t="str">
        <f t="shared" si="22"/>
        <v xml:space="preserve">3586 : 변경동의신청이먼저수행되어야합니다　  </v>
      </c>
    </row>
    <row r="1440" spans="1:5" s="64" customFormat="1">
      <c r="A1440" s="316" t="s">
        <v>4635</v>
      </c>
      <c r="B1440" s="123" t="s">
        <v>7609</v>
      </c>
      <c r="C1440" s="256" t="s">
        <v>6806</v>
      </c>
      <c r="D1440" s="328" t="s">
        <v>1241</v>
      </c>
      <c r="E1440" s="122" t="str">
        <f t="shared" si="22"/>
        <v xml:space="preserve">3587 : 변경전체결번호확인　　　　　　　　　  </v>
      </c>
    </row>
    <row r="1441" spans="1:5" s="64" customFormat="1">
      <c r="A1441" s="316" t="s">
        <v>4635</v>
      </c>
      <c r="B1441" s="123" t="s">
        <v>7609</v>
      </c>
      <c r="C1441" s="256" t="s">
        <v>6807</v>
      </c>
      <c r="D1441" s="328" t="s">
        <v>1240</v>
      </c>
      <c r="E1441" s="122" t="str">
        <f t="shared" si="22"/>
        <v xml:space="preserve">3588 : 변경후체결번호확인　　　　　　　　　  </v>
      </c>
    </row>
    <row r="1442" spans="1:5" s="64" customFormat="1">
      <c r="A1442" s="316" t="s">
        <v>4635</v>
      </c>
      <c r="B1442" s="123" t="s">
        <v>7609</v>
      </c>
      <c r="C1442" s="256" t="s">
        <v>6808</v>
      </c>
      <c r="D1442" s="328" t="s">
        <v>1239</v>
      </c>
      <c r="E1442" s="122" t="str">
        <f t="shared" si="22"/>
        <v xml:space="preserve">3589 : 콜상환테이블입력오류　　　　　　　　  </v>
      </c>
    </row>
    <row r="1443" spans="1:5" s="64" customFormat="1">
      <c r="A1443" s="316" t="s">
        <v>4635</v>
      </c>
      <c r="B1443" s="123" t="s">
        <v>7609</v>
      </c>
      <c r="C1443" s="256" t="s">
        <v>6809</v>
      </c>
      <c r="D1443" s="328" t="s">
        <v>1238</v>
      </c>
      <c r="E1443" s="122" t="str">
        <f t="shared" si="22"/>
        <v xml:space="preserve">3590 : 변경전후체결번호가동일합니다　　　　  </v>
      </c>
    </row>
    <row r="1444" spans="1:5" s="64" customFormat="1">
      <c r="A1444" s="316" t="s">
        <v>4635</v>
      </c>
      <c r="B1444" s="123" t="s">
        <v>7609</v>
      </c>
      <c r="C1444" s="256" t="s">
        <v>6810</v>
      </c>
      <c r="D1444" s="328" t="s">
        <v>1237</v>
      </c>
      <c r="E1444" s="122" t="str">
        <f t="shared" si="22"/>
        <v xml:space="preserve">3591 : 변경전후내역변경이동일합니다　　　　  </v>
      </c>
    </row>
    <row r="1445" spans="1:5" s="64" customFormat="1">
      <c r="A1445" s="316" t="s">
        <v>4635</v>
      </c>
      <c r="B1445" s="123" t="s">
        <v>7609</v>
      </c>
      <c r="C1445" s="256" t="s">
        <v>6811</v>
      </c>
      <c r="D1445" s="328" t="s">
        <v>1236</v>
      </c>
      <c r="E1445" s="122" t="str">
        <f t="shared" si="22"/>
        <v xml:space="preserve">3592 : 변경후이자금액오류　　　　　　　　　  </v>
      </c>
    </row>
    <row r="1446" spans="1:5" s="64" customFormat="1">
      <c r="A1446" s="316" t="s">
        <v>4635</v>
      </c>
      <c r="B1446" s="123" t="s">
        <v>7609</v>
      </c>
      <c r="C1446" s="256" t="s">
        <v>6812</v>
      </c>
      <c r="D1446" s="328" t="s">
        <v>1235</v>
      </c>
      <c r="E1446" s="122" t="str">
        <f t="shared" si="22"/>
        <v xml:space="preserve">3593 : 변경후만기일자오류　　　　　　　　　  </v>
      </c>
    </row>
    <row r="1447" spans="1:5" s="64" customFormat="1">
      <c r="A1447" s="316" t="s">
        <v>4635</v>
      </c>
      <c r="B1447" s="123" t="s">
        <v>7609</v>
      </c>
      <c r="C1447" s="256" t="s">
        <v>6813</v>
      </c>
      <c r="D1447" s="328" t="s">
        <v>1234</v>
      </c>
      <c r="E1447" s="122" t="str">
        <f t="shared" si="22"/>
        <v xml:space="preserve">3594 : 변경후기일확인　　　　　　　　　　　  </v>
      </c>
    </row>
    <row r="1448" spans="1:5" s="64" customFormat="1">
      <c r="A1448" s="316" t="s">
        <v>4635</v>
      </c>
      <c r="B1448" s="123" t="s">
        <v>7609</v>
      </c>
      <c r="C1448" s="256" t="s">
        <v>6814</v>
      </c>
      <c r="D1448" s="328" t="s">
        <v>1233</v>
      </c>
      <c r="E1448" s="122" t="str">
        <f t="shared" si="22"/>
        <v xml:space="preserve">3595 : 변경후금리확인　　　　　　　　　　　  </v>
      </c>
    </row>
    <row r="1449" spans="1:5" s="64" customFormat="1">
      <c r="A1449" s="316" t="s">
        <v>4635</v>
      </c>
      <c r="B1449" s="123" t="s">
        <v>7609</v>
      </c>
      <c r="C1449" s="256" t="s">
        <v>6815</v>
      </c>
      <c r="D1449" s="328" t="s">
        <v>1232</v>
      </c>
      <c r="E1449" s="122" t="str">
        <f t="shared" si="22"/>
        <v xml:space="preserve">3596 : 중개회사의변경신청확인　　　　　　　  </v>
      </c>
    </row>
    <row r="1450" spans="1:5" s="64" customFormat="1">
      <c r="A1450" s="316" t="s">
        <v>4635</v>
      </c>
      <c r="B1450" s="123" t="s">
        <v>7609</v>
      </c>
      <c r="C1450" s="256" t="s">
        <v>6816</v>
      </c>
      <c r="D1450" s="328" t="s">
        <v>1231</v>
      </c>
      <c r="E1450" s="122" t="str">
        <f t="shared" si="22"/>
        <v xml:space="preserve">3597 : 변경후상환금액확인　　　　　　　　　  </v>
      </c>
    </row>
    <row r="1451" spans="1:5" s="64" customFormat="1">
      <c r="A1451" s="316" t="s">
        <v>4635</v>
      </c>
      <c r="B1451" s="123" t="s">
        <v>7609</v>
      </c>
      <c r="C1451" s="256" t="s">
        <v>6817</v>
      </c>
      <c r="D1451" s="328" t="s">
        <v>1230</v>
      </c>
      <c r="E1451" s="122" t="str">
        <f t="shared" si="22"/>
        <v xml:space="preserve">3598 : 콜상환이벤트테이블갱신오류　　　　　  </v>
      </c>
    </row>
    <row r="1452" spans="1:5" s="64" customFormat="1">
      <c r="A1452" s="316" t="s">
        <v>4635</v>
      </c>
      <c r="B1452" s="123" t="s">
        <v>7609</v>
      </c>
      <c r="C1452" s="256" t="s">
        <v>6818</v>
      </c>
      <c r="D1452" s="328" t="s">
        <v>1229</v>
      </c>
      <c r="E1452" s="122" t="str">
        <f t="shared" si="22"/>
        <v xml:space="preserve">3599 : 콜상환이벤트테이블입력오류　　　　　  </v>
      </c>
    </row>
    <row r="1453" spans="1:5" s="64" customFormat="1">
      <c r="A1453" s="316" t="s">
        <v>4635</v>
      </c>
      <c r="B1453" s="123" t="s">
        <v>7609</v>
      </c>
      <c r="C1453" s="256" t="s">
        <v>6819</v>
      </c>
      <c r="D1453" s="328" t="s">
        <v>1228</v>
      </c>
      <c r="E1453" s="122" t="str">
        <f t="shared" si="22"/>
        <v xml:space="preserve">3600 : 예약시간확인　　　　　　　　　　　　  </v>
      </c>
    </row>
    <row r="1454" spans="1:5" s="64" customFormat="1">
      <c r="A1454" s="316" t="s">
        <v>4635</v>
      </c>
      <c r="B1454" s="123" t="s">
        <v>7609</v>
      </c>
      <c r="C1454" s="256" t="s">
        <v>6820</v>
      </c>
      <c r="D1454" s="328" t="s">
        <v>1227</v>
      </c>
      <c r="E1454" s="122" t="str">
        <f t="shared" si="22"/>
        <v xml:space="preserve">3601 : 결제시점확인　　　　　　　　　　　　  </v>
      </c>
    </row>
    <row r="1455" spans="1:5" s="64" customFormat="1">
      <c r="A1455" s="316" t="s">
        <v>4635</v>
      </c>
      <c r="B1455" s="123" t="s">
        <v>7609</v>
      </c>
      <c r="C1455" s="256" t="s">
        <v>6821</v>
      </c>
      <c r="D1455" s="328" t="s">
        <v>1226</v>
      </c>
      <c r="E1455" s="122" t="str">
        <f t="shared" si="22"/>
        <v xml:space="preserve">3602 : 이미자금공급이신청된건입니다　　　　  </v>
      </c>
    </row>
    <row r="1456" spans="1:5" s="64" customFormat="1">
      <c r="A1456" s="316" t="s">
        <v>4635</v>
      </c>
      <c r="B1456" s="123" t="s">
        <v>7609</v>
      </c>
      <c r="C1456" s="256" t="s">
        <v>6822</v>
      </c>
      <c r="D1456" s="328" t="s">
        <v>1225</v>
      </c>
      <c r="E1456" s="122" t="str">
        <f t="shared" si="22"/>
        <v xml:space="preserve">3603 : 콜상환테이블조회오류　　　　　　　　  </v>
      </c>
    </row>
    <row r="1457" spans="1:5" s="64" customFormat="1">
      <c r="A1457" s="316" t="s">
        <v>4635</v>
      </c>
      <c r="B1457" s="123" t="s">
        <v>7609</v>
      </c>
      <c r="C1457" s="256" t="s">
        <v>6823</v>
      </c>
      <c r="D1457" s="328" t="s">
        <v>1224</v>
      </c>
      <c r="E1457" s="122" t="str">
        <f t="shared" si="22"/>
        <v xml:space="preserve">3604 : 콜반환테이블입력오류　　　　　　　　  </v>
      </c>
    </row>
    <row r="1458" spans="1:5" s="64" customFormat="1">
      <c r="A1458" s="316" t="s">
        <v>4635</v>
      </c>
      <c r="B1458" s="123" t="s">
        <v>7609</v>
      </c>
      <c r="C1458" s="256" t="s">
        <v>6824</v>
      </c>
      <c r="D1458" s="328" t="s">
        <v>1223</v>
      </c>
      <c r="E1458" s="122" t="str">
        <f t="shared" si="22"/>
        <v xml:space="preserve">3605 : 콜반환테이블조회오류　　　　　　　　  </v>
      </c>
    </row>
    <row r="1459" spans="1:5" s="64" customFormat="1">
      <c r="A1459" s="316" t="s">
        <v>4635</v>
      </c>
      <c r="B1459" s="123" t="s">
        <v>7609</v>
      </c>
      <c r="C1459" s="256" t="s">
        <v>6825</v>
      </c>
      <c r="D1459" s="328" t="s">
        <v>1222</v>
      </c>
      <c r="E1459" s="122" t="str">
        <f t="shared" si="22"/>
        <v xml:space="preserve">3606 : 반환동의신청이먼저수행되어야합니다　  </v>
      </c>
    </row>
    <row r="1460" spans="1:5" s="64" customFormat="1">
      <c r="A1460" s="316" t="s">
        <v>4635</v>
      </c>
      <c r="B1460" s="123" t="s">
        <v>7609</v>
      </c>
      <c r="C1460" s="256" t="s">
        <v>6826</v>
      </c>
      <c r="D1460" s="328" t="s">
        <v>1221</v>
      </c>
      <c r="E1460" s="122" t="str">
        <f t="shared" si="22"/>
        <v xml:space="preserve">3607 : 콜반환테이블갱신오류　　　　　　　　  </v>
      </c>
    </row>
    <row r="1461" spans="1:5" s="64" customFormat="1">
      <c r="A1461" s="316" t="s">
        <v>4635</v>
      </c>
      <c r="B1461" s="123" t="s">
        <v>7609</v>
      </c>
      <c r="C1461" s="256" t="s">
        <v>6827</v>
      </c>
      <c r="D1461" s="328" t="s">
        <v>1220</v>
      </c>
      <c r="E1461" s="122" t="str">
        <f t="shared" si="22"/>
        <v xml:space="preserve">3608 : 콜상환번호채번오류　　　　　　　　　  </v>
      </c>
    </row>
    <row r="1462" spans="1:5" s="64" customFormat="1">
      <c r="A1462" s="316" t="s">
        <v>4635</v>
      </c>
      <c r="B1462" s="123" t="s">
        <v>7609</v>
      </c>
      <c r="C1462" s="256" t="s">
        <v>6828</v>
      </c>
      <c r="D1462" s="328" t="s">
        <v>1219</v>
      </c>
      <c r="E1462" s="122" t="str">
        <f t="shared" si="22"/>
        <v xml:space="preserve">3609 : 한국은행상환일련번호확인　　　　　　  </v>
      </c>
    </row>
    <row r="1463" spans="1:5" s="64" customFormat="1">
      <c r="A1463" s="316" t="s">
        <v>4635</v>
      </c>
      <c r="B1463" s="123" t="s">
        <v>7609</v>
      </c>
      <c r="C1463" s="256" t="s">
        <v>6829</v>
      </c>
      <c r="D1463" s="328" t="s">
        <v>1218</v>
      </c>
      <c r="E1463" s="122" t="str">
        <f t="shared" si="22"/>
        <v xml:space="preserve">3610 : 체결상태가상환불가능한거래입니다　　  </v>
      </c>
    </row>
    <row r="1464" spans="1:5" s="64" customFormat="1">
      <c r="A1464" s="316" t="s">
        <v>4635</v>
      </c>
      <c r="B1464" s="123" t="s">
        <v>7609</v>
      </c>
      <c r="C1464" s="256" t="s">
        <v>6830</v>
      </c>
      <c r="D1464" s="328" t="s">
        <v>1217</v>
      </c>
      <c r="E1464" s="122" t="str">
        <f t="shared" si="22"/>
        <v xml:space="preserve">3611 : 콜체결유형(거래유형)확인　　　　  </v>
      </c>
    </row>
    <row r="1465" spans="1:5" s="64" customFormat="1">
      <c r="A1465" s="316" t="s">
        <v>4635</v>
      </c>
      <c r="B1465" s="123" t="s">
        <v>7609</v>
      </c>
      <c r="C1465" s="256" t="s">
        <v>6831</v>
      </c>
      <c r="D1465" s="328" t="s">
        <v>1216</v>
      </c>
      <c r="E1465" s="122" t="str">
        <f t="shared" si="22"/>
        <v xml:space="preserve">3612 : 반환구분확인　　　　　　　　　　　　  </v>
      </c>
    </row>
    <row r="1466" spans="1:5" s="64" customFormat="1">
      <c r="A1466" s="316" t="s">
        <v>4635</v>
      </c>
      <c r="B1466" s="123" t="s">
        <v>7609</v>
      </c>
      <c r="C1466" s="256" t="s">
        <v>6832</v>
      </c>
      <c r="D1466" s="328" t="s">
        <v>1215</v>
      </c>
      <c r="E1466" s="122" t="str">
        <f t="shared" si="22"/>
        <v xml:space="preserve">3613 : 콜체결일자확인　　　　　　　　　　　  </v>
      </c>
    </row>
    <row r="1467" spans="1:5" s="64" customFormat="1">
      <c r="A1467" s="316" t="s">
        <v>4635</v>
      </c>
      <c r="B1467" s="123" t="s">
        <v>7609</v>
      </c>
      <c r="C1467" s="256" t="s">
        <v>6833</v>
      </c>
      <c r="D1467" s="328" t="s">
        <v>1214</v>
      </c>
      <c r="E1467" s="122" t="str">
        <f t="shared" si="22"/>
        <v xml:space="preserve">3614 : 콜체결일련번호확인　　　　　　　　　  </v>
      </c>
    </row>
    <row r="1468" spans="1:5" s="64" customFormat="1">
      <c r="A1468" s="316" t="s">
        <v>4635</v>
      </c>
      <c r="B1468" s="123" t="s">
        <v>7609</v>
      </c>
      <c r="C1468" s="256" t="s">
        <v>6834</v>
      </c>
      <c r="D1468" s="328" t="s">
        <v>1213</v>
      </c>
      <c r="E1468" s="122" t="str">
        <f t="shared" si="22"/>
        <v xml:space="preserve">3615 : 일반상환대상이없습니다　　　　　　　  </v>
      </c>
    </row>
    <row r="1469" spans="1:5" s="64" customFormat="1">
      <c r="A1469" s="316" t="s">
        <v>4635</v>
      </c>
      <c r="B1469" s="123" t="s">
        <v>7609</v>
      </c>
      <c r="C1469" s="256" t="s">
        <v>6835</v>
      </c>
      <c r="D1469" s="328" t="s">
        <v>1212</v>
      </c>
      <c r="E1469" s="122" t="str">
        <f t="shared" si="22"/>
        <v xml:space="preserve">3616 : 신청구분확인　　　　　　　　　　　　  </v>
      </c>
    </row>
    <row r="1470" spans="1:5" s="64" customFormat="1">
      <c r="A1470" s="316" t="s">
        <v>4635</v>
      </c>
      <c r="B1470" s="123" t="s">
        <v>7609</v>
      </c>
      <c r="C1470" s="256" t="s">
        <v>6836</v>
      </c>
      <c r="D1470" s="328" t="s">
        <v>1211</v>
      </c>
      <c r="E1470" s="122" t="str">
        <f t="shared" si="22"/>
        <v xml:space="preserve">3617 : 반환일련번호확인　　　　　　　　　　  </v>
      </c>
    </row>
    <row r="1471" spans="1:5" s="64" customFormat="1">
      <c r="A1471" s="316" t="s">
        <v>4635</v>
      </c>
      <c r="B1471" s="123" t="s">
        <v>7609</v>
      </c>
      <c r="C1471" s="256" t="s">
        <v>6837</v>
      </c>
      <c r="D1471" s="328" t="s">
        <v>1210</v>
      </c>
      <c r="E1471" s="122" t="str">
        <f t="shared" si="22"/>
        <v xml:space="preserve">3618 : 변경구분확인　　　　　　　　　　　　  </v>
      </c>
    </row>
    <row r="1472" spans="1:5" s="64" customFormat="1">
      <c r="A1472" s="316" t="s">
        <v>4635</v>
      </c>
      <c r="B1472" s="123" t="s">
        <v>7609</v>
      </c>
      <c r="C1472" s="256" t="s">
        <v>6838</v>
      </c>
      <c r="D1472" s="328" t="s">
        <v>1209</v>
      </c>
      <c r="E1472" s="122" t="str">
        <f t="shared" si="22"/>
        <v xml:space="preserve">3619 : 반환동의신청건이없습니다　　　　　　  </v>
      </c>
    </row>
    <row r="1473" spans="1:5" s="64" customFormat="1">
      <c r="A1473" s="316" t="s">
        <v>4635</v>
      </c>
      <c r="B1473" s="123" t="s">
        <v>7609</v>
      </c>
      <c r="C1473" s="256" t="s">
        <v>6839</v>
      </c>
      <c r="D1473" s="328" t="s">
        <v>1208</v>
      </c>
      <c r="E1473" s="122" t="str">
        <f t="shared" si="22"/>
        <v xml:space="preserve">3620 : 이미반환신청된건입니다　　　　　　　  </v>
      </c>
    </row>
    <row r="1474" spans="1:5" s="64" customFormat="1">
      <c r="A1474" s="316" t="s">
        <v>4635</v>
      </c>
      <c r="B1474" s="123" t="s">
        <v>7609</v>
      </c>
      <c r="C1474" s="256" t="s">
        <v>6840</v>
      </c>
      <c r="D1474" s="328" t="s">
        <v>1207</v>
      </c>
      <c r="E1474" s="122" t="str">
        <f t="shared" si="22"/>
        <v xml:space="preserve">3621 : 뮤추얼 펀드는 등록 불가         </v>
      </c>
    </row>
    <row r="1475" spans="1:5" s="64" customFormat="1">
      <c r="A1475" s="316" t="s">
        <v>4635</v>
      </c>
      <c r="B1475" s="123" t="s">
        <v>7609</v>
      </c>
      <c r="C1475" s="256" t="s">
        <v>6841</v>
      </c>
      <c r="D1475" s="328" t="s">
        <v>1206</v>
      </c>
      <c r="E1475" s="122" t="str">
        <f t="shared" si="22"/>
        <v xml:space="preserve">3622 : 공급업체수탁업체거래은행지준계좌화인  </v>
      </c>
    </row>
    <row r="1476" spans="1:5" s="64" customFormat="1">
      <c r="A1476" s="316" t="s">
        <v>4635</v>
      </c>
      <c r="B1476" s="123" t="s">
        <v>7609</v>
      </c>
      <c r="C1476" s="256" t="s">
        <v>6842</v>
      </c>
      <c r="D1476" s="328" t="s">
        <v>1205</v>
      </c>
      <c r="E1476" s="122" t="str">
        <f t="shared" ref="E1476:E1539" si="23">_xlfn.TEXTJOIN(" : ",FALSE,C1476:D1476)</f>
        <v xml:space="preserve">3623 : 차입업체및거래은행지준계좌전부미입력  </v>
      </c>
    </row>
    <row r="1477" spans="1:5" s="64" customFormat="1">
      <c r="A1477" s="316" t="s">
        <v>4635</v>
      </c>
      <c r="B1477" s="123" t="s">
        <v>7609</v>
      </c>
      <c r="C1477" s="256" t="s">
        <v>6843</v>
      </c>
      <c r="D1477" s="328" t="s">
        <v>1204</v>
      </c>
      <c r="E1477" s="122" t="str">
        <f t="shared" si="23"/>
        <v xml:space="preserve">3624 : 연결상환은 직거래만 가능합니다    </v>
      </c>
    </row>
    <row r="1478" spans="1:5" s="64" customFormat="1">
      <c r="A1478" s="316" t="s">
        <v>4635</v>
      </c>
      <c r="B1478" s="123" t="s">
        <v>7609</v>
      </c>
      <c r="C1478" s="256" t="s">
        <v>6844</v>
      </c>
      <c r="D1478" s="328" t="s">
        <v>1203</v>
      </c>
      <c r="E1478" s="122" t="str">
        <f t="shared" si="23"/>
        <v xml:space="preserve">3625 : 거래은행예금차입은취소불가　　　　　  </v>
      </c>
    </row>
    <row r="1479" spans="1:5" s="64" customFormat="1">
      <c r="A1479" s="316" t="s">
        <v>4635</v>
      </c>
      <c r="B1479" s="123" t="s">
        <v>7609</v>
      </c>
      <c r="C1479" s="256" t="s">
        <v>6845</v>
      </c>
      <c r="D1479" s="328" t="s">
        <v>1202</v>
      </c>
      <c r="E1479" s="122" t="str">
        <f t="shared" si="23"/>
        <v xml:space="preserve">3626 : 반일물콜체결유형확인　　　　　　　　  </v>
      </c>
    </row>
    <row r="1480" spans="1:5" s="64" customFormat="1">
      <c r="A1480" s="316" t="s">
        <v>4635</v>
      </c>
      <c r="B1480" s="123" t="s">
        <v>7609</v>
      </c>
      <c r="C1480" s="256" t="s">
        <v>6846</v>
      </c>
      <c r="D1480" s="328" t="s">
        <v>1201</v>
      </c>
      <c r="E1480" s="122" t="str">
        <f t="shared" si="23"/>
        <v xml:space="preserve">3627 : 상환진행중인거래내역은취소요청불가　  </v>
      </c>
    </row>
    <row r="1481" spans="1:5" s="64" customFormat="1">
      <c r="A1481" s="316" t="s">
        <v>4635</v>
      </c>
      <c r="B1481" s="123" t="s">
        <v>7609</v>
      </c>
      <c r="C1481" s="256" t="s">
        <v>6847</v>
      </c>
      <c r="D1481" s="328" t="s">
        <v>1200</v>
      </c>
      <c r="E1481" s="122" t="str">
        <f t="shared" si="23"/>
        <v xml:space="preserve">3628 : 취소유보중인거래내역은취소요청불가　  </v>
      </c>
    </row>
    <row r="1482" spans="1:5" s="64" customFormat="1">
      <c r="A1482" s="316" t="s">
        <v>4635</v>
      </c>
      <c r="B1482" s="123" t="s">
        <v>7609</v>
      </c>
      <c r="C1482" s="256" t="s">
        <v>6848</v>
      </c>
      <c r="D1482" s="328" t="s">
        <v>1199</v>
      </c>
      <c r="E1482" s="122" t="str">
        <f t="shared" si="23"/>
        <v xml:space="preserve">3629 : 체결유형및결제구분불일치　　　　　　  </v>
      </c>
    </row>
    <row r="1483" spans="1:5" s="64" customFormat="1">
      <c r="A1483" s="316" t="s">
        <v>4635</v>
      </c>
      <c r="B1483" s="123" t="s">
        <v>7609</v>
      </c>
      <c r="C1483" s="256" t="s">
        <v>6849</v>
      </c>
      <c r="D1483" s="328" t="s">
        <v>1198</v>
      </c>
      <c r="E1483" s="122" t="str">
        <f t="shared" si="23"/>
        <v xml:space="preserve">3630 : 콜상환이 불가능한 체결건임        </v>
      </c>
    </row>
    <row r="1484" spans="1:5" s="64" customFormat="1">
      <c r="A1484" s="316" t="s">
        <v>4635</v>
      </c>
      <c r="B1484" s="123" t="s">
        <v>7609</v>
      </c>
      <c r="C1484" s="256" t="s">
        <v>6850</v>
      </c>
      <c r="D1484" s="328" t="s">
        <v>1197</v>
      </c>
      <c r="E1484" s="122" t="str">
        <f t="shared" si="23"/>
        <v xml:space="preserve">3631 : 수신코드테이블조회 오류             </v>
      </c>
    </row>
    <row r="1485" spans="1:5" s="64" customFormat="1">
      <c r="A1485" s="316" t="s">
        <v>4635</v>
      </c>
      <c r="B1485" s="123" t="s">
        <v>7609</v>
      </c>
      <c r="C1485" s="256" t="s">
        <v>6851</v>
      </c>
      <c r="D1485" s="328" t="s">
        <v>1196</v>
      </c>
      <c r="E1485" s="122" t="str">
        <f t="shared" si="23"/>
        <v xml:space="preserve">3632 : 콜취소테이블 조회 오류            </v>
      </c>
    </row>
    <row r="1486" spans="1:5" s="64" customFormat="1">
      <c r="A1486" s="316" t="s">
        <v>4635</v>
      </c>
      <c r="B1486" s="123" t="s">
        <v>7609</v>
      </c>
      <c r="C1486" s="256" t="s">
        <v>6852</v>
      </c>
      <c r="D1486" s="328" t="s">
        <v>1195</v>
      </c>
      <c r="E1486" s="122" t="str">
        <f t="shared" si="23"/>
        <v xml:space="preserve">3633 : 금융권 분류코드 확인              </v>
      </c>
    </row>
    <row r="1487" spans="1:5" s="64" customFormat="1">
      <c r="A1487" s="316" t="s">
        <v>4635</v>
      </c>
      <c r="B1487" s="123" t="s">
        <v>7609</v>
      </c>
      <c r="C1487" s="256" t="s">
        <v>6853</v>
      </c>
      <c r="D1487" s="328" t="s">
        <v>1194</v>
      </c>
      <c r="E1487" s="122" t="str">
        <f t="shared" si="23"/>
        <v xml:space="preserve">3634 : 상태구분 확인                       </v>
      </c>
    </row>
    <row r="1488" spans="1:5" s="64" customFormat="1">
      <c r="A1488" s="316" t="s">
        <v>4635</v>
      </c>
      <c r="B1488" s="123" t="s">
        <v>7609</v>
      </c>
      <c r="C1488" s="256" t="s">
        <v>6854</v>
      </c>
      <c r="D1488" s="328" t="s">
        <v>1193</v>
      </c>
      <c r="E1488" s="122" t="str">
        <f t="shared" si="23"/>
        <v xml:space="preserve">3635 : 중개회사에서 변경신청한 건입니다  </v>
      </c>
    </row>
    <row r="1489" spans="1:5" s="64" customFormat="1">
      <c r="A1489" s="316" t="s">
        <v>4635</v>
      </c>
      <c r="B1489" s="123" t="s">
        <v>7609</v>
      </c>
      <c r="C1489" s="256" t="s">
        <v>6855</v>
      </c>
      <c r="D1489" s="328" t="s">
        <v>1192</v>
      </c>
      <c r="E1489" s="122" t="str">
        <f t="shared" si="23"/>
        <v xml:space="preserve">3636 : 현재 변경중인 거래입니다          </v>
      </c>
    </row>
    <row r="1490" spans="1:5" s="64" customFormat="1">
      <c r="A1490" s="316" t="s">
        <v>4635</v>
      </c>
      <c r="B1490" s="123" t="s">
        <v>7609</v>
      </c>
      <c r="C1490" s="256" t="s">
        <v>6856</v>
      </c>
      <c r="D1490" s="328" t="s">
        <v>1191</v>
      </c>
      <c r="E1490" s="122" t="str">
        <f t="shared" si="23"/>
        <v xml:space="preserve">3637 : 위탁기관 확인                       </v>
      </c>
    </row>
    <row r="1491" spans="1:5" s="64" customFormat="1">
      <c r="A1491" s="316" t="s">
        <v>4635</v>
      </c>
      <c r="B1491" s="123" t="s">
        <v>7609</v>
      </c>
      <c r="C1491" s="256" t="s">
        <v>6857</v>
      </c>
      <c r="D1491" s="328" t="s">
        <v>1190</v>
      </c>
      <c r="E1491" s="122" t="str">
        <f t="shared" si="23"/>
        <v xml:space="preserve">3638 : 한국은행 지준코드 확인            </v>
      </c>
    </row>
    <row r="1492" spans="1:5" s="64" customFormat="1">
      <c r="A1492" s="316" t="s">
        <v>4635</v>
      </c>
      <c r="B1492" s="123" t="s">
        <v>7609</v>
      </c>
      <c r="C1492" s="256" t="s">
        <v>6858</v>
      </c>
      <c r="D1492" s="328" t="s">
        <v>1189</v>
      </c>
      <c r="E1492" s="122" t="str">
        <f t="shared" si="23"/>
        <v xml:space="preserve">3639 : 참가기관코드와 통합코드 중복      </v>
      </c>
    </row>
    <row r="1493" spans="1:5" s="64" customFormat="1">
      <c r="A1493" s="316" t="s">
        <v>4635</v>
      </c>
      <c r="B1493" s="123" t="s">
        <v>7609</v>
      </c>
      <c r="C1493" s="256" t="s">
        <v>6859</v>
      </c>
      <c r="D1493" s="328" t="s">
        <v>1188</v>
      </c>
      <c r="E1493" s="122" t="str">
        <f t="shared" si="23"/>
        <v xml:space="preserve">4000 : 대기파일　오류                        </v>
      </c>
    </row>
    <row r="1494" spans="1:5" s="64" customFormat="1">
      <c r="A1494" s="316" t="s">
        <v>4635</v>
      </c>
      <c r="B1494" s="123" t="s">
        <v>7609</v>
      </c>
      <c r="C1494" s="256" t="s">
        <v>6860</v>
      </c>
      <c r="D1494" s="328" t="s">
        <v>1187</v>
      </c>
      <c r="E1494" s="122" t="str">
        <f t="shared" si="23"/>
        <v xml:space="preserve">4015 : 예비종료이후접수된자료는처리불가      </v>
      </c>
    </row>
    <row r="1495" spans="1:5" s="64" customFormat="1">
      <c r="A1495" s="316" t="s">
        <v>4635</v>
      </c>
      <c r="B1495" s="123" t="s">
        <v>7609</v>
      </c>
      <c r="C1495" s="256" t="s">
        <v>6861</v>
      </c>
      <c r="D1495" s="328" t="s">
        <v>1186</v>
      </c>
      <c r="E1495" s="122" t="str">
        <f t="shared" si="23"/>
        <v xml:space="preserve">4101 : 의뢰인지역（１）　오류                </v>
      </c>
    </row>
    <row r="1496" spans="1:5" s="64" customFormat="1">
      <c r="A1496" s="316" t="s">
        <v>4635</v>
      </c>
      <c r="B1496" s="123" t="s">
        <v>7609</v>
      </c>
      <c r="C1496" s="256" t="s">
        <v>6862</v>
      </c>
      <c r="D1496" s="328" t="s">
        <v>1185</v>
      </c>
      <c r="E1496" s="122" t="str">
        <f t="shared" si="23"/>
        <v xml:space="preserve">4102 : 의뢰인지역（２）　오류                </v>
      </c>
    </row>
    <row r="1497" spans="1:5" s="64" customFormat="1">
      <c r="A1497" s="316" t="s">
        <v>4635</v>
      </c>
      <c r="B1497" s="123" t="s">
        <v>7609</v>
      </c>
      <c r="C1497" s="256" t="s">
        <v>6863</v>
      </c>
      <c r="D1497" s="328" t="s">
        <v>1184</v>
      </c>
      <c r="E1497" s="122" t="str">
        <f t="shared" si="23"/>
        <v xml:space="preserve">4103 : 의뢰인지역（３）　오류                </v>
      </c>
    </row>
    <row r="1498" spans="1:5" s="64" customFormat="1">
      <c r="A1498" s="316" t="s">
        <v>4635</v>
      </c>
      <c r="B1498" s="123" t="s">
        <v>7609</v>
      </c>
      <c r="C1498" s="256" t="s">
        <v>6864</v>
      </c>
      <c r="D1498" s="328" t="s">
        <v>1183</v>
      </c>
      <c r="E1498" s="122" t="str">
        <f t="shared" si="23"/>
        <v xml:space="preserve">4104 : 의뢰인지역（４）　오류                </v>
      </c>
    </row>
    <row r="1499" spans="1:5" s="64" customFormat="1">
      <c r="A1499" s="316" t="s">
        <v>4635</v>
      </c>
      <c r="B1499" s="123" t="s">
        <v>7609</v>
      </c>
      <c r="C1499" s="256" t="s">
        <v>6865</v>
      </c>
      <c r="D1499" s="328" t="s">
        <v>1182</v>
      </c>
      <c r="E1499" s="122" t="str">
        <f t="shared" si="23"/>
        <v xml:space="preserve">4105 : 의뢰인지역（５）　오류                </v>
      </c>
    </row>
    <row r="1500" spans="1:5" s="64" customFormat="1">
      <c r="A1500" s="316" t="s">
        <v>4635</v>
      </c>
      <c r="B1500" s="123" t="s">
        <v>7609</v>
      </c>
      <c r="C1500" s="256" t="s">
        <v>6866</v>
      </c>
      <c r="D1500" s="328" t="s">
        <v>1181</v>
      </c>
      <c r="E1500" s="122" t="str">
        <f t="shared" si="23"/>
        <v xml:space="preserve">4106 : 의뢰인지역（６）　오류                </v>
      </c>
    </row>
    <row r="1501" spans="1:5" s="64" customFormat="1">
      <c r="A1501" s="316" t="s">
        <v>4635</v>
      </c>
      <c r="B1501" s="123" t="s">
        <v>7609</v>
      </c>
      <c r="C1501" s="256" t="s">
        <v>6867</v>
      </c>
      <c r="D1501" s="328" t="s">
        <v>1180</v>
      </c>
      <c r="E1501" s="122" t="str">
        <f t="shared" si="23"/>
        <v xml:space="preserve">4107 : 의뢰인지역（７）　오류                </v>
      </c>
    </row>
    <row r="1502" spans="1:5" s="64" customFormat="1">
      <c r="A1502" s="316" t="s">
        <v>4635</v>
      </c>
      <c r="B1502" s="123" t="s">
        <v>7609</v>
      </c>
      <c r="C1502" s="256" t="s">
        <v>6868</v>
      </c>
      <c r="D1502" s="328" t="s">
        <v>1179</v>
      </c>
      <c r="E1502" s="122" t="str">
        <f t="shared" si="23"/>
        <v xml:space="preserve">4108 : 의뢰인지역（８）　오류                </v>
      </c>
    </row>
    <row r="1503" spans="1:5" s="64" customFormat="1">
      <c r="A1503" s="316" t="s">
        <v>4635</v>
      </c>
      <c r="B1503" s="123" t="s">
        <v>7609</v>
      </c>
      <c r="C1503" s="256" t="s">
        <v>6869</v>
      </c>
      <c r="D1503" s="328" t="s">
        <v>1178</v>
      </c>
      <c r="E1503" s="122" t="str">
        <f t="shared" si="23"/>
        <v xml:space="preserve">4109 : 의뢰인지역（９）　오류                </v>
      </c>
    </row>
    <row r="1504" spans="1:5" s="64" customFormat="1">
      <c r="A1504" s="316" t="s">
        <v>4635</v>
      </c>
      <c r="B1504" s="123" t="s">
        <v>7609</v>
      </c>
      <c r="C1504" s="256" t="s">
        <v>6870</v>
      </c>
      <c r="D1504" s="328" t="s">
        <v>1177</v>
      </c>
      <c r="E1504" s="122" t="str">
        <f t="shared" si="23"/>
        <v xml:space="preserve">4110 : 의뢰인지역（１０）　오류              </v>
      </c>
    </row>
    <row r="1505" spans="1:5" s="64" customFormat="1">
      <c r="A1505" s="316" t="s">
        <v>4635</v>
      </c>
      <c r="B1505" s="123" t="s">
        <v>7609</v>
      </c>
      <c r="C1505" s="256" t="s">
        <v>6871</v>
      </c>
      <c r="D1505" s="328" t="s">
        <v>1176</v>
      </c>
      <c r="E1505" s="122" t="str">
        <f t="shared" si="23"/>
        <v xml:space="preserve">4201 : 결제방법　입력　오류입니다．          </v>
      </c>
    </row>
    <row r="1506" spans="1:5" s="64" customFormat="1">
      <c r="A1506" s="316" t="s">
        <v>4635</v>
      </c>
      <c r="B1506" s="123" t="s">
        <v>7609</v>
      </c>
      <c r="C1506" s="256" t="s">
        <v>6872</v>
      </c>
      <c r="D1506" s="328" t="s">
        <v>1175</v>
      </c>
      <c r="E1506" s="122" t="str">
        <f t="shared" si="23"/>
        <v xml:space="preserve">4202 : 결제시점　입력　오류입니다．          </v>
      </c>
    </row>
    <row r="1507" spans="1:5" s="64" customFormat="1">
      <c r="A1507" s="316" t="s">
        <v>4635</v>
      </c>
      <c r="B1507" s="123" t="s">
        <v>7609</v>
      </c>
      <c r="C1507" s="256" t="s">
        <v>6873</v>
      </c>
      <c r="D1507" s="328" t="s">
        <v>1174</v>
      </c>
      <c r="E1507" s="122" t="str">
        <f t="shared" si="23"/>
        <v xml:space="preserve">4203 : 결제시점은　즉시만　가능합니다．      </v>
      </c>
    </row>
    <row r="1508" spans="1:5" s="64" customFormat="1">
      <c r="A1508" s="316" t="s">
        <v>4635</v>
      </c>
      <c r="B1508" s="123" t="s">
        <v>7609</v>
      </c>
      <c r="C1508" s="256" t="s">
        <v>6874</v>
      </c>
      <c r="D1508" s="328" t="s">
        <v>1173</v>
      </c>
      <c r="E1508" s="122" t="str">
        <f t="shared" si="23"/>
        <v>4204 : 결제시점이 예약인경우만 입력가능함</v>
      </c>
    </row>
    <row r="1509" spans="1:5" s="64" customFormat="1">
      <c r="A1509" s="316" t="s">
        <v>4635</v>
      </c>
      <c r="B1509" s="123" t="s">
        <v>7609</v>
      </c>
      <c r="C1509" s="256" t="s">
        <v>6875</v>
      </c>
      <c r="D1509" s="328" t="s">
        <v>1172</v>
      </c>
      <c r="E1509" s="122" t="str">
        <f t="shared" si="23"/>
        <v xml:space="preserve">4205 : 결제일이　아닙니다                    </v>
      </c>
    </row>
    <row r="1510" spans="1:5" s="64" customFormat="1">
      <c r="A1510" s="316" t="s">
        <v>4635</v>
      </c>
      <c r="B1510" s="123" t="s">
        <v>7609</v>
      </c>
      <c r="C1510" s="256" t="s">
        <v>6876</v>
      </c>
      <c r="D1510" s="328" t="s">
        <v>1171</v>
      </c>
      <c r="E1510" s="122" t="str">
        <f t="shared" si="23"/>
        <v xml:space="preserve">4206 : 계좌번호　입력바랍니다                </v>
      </c>
    </row>
    <row r="1511" spans="1:5" s="64" customFormat="1">
      <c r="A1511" s="316" t="s">
        <v>4635</v>
      </c>
      <c r="B1511" s="123" t="s">
        <v>7609</v>
      </c>
      <c r="C1511" s="256" t="s">
        <v>6877</v>
      </c>
      <c r="D1511" s="328" t="s">
        <v>1170</v>
      </c>
      <c r="E1511" s="122" t="str">
        <f t="shared" si="23"/>
        <v xml:space="preserve">4207 : 계좌번호가　존재하지않습니다．        </v>
      </c>
    </row>
    <row r="1512" spans="1:5" s="64" customFormat="1">
      <c r="A1512" s="316" t="s">
        <v>4635</v>
      </c>
      <c r="B1512" s="123" t="s">
        <v>7609</v>
      </c>
      <c r="C1512" s="256" t="s">
        <v>6878</v>
      </c>
      <c r="D1512" s="328" t="s">
        <v>1169</v>
      </c>
      <c r="E1512" s="122" t="str">
        <f t="shared" si="23"/>
        <v xml:space="preserve">4208 : 금융기관간예약이체불가능　！！        </v>
      </c>
    </row>
    <row r="1513" spans="1:5" s="64" customFormat="1">
      <c r="A1513" s="316" t="s">
        <v>4635</v>
      </c>
      <c r="B1513" s="123" t="s">
        <v>7609</v>
      </c>
      <c r="C1513" s="256" t="s">
        <v>6879</v>
      </c>
      <c r="D1513" s="328" t="s">
        <v>1168</v>
      </c>
      <c r="E1513" s="122" t="str">
        <f t="shared" si="23"/>
        <v xml:space="preserve">4209 : 다자간동시실행시간은예약시간될수없음  </v>
      </c>
    </row>
    <row r="1514" spans="1:5" s="64" customFormat="1">
      <c r="A1514" s="316" t="s">
        <v>4635</v>
      </c>
      <c r="B1514" s="123" t="s">
        <v>7609</v>
      </c>
      <c r="C1514" s="256" t="s">
        <v>6880</v>
      </c>
      <c r="D1514" s="328" t="s">
        <v>1167</v>
      </c>
      <c r="E1514" s="122" t="str">
        <f t="shared" si="23"/>
        <v xml:space="preserve">4210 : 당일건　전표취소처리시　오류          </v>
      </c>
    </row>
    <row r="1515" spans="1:5" s="64" customFormat="1">
      <c r="A1515" s="316" t="s">
        <v>4635</v>
      </c>
      <c r="B1515" s="123" t="s">
        <v>7609</v>
      </c>
      <c r="C1515" s="256" t="s">
        <v>6881</v>
      </c>
      <c r="D1515" s="328" t="s">
        <v>1166</v>
      </c>
      <c r="E1515" s="122" t="str">
        <f t="shared" si="23"/>
        <v xml:space="preserve">4211 : 대기결제(총액)되었습니다          </v>
      </c>
    </row>
    <row r="1516" spans="1:5" s="64" customFormat="1">
      <c r="A1516" s="316" t="s">
        <v>4635</v>
      </c>
      <c r="B1516" s="123" t="s">
        <v>7609</v>
      </c>
      <c r="C1516" s="256" t="s">
        <v>6882</v>
      </c>
      <c r="D1516" s="328" t="s">
        <v>1165</v>
      </c>
      <c r="E1516" s="122" t="str">
        <f t="shared" si="23"/>
        <v xml:space="preserve">4212 : 대기결제(혼합)되었습니다          </v>
      </c>
    </row>
    <row r="1517" spans="1:5" s="64" customFormat="1">
      <c r="A1517" s="316" t="s">
        <v>4635</v>
      </c>
      <c r="B1517" s="123" t="s">
        <v>7609</v>
      </c>
      <c r="C1517" s="256" t="s">
        <v>6883</v>
      </c>
      <c r="D1517" s="328" t="s">
        <v>1164</v>
      </c>
      <c r="E1517" s="122" t="str">
        <f t="shared" si="23"/>
        <v xml:space="preserve">4213 : 대기취소(총액)되었습니다          </v>
      </c>
    </row>
    <row r="1518" spans="1:5" s="64" customFormat="1">
      <c r="A1518" s="316" t="s">
        <v>4635</v>
      </c>
      <c r="B1518" s="123" t="s">
        <v>7609</v>
      </c>
      <c r="C1518" s="256" t="s">
        <v>6884</v>
      </c>
      <c r="D1518" s="328" t="s">
        <v>1163</v>
      </c>
      <c r="E1518" s="122" t="str">
        <f t="shared" si="23"/>
        <v xml:space="preserve">4214 : 대기취소(혼합)되었습니다          </v>
      </c>
    </row>
    <row r="1519" spans="1:5" s="64" customFormat="1">
      <c r="A1519" s="316" t="s">
        <v>4635</v>
      </c>
      <c r="B1519" s="123" t="s">
        <v>7609</v>
      </c>
      <c r="C1519" s="256" t="s">
        <v>6885</v>
      </c>
      <c r="D1519" s="328" t="s">
        <v>1162</v>
      </c>
      <c r="E1519" s="122" t="str">
        <f t="shared" si="23"/>
        <v xml:space="preserve">4215 : 대기제한　금융기관입니다              </v>
      </c>
    </row>
    <row r="1520" spans="1:5" s="64" customFormat="1">
      <c r="A1520" s="316" t="s">
        <v>4635</v>
      </c>
      <c r="B1520" s="123" t="s">
        <v>7609</v>
      </c>
      <c r="C1520" s="256" t="s">
        <v>6886</v>
      </c>
      <c r="D1520" s="328" t="s">
        <v>1161</v>
      </c>
      <c r="E1520" s="122" t="str">
        <f t="shared" si="23"/>
        <v xml:space="preserve">4216 : 동일계좌로의　이체불가　！！          </v>
      </c>
    </row>
    <row r="1521" spans="1:5" s="64" customFormat="1">
      <c r="A1521" s="316" t="s">
        <v>4635</v>
      </c>
      <c r="B1521" s="123" t="s">
        <v>7609</v>
      </c>
      <c r="C1521" s="256" t="s">
        <v>6887</v>
      </c>
      <c r="D1521" s="328" t="s">
        <v>1160</v>
      </c>
      <c r="E1521" s="122" t="str">
        <f t="shared" si="23"/>
        <v xml:space="preserve">4217 : 등록되지않은　자금코드입니다          </v>
      </c>
    </row>
    <row r="1522" spans="1:5" s="64" customFormat="1">
      <c r="A1522" s="316" t="s">
        <v>4635</v>
      </c>
      <c r="B1522" s="123" t="s">
        <v>7609</v>
      </c>
      <c r="C1522" s="256" t="s">
        <v>6888</v>
      </c>
      <c r="D1522" s="328" t="s">
        <v>1159</v>
      </c>
      <c r="E1522" s="122" t="str">
        <f t="shared" si="23"/>
        <v xml:space="preserve">4218 : 비참가기관　타취급점으로　불가　！！  </v>
      </c>
    </row>
    <row r="1523" spans="1:5" s="64" customFormat="1">
      <c r="A1523" s="316" t="s">
        <v>4635</v>
      </c>
      <c r="B1523" s="123" t="s">
        <v>7609</v>
      </c>
      <c r="C1523" s="256" t="s">
        <v>6889</v>
      </c>
      <c r="D1523" s="328" t="s">
        <v>1158</v>
      </c>
      <c r="E1523" s="122" t="str">
        <f t="shared" si="23"/>
        <v xml:space="preserve">4219 : 수동수행　실행중　입니다．            </v>
      </c>
    </row>
    <row r="1524" spans="1:5" s="64" customFormat="1">
      <c r="A1524" s="316" t="s">
        <v>4635</v>
      </c>
      <c r="B1524" s="123" t="s">
        <v>7609</v>
      </c>
      <c r="C1524" s="256" t="s">
        <v>6890</v>
      </c>
      <c r="D1524" s="328" t="s">
        <v>1157</v>
      </c>
      <c r="E1524" s="122" t="str">
        <f t="shared" si="23"/>
        <v xml:space="preserve">4220 : 수신코드의　결제일을　확인하시오      </v>
      </c>
    </row>
    <row r="1525" spans="1:5" s="64" customFormat="1">
      <c r="A1525" s="316" t="s">
        <v>4635</v>
      </c>
      <c r="B1525" s="123" t="s">
        <v>7609</v>
      </c>
      <c r="C1525" s="256" t="s">
        <v>6891</v>
      </c>
      <c r="D1525" s="328" t="s">
        <v>1156</v>
      </c>
      <c r="E1525" s="122" t="str">
        <f t="shared" si="23"/>
        <v xml:space="preserve">4221 : 수취인거래지정명입력오류              </v>
      </c>
    </row>
    <row r="1526" spans="1:5" s="64" customFormat="1">
      <c r="A1526" s="316" t="s">
        <v>4635</v>
      </c>
      <c r="B1526" s="123" t="s">
        <v>7609</v>
      </c>
      <c r="C1526" s="256" t="s">
        <v>6892</v>
      </c>
      <c r="D1526" s="328" t="s">
        <v>1155</v>
      </c>
      <c r="E1526" s="122" t="str">
        <f t="shared" si="23"/>
        <v xml:space="preserve">4222 : 수취인　계좌번호　입력　오류입니다．  </v>
      </c>
    </row>
    <row r="1527" spans="1:5" s="64" customFormat="1">
      <c r="A1527" s="316" t="s">
        <v>4635</v>
      </c>
      <c r="B1527" s="123" t="s">
        <v>7609</v>
      </c>
      <c r="C1527" s="256" t="s">
        <v>6893</v>
      </c>
      <c r="D1527" s="328" t="s">
        <v>1154</v>
      </c>
      <c r="E1527" s="122" t="str">
        <f t="shared" si="23"/>
        <v xml:space="preserve">4223 : 수취인　이름　입력　오류입니다．      </v>
      </c>
    </row>
    <row r="1528" spans="1:5" s="64" customFormat="1">
      <c r="A1528" s="316" t="s">
        <v>4635</v>
      </c>
      <c r="B1528" s="123" t="s">
        <v>7609</v>
      </c>
      <c r="C1528" s="256" t="s">
        <v>6894</v>
      </c>
      <c r="D1528" s="328" t="s">
        <v>1153</v>
      </c>
      <c r="E1528" s="122" t="str">
        <f t="shared" si="23"/>
        <v xml:space="preserve">4224 : 수취인지정이체내역이　없습니다        </v>
      </c>
    </row>
    <row r="1529" spans="1:5" s="64" customFormat="1">
      <c r="A1529" s="316" t="s">
        <v>4635</v>
      </c>
      <c r="B1529" s="123" t="s">
        <v>7609</v>
      </c>
      <c r="C1529" s="256" t="s">
        <v>6895</v>
      </c>
      <c r="D1529" s="328" t="s">
        <v>1152</v>
      </c>
      <c r="E1529" s="122" t="str">
        <f t="shared" si="23"/>
        <v xml:space="preserve">4225 : 신청　장소　오류입니다．              </v>
      </c>
    </row>
    <row r="1530" spans="1:5" s="64" customFormat="1">
      <c r="A1530" s="316" t="s">
        <v>4635</v>
      </c>
      <c r="B1530" s="123" t="s">
        <v>7609</v>
      </c>
      <c r="C1530" s="256" t="s">
        <v>6896</v>
      </c>
      <c r="D1530" s="328" t="s">
        <v>1151</v>
      </c>
      <c r="E1530" s="122" t="str">
        <f t="shared" si="23"/>
        <v xml:space="preserve">4226 : 신청시간을　확인하십시요．            </v>
      </c>
    </row>
    <row r="1531" spans="1:5" s="64" customFormat="1">
      <c r="A1531" s="316" t="s">
        <v>4635</v>
      </c>
      <c r="B1531" s="123" t="s">
        <v>7609</v>
      </c>
      <c r="C1531" s="256" t="s">
        <v>6897</v>
      </c>
      <c r="D1531" s="328" t="s">
        <v>1150</v>
      </c>
      <c r="E1531" s="122" t="str">
        <f t="shared" si="23"/>
        <v xml:space="preserve">4227 : 예상당좌예금잔액　범위내로　제한      </v>
      </c>
    </row>
    <row r="1532" spans="1:5" s="64" customFormat="1">
      <c r="A1532" s="316" t="s">
        <v>4635</v>
      </c>
      <c r="B1532" s="123" t="s">
        <v>7609</v>
      </c>
      <c r="C1532" s="256" t="s">
        <v>6898</v>
      </c>
      <c r="D1532" s="328" t="s">
        <v>1149</v>
      </c>
      <c r="E1532" s="122" t="str">
        <f t="shared" si="23"/>
        <v xml:space="preserve">4228 : 예약결제(총액)되었습니다          </v>
      </c>
    </row>
    <row r="1533" spans="1:5" s="64" customFormat="1">
      <c r="A1533" s="316" t="s">
        <v>4635</v>
      </c>
      <c r="B1533" s="123" t="s">
        <v>7609</v>
      </c>
      <c r="C1533" s="256" t="s">
        <v>6899</v>
      </c>
      <c r="D1533" s="328" t="s">
        <v>1148</v>
      </c>
      <c r="E1533" s="122" t="str">
        <f t="shared" si="23"/>
        <v xml:space="preserve">4229 : 예약결제(혼합)되었습니다          </v>
      </c>
    </row>
    <row r="1534" spans="1:5" s="64" customFormat="1">
      <c r="A1534" s="316" t="s">
        <v>4635</v>
      </c>
      <c r="B1534" s="123" t="s">
        <v>7609</v>
      </c>
      <c r="C1534" s="256" t="s">
        <v>6900</v>
      </c>
      <c r="D1534" s="328" t="s">
        <v>1147</v>
      </c>
      <c r="E1534" s="122" t="str">
        <f t="shared" si="23"/>
        <v xml:space="preserve">4230 : 예약취소(총액)되었습니다          </v>
      </c>
    </row>
    <row r="1535" spans="1:5" s="64" customFormat="1">
      <c r="A1535" s="316" t="s">
        <v>4635</v>
      </c>
      <c r="B1535" s="123" t="s">
        <v>7609</v>
      </c>
      <c r="C1535" s="256" t="s">
        <v>6901</v>
      </c>
      <c r="D1535" s="328" t="s">
        <v>1146</v>
      </c>
      <c r="E1535" s="122" t="str">
        <f t="shared" si="23"/>
        <v xml:space="preserve">4231 : 예약취소(혼합)되었습니다          </v>
      </c>
    </row>
    <row r="1536" spans="1:5" s="64" customFormat="1">
      <c r="A1536" s="316" t="s">
        <v>4635</v>
      </c>
      <c r="B1536" s="123" t="s">
        <v>7609</v>
      </c>
      <c r="C1536" s="256" t="s">
        <v>6902</v>
      </c>
      <c r="D1536" s="328" t="s">
        <v>1145</v>
      </c>
      <c r="E1536" s="122" t="str">
        <f t="shared" si="23"/>
        <v xml:space="preserve">4232 : 예약거래　입력　마감　상태입니다．    </v>
      </c>
    </row>
    <row r="1537" spans="1:5" s="64" customFormat="1">
      <c r="A1537" s="316" t="s">
        <v>4635</v>
      </c>
      <c r="B1537" s="123" t="s">
        <v>7609</v>
      </c>
      <c r="C1537" s="256" t="s">
        <v>6903</v>
      </c>
      <c r="D1537" s="328" t="s">
        <v>1144</v>
      </c>
      <c r="E1537" s="122" t="str">
        <f t="shared" si="23"/>
        <v xml:space="preserve">4233 : 예약번호　입력　오류입니다．          </v>
      </c>
    </row>
    <row r="1538" spans="1:5" s="64" customFormat="1">
      <c r="A1538" s="316" t="s">
        <v>4635</v>
      </c>
      <c r="B1538" s="123" t="s">
        <v>7609</v>
      </c>
      <c r="C1538" s="256" t="s">
        <v>6904</v>
      </c>
      <c r="D1538" s="328" t="s">
        <v>1143</v>
      </c>
      <c r="E1538" s="122" t="str">
        <f t="shared" si="23"/>
        <v xml:space="preserve">4234 : 예약시각　입력　오류입니다．          </v>
      </c>
    </row>
    <row r="1539" spans="1:5" s="64" customFormat="1">
      <c r="A1539" s="316" t="s">
        <v>4635</v>
      </c>
      <c r="B1539" s="123" t="s">
        <v>7609</v>
      </c>
      <c r="C1539" s="256" t="s">
        <v>6905</v>
      </c>
      <c r="D1539" s="328" t="s">
        <v>1142</v>
      </c>
      <c r="E1539" s="122" t="str">
        <f t="shared" si="23"/>
        <v xml:space="preserve">4235 : 예약시간은 최소한10분이후에가능   </v>
      </c>
    </row>
    <row r="1540" spans="1:5" s="64" customFormat="1">
      <c r="A1540" s="316" t="s">
        <v>4635</v>
      </c>
      <c r="B1540" s="123" t="s">
        <v>7609</v>
      </c>
      <c r="C1540" s="256" t="s">
        <v>6906</v>
      </c>
      <c r="D1540" s="328" t="s">
        <v>1141</v>
      </c>
      <c r="E1540" s="122" t="str">
        <f t="shared" ref="E1540:E1603" si="24">_xlfn.TEXTJOIN(" : ",FALSE,C1540:D1540)</f>
        <v xml:space="preserve">4236 : 예약시간을　확인하십시요．            </v>
      </c>
    </row>
    <row r="1541" spans="1:5" s="64" customFormat="1">
      <c r="A1541" s="316" t="s">
        <v>4635</v>
      </c>
      <c r="B1541" s="123" t="s">
        <v>7609</v>
      </c>
      <c r="C1541" s="256" t="s">
        <v>6907</v>
      </c>
      <c r="D1541" s="328" t="s">
        <v>1140</v>
      </c>
      <c r="E1541" s="122" t="str">
        <f t="shared" si="24"/>
        <v xml:space="preserve">4237 : 예약자금이체내역이　없습니다．        </v>
      </c>
    </row>
    <row r="1542" spans="1:5" s="64" customFormat="1">
      <c r="A1542" s="316" t="s">
        <v>4635</v>
      </c>
      <c r="B1542" s="123" t="s">
        <v>7609</v>
      </c>
      <c r="C1542" s="256" t="s">
        <v>6908</v>
      </c>
      <c r="D1542" s="328" t="s">
        <v>1139</v>
      </c>
      <c r="E1542" s="122" t="str">
        <f t="shared" si="24"/>
        <v xml:space="preserve">4238 : 오전예약이체 타취급점으로이체불가   </v>
      </c>
    </row>
    <row r="1543" spans="1:5" s="64" customFormat="1">
      <c r="A1543" s="316" t="s">
        <v>4635</v>
      </c>
      <c r="B1543" s="123" t="s">
        <v>7609</v>
      </c>
      <c r="C1543" s="256" t="s">
        <v>6909</v>
      </c>
      <c r="D1543" s="328" t="s">
        <v>1138</v>
      </c>
      <c r="E1543" s="122" t="str">
        <f t="shared" si="24"/>
        <v xml:space="preserve">4239 : 오전예약이체는 금융결제국만 가능  </v>
      </c>
    </row>
    <row r="1544" spans="1:5" s="64" customFormat="1">
      <c r="A1544" s="316" t="s">
        <v>4635</v>
      </c>
      <c r="B1544" s="123" t="s">
        <v>7609</v>
      </c>
      <c r="C1544" s="256" t="s">
        <v>6910</v>
      </c>
      <c r="D1544" s="328" t="s">
        <v>1137</v>
      </c>
      <c r="E1544" s="122" t="str">
        <f t="shared" si="24"/>
        <v xml:space="preserve">4240 : 오전차액결제　결제중입니다．          </v>
      </c>
    </row>
    <row r="1545" spans="1:5" s="64" customFormat="1">
      <c r="A1545" s="316" t="s">
        <v>4635</v>
      </c>
      <c r="B1545" s="123" t="s">
        <v>7609</v>
      </c>
      <c r="C1545" s="256" t="s">
        <v>6911</v>
      </c>
      <c r="D1545" s="328" t="s">
        <v>1136</v>
      </c>
      <c r="E1545" s="122" t="str">
        <f t="shared" si="24"/>
        <v xml:space="preserve">4241 : 오전차액결제가　완료되었습니다        </v>
      </c>
    </row>
    <row r="1546" spans="1:5" s="64" customFormat="1">
      <c r="A1546" s="316" t="s">
        <v>4635</v>
      </c>
      <c r="B1546" s="123" t="s">
        <v>7609</v>
      </c>
      <c r="C1546" s="256" t="s">
        <v>6912</v>
      </c>
      <c r="D1546" s="328" t="s">
        <v>1135</v>
      </c>
      <c r="E1546" s="122" t="str">
        <f t="shared" si="24"/>
        <v xml:space="preserve">4242 : 오전차액결제가　처리중입니다          </v>
      </c>
    </row>
    <row r="1547" spans="1:5" s="64" customFormat="1">
      <c r="A1547" s="316" t="s">
        <v>4635</v>
      </c>
      <c r="B1547" s="123" t="s">
        <v>7609</v>
      </c>
      <c r="C1547" s="256" t="s">
        <v>6913</v>
      </c>
      <c r="D1547" s="328" t="s">
        <v>1134</v>
      </c>
      <c r="E1547" s="122" t="str">
        <f t="shared" si="24"/>
        <v xml:space="preserve">4243 : 오전차액결제자료　수신이전입니다．    </v>
      </c>
    </row>
    <row r="1548" spans="1:5" s="64" customFormat="1">
      <c r="A1548" s="316" t="s">
        <v>4635</v>
      </c>
      <c r="B1548" s="123" t="s">
        <v>7609</v>
      </c>
      <c r="C1548" s="256" t="s">
        <v>6914</v>
      </c>
      <c r="D1548" s="328" t="s">
        <v>1133</v>
      </c>
      <c r="E1548" s="122" t="str">
        <f t="shared" si="24"/>
        <v xml:space="preserve">4244 : 오후결제가　완료되지않았습니다        </v>
      </c>
    </row>
    <row r="1549" spans="1:5" s="64" customFormat="1">
      <c r="A1549" s="316" t="s">
        <v>4635</v>
      </c>
      <c r="B1549" s="123" t="s">
        <v>7609</v>
      </c>
      <c r="C1549" s="256" t="s">
        <v>6915</v>
      </c>
      <c r="D1549" s="328" t="s">
        <v>1132</v>
      </c>
      <c r="E1549" s="122" t="str">
        <f t="shared" si="24"/>
        <v xml:space="preserve">4245 : 오후차액결제　결제중입니다．          </v>
      </c>
    </row>
    <row r="1550" spans="1:5" s="64" customFormat="1">
      <c r="A1550" s="316" t="s">
        <v>4635</v>
      </c>
      <c r="B1550" s="123" t="s">
        <v>7609</v>
      </c>
      <c r="C1550" s="256" t="s">
        <v>6916</v>
      </c>
      <c r="D1550" s="328" t="s">
        <v>1131</v>
      </c>
      <c r="E1550" s="122" t="str">
        <f t="shared" si="24"/>
        <v xml:space="preserve">4246 : 오후차액결제　수신이전입니다．        </v>
      </c>
    </row>
    <row r="1551" spans="1:5" s="64" customFormat="1">
      <c r="A1551" s="316" t="s">
        <v>4635</v>
      </c>
      <c r="B1551" s="123" t="s">
        <v>7609</v>
      </c>
      <c r="C1551" s="256" t="s">
        <v>6917</v>
      </c>
      <c r="D1551" s="328" t="s">
        <v>1130</v>
      </c>
      <c r="E1551" s="122" t="str">
        <f t="shared" si="24"/>
        <v xml:space="preserve">4247 : 오후차액결제가　완료되었습니다        </v>
      </c>
    </row>
    <row r="1552" spans="1:5" s="64" customFormat="1">
      <c r="A1552" s="316" t="s">
        <v>4635</v>
      </c>
      <c r="B1552" s="123" t="s">
        <v>7609</v>
      </c>
      <c r="C1552" s="256" t="s">
        <v>6918</v>
      </c>
      <c r="D1552" s="328" t="s">
        <v>1129</v>
      </c>
      <c r="E1552" s="122" t="str">
        <f t="shared" si="24"/>
        <v xml:space="preserve">4248 : 오후차액결제가　처리중입니다          </v>
      </c>
    </row>
    <row r="1553" spans="1:5" s="64" customFormat="1">
      <c r="A1553" s="316" t="s">
        <v>4635</v>
      </c>
      <c r="B1553" s="123" t="s">
        <v>7609</v>
      </c>
      <c r="C1553" s="256" t="s">
        <v>6919</v>
      </c>
      <c r="D1553" s="328" t="s">
        <v>1128</v>
      </c>
      <c r="E1553" s="122" t="str">
        <f t="shared" si="24"/>
        <v xml:space="preserve">4249 : 의뢰기관　입력　오류입니다．          </v>
      </c>
    </row>
    <row r="1554" spans="1:5" s="64" customFormat="1">
      <c r="A1554" s="316" t="s">
        <v>4635</v>
      </c>
      <c r="B1554" s="123" t="s">
        <v>7609</v>
      </c>
      <c r="C1554" s="256" t="s">
        <v>6920</v>
      </c>
      <c r="D1554" s="328" t="s">
        <v>1127</v>
      </c>
      <c r="E1554" s="122" t="str">
        <f t="shared" si="24"/>
        <v xml:space="preserve">4250 : 의뢰기관명　입력　오류입니다．        </v>
      </c>
    </row>
    <row r="1555" spans="1:5" s="64" customFormat="1">
      <c r="A1555" s="316" t="s">
        <v>4635</v>
      </c>
      <c r="B1555" s="123" t="s">
        <v>7609</v>
      </c>
      <c r="C1555" s="256" t="s">
        <v>6921</v>
      </c>
      <c r="D1555" s="328" t="s">
        <v>1126</v>
      </c>
      <c r="E1555" s="122" t="str">
        <f t="shared" si="24"/>
        <v xml:space="preserve">4251 : 의뢰인　구분　입력　오류입니다．      </v>
      </c>
    </row>
    <row r="1556" spans="1:5" s="64" customFormat="1">
      <c r="A1556" s="316" t="s">
        <v>4635</v>
      </c>
      <c r="B1556" s="123" t="s">
        <v>7609</v>
      </c>
      <c r="C1556" s="256" t="s">
        <v>6922</v>
      </c>
      <c r="D1556" s="328" t="s">
        <v>1125</v>
      </c>
      <c r="E1556" s="122" t="str">
        <f t="shared" si="24"/>
        <v xml:space="preserve">4252 : 의뢰인　지역　입력　오류입니다．      </v>
      </c>
    </row>
    <row r="1557" spans="1:5" s="64" customFormat="1">
      <c r="A1557" s="316" t="s">
        <v>4635</v>
      </c>
      <c r="B1557" s="123" t="s">
        <v>7609</v>
      </c>
      <c r="C1557" s="256" t="s">
        <v>6923</v>
      </c>
      <c r="D1557" s="328" t="s">
        <v>1124</v>
      </c>
      <c r="E1557" s="122" t="str">
        <f t="shared" si="24"/>
        <v xml:space="preserve">4253 : 의뢰인명　입력바랍니다．              </v>
      </c>
    </row>
    <row r="1558" spans="1:5" s="64" customFormat="1">
      <c r="A1558" s="316" t="s">
        <v>4635</v>
      </c>
      <c r="B1558" s="123" t="s">
        <v>7609</v>
      </c>
      <c r="C1558" s="256" t="s">
        <v>6924</v>
      </c>
      <c r="D1558" s="328" t="s">
        <v>1123</v>
      </c>
      <c r="E1558" s="122" t="str">
        <f t="shared" si="24"/>
        <v xml:space="preserve">4254 : 입력불가능　자금코드입니다            </v>
      </c>
    </row>
    <row r="1559" spans="1:5" s="64" customFormat="1">
      <c r="A1559" s="316" t="s">
        <v>4635</v>
      </c>
      <c r="B1559" s="123" t="s">
        <v>7609</v>
      </c>
      <c r="C1559" s="256" t="s">
        <v>6925</v>
      </c>
      <c r="D1559" s="328" t="s">
        <v>1122</v>
      </c>
      <c r="E1559" s="122" t="str">
        <f t="shared" si="24"/>
        <v xml:space="preserve">4255 : 자금이체코드오류                      </v>
      </c>
    </row>
    <row r="1560" spans="1:5" s="64" customFormat="1">
      <c r="A1560" s="316" t="s">
        <v>4635</v>
      </c>
      <c r="B1560" s="123" t="s">
        <v>7609</v>
      </c>
      <c r="C1560" s="256" t="s">
        <v>6926</v>
      </c>
      <c r="D1560" s="328" t="s">
        <v>1121</v>
      </c>
      <c r="E1560" s="122" t="str">
        <f t="shared" si="24"/>
        <v xml:space="preserve">4256 : 자기앞수표　미발행상태　입니다        </v>
      </c>
    </row>
    <row r="1561" spans="1:5" s="64" customFormat="1">
      <c r="A1561" s="316" t="s">
        <v>4635</v>
      </c>
      <c r="B1561" s="123" t="s">
        <v>7609</v>
      </c>
      <c r="C1561" s="256" t="s">
        <v>6927</v>
      </c>
      <c r="D1561" s="328" t="s">
        <v>1120</v>
      </c>
      <c r="E1561" s="122" t="str">
        <f t="shared" si="24"/>
        <v xml:space="preserve">4257 : 적기전표일괄처리시　오류              </v>
      </c>
    </row>
    <row r="1562" spans="1:5" s="64" customFormat="1">
      <c r="A1562" s="316" t="s">
        <v>4635</v>
      </c>
      <c r="B1562" s="123" t="s">
        <v>7609</v>
      </c>
      <c r="C1562" s="256" t="s">
        <v>6928</v>
      </c>
      <c r="D1562" s="328" t="s">
        <v>1119</v>
      </c>
      <c r="E1562" s="122" t="str">
        <f t="shared" si="24"/>
        <v xml:space="preserve">4258 : 지점수행　불가                        </v>
      </c>
    </row>
    <row r="1563" spans="1:5" s="64" customFormat="1">
      <c r="A1563" s="316" t="s">
        <v>4635</v>
      </c>
      <c r="B1563" s="123" t="s">
        <v>7609</v>
      </c>
      <c r="C1563" s="256" t="s">
        <v>6929</v>
      </c>
      <c r="D1563" s="328" t="s">
        <v>1118</v>
      </c>
      <c r="E1563" s="122" t="str">
        <f t="shared" si="24"/>
        <v xml:space="preserve">4259 : 지정시점결제대상이　없습니다          </v>
      </c>
    </row>
    <row r="1564" spans="1:5" s="64" customFormat="1">
      <c r="A1564" s="316" t="s">
        <v>4635</v>
      </c>
      <c r="B1564" s="123" t="s">
        <v>7609</v>
      </c>
      <c r="C1564" s="256" t="s">
        <v>6930</v>
      </c>
      <c r="D1564" s="328" t="s">
        <v>1117</v>
      </c>
      <c r="E1564" s="122" t="str">
        <f t="shared" si="24"/>
        <v xml:space="preserve">4260 : 지정시점구분　입력　오류입니다．      </v>
      </c>
    </row>
    <row r="1565" spans="1:5" s="64" customFormat="1">
      <c r="A1565" s="316" t="s">
        <v>4635</v>
      </c>
      <c r="B1565" s="123" t="s">
        <v>7609</v>
      </c>
      <c r="C1565" s="256" t="s">
        <v>6931</v>
      </c>
      <c r="D1565" s="328" t="s">
        <v>1116</v>
      </c>
      <c r="E1565" s="122" t="str">
        <f t="shared" si="24"/>
        <v xml:space="preserve">4261 : 오전 지정시점예약자금이체신청마감임 </v>
      </c>
    </row>
    <row r="1566" spans="1:5" s="64" customFormat="1">
      <c r="A1566" s="316" t="s">
        <v>4635</v>
      </c>
      <c r="B1566" s="123" t="s">
        <v>7609</v>
      </c>
      <c r="C1566" s="256" t="s">
        <v>6932</v>
      </c>
      <c r="D1566" s="328" t="s">
        <v>1115</v>
      </c>
      <c r="E1566" s="122" t="str">
        <f t="shared" si="24"/>
        <v xml:space="preserve">4262 : 오후 지정시점예약자금이체신청마감임 </v>
      </c>
    </row>
    <row r="1567" spans="1:5" s="64" customFormat="1">
      <c r="A1567" s="316" t="s">
        <v>4635</v>
      </c>
      <c r="B1567" s="123" t="s">
        <v>7609</v>
      </c>
      <c r="C1567" s="256" t="s">
        <v>6933</v>
      </c>
      <c r="D1567" s="328" t="s">
        <v>1114</v>
      </c>
      <c r="E1567" s="122" t="str">
        <f t="shared" si="24"/>
        <v xml:space="preserve">4263 : 징수처리가　완료되었습니다            </v>
      </c>
    </row>
    <row r="1568" spans="1:5" s="64" customFormat="1">
      <c r="A1568" s="316" t="s">
        <v>4635</v>
      </c>
      <c r="B1568" s="123" t="s">
        <v>7609</v>
      </c>
      <c r="C1568" s="256" t="s">
        <v>6934</v>
      </c>
      <c r="D1568" s="328" t="s">
        <v>1113</v>
      </c>
      <c r="E1568" s="122" t="str">
        <f t="shared" si="24"/>
        <v xml:space="preserve">4264 : 징수취소처리가　완료되었습니다        </v>
      </c>
    </row>
    <row r="1569" spans="1:5" s="64" customFormat="1">
      <c r="A1569" s="316" t="s">
        <v>4635</v>
      </c>
      <c r="B1569" s="123" t="s">
        <v>7609</v>
      </c>
      <c r="C1569" s="256" t="s">
        <v>6935</v>
      </c>
      <c r="D1569" s="328" t="s">
        <v>1112</v>
      </c>
      <c r="E1569" s="122" t="str">
        <f t="shared" si="24"/>
        <v xml:space="preserve">4265 : 차액결제실행중　입니다                </v>
      </c>
    </row>
    <row r="1570" spans="1:5" s="64" customFormat="1">
      <c r="A1570" s="316" t="s">
        <v>4635</v>
      </c>
      <c r="B1570" s="123" t="s">
        <v>7609</v>
      </c>
      <c r="C1570" s="256" t="s">
        <v>6936</v>
      </c>
      <c r="D1570" s="328" t="s">
        <v>1111</v>
      </c>
      <c r="E1570" s="122" t="str">
        <f t="shared" si="24"/>
        <v xml:space="preserve">4266 : 차액결제자료　미수신                  </v>
      </c>
    </row>
    <row r="1571" spans="1:5" s="64" customFormat="1">
      <c r="A1571" s="316" t="s">
        <v>4635</v>
      </c>
      <c r="B1571" s="123" t="s">
        <v>7609</v>
      </c>
      <c r="C1571" s="256" t="s">
        <v>6937</v>
      </c>
      <c r="D1571" s="328" t="s">
        <v>1110</v>
      </c>
      <c r="E1571" s="122" t="str">
        <f t="shared" si="24"/>
        <v xml:space="preserve">4267 : 타취급점의　타기관으로　불가　！！    </v>
      </c>
    </row>
    <row r="1572" spans="1:5" s="64" customFormat="1">
      <c r="A1572" s="316" t="s">
        <v>4635</v>
      </c>
      <c r="B1572" s="123" t="s">
        <v>7609</v>
      </c>
      <c r="C1572" s="256" t="s">
        <v>6938</v>
      </c>
      <c r="D1572" s="328" t="s">
        <v>1109</v>
      </c>
      <c r="E1572" s="122" t="str">
        <f t="shared" si="24"/>
        <v xml:space="preserve">4268 : 통안갑계정이자　미지급상태　입니다    </v>
      </c>
    </row>
    <row r="1573" spans="1:5" s="64" customFormat="1">
      <c r="A1573" s="316" t="s">
        <v>4635</v>
      </c>
      <c r="B1573" s="123" t="s">
        <v>7609</v>
      </c>
      <c r="C1573" s="256" t="s">
        <v>6939</v>
      </c>
      <c r="D1573" s="328" t="s">
        <v>1108</v>
      </c>
      <c r="E1573" s="122" t="str">
        <f t="shared" si="24"/>
        <v xml:space="preserve">4269 : 한은금융망　이용수수료　결제　미실행  </v>
      </c>
    </row>
    <row r="1574" spans="1:5" s="64" customFormat="1">
      <c r="A1574" s="316" t="s">
        <v>4635</v>
      </c>
      <c r="B1574" s="123" t="s">
        <v>7609</v>
      </c>
      <c r="C1574" s="256" t="s">
        <v>6940</v>
      </c>
      <c r="D1574" s="328" t="s">
        <v>1107</v>
      </c>
      <c r="E1574" s="122" t="str">
        <f t="shared" si="24"/>
        <v xml:space="preserve">4270 : 한은망이용수수료　처리가　되었습니다  </v>
      </c>
    </row>
    <row r="1575" spans="1:5" s="64" customFormat="1">
      <c r="A1575" s="316" t="s">
        <v>4635</v>
      </c>
      <c r="B1575" s="123" t="s">
        <v>7609</v>
      </c>
      <c r="C1575" s="256" t="s">
        <v>6941</v>
      </c>
      <c r="D1575" s="328" t="s">
        <v>1106</v>
      </c>
      <c r="E1575" s="122" t="str">
        <f t="shared" si="24"/>
        <v xml:space="preserve">4271 : 한은망현금입금　완료후　수행　바람    </v>
      </c>
    </row>
    <row r="1576" spans="1:5" s="64" customFormat="1">
      <c r="A1576" s="316" t="s">
        <v>4635</v>
      </c>
      <c r="B1576" s="123" t="s">
        <v>7609</v>
      </c>
      <c r="C1576" s="256" t="s">
        <v>6942</v>
      </c>
      <c r="D1576" s="328" t="s">
        <v>1105</v>
      </c>
      <c r="E1576" s="122" t="str">
        <f t="shared" si="24"/>
        <v xml:space="preserve">4272 : 한은망현금지급　완료후　수행　바람    </v>
      </c>
    </row>
    <row r="1577" spans="1:5" s="64" customFormat="1">
      <c r="A1577" s="316" t="s">
        <v>4635</v>
      </c>
      <c r="B1577" s="123" t="s">
        <v>7609</v>
      </c>
      <c r="C1577" s="256" t="s">
        <v>6943</v>
      </c>
      <c r="D1577" s="328" t="s">
        <v>1104</v>
      </c>
      <c r="E1577" s="122" t="str">
        <f t="shared" si="24"/>
        <v xml:space="preserve">4273 : 해당일원화원장없슴                    </v>
      </c>
    </row>
    <row r="1578" spans="1:5" s="64" customFormat="1">
      <c r="A1578" s="316" t="s">
        <v>4635</v>
      </c>
      <c r="B1578" s="123" t="s">
        <v>7609</v>
      </c>
      <c r="C1578" s="256" t="s">
        <v>6944</v>
      </c>
      <c r="D1578" s="328" t="s">
        <v>1103</v>
      </c>
      <c r="E1578" s="122" t="str">
        <f t="shared" si="24"/>
        <v xml:space="preserve">4274 : 대기거래종류가　원화자금이　아닙니다  </v>
      </c>
    </row>
    <row r="1579" spans="1:5" s="64" customFormat="1">
      <c r="A1579" s="316" t="s">
        <v>4635</v>
      </c>
      <c r="B1579" s="123" t="s">
        <v>7609</v>
      </c>
      <c r="C1579" s="256" t="s">
        <v>6945</v>
      </c>
      <c r="D1579" s="328" t="s">
        <v>1102</v>
      </c>
      <c r="E1579" s="122" t="str">
        <f t="shared" si="24"/>
        <v xml:space="preserve">4275 : 신청일자 입력오류                   </v>
      </c>
    </row>
    <row r="1580" spans="1:5" s="64" customFormat="1">
      <c r="A1580" s="316" t="s">
        <v>4635</v>
      </c>
      <c r="B1580" s="123" t="s">
        <v>7609</v>
      </c>
      <c r="C1580" s="256" t="s">
        <v>6946</v>
      </c>
      <c r="D1580" s="328" t="s">
        <v>1101</v>
      </c>
      <c r="E1580" s="122" t="str">
        <f t="shared" si="24"/>
        <v xml:space="preserve">4276 : 금융기관 입력오류                   </v>
      </c>
    </row>
    <row r="1581" spans="1:5" s="64" customFormat="1">
      <c r="A1581" s="316" t="s">
        <v>4635</v>
      </c>
      <c r="B1581" s="123" t="s">
        <v>7609</v>
      </c>
      <c r="C1581" s="256" t="s">
        <v>6947</v>
      </c>
      <c r="D1581" s="328" t="s">
        <v>1100</v>
      </c>
      <c r="E1581" s="122" t="str">
        <f t="shared" si="24"/>
        <v xml:space="preserve">4277 : 자료가 계속됩니다                   </v>
      </c>
    </row>
    <row r="1582" spans="1:5" s="64" customFormat="1">
      <c r="A1582" s="316" t="s">
        <v>4635</v>
      </c>
      <c r="B1582" s="123" t="s">
        <v>7609</v>
      </c>
      <c r="C1582" s="256" t="s">
        <v>6948</v>
      </c>
      <c r="D1582" s="328" t="s">
        <v>1099</v>
      </c>
      <c r="E1582" s="122" t="str">
        <f t="shared" si="24"/>
        <v xml:space="preserve">4278 : 자료의 마지막입니다                 </v>
      </c>
    </row>
    <row r="1583" spans="1:5" s="64" customFormat="1">
      <c r="A1583" s="316" t="s">
        <v>4635</v>
      </c>
      <c r="B1583" s="123" t="s">
        <v>7609</v>
      </c>
      <c r="C1583" s="256" t="s">
        <v>6949</v>
      </c>
      <c r="D1583" s="328" t="s">
        <v>1098</v>
      </c>
      <c r="E1583" s="122" t="str">
        <f t="shared" si="24"/>
        <v xml:space="preserve">4279 : 취소 되었습니다                     </v>
      </c>
    </row>
    <row r="1584" spans="1:5" s="64" customFormat="1">
      <c r="A1584" s="316" t="s">
        <v>4635</v>
      </c>
      <c r="B1584" s="123" t="s">
        <v>7609</v>
      </c>
      <c r="C1584" s="256" t="s">
        <v>6950</v>
      </c>
      <c r="D1584" s="328" t="s">
        <v>1097</v>
      </c>
      <c r="E1584" s="122" t="str">
        <f t="shared" si="24"/>
        <v xml:space="preserve">4280 : 조회 되었습니다                     </v>
      </c>
    </row>
    <row r="1585" spans="1:5" s="64" customFormat="1">
      <c r="A1585" s="316" t="s">
        <v>4635</v>
      </c>
      <c r="B1585" s="123" t="s">
        <v>7609</v>
      </c>
      <c r="C1585" s="256" t="s">
        <v>6951</v>
      </c>
      <c r="D1585" s="328" t="s">
        <v>1096</v>
      </c>
      <c r="E1585" s="122" t="str">
        <f t="shared" si="24"/>
        <v xml:space="preserve">4281 : 불승인 되었습니다                   </v>
      </c>
    </row>
    <row r="1586" spans="1:5" s="64" customFormat="1">
      <c r="A1586" s="316" t="s">
        <v>4635</v>
      </c>
      <c r="B1586" s="123" t="s">
        <v>7609</v>
      </c>
      <c r="C1586" s="256" t="s">
        <v>6952</v>
      </c>
      <c r="D1586" s="328" t="s">
        <v>1095</v>
      </c>
      <c r="E1586" s="122" t="str">
        <f t="shared" si="24"/>
        <v xml:space="preserve">4282 : 수수료금액 오류입니다               </v>
      </c>
    </row>
    <row r="1587" spans="1:5" s="64" customFormat="1">
      <c r="A1587" s="316" t="s">
        <v>4635</v>
      </c>
      <c r="B1587" s="123" t="s">
        <v>7609</v>
      </c>
      <c r="C1587" s="256" t="s">
        <v>6953</v>
      </c>
      <c r="D1587" s="328" t="s">
        <v>1094</v>
      </c>
      <c r="E1587" s="122" t="str">
        <f t="shared" si="24"/>
        <v xml:space="preserve">4283 : 합계건수 입력오류입니다             </v>
      </c>
    </row>
    <row r="1588" spans="1:5" s="64" customFormat="1">
      <c r="A1588" s="316" t="s">
        <v>4635</v>
      </c>
      <c r="B1588" s="123" t="s">
        <v>7609</v>
      </c>
      <c r="C1588" s="256" t="s">
        <v>6954</v>
      </c>
      <c r="D1588" s="328" t="s">
        <v>1093</v>
      </c>
      <c r="E1588" s="122" t="str">
        <f t="shared" si="24"/>
        <v xml:space="preserve">4284 : 합계건수 일치하지 않음            </v>
      </c>
    </row>
    <row r="1589" spans="1:5" s="64" customFormat="1">
      <c r="A1589" s="316" t="s">
        <v>4635</v>
      </c>
      <c r="B1589" s="123" t="s">
        <v>7609</v>
      </c>
      <c r="C1589" s="256" t="s">
        <v>6955</v>
      </c>
      <c r="D1589" s="328" t="s">
        <v>1092</v>
      </c>
      <c r="E1589" s="122" t="str">
        <f t="shared" si="24"/>
        <v xml:space="preserve">4285 : 합계금액 입력오류입니다             </v>
      </c>
    </row>
    <row r="1590" spans="1:5" s="64" customFormat="1">
      <c r="A1590" s="316" t="s">
        <v>4635</v>
      </c>
      <c r="B1590" s="123" t="s">
        <v>7609</v>
      </c>
      <c r="C1590" s="256" t="s">
        <v>6956</v>
      </c>
      <c r="D1590" s="328" t="s">
        <v>1091</v>
      </c>
      <c r="E1590" s="122" t="str">
        <f t="shared" si="24"/>
        <v xml:space="preserve">4286 : 합계금액 일치하지 않음            </v>
      </c>
    </row>
    <row r="1591" spans="1:5" s="64" customFormat="1">
      <c r="A1591" s="316" t="s">
        <v>4635</v>
      </c>
      <c r="B1591" s="123" t="s">
        <v>7609</v>
      </c>
      <c r="C1591" s="256" t="s">
        <v>6957</v>
      </c>
      <c r="D1591" s="328" t="s">
        <v>1090</v>
      </c>
      <c r="E1591" s="122" t="str">
        <f t="shared" si="24"/>
        <v xml:space="preserve">4287 : 자금코드 입력오류입니다             </v>
      </c>
    </row>
    <row r="1592" spans="1:5" s="64" customFormat="1">
      <c r="A1592" s="316" t="s">
        <v>4635</v>
      </c>
      <c r="B1592" s="123" t="s">
        <v>7609</v>
      </c>
      <c r="C1592" s="256" t="s">
        <v>6958</v>
      </c>
      <c r="D1592" s="328" t="s">
        <v>1089</v>
      </c>
      <c r="E1592" s="122" t="str">
        <f t="shared" si="24"/>
        <v xml:space="preserve">4288 : 입력 되었습니다                     </v>
      </c>
    </row>
    <row r="1593" spans="1:5" s="64" customFormat="1">
      <c r="A1593" s="316" t="s">
        <v>4635</v>
      </c>
      <c r="B1593" s="123" t="s">
        <v>7609</v>
      </c>
      <c r="C1593" s="256" t="s">
        <v>6959</v>
      </c>
      <c r="D1593" s="328" t="s">
        <v>1088</v>
      </c>
      <c r="E1593" s="122" t="str">
        <f t="shared" si="24"/>
        <v xml:space="preserve">4289 : 자금이체 내역이 없습니다          </v>
      </c>
    </row>
    <row r="1594" spans="1:5" s="64" customFormat="1">
      <c r="A1594" s="316" t="s">
        <v>4635</v>
      </c>
      <c r="B1594" s="123" t="s">
        <v>7609</v>
      </c>
      <c r="C1594" s="256" t="s">
        <v>6960</v>
      </c>
      <c r="D1594" s="328" t="s">
        <v>1087</v>
      </c>
      <c r="E1594" s="122" t="str">
        <f t="shared" si="24"/>
        <v xml:space="preserve">4290 : 자금이체 갱신 오류                </v>
      </c>
    </row>
    <row r="1595" spans="1:5" s="64" customFormat="1">
      <c r="A1595" s="316" t="s">
        <v>4635</v>
      </c>
      <c r="B1595" s="123" t="s">
        <v>7609</v>
      </c>
      <c r="C1595" s="256" t="s">
        <v>6961</v>
      </c>
      <c r="D1595" s="328" t="s">
        <v>1086</v>
      </c>
      <c r="E1595" s="122" t="str">
        <f t="shared" si="24"/>
        <v xml:space="preserve">4291 : 일반자금이체 내역이 없습니다      </v>
      </c>
    </row>
    <row r="1596" spans="1:5" s="64" customFormat="1">
      <c r="A1596" s="316" t="s">
        <v>4635</v>
      </c>
      <c r="B1596" s="123" t="s">
        <v>7609</v>
      </c>
      <c r="C1596" s="256" t="s">
        <v>6962</v>
      </c>
      <c r="D1596" s="328" t="s">
        <v>1085</v>
      </c>
      <c r="E1596" s="122" t="str">
        <f t="shared" si="24"/>
        <v xml:space="preserve">4292 : 일반자금이체 갱신 오류            </v>
      </c>
    </row>
    <row r="1597" spans="1:5" s="64" customFormat="1">
      <c r="A1597" s="316" t="s">
        <v>4635</v>
      </c>
      <c r="B1597" s="123" t="s">
        <v>7609</v>
      </c>
      <c r="C1597" s="256" t="s">
        <v>6963</v>
      </c>
      <c r="D1597" s="328" t="s">
        <v>1084</v>
      </c>
      <c r="E1597" s="122" t="str">
        <f t="shared" si="24"/>
        <v xml:space="preserve">4293 : 수취인지정자금이체 갱신 오류      </v>
      </c>
    </row>
    <row r="1598" spans="1:5" s="64" customFormat="1">
      <c r="A1598" s="316" t="s">
        <v>4635</v>
      </c>
      <c r="B1598" s="123" t="s">
        <v>7609</v>
      </c>
      <c r="C1598" s="256" t="s">
        <v>6964</v>
      </c>
      <c r="D1598" s="328" t="s">
        <v>1083</v>
      </c>
      <c r="E1598" s="122" t="str">
        <f t="shared" si="24"/>
        <v xml:space="preserve">4294 : CURSOR OPEN ERROR                       </v>
      </c>
    </row>
    <row r="1599" spans="1:5" s="64" customFormat="1">
      <c r="A1599" s="316" t="s">
        <v>4635</v>
      </c>
      <c r="B1599" s="123" t="s">
        <v>7609</v>
      </c>
      <c r="C1599" s="256" t="s">
        <v>6965</v>
      </c>
      <c r="D1599" s="328" t="s">
        <v>1082</v>
      </c>
      <c r="E1599" s="122" t="str">
        <f t="shared" si="24"/>
        <v xml:space="preserve">4295 : CURSOR FETCH ERROR                      </v>
      </c>
    </row>
    <row r="1600" spans="1:5" s="64" customFormat="1">
      <c r="A1600" s="316" t="s">
        <v>4635</v>
      </c>
      <c r="B1600" s="123" t="s">
        <v>7609</v>
      </c>
      <c r="C1600" s="256" t="s">
        <v>6966</v>
      </c>
      <c r="D1600" s="328" t="s">
        <v>1081</v>
      </c>
      <c r="E1600" s="122" t="str">
        <f t="shared" si="24"/>
        <v xml:space="preserve">4296 : 통지처리 오류                       </v>
      </c>
    </row>
    <row r="1601" spans="1:5" s="64" customFormat="1">
      <c r="A1601" s="316" t="s">
        <v>4635</v>
      </c>
      <c r="B1601" s="123" t="s">
        <v>7609</v>
      </c>
      <c r="C1601" s="256" t="s">
        <v>6967</v>
      </c>
      <c r="D1601" s="328" t="s">
        <v>1080</v>
      </c>
      <c r="E1601" s="122" t="str">
        <f t="shared" si="24"/>
        <v xml:space="preserve">4297 : 거래일자 입력오류                   </v>
      </c>
    </row>
    <row r="1602" spans="1:5" s="64" customFormat="1">
      <c r="A1602" s="316" t="s">
        <v>4635</v>
      </c>
      <c r="B1602" s="123" t="s">
        <v>7609</v>
      </c>
      <c r="C1602" s="256" t="s">
        <v>6968</v>
      </c>
      <c r="D1602" s="328" t="s">
        <v>1079</v>
      </c>
      <c r="E1602" s="122" t="str">
        <f t="shared" si="24"/>
        <v xml:space="preserve">4298 : 처리상태 입력오류                   </v>
      </c>
    </row>
    <row r="1603" spans="1:5" s="64" customFormat="1">
      <c r="A1603" s="316" t="s">
        <v>4635</v>
      </c>
      <c r="B1603" s="123" t="s">
        <v>7609</v>
      </c>
      <c r="C1603" s="256" t="s">
        <v>6969</v>
      </c>
      <c r="D1603" s="328" t="s">
        <v>1078</v>
      </c>
      <c r="E1603" s="122" t="str">
        <f t="shared" si="24"/>
        <v xml:space="preserve">4299 : 거래일자-시작  입력오류           </v>
      </c>
    </row>
    <row r="1604" spans="1:5" s="64" customFormat="1">
      <c r="A1604" s="316" t="s">
        <v>4635</v>
      </c>
      <c r="B1604" s="123" t="s">
        <v>7609</v>
      </c>
      <c r="C1604" s="256" t="s">
        <v>6970</v>
      </c>
      <c r="D1604" s="328" t="s">
        <v>1077</v>
      </c>
      <c r="E1604" s="122" t="str">
        <f t="shared" ref="E1604:E1667" si="25">_xlfn.TEXTJOIN(" : ",FALSE,C1604:D1604)</f>
        <v xml:space="preserve">4300 : 거래일자-종료  입력오류           </v>
      </c>
    </row>
    <row r="1605" spans="1:5" s="64" customFormat="1">
      <c r="A1605" s="316" t="s">
        <v>4635</v>
      </c>
      <c r="B1605" s="123" t="s">
        <v>7609</v>
      </c>
      <c r="C1605" s="256" t="s">
        <v>6971</v>
      </c>
      <c r="D1605" s="328" t="s">
        <v>1076</v>
      </c>
      <c r="E1605" s="122" t="str">
        <f t="shared" si="25"/>
        <v xml:space="preserve">4301 : 거래일자-시작  확인하세요         </v>
      </c>
    </row>
    <row r="1606" spans="1:5" s="64" customFormat="1">
      <c r="A1606" s="316" t="s">
        <v>4635</v>
      </c>
      <c r="B1606" s="123" t="s">
        <v>7609</v>
      </c>
      <c r="C1606" s="256" t="s">
        <v>6972</v>
      </c>
      <c r="D1606" s="328" t="s">
        <v>1075</v>
      </c>
      <c r="E1606" s="122" t="str">
        <f t="shared" si="25"/>
        <v xml:space="preserve">4302 : 전문등록일시  입력오류입니다        </v>
      </c>
    </row>
    <row r="1607" spans="1:5" s="64" customFormat="1">
      <c r="A1607" s="316" t="s">
        <v>4635</v>
      </c>
      <c r="B1607" s="123" t="s">
        <v>7609</v>
      </c>
      <c r="C1607" s="256" t="s">
        <v>6973</v>
      </c>
      <c r="D1607" s="328" t="s">
        <v>1074</v>
      </c>
      <c r="E1607" s="122" t="str">
        <f t="shared" si="25"/>
        <v xml:space="preserve">4303 : 담당자번호  입력오류입니다          </v>
      </c>
    </row>
    <row r="1608" spans="1:5" s="64" customFormat="1">
      <c r="A1608" s="316" t="s">
        <v>4635</v>
      </c>
      <c r="B1608" s="123" t="s">
        <v>7609</v>
      </c>
      <c r="C1608" s="256" t="s">
        <v>6974</v>
      </c>
      <c r="D1608" s="328" t="s">
        <v>1073</v>
      </c>
      <c r="E1608" s="122" t="str">
        <f t="shared" si="25"/>
        <v xml:space="preserve">4304 : 자기계정으로 이체불가합니다         </v>
      </c>
    </row>
    <row r="1609" spans="1:5" s="64" customFormat="1">
      <c r="A1609" s="316" t="s">
        <v>4635</v>
      </c>
      <c r="B1609" s="123" t="s">
        <v>7609</v>
      </c>
      <c r="C1609" s="256" t="s">
        <v>6975</v>
      </c>
      <c r="D1609" s="328" t="s">
        <v>1072</v>
      </c>
      <c r="E1609" s="122" t="str">
        <f t="shared" si="25"/>
        <v xml:space="preserve">4305 : 이체기관점포코드 입력 오류        </v>
      </c>
    </row>
    <row r="1610" spans="1:5" s="64" customFormat="1">
      <c r="A1610" s="316" t="s">
        <v>4635</v>
      </c>
      <c r="B1610" s="123" t="s">
        <v>7609</v>
      </c>
      <c r="C1610" s="256" t="s">
        <v>6976</v>
      </c>
      <c r="D1610" s="328" t="s">
        <v>1071</v>
      </c>
      <c r="E1610" s="122" t="str">
        <f t="shared" si="25"/>
        <v xml:space="preserve">4306 : 이체기관점포명 입력 오류          </v>
      </c>
    </row>
    <row r="1611" spans="1:5" s="64" customFormat="1">
      <c r="A1611" s="316" t="s">
        <v>4635</v>
      </c>
      <c r="B1611" s="123" t="s">
        <v>7609</v>
      </c>
      <c r="C1611" s="256" t="s">
        <v>6977</v>
      </c>
      <c r="D1611" s="328" t="s">
        <v>1070</v>
      </c>
      <c r="E1611" s="122" t="str">
        <f t="shared" si="25"/>
        <v xml:space="preserve">4307 : 수취기관점포코드 입력 오류        </v>
      </c>
    </row>
    <row r="1612" spans="1:5" s="64" customFormat="1">
      <c r="A1612" s="316" t="s">
        <v>4635</v>
      </c>
      <c r="B1612" s="123" t="s">
        <v>7609</v>
      </c>
      <c r="C1612" s="256" t="s">
        <v>6978</v>
      </c>
      <c r="D1612" s="328" t="s">
        <v>1069</v>
      </c>
      <c r="E1612" s="122" t="str">
        <f t="shared" si="25"/>
        <v xml:space="preserve">4308 : 수취기관점포명 입력 오류          </v>
      </c>
    </row>
    <row r="1613" spans="1:5" s="64" customFormat="1">
      <c r="A1613" s="316" t="s">
        <v>4635</v>
      </c>
      <c r="B1613" s="123" t="s">
        <v>7609</v>
      </c>
      <c r="C1613" s="256" t="s">
        <v>6979</v>
      </c>
      <c r="D1613" s="328" t="s">
        <v>1068</v>
      </c>
      <c r="E1613" s="122" t="str">
        <f t="shared" si="25"/>
        <v xml:space="preserve">4309 : 전문관리번호 오류                   </v>
      </c>
    </row>
    <row r="1614" spans="1:5" s="64" customFormat="1">
      <c r="A1614" s="316" t="s">
        <v>4635</v>
      </c>
      <c r="B1614" s="123" t="s">
        <v>7609</v>
      </c>
      <c r="C1614" s="256" t="s">
        <v>6980</v>
      </c>
      <c r="D1614" s="328" t="s">
        <v>1067</v>
      </c>
      <c r="E1614" s="122" t="str">
        <f t="shared" si="25"/>
        <v xml:space="preserve">4310 : 예약자금이체 입력마감되었습니다     </v>
      </c>
    </row>
    <row r="1615" spans="1:5" s="64" customFormat="1">
      <c r="A1615" s="316" t="s">
        <v>4635</v>
      </c>
      <c r="B1615" s="123" t="s">
        <v>7609</v>
      </c>
      <c r="C1615" s="256" t="s">
        <v>6981</v>
      </c>
      <c r="D1615" s="328" t="s">
        <v>1066</v>
      </c>
      <c r="E1615" s="122" t="str">
        <f t="shared" si="25"/>
        <v xml:space="preserve">4311 : 혼합형시스템 업무마감됨             </v>
      </c>
    </row>
    <row r="1616" spans="1:5" s="64" customFormat="1">
      <c r="A1616" s="316" t="s">
        <v>4635</v>
      </c>
      <c r="B1616" s="123" t="s">
        <v>7609</v>
      </c>
      <c r="C1616" s="256" t="s">
        <v>6982</v>
      </c>
      <c r="D1616" s="328" t="s">
        <v>1065</v>
      </c>
      <c r="E1616" s="122" t="str">
        <f t="shared" si="25"/>
        <v xml:space="preserve">4312 : 다자간동시처리 실행시간 예약불가  </v>
      </c>
    </row>
    <row r="1617" spans="1:5" s="64" customFormat="1">
      <c r="A1617" s="316" t="s">
        <v>4635</v>
      </c>
      <c r="B1617" s="123" t="s">
        <v>7609</v>
      </c>
      <c r="C1617" s="256" t="s">
        <v>6983</v>
      </c>
      <c r="D1617" s="328" t="s">
        <v>1064</v>
      </c>
      <c r="E1617" s="122" t="str">
        <f t="shared" si="25"/>
        <v xml:space="preserve">4313 : 잔액증가기관 대기해소 처리오류    </v>
      </c>
    </row>
    <row r="1618" spans="1:5" s="64" customFormat="1">
      <c r="A1618" s="316" t="s">
        <v>4635</v>
      </c>
      <c r="B1618" s="123" t="s">
        <v>7609</v>
      </c>
      <c r="C1618" s="256" t="s">
        <v>6984</v>
      </c>
      <c r="D1618" s="328" t="s">
        <v>1063</v>
      </c>
      <c r="E1618" s="122" t="str">
        <f t="shared" si="25"/>
        <v xml:space="preserve">4314 : 혼합형 장애시만 조회가능          </v>
      </c>
    </row>
    <row r="1619" spans="1:5" s="64" customFormat="1">
      <c r="A1619" s="316" t="s">
        <v>4635</v>
      </c>
      <c r="B1619" s="123" t="s">
        <v>7609</v>
      </c>
      <c r="C1619" s="256" t="s">
        <v>6985</v>
      </c>
      <c r="D1619" s="328" t="s">
        <v>1062</v>
      </c>
      <c r="E1619" s="122" t="str">
        <f t="shared" si="25"/>
        <v xml:space="preserve">4315 : PGM-ID 입력오류                       </v>
      </c>
    </row>
    <row r="1620" spans="1:5" s="64" customFormat="1">
      <c r="A1620" s="316" t="s">
        <v>4635</v>
      </c>
      <c r="B1620" s="123" t="s">
        <v>7609</v>
      </c>
      <c r="C1620" s="256" t="s">
        <v>6986</v>
      </c>
      <c r="D1620" s="328" t="s">
        <v>1061</v>
      </c>
      <c r="E1620" s="122" t="str">
        <f t="shared" si="25"/>
        <v xml:space="preserve">4316 : 조회기간(1개월) 초과              </v>
      </c>
    </row>
    <row r="1621" spans="1:5" s="64" customFormat="1">
      <c r="A1621" s="316" t="s">
        <v>4635</v>
      </c>
      <c r="B1621" s="123" t="s">
        <v>7609</v>
      </c>
      <c r="C1621" s="256" t="s">
        <v>6987</v>
      </c>
      <c r="D1621" s="328" t="s">
        <v>1060</v>
      </c>
      <c r="E1621" s="122" t="str">
        <f t="shared" si="25"/>
        <v xml:space="preserve">4317 : 전문길이 입력오류                   </v>
      </c>
    </row>
    <row r="1622" spans="1:5" s="64" customFormat="1">
      <c r="A1622" s="316" t="s">
        <v>4635</v>
      </c>
      <c r="B1622" s="123" t="s">
        <v>7609</v>
      </c>
      <c r="C1622" s="256" t="s">
        <v>6988</v>
      </c>
      <c r="D1622" s="328" t="s">
        <v>1059</v>
      </c>
      <c r="E1622" s="122" t="str">
        <f t="shared" si="25"/>
        <v xml:space="preserve">4318 : 전문종별코드 입력오류               </v>
      </c>
    </row>
    <row r="1623" spans="1:5" s="64" customFormat="1">
      <c r="A1623" s="316" t="s">
        <v>4635</v>
      </c>
      <c r="B1623" s="123" t="s">
        <v>7609</v>
      </c>
      <c r="C1623" s="256" t="s">
        <v>6989</v>
      </c>
      <c r="D1623" s="328" t="s">
        <v>1058</v>
      </c>
      <c r="E1623" s="122" t="str">
        <f t="shared" si="25"/>
        <v xml:space="preserve">4319 : 전문유형 입력오류                   </v>
      </c>
    </row>
    <row r="1624" spans="1:5" s="64" customFormat="1">
      <c r="A1624" s="316" t="s">
        <v>4635</v>
      </c>
      <c r="B1624" s="123" t="s">
        <v>7609</v>
      </c>
      <c r="C1624" s="256" t="s">
        <v>6990</v>
      </c>
      <c r="D1624" s="328" t="s">
        <v>1057</v>
      </c>
      <c r="E1624" s="122" t="str">
        <f t="shared" si="25"/>
        <v xml:space="preserve">4320 : 대사여부 입력오류                   </v>
      </c>
    </row>
    <row r="1625" spans="1:5" s="64" customFormat="1">
      <c r="A1625" s="316" t="s">
        <v>4635</v>
      </c>
      <c r="B1625" s="123" t="s">
        <v>7609</v>
      </c>
      <c r="C1625" s="256" t="s">
        <v>6991</v>
      </c>
      <c r="D1625" s="328" t="s">
        <v>1056</v>
      </c>
      <c r="E1625" s="122" t="str">
        <f t="shared" si="25"/>
        <v xml:space="preserve">4321 : 대사업무구분 입력오류               </v>
      </c>
    </row>
    <row r="1626" spans="1:5" s="64" customFormat="1">
      <c r="A1626" s="316" t="s">
        <v>4635</v>
      </c>
      <c r="B1626" s="123" t="s">
        <v>7609</v>
      </c>
      <c r="C1626" s="256" t="s">
        <v>6992</v>
      </c>
      <c r="D1626" s="328" t="s">
        <v>1055</v>
      </c>
      <c r="E1626" s="122" t="str">
        <f t="shared" si="25"/>
        <v xml:space="preserve">4322 : 중복체크여부 입력오류               </v>
      </c>
    </row>
    <row r="1627" spans="1:5" s="64" customFormat="1">
      <c r="A1627" s="316" t="s">
        <v>4635</v>
      </c>
      <c r="B1627" s="123" t="s">
        <v>7609</v>
      </c>
      <c r="C1627" s="256" t="s">
        <v>6993</v>
      </c>
      <c r="D1627" s="328" t="s">
        <v>1054</v>
      </c>
      <c r="E1627" s="122" t="str">
        <f t="shared" si="25"/>
        <v xml:space="preserve">4323 : 사용상태 입력오류                   </v>
      </c>
    </row>
    <row r="1628" spans="1:5" s="64" customFormat="1">
      <c r="A1628" s="316" t="s">
        <v>4635</v>
      </c>
      <c r="B1628" s="123" t="s">
        <v>7609</v>
      </c>
      <c r="C1628" s="256" t="s">
        <v>6994</v>
      </c>
      <c r="D1628" s="328" t="s">
        <v>1053</v>
      </c>
      <c r="E1628" s="122" t="str">
        <f t="shared" si="25"/>
        <v xml:space="preserve">4324 : 입력시 사용상태=사용만가능        </v>
      </c>
    </row>
    <row r="1629" spans="1:5" s="64" customFormat="1">
      <c r="A1629" s="316" t="s">
        <v>4635</v>
      </c>
      <c r="B1629" s="123" t="s">
        <v>7609</v>
      </c>
      <c r="C1629" s="256" t="s">
        <v>6995</v>
      </c>
      <c r="D1629" s="328" t="s">
        <v>1052</v>
      </c>
      <c r="E1629" s="122" t="str">
        <f t="shared" si="25"/>
        <v xml:space="preserve">4325 : 시스템ID 입력오류                   </v>
      </c>
    </row>
    <row r="1630" spans="1:5" s="64" customFormat="1">
      <c r="A1630" s="316" t="s">
        <v>4635</v>
      </c>
      <c r="B1630" s="123" t="s">
        <v>7609</v>
      </c>
      <c r="C1630" s="256" t="s">
        <v>6996</v>
      </c>
      <c r="D1630" s="328" t="s">
        <v>1051</v>
      </c>
      <c r="E1630" s="122" t="str">
        <f t="shared" si="25"/>
        <v xml:space="preserve">4326 : 전문명 입력오류                     </v>
      </c>
    </row>
    <row r="1631" spans="1:5" s="64" customFormat="1">
      <c r="A1631" s="316" t="s">
        <v>4635</v>
      </c>
      <c r="B1631" s="123" t="s">
        <v>7609</v>
      </c>
      <c r="C1631" s="256" t="s">
        <v>6997</v>
      </c>
      <c r="D1631" s="328" t="s">
        <v>1050</v>
      </c>
      <c r="E1631" s="122" t="str">
        <f t="shared" si="25"/>
        <v xml:space="preserve">4327 : 보고서종류 입력 오류입니다        </v>
      </c>
    </row>
    <row r="1632" spans="1:5" s="64" customFormat="1">
      <c r="A1632" s="316" t="s">
        <v>4635</v>
      </c>
      <c r="B1632" s="123" t="s">
        <v>7609</v>
      </c>
      <c r="C1632" s="256" t="s">
        <v>6998</v>
      </c>
      <c r="D1632" s="328" t="s">
        <v>1049</v>
      </c>
      <c r="E1632" s="122" t="str">
        <f t="shared" si="25"/>
        <v xml:space="preserve">4328 : 거래코드를 먼저 등록바람          </v>
      </c>
    </row>
    <row r="1633" spans="1:5" s="64" customFormat="1">
      <c r="A1633" s="316" t="s">
        <v>4635</v>
      </c>
      <c r="B1633" s="123" t="s">
        <v>7609</v>
      </c>
      <c r="C1633" s="256" t="s">
        <v>6999</v>
      </c>
      <c r="D1633" s="328" t="s">
        <v>1048</v>
      </c>
      <c r="E1633" s="122" t="str">
        <f t="shared" si="25"/>
        <v xml:space="preserve">4329 : TBEB246 SELECT ERROR                    </v>
      </c>
    </row>
    <row r="1634" spans="1:5" s="64" customFormat="1">
      <c r="A1634" s="316" t="s">
        <v>4635</v>
      </c>
      <c r="B1634" s="123" t="s">
        <v>7609</v>
      </c>
      <c r="C1634" s="256" t="s">
        <v>7000</v>
      </c>
      <c r="D1634" s="328" t="s">
        <v>1047</v>
      </c>
      <c r="E1634" s="122" t="str">
        <f t="shared" si="25"/>
        <v xml:space="preserve">4330 : 등록 되었습니다                     </v>
      </c>
    </row>
    <row r="1635" spans="1:5" s="64" customFormat="1">
      <c r="A1635" s="316" t="s">
        <v>4635</v>
      </c>
      <c r="B1635" s="123" t="s">
        <v>7609</v>
      </c>
      <c r="C1635" s="256" t="s">
        <v>7001</v>
      </c>
      <c r="D1635" s="328" t="s">
        <v>1046</v>
      </c>
      <c r="E1635" s="122" t="str">
        <f t="shared" si="25"/>
        <v xml:space="preserve">4331 : TBEB252 SELECT ERROR                    </v>
      </c>
    </row>
    <row r="1636" spans="1:5" s="64" customFormat="1">
      <c r="A1636" s="316" t="s">
        <v>4635</v>
      </c>
      <c r="B1636" s="123" t="s">
        <v>7609</v>
      </c>
      <c r="C1636" s="256" t="s">
        <v>7002</v>
      </c>
      <c r="D1636" s="328" t="s">
        <v>1045</v>
      </c>
      <c r="E1636" s="122" t="str">
        <f t="shared" si="25"/>
        <v xml:space="preserve">4332 : 수정 되었습니다                     </v>
      </c>
    </row>
    <row r="1637" spans="1:5" s="64" customFormat="1">
      <c r="A1637" s="316" t="s">
        <v>4635</v>
      </c>
      <c r="B1637" s="123" t="s">
        <v>7609</v>
      </c>
      <c r="C1637" s="256" t="s">
        <v>7003</v>
      </c>
      <c r="D1637" s="328" t="s">
        <v>1044</v>
      </c>
      <c r="E1637" s="122" t="str">
        <f t="shared" si="25"/>
        <v xml:space="preserve">4333 : 수정할 자료가 없습니다            </v>
      </c>
    </row>
    <row r="1638" spans="1:5" s="64" customFormat="1">
      <c r="A1638" s="316" t="s">
        <v>4635</v>
      </c>
      <c r="B1638" s="123" t="s">
        <v>7609</v>
      </c>
      <c r="C1638" s="256" t="s">
        <v>7004</v>
      </c>
      <c r="D1638" s="328" t="s">
        <v>1043</v>
      </c>
      <c r="E1638" s="122" t="str">
        <f t="shared" si="25"/>
        <v xml:space="preserve">4334 : TBEB252 UPDATE ERROR                    </v>
      </c>
    </row>
    <row r="1639" spans="1:5" s="64" customFormat="1">
      <c r="A1639" s="316" t="s">
        <v>4635</v>
      </c>
      <c r="B1639" s="123" t="s">
        <v>7609</v>
      </c>
      <c r="C1639" s="256" t="s">
        <v>7005</v>
      </c>
      <c r="D1639" s="328" t="s">
        <v>1042</v>
      </c>
      <c r="E1639" s="122" t="str">
        <f t="shared" si="25"/>
        <v xml:space="preserve">4335 : 삭제 되었습니다                     </v>
      </c>
    </row>
    <row r="1640" spans="1:5" s="64" customFormat="1">
      <c r="A1640" s="316" t="s">
        <v>4635</v>
      </c>
      <c r="B1640" s="123" t="s">
        <v>7609</v>
      </c>
      <c r="C1640" s="256" t="s">
        <v>7006</v>
      </c>
      <c r="D1640" s="328" t="s">
        <v>1041</v>
      </c>
      <c r="E1640" s="122" t="str">
        <f t="shared" si="25"/>
        <v xml:space="preserve">4336 : 취소할 자료가 없습니다            </v>
      </c>
    </row>
    <row r="1641" spans="1:5" s="64" customFormat="1">
      <c r="A1641" s="316" t="s">
        <v>4635</v>
      </c>
      <c r="B1641" s="123" t="s">
        <v>7609</v>
      </c>
      <c r="C1641" s="256" t="s">
        <v>7007</v>
      </c>
      <c r="D1641" s="328" t="s">
        <v>1040</v>
      </c>
      <c r="E1641" s="122" t="str">
        <f t="shared" si="25"/>
        <v xml:space="preserve">4337 : TBEB252 DELETE ERROR                    </v>
      </c>
    </row>
    <row r="1642" spans="1:5" s="64" customFormat="1">
      <c r="A1642" s="316" t="s">
        <v>4635</v>
      </c>
      <c r="B1642" s="123" t="s">
        <v>7609</v>
      </c>
      <c r="C1642" s="256" t="s">
        <v>7008</v>
      </c>
      <c r="D1642" s="328" t="s">
        <v>1039</v>
      </c>
      <c r="E1642" s="122" t="str">
        <f t="shared" si="25"/>
        <v xml:space="preserve">4338 : 이미 입력된 자료입니다            </v>
      </c>
    </row>
    <row r="1643" spans="1:5" s="64" customFormat="1">
      <c r="A1643" s="316" t="s">
        <v>4635</v>
      </c>
      <c r="B1643" s="123" t="s">
        <v>7609</v>
      </c>
      <c r="C1643" s="256" t="s">
        <v>7009</v>
      </c>
      <c r="D1643" s="328" t="s">
        <v>1038</v>
      </c>
      <c r="E1643" s="122" t="str">
        <f t="shared" si="25"/>
        <v xml:space="preserve">4339 : 총액결제시스템에서는 불가능한거래임 </v>
      </c>
    </row>
    <row r="1644" spans="1:5" s="64" customFormat="1">
      <c r="A1644" s="316" t="s">
        <v>4635</v>
      </c>
      <c r="B1644" s="123" t="s">
        <v>7609</v>
      </c>
      <c r="C1644" s="256" t="s">
        <v>7010</v>
      </c>
      <c r="D1644" s="328" t="s">
        <v>1037</v>
      </c>
      <c r="E1644" s="122" t="str">
        <f t="shared" si="25"/>
        <v xml:space="preserve">4340 : 자금이체 확인오류                   </v>
      </c>
    </row>
    <row r="1645" spans="1:5" s="64" customFormat="1">
      <c r="A1645" s="316" t="s">
        <v>4635</v>
      </c>
      <c r="B1645" s="123" t="s">
        <v>7609</v>
      </c>
      <c r="C1645" s="256" t="s">
        <v>7011</v>
      </c>
      <c r="D1645" s="328" t="s">
        <v>1036</v>
      </c>
      <c r="E1645" s="122" t="str">
        <f t="shared" si="25"/>
        <v xml:space="preserve">4341 : 일반자금이체 확인오류               </v>
      </c>
    </row>
    <row r="1646" spans="1:5" s="64" customFormat="1">
      <c r="A1646" s="316" t="s">
        <v>4635</v>
      </c>
      <c r="B1646" s="123" t="s">
        <v>7609</v>
      </c>
      <c r="C1646" s="256" t="s">
        <v>7012</v>
      </c>
      <c r="D1646" s="328" t="s">
        <v>1035</v>
      </c>
      <c r="E1646" s="122" t="str">
        <f t="shared" si="25"/>
        <v xml:space="preserve">4342 : 수취인지정자금이체 확인오류         </v>
      </c>
    </row>
    <row r="1647" spans="1:5" s="64" customFormat="1">
      <c r="A1647" s="316" t="s">
        <v>4635</v>
      </c>
      <c r="B1647" s="123" t="s">
        <v>7609</v>
      </c>
      <c r="C1647" s="256" t="s">
        <v>7013</v>
      </c>
      <c r="D1647" s="328" t="s">
        <v>1034</v>
      </c>
      <c r="E1647" s="122" t="str">
        <f t="shared" si="25"/>
        <v xml:space="preserve">4343 : 제한기간-시작 입력오류            </v>
      </c>
    </row>
    <row r="1648" spans="1:5" s="64" customFormat="1">
      <c r="A1648" s="316" t="s">
        <v>4635</v>
      </c>
      <c r="B1648" s="123" t="s">
        <v>7609</v>
      </c>
      <c r="C1648" s="256" t="s">
        <v>7014</v>
      </c>
      <c r="D1648" s="328" t="s">
        <v>1033</v>
      </c>
      <c r="E1648" s="122" t="str">
        <f t="shared" si="25"/>
        <v xml:space="preserve">4344 : 제한기간-종료 입력오류            </v>
      </c>
    </row>
    <row r="1649" spans="1:5" s="64" customFormat="1">
      <c r="A1649" s="316" t="s">
        <v>4635</v>
      </c>
      <c r="B1649" s="123" t="s">
        <v>7609</v>
      </c>
      <c r="C1649" s="256" t="s">
        <v>7015</v>
      </c>
      <c r="D1649" s="328" t="s">
        <v>1032</v>
      </c>
      <c r="E1649" s="122" t="str">
        <f t="shared" si="25"/>
        <v xml:space="preserve">4345 : 제한기간-시작 확인바람            </v>
      </c>
    </row>
    <row r="1650" spans="1:5" s="64" customFormat="1">
      <c r="A1650" s="316" t="s">
        <v>4635</v>
      </c>
      <c r="B1650" s="123" t="s">
        <v>7609</v>
      </c>
      <c r="C1650" s="256" t="s">
        <v>7016</v>
      </c>
      <c r="D1650" s="328" t="s">
        <v>1031</v>
      </c>
      <c r="E1650" s="122" t="str">
        <f t="shared" si="25"/>
        <v xml:space="preserve">4346 : 약정체결기관이 아님                 </v>
      </c>
    </row>
    <row r="1651" spans="1:5" s="64" customFormat="1">
      <c r="A1651" s="316" t="s">
        <v>4635</v>
      </c>
      <c r="B1651" s="123" t="s">
        <v>7609</v>
      </c>
      <c r="C1651" s="256" t="s">
        <v>7017</v>
      </c>
      <c r="D1651" s="328" t="s">
        <v>1030</v>
      </c>
      <c r="E1651" s="122" t="str">
        <f t="shared" si="25"/>
        <v xml:space="preserve">4347 : 약정관리 SELECT 오류                </v>
      </c>
    </row>
    <row r="1652" spans="1:5" s="64" customFormat="1">
      <c r="A1652" s="316" t="s">
        <v>4635</v>
      </c>
      <c r="B1652" s="123" t="s">
        <v>7609</v>
      </c>
      <c r="C1652" s="256" t="s">
        <v>7018</v>
      </c>
      <c r="D1652" s="328" t="s">
        <v>1029</v>
      </c>
      <c r="E1652" s="122" t="str">
        <f t="shared" si="25"/>
        <v xml:space="preserve">4348 : 입력대상거래가 아닙니다             </v>
      </c>
    </row>
    <row r="1653" spans="1:5" s="64" customFormat="1">
      <c r="A1653" s="316" t="s">
        <v>4635</v>
      </c>
      <c r="B1653" s="123" t="s">
        <v>7609</v>
      </c>
      <c r="C1653" s="256" t="s">
        <v>7019</v>
      </c>
      <c r="D1653" s="328" t="s">
        <v>1028</v>
      </c>
      <c r="E1653" s="122" t="str">
        <f t="shared" si="25"/>
        <v xml:space="preserve">4349 : 거래제한 INSERT 오류                </v>
      </c>
    </row>
    <row r="1654" spans="1:5" s="64" customFormat="1">
      <c r="A1654" s="316" t="s">
        <v>4635</v>
      </c>
      <c r="B1654" s="123" t="s">
        <v>7609</v>
      </c>
      <c r="C1654" s="256" t="s">
        <v>7020</v>
      </c>
      <c r="D1654" s="328" t="s">
        <v>1027</v>
      </c>
      <c r="E1654" s="122" t="str">
        <f t="shared" si="25"/>
        <v xml:space="preserve">4350 : 취소대상거래가 아닙니다             </v>
      </c>
    </row>
    <row r="1655" spans="1:5" s="64" customFormat="1">
      <c r="A1655" s="316" t="s">
        <v>4635</v>
      </c>
      <c r="B1655" s="123" t="s">
        <v>7609</v>
      </c>
      <c r="C1655" s="256" t="s">
        <v>7021</v>
      </c>
      <c r="D1655" s="328" t="s">
        <v>1026</v>
      </c>
      <c r="E1655" s="122" t="str">
        <f t="shared" si="25"/>
        <v xml:space="preserve">4351 : 거래제한 DELETE 오류                </v>
      </c>
    </row>
    <row r="1656" spans="1:5" s="64" customFormat="1">
      <c r="A1656" s="316" t="s">
        <v>4635</v>
      </c>
      <c r="B1656" s="123" t="s">
        <v>7609</v>
      </c>
      <c r="C1656" s="256" t="s">
        <v>7022</v>
      </c>
      <c r="D1656" s="328" t="s">
        <v>1025</v>
      </c>
      <c r="E1656" s="122" t="str">
        <f t="shared" si="25"/>
        <v xml:space="preserve">4352 : 거래제한 SELECT 오류                </v>
      </c>
    </row>
    <row r="1657" spans="1:5" s="64" customFormat="1">
      <c r="A1657" s="316" t="s">
        <v>4635</v>
      </c>
      <c r="B1657" s="123" t="s">
        <v>7609</v>
      </c>
      <c r="C1657" s="256" t="s">
        <v>7023</v>
      </c>
      <c r="D1657" s="328" t="s">
        <v>1024</v>
      </c>
      <c r="E1657" s="122" t="str">
        <f t="shared" si="25"/>
        <v xml:space="preserve">4353 : 입력한 제한기간내 등록건 존재   </v>
      </c>
    </row>
    <row r="1658" spans="1:5" s="64" customFormat="1">
      <c r="A1658" s="316" t="s">
        <v>4635</v>
      </c>
      <c r="B1658" s="123" t="s">
        <v>7609</v>
      </c>
      <c r="C1658" s="256" t="s">
        <v>7024</v>
      </c>
      <c r="D1658" s="328" t="s">
        <v>1023</v>
      </c>
      <c r="E1658" s="122" t="str">
        <f t="shared" si="25"/>
        <v xml:space="preserve">4354 : 특정시간대 1개월이상 조회제한     </v>
      </c>
    </row>
    <row r="1659" spans="1:5" s="64" customFormat="1">
      <c r="A1659" s="316" t="s">
        <v>4635</v>
      </c>
      <c r="B1659" s="123" t="s">
        <v>7609</v>
      </c>
      <c r="C1659" s="256" t="s">
        <v>7025</v>
      </c>
      <c r="D1659" s="328" t="s">
        <v>1022</v>
      </c>
      <c r="E1659" s="122" t="str">
        <f t="shared" si="25"/>
        <v xml:space="preserve">4355 : 자금이체취소처리EVENT 이미 존재함 </v>
      </c>
    </row>
    <row r="1660" spans="1:5" s="64" customFormat="1">
      <c r="A1660" s="316" t="s">
        <v>4635</v>
      </c>
      <c r="B1660" s="123" t="s">
        <v>7609</v>
      </c>
      <c r="C1660" s="256" t="s">
        <v>7026</v>
      </c>
      <c r="D1660" s="328" t="s">
        <v>1021</v>
      </c>
      <c r="E1660" s="122" t="str">
        <f t="shared" si="25"/>
        <v xml:space="preserve">4356 : 자금이체취소처리(EVENT)확인오류     </v>
      </c>
    </row>
    <row r="1661" spans="1:5" s="64" customFormat="1">
      <c r="A1661" s="316" t="s">
        <v>4635</v>
      </c>
      <c r="B1661" s="123" t="s">
        <v>7609</v>
      </c>
      <c r="C1661" s="256" t="s">
        <v>7027</v>
      </c>
      <c r="D1661" s="328" t="s">
        <v>1020</v>
      </c>
      <c r="E1661" s="122" t="str">
        <f t="shared" si="25"/>
        <v xml:space="preserve">4357 : 단말번호 입력 오류                </v>
      </c>
    </row>
    <row r="1662" spans="1:5" s="64" customFormat="1">
      <c r="A1662" s="316" t="s">
        <v>4635</v>
      </c>
      <c r="B1662" s="123" t="s">
        <v>7609</v>
      </c>
      <c r="C1662" s="256" t="s">
        <v>7028</v>
      </c>
      <c r="D1662" s="328" t="s">
        <v>1019</v>
      </c>
      <c r="E1662" s="122" t="str">
        <f t="shared" si="25"/>
        <v xml:space="preserve">4358 : 프로그램기동구분 오류입니다         </v>
      </c>
    </row>
    <row r="1663" spans="1:5" s="64" customFormat="1">
      <c r="A1663" s="316" t="s">
        <v>4635</v>
      </c>
      <c r="B1663" s="123" t="s">
        <v>7609</v>
      </c>
      <c r="C1663" s="256" t="s">
        <v>7029</v>
      </c>
      <c r="D1663" s="328" t="s">
        <v>1018</v>
      </c>
      <c r="E1663" s="122" t="str">
        <f t="shared" si="25"/>
        <v xml:space="preserve">4359 : 자동수행 내역이 없습니다          </v>
      </c>
    </row>
    <row r="1664" spans="1:5" s="64" customFormat="1">
      <c r="A1664" s="316" t="s">
        <v>4635</v>
      </c>
      <c r="B1664" s="123" t="s">
        <v>7609</v>
      </c>
      <c r="C1664" s="256" t="s">
        <v>7030</v>
      </c>
      <c r="D1664" s="328" t="s">
        <v>1017</v>
      </c>
      <c r="E1664" s="122" t="str">
        <f t="shared" si="25"/>
        <v xml:space="preserve">4360 : 자동수행 갱신오류                   </v>
      </c>
    </row>
    <row r="1665" spans="1:5" s="64" customFormat="1">
      <c r="A1665" s="316" t="s">
        <v>4635</v>
      </c>
      <c r="B1665" s="123" t="s">
        <v>7609</v>
      </c>
      <c r="C1665" s="256" t="s">
        <v>7031</v>
      </c>
      <c r="D1665" s="328" t="s">
        <v>1016</v>
      </c>
      <c r="E1665" s="122" t="str">
        <f t="shared" si="25"/>
        <v xml:space="preserve">4361 : 프로그램 ID 입력 오류             </v>
      </c>
    </row>
    <row r="1666" spans="1:5" s="64" customFormat="1">
      <c r="A1666" s="316" t="s">
        <v>4635</v>
      </c>
      <c r="B1666" s="123" t="s">
        <v>7609</v>
      </c>
      <c r="C1666" s="256" t="s">
        <v>7032</v>
      </c>
      <c r="D1666" s="328" t="s">
        <v>1015</v>
      </c>
      <c r="E1666" s="122" t="str">
        <f t="shared" si="25"/>
        <v xml:space="preserve">4362 : 통보대상구분 입력 오류            </v>
      </c>
    </row>
    <row r="1667" spans="1:5" s="64" customFormat="1">
      <c r="A1667" s="316" t="s">
        <v>4635</v>
      </c>
      <c r="B1667" s="123" t="s">
        <v>7609</v>
      </c>
      <c r="C1667" s="256" t="s">
        <v>7033</v>
      </c>
      <c r="D1667" s="328" t="s">
        <v>1014</v>
      </c>
      <c r="E1667" s="122" t="str">
        <f t="shared" si="25"/>
        <v xml:space="preserve">4363 : 거래구분코드명 입력 오류          </v>
      </c>
    </row>
    <row r="1668" spans="1:5" s="64" customFormat="1">
      <c r="A1668" s="316" t="s">
        <v>4635</v>
      </c>
      <c r="B1668" s="123" t="s">
        <v>7609</v>
      </c>
      <c r="C1668" s="256" t="s">
        <v>7034</v>
      </c>
      <c r="D1668" s="328" t="s">
        <v>1013</v>
      </c>
      <c r="E1668" s="122" t="str">
        <f t="shared" ref="E1668:E1731" si="26">_xlfn.TEXTJOIN(" : ",FALSE,C1668:D1668)</f>
        <v xml:space="preserve">4364 : TBEB246 INSERT ERROR                    </v>
      </c>
    </row>
    <row r="1669" spans="1:5" s="64" customFormat="1">
      <c r="A1669" s="316" t="s">
        <v>4635</v>
      </c>
      <c r="B1669" s="123" t="s">
        <v>7609</v>
      </c>
      <c r="C1669" s="256" t="s">
        <v>7035</v>
      </c>
      <c r="D1669" s="328" t="s">
        <v>1012</v>
      </c>
      <c r="E1669" s="122" t="str">
        <f t="shared" si="26"/>
        <v xml:space="preserve">4365 : TBEB246 UPDATE ERROR                    </v>
      </c>
    </row>
    <row r="1670" spans="1:5" s="64" customFormat="1">
      <c r="A1670" s="316" t="s">
        <v>4635</v>
      </c>
      <c r="B1670" s="123" t="s">
        <v>7609</v>
      </c>
      <c r="C1670" s="256" t="s">
        <v>7036</v>
      </c>
      <c r="D1670" s="328" t="s">
        <v>1011</v>
      </c>
      <c r="E1670" s="122" t="str">
        <f t="shared" si="26"/>
        <v xml:space="preserve">4366 : TBEB246 DELETE ERROR                    </v>
      </c>
    </row>
    <row r="1671" spans="1:5" s="64" customFormat="1">
      <c r="A1671" s="316" t="s">
        <v>4635</v>
      </c>
      <c r="B1671" s="123" t="s">
        <v>7609</v>
      </c>
      <c r="C1671" s="256" t="s">
        <v>7037</v>
      </c>
      <c r="D1671" s="328" t="s">
        <v>1010</v>
      </c>
      <c r="E1671" s="122" t="str">
        <f t="shared" si="26"/>
        <v xml:space="preserve">4367 : 자동수행일별내역 생성오류           </v>
      </c>
    </row>
    <row r="1672" spans="1:5" s="64" customFormat="1">
      <c r="A1672" s="316" t="s">
        <v>4635</v>
      </c>
      <c r="B1672" s="123" t="s">
        <v>7609</v>
      </c>
      <c r="C1672" s="256" t="s">
        <v>7038</v>
      </c>
      <c r="D1672" s="328" t="s">
        <v>1009</v>
      </c>
      <c r="E1672" s="122" t="str">
        <f t="shared" si="26"/>
        <v xml:space="preserve">4368 : 처리시간 입력오류입니다             </v>
      </c>
    </row>
    <row r="1673" spans="1:5" s="64" customFormat="1">
      <c r="A1673" s="316" t="s">
        <v>4635</v>
      </c>
      <c r="B1673" s="123" t="s">
        <v>7609</v>
      </c>
      <c r="C1673" s="256" t="s">
        <v>7039</v>
      </c>
      <c r="D1673" s="328" t="s">
        <v>1008</v>
      </c>
      <c r="E1673" s="122" t="str">
        <f t="shared" si="26"/>
        <v xml:space="preserve">4369 : 지정처리시간 입력오류               </v>
      </c>
    </row>
    <row r="1674" spans="1:5" s="64" customFormat="1">
      <c r="A1674" s="316" t="s">
        <v>4635</v>
      </c>
      <c r="B1674" s="123" t="s">
        <v>7609</v>
      </c>
      <c r="C1674" s="256" t="s">
        <v>7040</v>
      </c>
      <c r="D1674" s="328" t="s">
        <v>1007</v>
      </c>
      <c r="E1674" s="122" t="str">
        <f t="shared" si="26"/>
        <v xml:space="preserve">4370 : 자동INVOKE TRAN 이미 존재함       </v>
      </c>
    </row>
    <row r="1675" spans="1:5" s="64" customFormat="1">
      <c r="A1675" s="316" t="s">
        <v>4635</v>
      </c>
      <c r="B1675" s="123" t="s">
        <v>7609</v>
      </c>
      <c r="C1675" s="256" t="s">
        <v>7041</v>
      </c>
      <c r="D1675" s="328" t="s">
        <v>1006</v>
      </c>
      <c r="E1675" s="122" t="str">
        <f t="shared" si="26"/>
        <v xml:space="preserve">4371 : 자동INVOKE TRAN 생성오류            </v>
      </c>
    </row>
    <row r="1676" spans="1:5" s="64" customFormat="1">
      <c r="A1676" s="316" t="s">
        <v>4635</v>
      </c>
      <c r="B1676" s="123" t="s">
        <v>7609</v>
      </c>
      <c r="C1676" s="256" t="s">
        <v>7042</v>
      </c>
      <c r="D1676" s="328" t="s">
        <v>1005</v>
      </c>
      <c r="E1676" s="122" t="str">
        <f t="shared" si="26"/>
        <v xml:space="preserve">4372 : START TRAN 처리현황 이미 존재함   </v>
      </c>
    </row>
    <row r="1677" spans="1:5" s="64" customFormat="1">
      <c r="A1677" s="316" t="s">
        <v>4635</v>
      </c>
      <c r="B1677" s="123" t="s">
        <v>7609</v>
      </c>
      <c r="C1677" s="256" t="s">
        <v>7043</v>
      </c>
      <c r="D1677" s="328" t="s">
        <v>1004</v>
      </c>
      <c r="E1677" s="122" t="str">
        <f t="shared" si="26"/>
        <v xml:space="preserve">4373 : START TRAN 처리현황 생성오류        </v>
      </c>
    </row>
    <row r="1678" spans="1:5" s="64" customFormat="1">
      <c r="A1678" s="316" t="s">
        <v>4635</v>
      </c>
      <c r="B1678" s="123" t="s">
        <v>7609</v>
      </c>
      <c r="C1678" s="256" t="s">
        <v>7044</v>
      </c>
      <c r="D1678" s="328" t="s">
        <v>1003</v>
      </c>
      <c r="E1678" s="122" t="str">
        <f t="shared" si="26"/>
        <v xml:space="preserve">4374 : 자동수행일별내역 SELECT 오류        </v>
      </c>
    </row>
    <row r="1679" spans="1:5" s="64" customFormat="1">
      <c r="A1679" s="316" t="s">
        <v>4635</v>
      </c>
      <c r="B1679" s="123" t="s">
        <v>7609</v>
      </c>
      <c r="C1679" s="256" t="s">
        <v>7045</v>
      </c>
      <c r="D1679" s="328" t="s">
        <v>1002</v>
      </c>
      <c r="E1679" s="122" t="str">
        <f t="shared" si="26"/>
        <v xml:space="preserve">4375 : 자동수행일별내역 삭제오류           </v>
      </c>
    </row>
    <row r="1680" spans="1:5" s="64" customFormat="1">
      <c r="A1680" s="316" t="s">
        <v>4635</v>
      </c>
      <c r="B1680" s="123" t="s">
        <v>7609</v>
      </c>
      <c r="C1680" s="256" t="s">
        <v>7046</v>
      </c>
      <c r="D1680" s="328" t="s">
        <v>1001</v>
      </c>
      <c r="E1680" s="122" t="str">
        <f t="shared" si="26"/>
        <v xml:space="preserve">4376 : 처리시작일시 입력오류입니다         </v>
      </c>
    </row>
    <row r="1681" spans="1:5" s="64" customFormat="1">
      <c r="A1681" s="316" t="s">
        <v>4635</v>
      </c>
      <c r="B1681" s="123" t="s">
        <v>7609</v>
      </c>
      <c r="C1681" s="256" t="s">
        <v>7047</v>
      </c>
      <c r="D1681" s="328" t="s">
        <v>1000</v>
      </c>
      <c r="E1681" s="122" t="str">
        <f t="shared" si="26"/>
        <v xml:space="preserve">4377 : 혼합형장애시만 기관간 거래가능    </v>
      </c>
    </row>
    <row r="1682" spans="1:5" s="64" customFormat="1">
      <c r="A1682" s="316" t="s">
        <v>4635</v>
      </c>
      <c r="B1682" s="123" t="s">
        <v>7609</v>
      </c>
      <c r="C1682" s="256" t="s">
        <v>7048</v>
      </c>
      <c r="D1682" s="328" t="s">
        <v>999</v>
      </c>
      <c r="E1682" s="122" t="str">
        <f t="shared" si="26"/>
        <v xml:space="preserve">4378 : 자동수행 START 오류                 </v>
      </c>
    </row>
    <row r="1683" spans="1:5" s="64" customFormat="1">
      <c r="A1683" s="316" t="s">
        <v>4635</v>
      </c>
      <c r="B1683" s="123" t="s">
        <v>7609</v>
      </c>
      <c r="C1683" s="256" t="s">
        <v>7049</v>
      </c>
      <c r="D1683" s="328" t="s">
        <v>998</v>
      </c>
      <c r="E1683" s="122" t="str">
        <f t="shared" si="26"/>
        <v xml:space="preserve">4379 : 서버참가기관이　장애등록　상태입니다  </v>
      </c>
    </row>
    <row r="1684" spans="1:5" s="64" customFormat="1">
      <c r="A1684" s="316" t="s">
        <v>4635</v>
      </c>
      <c r="B1684" s="123" t="s">
        <v>7609</v>
      </c>
      <c r="C1684" s="256" t="s">
        <v>7050</v>
      </c>
      <c r="D1684" s="328" t="s">
        <v>997</v>
      </c>
      <c r="E1684" s="122" t="str">
        <f t="shared" si="26"/>
        <v xml:space="preserve">4380 : 제한구분　입력　오류                  </v>
      </c>
    </row>
    <row r="1685" spans="1:5" s="64" customFormat="1">
      <c r="A1685" s="316" t="s">
        <v>4635</v>
      </c>
      <c r="B1685" s="123" t="s">
        <v>7609</v>
      </c>
      <c r="C1685" s="256" t="s">
        <v>7051</v>
      </c>
      <c r="D1685" s="328" t="s">
        <v>996</v>
      </c>
      <c r="E1685" s="122" t="str">
        <f t="shared" si="26"/>
        <v xml:space="preserve">4381 : 의뢰인계좌번호 입력 오류입니다    </v>
      </c>
    </row>
    <row r="1686" spans="1:5" s="64" customFormat="1">
      <c r="A1686" s="316" t="s">
        <v>4635</v>
      </c>
      <c r="B1686" s="123" t="s">
        <v>7609</v>
      </c>
      <c r="C1686" s="256" t="s">
        <v>7052</v>
      </c>
      <c r="D1686" s="328" t="s">
        <v>995</v>
      </c>
      <c r="E1686" s="122" t="str">
        <f t="shared" si="26"/>
        <v xml:space="preserve">4701 : 오류-한국은행전산정보부로연락바람   </v>
      </c>
    </row>
    <row r="1687" spans="1:5" s="64" customFormat="1">
      <c r="A1687" s="316" t="s">
        <v>4635</v>
      </c>
      <c r="B1687" s="123" t="s">
        <v>7609</v>
      </c>
      <c r="C1687" s="256" t="s">
        <v>7053</v>
      </c>
      <c r="D1687" s="328" t="s">
        <v>994</v>
      </c>
      <c r="E1687" s="122" t="str">
        <f t="shared" si="26"/>
        <v xml:space="preserve">4702 : DB오류-한국은행전산정보부로연락     </v>
      </c>
    </row>
    <row r="1688" spans="1:5" s="64" customFormat="1">
      <c r="A1688" s="316" t="s">
        <v>4635</v>
      </c>
      <c r="B1688" s="123" t="s">
        <v>7609</v>
      </c>
      <c r="C1688" s="256" t="s">
        <v>7054</v>
      </c>
      <c r="D1688" s="328" t="s">
        <v>993</v>
      </c>
      <c r="E1688" s="122" t="str">
        <f t="shared" si="26"/>
        <v xml:space="preserve">4703 : 기관코드오류-한국은행전산부로연락   </v>
      </c>
    </row>
    <row r="1689" spans="1:5" s="64" customFormat="1">
      <c r="A1689" s="316" t="s">
        <v>4635</v>
      </c>
      <c r="B1689" s="123" t="s">
        <v>7609</v>
      </c>
      <c r="C1689" s="256" t="s">
        <v>7055</v>
      </c>
      <c r="D1689" s="328" t="s">
        <v>992</v>
      </c>
      <c r="E1689" s="122" t="str">
        <f t="shared" si="26"/>
        <v xml:space="preserve">4704 : 등록되지않은단말기입니다              </v>
      </c>
    </row>
    <row r="1690" spans="1:5" s="64" customFormat="1">
      <c r="A1690" s="316" t="s">
        <v>4635</v>
      </c>
      <c r="B1690" s="123" t="s">
        <v>7609</v>
      </c>
      <c r="C1690" s="256" t="s">
        <v>7056</v>
      </c>
      <c r="D1690" s="328" t="s">
        <v>991</v>
      </c>
      <c r="E1690" s="122" t="str">
        <f t="shared" si="26"/>
        <v xml:space="preserve">4705 : 단말기CHECK오류입니다               </v>
      </c>
    </row>
    <row r="1691" spans="1:5" s="64" customFormat="1">
      <c r="A1691" s="316" t="s">
        <v>4635</v>
      </c>
      <c r="B1691" s="123" t="s">
        <v>7609</v>
      </c>
      <c r="C1691" s="256" t="s">
        <v>7057</v>
      </c>
      <c r="D1691" s="328" t="s">
        <v>990</v>
      </c>
      <c r="E1691" s="122" t="str">
        <f t="shared" si="26"/>
        <v xml:space="preserve">4706 : 현금지급신청이완료되었습니다          </v>
      </c>
    </row>
    <row r="1692" spans="1:5" s="64" customFormat="1">
      <c r="A1692" s="316" t="s">
        <v>4635</v>
      </c>
      <c r="B1692" s="123" t="s">
        <v>7609</v>
      </c>
      <c r="C1692" s="256" t="s">
        <v>7058</v>
      </c>
      <c r="D1692" s="328" t="s">
        <v>989</v>
      </c>
      <c r="E1692" s="122" t="str">
        <f t="shared" si="26"/>
        <v xml:space="preserve">4707 : 신청일자를확인하시오                  </v>
      </c>
    </row>
    <row r="1693" spans="1:5" s="64" customFormat="1">
      <c r="A1693" s="316" t="s">
        <v>4635</v>
      </c>
      <c r="B1693" s="123" t="s">
        <v>7609</v>
      </c>
      <c r="C1693" s="256" t="s">
        <v>7059</v>
      </c>
      <c r="D1693" s="328" t="s">
        <v>988</v>
      </c>
      <c r="E1693" s="122" t="str">
        <f t="shared" si="26"/>
        <v xml:space="preserve">4708 : 신청일자가영업일자와다릅니다          </v>
      </c>
    </row>
    <row r="1694" spans="1:5" s="64" customFormat="1">
      <c r="A1694" s="316" t="s">
        <v>4635</v>
      </c>
      <c r="B1694" s="123" t="s">
        <v>7609</v>
      </c>
      <c r="C1694" s="256" t="s">
        <v>7060</v>
      </c>
      <c r="D1694" s="328" t="s">
        <v>537</v>
      </c>
      <c r="E1694" s="122" t="str">
        <f t="shared" si="26"/>
        <v xml:space="preserve">4709 : 인출예정일자를확인하시오              </v>
      </c>
    </row>
    <row r="1695" spans="1:5" s="64" customFormat="1">
      <c r="A1695" s="316" t="s">
        <v>4635</v>
      </c>
      <c r="B1695" s="123" t="s">
        <v>7609</v>
      </c>
      <c r="C1695" s="256" t="s">
        <v>7061</v>
      </c>
      <c r="D1695" s="328" t="s">
        <v>987</v>
      </c>
      <c r="E1695" s="122" t="str">
        <f t="shared" si="26"/>
        <v xml:space="preserve">4710 : 인출예정일자가 영업일자전입니다     </v>
      </c>
    </row>
    <row r="1696" spans="1:5" s="64" customFormat="1">
      <c r="A1696" s="316" t="s">
        <v>4635</v>
      </c>
      <c r="B1696" s="123" t="s">
        <v>7609</v>
      </c>
      <c r="C1696" s="256" t="s">
        <v>7062</v>
      </c>
      <c r="D1696" s="328" t="s">
        <v>986</v>
      </c>
      <c r="E1696" s="122" t="str">
        <f t="shared" si="26"/>
        <v xml:space="preserve">4711 : 신청금액이 0 입니다                 </v>
      </c>
    </row>
    <row r="1697" spans="1:5" s="64" customFormat="1">
      <c r="A1697" s="316" t="s">
        <v>4635</v>
      </c>
      <c r="B1697" s="123" t="s">
        <v>7609</v>
      </c>
      <c r="C1697" s="256" t="s">
        <v>7063</v>
      </c>
      <c r="D1697" s="328" t="s">
        <v>985</v>
      </c>
      <c r="E1697" s="122" t="str">
        <f t="shared" si="26"/>
        <v xml:space="preserve">4712 : 신청금액을 확인하시오               </v>
      </c>
    </row>
    <row r="1698" spans="1:5" s="64" customFormat="1">
      <c r="A1698" s="316" t="s">
        <v>4635</v>
      </c>
      <c r="B1698" s="123" t="s">
        <v>7609</v>
      </c>
      <c r="C1698" s="256" t="s">
        <v>7064</v>
      </c>
      <c r="D1698" s="328" t="s">
        <v>984</v>
      </c>
      <c r="E1698" s="122" t="str">
        <f t="shared" si="26"/>
        <v xml:space="preserve">4713 : 대리인 주민번호를 확인하시오      </v>
      </c>
    </row>
    <row r="1699" spans="1:5" s="64" customFormat="1">
      <c r="A1699" s="316" t="s">
        <v>4635</v>
      </c>
      <c r="B1699" s="123" t="s">
        <v>7609</v>
      </c>
      <c r="C1699" s="256" t="s">
        <v>7065</v>
      </c>
      <c r="D1699" s="328" t="s">
        <v>983</v>
      </c>
      <c r="E1699" s="122" t="str">
        <f t="shared" si="26"/>
        <v xml:space="preserve">4714 : 대리인이 등록되지않았습니다         </v>
      </c>
    </row>
    <row r="1700" spans="1:5" s="64" customFormat="1">
      <c r="A1700" s="316" t="s">
        <v>4635</v>
      </c>
      <c r="B1700" s="123" t="s">
        <v>7609</v>
      </c>
      <c r="C1700" s="256" t="s">
        <v>7066</v>
      </c>
      <c r="D1700" s="328" t="s">
        <v>982</v>
      </c>
      <c r="E1700" s="122" t="str">
        <f t="shared" si="26"/>
        <v xml:space="preserve">4715 : 현송책임자주민번호를 확인하시오     </v>
      </c>
    </row>
    <row r="1701" spans="1:5" s="64" customFormat="1">
      <c r="A1701" s="316" t="s">
        <v>4635</v>
      </c>
      <c r="B1701" s="123" t="s">
        <v>7609</v>
      </c>
      <c r="C1701" s="256" t="s">
        <v>7067</v>
      </c>
      <c r="D1701" s="328" t="s">
        <v>981</v>
      </c>
      <c r="E1701" s="122" t="str">
        <f t="shared" si="26"/>
        <v>4716 : 현송책임자가등록되지않았습니다</v>
      </c>
    </row>
    <row r="1702" spans="1:5" s="64" customFormat="1">
      <c r="A1702" s="316" t="s">
        <v>4635</v>
      </c>
      <c r="B1702" s="123" t="s">
        <v>7609</v>
      </c>
      <c r="C1702" s="256" t="s">
        <v>7068</v>
      </c>
      <c r="D1702" s="328" t="s">
        <v>980</v>
      </c>
      <c r="E1702" s="122" t="str">
        <f t="shared" si="26"/>
        <v xml:space="preserve">4717 : 비밀번호를입력하시오                  </v>
      </c>
    </row>
    <row r="1703" spans="1:5" s="64" customFormat="1">
      <c r="A1703" s="316" t="s">
        <v>4635</v>
      </c>
      <c r="B1703" s="123" t="s">
        <v>7609</v>
      </c>
      <c r="C1703" s="256" t="s">
        <v>7069</v>
      </c>
      <c r="D1703" s="328" t="s">
        <v>979</v>
      </c>
      <c r="E1703" s="122" t="str">
        <f t="shared" si="26"/>
        <v xml:space="preserve">4718 : 비밀번호재확인을입력하시오            </v>
      </c>
    </row>
    <row r="1704" spans="1:5" s="64" customFormat="1">
      <c r="A1704" s="316" t="s">
        <v>4635</v>
      </c>
      <c r="B1704" s="123" t="s">
        <v>7609</v>
      </c>
      <c r="C1704" s="256" t="s">
        <v>7070</v>
      </c>
      <c r="D1704" s="328" t="s">
        <v>978</v>
      </c>
      <c r="E1704" s="122" t="str">
        <f t="shared" si="26"/>
        <v xml:space="preserve">4719 : 비밀번호두개가 서로다릅니다         </v>
      </c>
    </row>
    <row r="1705" spans="1:5" s="64" customFormat="1">
      <c r="A1705" s="316" t="s">
        <v>4635</v>
      </c>
      <c r="B1705" s="123" t="s">
        <v>7609</v>
      </c>
      <c r="C1705" s="256" t="s">
        <v>7071</v>
      </c>
      <c r="D1705" s="328" t="s">
        <v>977</v>
      </c>
      <c r="E1705" s="122" t="str">
        <f t="shared" si="26"/>
        <v xml:space="preserve">4720 : 이미현금지금이 신청되어있습니다     </v>
      </c>
    </row>
    <row r="1706" spans="1:5" s="64" customFormat="1">
      <c r="A1706" s="316" t="s">
        <v>4635</v>
      </c>
      <c r="B1706" s="123" t="s">
        <v>7609</v>
      </c>
      <c r="C1706" s="256" t="s">
        <v>7072</v>
      </c>
      <c r="D1706" s="328" t="s">
        <v>976</v>
      </c>
      <c r="E1706" s="122" t="str">
        <f t="shared" si="26"/>
        <v xml:space="preserve">4721 : 당좌계정개설처를입력하시오            </v>
      </c>
    </row>
    <row r="1707" spans="1:5" s="64" customFormat="1">
      <c r="A1707" s="316" t="s">
        <v>4635</v>
      </c>
      <c r="B1707" s="123" t="s">
        <v>7609</v>
      </c>
      <c r="C1707" s="256" t="s">
        <v>7073</v>
      </c>
      <c r="D1707" s="328" t="s">
        <v>975</v>
      </c>
      <c r="E1707" s="122" t="str">
        <f t="shared" si="26"/>
        <v xml:space="preserve">4722 : 당좌계정개설처를확인하시오            </v>
      </c>
    </row>
    <row r="1708" spans="1:5" s="64" customFormat="1">
      <c r="A1708" s="316" t="s">
        <v>4635</v>
      </c>
      <c r="B1708" s="123" t="s">
        <v>7609</v>
      </c>
      <c r="C1708" s="256" t="s">
        <v>7074</v>
      </c>
      <c r="D1708" s="328" t="s">
        <v>974</v>
      </c>
      <c r="E1708" s="122" t="str">
        <f t="shared" si="26"/>
        <v xml:space="preserve">4723 : 비밀번호자리를모두채우시오            </v>
      </c>
    </row>
    <row r="1709" spans="1:5" s="64" customFormat="1">
      <c r="A1709" s="316" t="s">
        <v>4635</v>
      </c>
      <c r="B1709" s="123" t="s">
        <v>7609</v>
      </c>
      <c r="C1709" s="256" t="s">
        <v>7075</v>
      </c>
      <c r="D1709" s="328" t="s">
        <v>973</v>
      </c>
      <c r="E1709" s="122" t="str">
        <f t="shared" si="26"/>
        <v xml:space="preserve">4724 : 현송책임자의 소속기관이다릅니다     </v>
      </c>
    </row>
    <row r="1710" spans="1:5" s="64" customFormat="1">
      <c r="A1710" s="316" t="s">
        <v>4635</v>
      </c>
      <c r="B1710" s="123" t="s">
        <v>7609</v>
      </c>
      <c r="C1710" s="256" t="s">
        <v>7076</v>
      </c>
      <c r="D1710" s="328" t="s">
        <v>521</v>
      </c>
      <c r="E1710" s="122" t="str">
        <f t="shared" si="26"/>
        <v xml:space="preserve">4725 : 현송책임자의계정개설처가다릅니다      </v>
      </c>
    </row>
    <row r="1711" spans="1:5" s="64" customFormat="1">
      <c r="A1711" s="316" t="s">
        <v>4635</v>
      </c>
      <c r="B1711" s="123" t="s">
        <v>7609</v>
      </c>
      <c r="C1711" s="256" t="s">
        <v>7077</v>
      </c>
      <c r="D1711" s="328" t="s">
        <v>972</v>
      </c>
      <c r="E1711" s="122" t="str">
        <f t="shared" si="26"/>
        <v xml:space="preserve">4726 : 대리인의 소속기관이 다릅니다      </v>
      </c>
    </row>
    <row r="1712" spans="1:5" s="64" customFormat="1">
      <c r="A1712" s="316" t="s">
        <v>4635</v>
      </c>
      <c r="B1712" s="123" t="s">
        <v>7609</v>
      </c>
      <c r="C1712" s="256" t="s">
        <v>7078</v>
      </c>
      <c r="D1712" s="328" t="s">
        <v>532</v>
      </c>
      <c r="E1712" s="122" t="str">
        <f t="shared" si="26"/>
        <v xml:space="preserve">4727 : 지정책임자주민번호를확인하시오        </v>
      </c>
    </row>
    <row r="1713" spans="1:5" s="64" customFormat="1">
      <c r="A1713" s="316" t="s">
        <v>4635</v>
      </c>
      <c r="B1713" s="123" t="s">
        <v>7609</v>
      </c>
      <c r="C1713" s="256" t="s">
        <v>7079</v>
      </c>
      <c r="D1713" s="328" t="s">
        <v>971</v>
      </c>
      <c r="E1713" s="122" t="str">
        <f t="shared" si="26"/>
        <v xml:space="preserve">4728 : 지정책임자가등록되지않았습니다        </v>
      </c>
    </row>
    <row r="1714" spans="1:5" s="64" customFormat="1">
      <c r="A1714" s="316" t="s">
        <v>4635</v>
      </c>
      <c r="B1714" s="123" t="s">
        <v>7609</v>
      </c>
      <c r="C1714" s="256" t="s">
        <v>7080</v>
      </c>
      <c r="D1714" s="328" t="s">
        <v>970</v>
      </c>
      <c r="E1714" s="122" t="str">
        <f t="shared" si="26"/>
        <v xml:space="preserve">4729 : 지정책임자의소속기관이다릅니다        </v>
      </c>
    </row>
    <row r="1715" spans="1:5" s="64" customFormat="1">
      <c r="A1715" s="316" t="s">
        <v>4635</v>
      </c>
      <c r="B1715" s="123" t="s">
        <v>7609</v>
      </c>
      <c r="C1715" s="256" t="s">
        <v>7081</v>
      </c>
      <c r="D1715" s="328" t="s">
        <v>530</v>
      </c>
      <c r="E1715" s="122" t="str">
        <f t="shared" si="26"/>
        <v xml:space="preserve">4730 : 한국은행원주분실만지정책임자입력가능  </v>
      </c>
    </row>
    <row r="1716" spans="1:5" s="64" customFormat="1">
      <c r="A1716" s="316" t="s">
        <v>4635</v>
      </c>
      <c r="B1716" s="123" t="s">
        <v>7609</v>
      </c>
      <c r="C1716" s="256" t="s">
        <v>7082</v>
      </c>
      <c r="D1716" s="328" t="s">
        <v>969</v>
      </c>
      <c r="E1716" s="122" t="str">
        <f t="shared" si="26"/>
        <v xml:space="preserve">4731 : 지정책임자를확인-현송책임자와동일   </v>
      </c>
    </row>
    <row r="1717" spans="1:5" s="64" customFormat="1">
      <c r="A1717" s="316" t="s">
        <v>4635</v>
      </c>
      <c r="B1717" s="123" t="s">
        <v>7609</v>
      </c>
      <c r="C1717" s="256" t="s">
        <v>7083</v>
      </c>
      <c r="D1717" s="328" t="s">
        <v>535</v>
      </c>
      <c r="E1717" s="122" t="str">
        <f t="shared" si="26"/>
        <v xml:space="preserve">4732 : 현금　지급업무　취급　불가            </v>
      </c>
    </row>
    <row r="1718" spans="1:5" s="64" customFormat="1">
      <c r="A1718" s="316" t="s">
        <v>4635</v>
      </c>
      <c r="B1718" s="123" t="s">
        <v>7609</v>
      </c>
      <c r="C1718" s="256" t="s">
        <v>7084</v>
      </c>
      <c r="D1718" s="328" t="s">
        <v>968</v>
      </c>
      <c r="E1718" s="122" t="str">
        <f t="shared" si="26"/>
        <v xml:space="preserve">4746 : 현금지급　신청취소가　완료되었습니다  </v>
      </c>
    </row>
    <row r="1719" spans="1:5" s="64" customFormat="1">
      <c r="A1719" s="316" t="s">
        <v>4635</v>
      </c>
      <c r="B1719" s="123" t="s">
        <v>7609</v>
      </c>
      <c r="C1719" s="256" t="s">
        <v>7085</v>
      </c>
      <c r="D1719" s="328" t="s">
        <v>967</v>
      </c>
      <c r="E1719" s="122" t="str">
        <f t="shared" si="26"/>
        <v xml:space="preserve">4748 : 신청일자가　영업일자　전입니다        </v>
      </c>
    </row>
    <row r="1720" spans="1:5" s="64" customFormat="1">
      <c r="A1720" s="316" t="s">
        <v>4635</v>
      </c>
      <c r="B1720" s="123" t="s">
        <v>7609</v>
      </c>
      <c r="C1720" s="256" t="s">
        <v>7086</v>
      </c>
      <c r="D1720" s="328" t="s">
        <v>966</v>
      </c>
      <c r="E1720" s="122" t="str">
        <f t="shared" si="26"/>
        <v xml:space="preserve">4749 : 신청번호를　확인하십시오              </v>
      </c>
    </row>
    <row r="1721" spans="1:5" s="64" customFormat="1">
      <c r="A1721" s="316" t="s">
        <v>4635</v>
      </c>
      <c r="B1721" s="123" t="s">
        <v>7609</v>
      </c>
      <c r="C1721" s="256" t="s">
        <v>7087</v>
      </c>
      <c r="D1721" s="328" t="s">
        <v>965</v>
      </c>
      <c r="E1721" s="122" t="str">
        <f t="shared" si="26"/>
        <v xml:space="preserve">4750 : 현금지급신청 건이 없습니다        </v>
      </c>
    </row>
    <row r="1722" spans="1:5" s="64" customFormat="1">
      <c r="A1722" s="316" t="s">
        <v>4635</v>
      </c>
      <c r="B1722" s="123" t="s">
        <v>7609</v>
      </c>
      <c r="C1722" s="256" t="s">
        <v>7088</v>
      </c>
      <c r="D1722" s="328" t="s">
        <v>964</v>
      </c>
      <c r="E1722" s="122" t="str">
        <f t="shared" si="26"/>
        <v xml:space="preserve">4751 : 신청금액이　신청시　금액과　다름니다  </v>
      </c>
    </row>
    <row r="1723" spans="1:5" s="64" customFormat="1">
      <c r="A1723" s="316" t="s">
        <v>4635</v>
      </c>
      <c r="B1723" s="123" t="s">
        <v>7609</v>
      </c>
      <c r="C1723" s="256" t="s">
        <v>7089</v>
      </c>
      <c r="D1723" s="328" t="s">
        <v>963</v>
      </c>
      <c r="E1723" s="122" t="str">
        <f t="shared" si="26"/>
        <v xml:space="preserve">4752 : 신청금액을　확인하십시오              </v>
      </c>
    </row>
    <row r="1724" spans="1:5" s="64" customFormat="1">
      <c r="A1724" s="316" t="s">
        <v>4635</v>
      </c>
      <c r="B1724" s="123" t="s">
        <v>7609</v>
      </c>
      <c r="C1724" s="256" t="s">
        <v>7090</v>
      </c>
      <c r="D1724" s="328" t="s">
        <v>962</v>
      </c>
      <c r="E1724" s="122" t="str">
        <f t="shared" si="26"/>
        <v xml:space="preserve">4753 : 현금지급　신청건이　없습니다          </v>
      </c>
    </row>
    <row r="1725" spans="1:5" s="64" customFormat="1">
      <c r="A1725" s="316" t="s">
        <v>4635</v>
      </c>
      <c r="B1725" s="123" t="s">
        <v>7609</v>
      </c>
      <c r="C1725" s="256" t="s">
        <v>7091</v>
      </c>
      <c r="D1725" s="328" t="s">
        <v>961</v>
      </c>
      <c r="E1725" s="122" t="str">
        <f t="shared" si="26"/>
        <v xml:space="preserve">4754 : 인출예정일이　영업일　전　입니다      </v>
      </c>
    </row>
    <row r="1726" spans="1:5" s="64" customFormat="1">
      <c r="A1726" s="316" t="s">
        <v>4635</v>
      </c>
      <c r="B1726" s="123" t="s">
        <v>7609</v>
      </c>
      <c r="C1726" s="256" t="s">
        <v>7092</v>
      </c>
      <c r="D1726" s="328" t="s">
        <v>960</v>
      </c>
      <c r="E1726" s="122" t="str">
        <f t="shared" si="26"/>
        <v xml:space="preserve">4755 : 인출취급점을　확인하세요              </v>
      </c>
    </row>
    <row r="1727" spans="1:5" s="64" customFormat="1">
      <c r="A1727" s="316" t="s">
        <v>4635</v>
      </c>
      <c r="B1727" s="123" t="s">
        <v>7609</v>
      </c>
      <c r="C1727" s="256" t="s">
        <v>7093</v>
      </c>
      <c r="D1727" s="328" t="s">
        <v>959</v>
      </c>
      <c r="E1727" s="122" t="str">
        <f t="shared" si="26"/>
        <v xml:space="preserve">4761 : 오늘은　휴일입니다                    </v>
      </c>
    </row>
    <row r="1728" spans="1:5" s="64" customFormat="1">
      <c r="A1728" s="316" t="s">
        <v>4635</v>
      </c>
      <c r="B1728" s="123" t="s">
        <v>7609</v>
      </c>
      <c r="C1728" s="256" t="s">
        <v>7094</v>
      </c>
      <c r="D1728" s="328" t="s">
        <v>958</v>
      </c>
      <c r="E1728" s="122" t="str">
        <f t="shared" si="26"/>
        <v xml:space="preserve">4762 : 마감　상태　입니다                    </v>
      </c>
    </row>
    <row r="1729" spans="1:5" s="64" customFormat="1">
      <c r="A1729" s="316" t="s">
        <v>4635</v>
      </c>
      <c r="B1729" s="123" t="s">
        <v>7609</v>
      </c>
      <c r="C1729" s="256" t="s">
        <v>7095</v>
      </c>
      <c r="D1729" s="328" t="s">
        <v>957</v>
      </c>
      <c r="E1729" s="122" t="str">
        <f t="shared" si="26"/>
        <v xml:space="preserve">4763 : 영업일이　도래하지　않았습니다        </v>
      </c>
    </row>
    <row r="1730" spans="1:5" s="64" customFormat="1">
      <c r="A1730" s="316" t="s">
        <v>4635</v>
      </c>
      <c r="B1730" s="123" t="s">
        <v>7609</v>
      </c>
      <c r="C1730" s="256" t="s">
        <v>7096</v>
      </c>
      <c r="D1730" s="328" t="s">
        <v>956</v>
      </c>
      <c r="E1730" s="122" t="str">
        <f t="shared" si="26"/>
        <v xml:space="preserve">4764 : 회계시스템운영팀으로　연락바랍니다    </v>
      </c>
    </row>
    <row r="1731" spans="1:5" s="64" customFormat="1">
      <c r="A1731" s="316" t="s">
        <v>4635</v>
      </c>
      <c r="B1731" s="123" t="s">
        <v>7609</v>
      </c>
      <c r="C1731" s="256" t="s">
        <v>7097</v>
      </c>
      <c r="D1731" s="328" t="s">
        <v>955</v>
      </c>
      <c r="E1731" s="122" t="str">
        <f t="shared" si="26"/>
        <v xml:space="preserve">4765 : 당좌거래정지중입니다                  </v>
      </c>
    </row>
    <row r="1732" spans="1:5" s="64" customFormat="1">
      <c r="A1732" s="316" t="s">
        <v>4635</v>
      </c>
      <c r="B1732" s="123" t="s">
        <v>7609</v>
      </c>
      <c r="C1732" s="256" t="s">
        <v>7098</v>
      </c>
      <c r="D1732" s="328" t="s">
        <v>954</v>
      </c>
      <c r="E1732" s="122" t="str">
        <f t="shared" ref="E1732:E1795" si="27">_xlfn.TEXTJOIN(" : ",FALSE,C1732:D1732)</f>
        <v xml:space="preserve">4766 : 당좌거래약정이　해지되었습니다        </v>
      </c>
    </row>
    <row r="1733" spans="1:5" s="64" customFormat="1">
      <c r="A1733" s="316" t="s">
        <v>4635</v>
      </c>
      <c r="B1733" s="123" t="s">
        <v>7609</v>
      </c>
      <c r="C1733" s="256" t="s">
        <v>7099</v>
      </c>
      <c r="D1733" s="328" t="s">
        <v>953</v>
      </c>
      <c r="E1733" s="122" t="str">
        <f t="shared" si="27"/>
        <v xml:space="preserve">4767 : 당좌거래약정이　체결되지　않았습니다  </v>
      </c>
    </row>
    <row r="1734" spans="1:5" s="64" customFormat="1">
      <c r="A1734" s="316" t="s">
        <v>4635</v>
      </c>
      <c r="B1734" s="123" t="s">
        <v>7609</v>
      </c>
      <c r="C1734" s="256" t="s">
        <v>7100</v>
      </c>
      <c r="D1734" s="328" t="s">
        <v>952</v>
      </c>
      <c r="E1734" s="122" t="str">
        <f t="shared" si="27"/>
        <v xml:space="preserve">4768 : 사용불가능한　당좌계정개설처입니다    </v>
      </c>
    </row>
    <row r="1735" spans="1:5" s="64" customFormat="1">
      <c r="A1735" s="316" t="s">
        <v>4635</v>
      </c>
      <c r="B1735" s="123" t="s">
        <v>7609</v>
      </c>
      <c r="C1735" s="256" t="s">
        <v>7101</v>
      </c>
      <c r="D1735" s="328" t="s">
        <v>951</v>
      </c>
      <c r="E1735" s="122" t="str">
        <f t="shared" si="27"/>
        <v xml:space="preserve">4769 : 당좌계좌를　개설할수없는　곳입니다    </v>
      </c>
    </row>
    <row r="1736" spans="1:5" s="64" customFormat="1">
      <c r="A1736" s="316" t="s">
        <v>4635</v>
      </c>
      <c r="B1736" s="123" t="s">
        <v>7609</v>
      </c>
      <c r="C1736" s="256" t="s">
        <v>7102</v>
      </c>
      <c r="D1736" s="328" t="s">
        <v>950</v>
      </c>
      <c r="E1736" s="122" t="str">
        <f t="shared" si="27"/>
        <v xml:space="preserve">4770 : 등록되지않은　당좌계정개설처입니다    </v>
      </c>
    </row>
    <row r="1737" spans="1:5" s="64" customFormat="1">
      <c r="A1737" s="316" t="s">
        <v>4635</v>
      </c>
      <c r="B1737" s="123" t="s">
        <v>7609</v>
      </c>
      <c r="C1737" s="256" t="s">
        <v>7103</v>
      </c>
      <c r="D1737" s="328" t="s">
        <v>949</v>
      </c>
      <c r="E1737" s="122" t="str">
        <f t="shared" si="27"/>
        <v xml:space="preserve">4771 : 이미　신청취소된　건입니다            </v>
      </c>
    </row>
    <row r="1738" spans="1:5" s="64" customFormat="1">
      <c r="A1738" s="316" t="s">
        <v>4635</v>
      </c>
      <c r="B1738" s="123" t="s">
        <v>7609</v>
      </c>
      <c r="C1738" s="256" t="s">
        <v>7104</v>
      </c>
      <c r="D1738" s="328" t="s">
        <v>948</v>
      </c>
      <c r="E1738" s="122" t="str">
        <f t="shared" si="27"/>
        <v>4772 : 의뢰완료건이므로　취소할　수　없습니다</v>
      </c>
    </row>
    <row r="1739" spans="1:5" s="64" customFormat="1">
      <c r="A1739" s="316" t="s">
        <v>4635</v>
      </c>
      <c r="B1739" s="123" t="s">
        <v>7609</v>
      </c>
      <c r="C1739" s="256" t="s">
        <v>7105</v>
      </c>
      <c r="D1739" s="328" t="s">
        <v>947</v>
      </c>
      <c r="E1739" s="122" t="str">
        <f t="shared" si="27"/>
        <v xml:space="preserve">4773 : 이미　지급의뢰　오류처리된　건입니다  </v>
      </c>
    </row>
    <row r="1740" spans="1:5" s="64" customFormat="1">
      <c r="A1740" s="316" t="s">
        <v>4635</v>
      </c>
      <c r="B1740" s="123" t="s">
        <v>7609</v>
      </c>
      <c r="C1740" s="256" t="s">
        <v>7106</v>
      </c>
      <c r="D1740" s="328" t="s">
        <v>946</v>
      </c>
      <c r="E1740" s="122" t="str">
        <f t="shared" si="27"/>
        <v xml:space="preserve">4774 : 이미　당좌차기된　건입니다            </v>
      </c>
    </row>
    <row r="1741" spans="1:5" s="64" customFormat="1">
      <c r="A1741" s="316" t="s">
        <v>4635</v>
      </c>
      <c r="B1741" s="123" t="s">
        <v>7609</v>
      </c>
      <c r="C1741" s="256" t="s">
        <v>7107</v>
      </c>
      <c r="D1741" s="328" t="s">
        <v>945</v>
      </c>
      <c r="E1741" s="122" t="str">
        <f t="shared" si="27"/>
        <v xml:space="preserve">4775 : 이미　현금지급이　완료된　건입니다    </v>
      </c>
    </row>
    <row r="1742" spans="1:5" s="64" customFormat="1">
      <c r="A1742" s="316" t="s">
        <v>4635</v>
      </c>
      <c r="B1742" s="123" t="s">
        <v>7609</v>
      </c>
      <c r="C1742" s="256" t="s">
        <v>7108</v>
      </c>
      <c r="D1742" s="328" t="s">
        <v>944</v>
      </c>
      <c r="E1742" s="122" t="str">
        <f t="shared" si="27"/>
        <v xml:space="preserve">4776 : 처리상태코드　오류！（테이블　확인）  </v>
      </c>
    </row>
    <row r="1743" spans="1:5" s="64" customFormat="1">
      <c r="A1743" s="316" t="s">
        <v>4635</v>
      </c>
      <c r="B1743" s="123" t="s">
        <v>7609</v>
      </c>
      <c r="C1743" s="256" t="s">
        <v>7109</v>
      </c>
      <c r="D1743" s="328" t="s">
        <v>943</v>
      </c>
      <c r="E1743" s="122" t="str">
        <f t="shared" si="27"/>
        <v xml:space="preserve">4777 : 결제상태는 입력 항목이 아닙니다 </v>
      </c>
    </row>
    <row r="1744" spans="1:5" s="64" customFormat="1">
      <c r="A1744" s="316" t="s">
        <v>4635</v>
      </c>
      <c r="B1744" s="123" t="s">
        <v>7609</v>
      </c>
      <c r="C1744" s="256" t="s">
        <v>7110</v>
      </c>
      <c r="D1744" s="328" t="s">
        <v>942</v>
      </c>
      <c r="E1744" s="122" t="str">
        <f t="shared" si="27"/>
        <v xml:space="preserve">4778 : 예약번호는 입력 항목이 아닙니다 </v>
      </c>
    </row>
    <row r="1745" spans="1:5" s="64" customFormat="1">
      <c r="A1745" s="316" t="s">
        <v>4635</v>
      </c>
      <c r="B1745" s="123" t="s">
        <v>7609</v>
      </c>
      <c r="C1745" s="256" t="s">
        <v>7111</v>
      </c>
      <c r="D1745" s="328" t="s">
        <v>941</v>
      </c>
      <c r="E1745" s="122" t="str">
        <f t="shared" si="27"/>
        <v xml:space="preserve">4779 : 대기번호는 입력 항목이 아닙니다 </v>
      </c>
    </row>
    <row r="1746" spans="1:5" s="64" customFormat="1">
      <c r="A1746" s="316" t="s">
        <v>4635</v>
      </c>
      <c r="B1746" s="123" t="s">
        <v>7609</v>
      </c>
      <c r="C1746" s="256" t="s">
        <v>7112</v>
      </c>
      <c r="D1746" s="328" t="s">
        <v>940</v>
      </c>
      <c r="E1746" s="122" t="str">
        <f t="shared" si="27"/>
        <v xml:space="preserve">4780 : 회계번호는 입력 항목이 아닙니다 </v>
      </c>
    </row>
    <row r="1747" spans="1:5" s="64" customFormat="1">
      <c r="A1747" s="316" t="s">
        <v>4635</v>
      </c>
      <c r="B1747" s="123" t="s">
        <v>7609</v>
      </c>
      <c r="C1747" s="256" t="s">
        <v>7113</v>
      </c>
      <c r="D1747" s="328" t="s">
        <v>939</v>
      </c>
      <c r="E1747" s="122" t="str">
        <f t="shared" si="27"/>
        <v xml:space="preserve">4781 : 신청시간은 입력 항목이 아닙니다 </v>
      </c>
    </row>
    <row r="1748" spans="1:5" s="64" customFormat="1">
      <c r="A1748" s="316" t="s">
        <v>4635</v>
      </c>
      <c r="B1748" s="123" t="s">
        <v>7609</v>
      </c>
      <c r="C1748" s="256" t="s">
        <v>7114</v>
      </c>
      <c r="D1748" s="328" t="s">
        <v>938</v>
      </c>
      <c r="E1748" s="122" t="str">
        <f t="shared" si="27"/>
        <v xml:space="preserve">4782 : 결제시간은 입력 항목이 아닙니다 </v>
      </c>
    </row>
    <row r="1749" spans="1:5" s="64" customFormat="1">
      <c r="A1749" s="316" t="s">
        <v>4635</v>
      </c>
      <c r="B1749" s="123" t="s">
        <v>7609</v>
      </c>
      <c r="C1749" s="256" t="s">
        <v>7115</v>
      </c>
      <c r="D1749" s="328" t="s">
        <v>937</v>
      </c>
      <c r="E1749" s="122" t="str">
        <f t="shared" si="27"/>
        <v xml:space="preserve">4783 : 당좌예금잔액은입력항목이아닙니다      </v>
      </c>
    </row>
    <row r="1750" spans="1:5" s="64" customFormat="1">
      <c r="A1750" s="316" t="s">
        <v>4635</v>
      </c>
      <c r="B1750" s="123" t="s">
        <v>7609</v>
      </c>
      <c r="C1750" s="256" t="s">
        <v>7116</v>
      </c>
      <c r="D1750" s="328" t="s">
        <v>936</v>
      </c>
      <c r="E1750" s="122" t="str">
        <f t="shared" si="27"/>
        <v xml:space="preserve">4784 : 결제전용예금잔액은입력항목이아님      </v>
      </c>
    </row>
    <row r="1751" spans="1:5" s="64" customFormat="1">
      <c r="A1751" s="316" t="s">
        <v>4635</v>
      </c>
      <c r="B1751" s="123" t="s">
        <v>7609</v>
      </c>
      <c r="C1751" s="256" t="s">
        <v>7117</v>
      </c>
      <c r="D1751" s="328" t="s">
        <v>935</v>
      </c>
      <c r="E1751" s="122" t="str">
        <f t="shared" si="27"/>
        <v xml:space="preserve">4785 : 당좌대출가능금액은입력항목이아님      </v>
      </c>
    </row>
    <row r="1752" spans="1:5" s="64" customFormat="1">
      <c r="A1752" s="316" t="s">
        <v>4635</v>
      </c>
      <c r="B1752" s="123" t="s">
        <v>7609</v>
      </c>
      <c r="C1752" s="256" t="s">
        <v>7118</v>
      </c>
      <c r="D1752" s="328" t="s">
        <v>934</v>
      </c>
      <c r="E1752" s="122" t="str">
        <f t="shared" si="27"/>
        <v xml:space="preserve">4786 : 처리상태는 입력항목이 아닙니다    </v>
      </c>
    </row>
    <row r="1753" spans="1:5" s="64" customFormat="1">
      <c r="A1753" s="316" t="s">
        <v>4635</v>
      </c>
      <c r="B1753" s="123" t="s">
        <v>7609</v>
      </c>
      <c r="C1753" s="256" t="s">
        <v>7119</v>
      </c>
      <c r="D1753" s="328" t="s">
        <v>933</v>
      </c>
      <c r="E1753" s="122" t="str">
        <f t="shared" si="27"/>
        <v xml:space="preserve">4787 : 처리시간은 입력 항목이 아닙니다 </v>
      </c>
    </row>
    <row r="1754" spans="1:5" s="64" customFormat="1">
      <c r="A1754" s="316" t="s">
        <v>4635</v>
      </c>
      <c r="B1754" s="123" t="s">
        <v>7609</v>
      </c>
      <c r="C1754" s="256" t="s">
        <v>7120</v>
      </c>
      <c r="D1754" s="328" t="s">
        <v>932</v>
      </c>
      <c r="E1754" s="122" t="str">
        <f t="shared" si="27"/>
        <v xml:space="preserve">4788 : 현송책임자성명은입력항목이아닙니다    </v>
      </c>
    </row>
    <row r="1755" spans="1:5" s="64" customFormat="1">
      <c r="A1755" s="316" t="s">
        <v>4635</v>
      </c>
      <c r="B1755" s="123" t="s">
        <v>7609</v>
      </c>
      <c r="C1755" s="256" t="s">
        <v>7121</v>
      </c>
      <c r="D1755" s="328" t="s">
        <v>931</v>
      </c>
      <c r="E1755" s="122" t="str">
        <f t="shared" si="27"/>
        <v xml:space="preserve">4789 : 지정책임자성명은입력항목이아닙니다    </v>
      </c>
    </row>
    <row r="1756" spans="1:5" s="64" customFormat="1">
      <c r="A1756" s="316" t="s">
        <v>4635</v>
      </c>
      <c r="B1756" s="123" t="s">
        <v>7609</v>
      </c>
      <c r="C1756" s="256" t="s">
        <v>7122</v>
      </c>
      <c r="D1756" s="328" t="s">
        <v>930</v>
      </c>
      <c r="E1756" s="122" t="str">
        <f t="shared" si="27"/>
        <v xml:space="preserve">4790 : 당좌예금차기일련번호는입력항목이아님  </v>
      </c>
    </row>
    <row r="1757" spans="1:5" s="64" customFormat="1">
      <c r="A1757" s="316" t="s">
        <v>4635</v>
      </c>
      <c r="B1757" s="123" t="s">
        <v>7609</v>
      </c>
      <c r="C1757" s="256" t="s">
        <v>7123</v>
      </c>
      <c r="D1757" s="328" t="s">
        <v>929</v>
      </c>
      <c r="E1757" s="122" t="str">
        <f t="shared" si="27"/>
        <v xml:space="preserve">4791 : 현금지급신청번호는입력항목이아닙니다  </v>
      </c>
    </row>
    <row r="1758" spans="1:5" s="64" customFormat="1">
      <c r="A1758" s="316" t="s">
        <v>4635</v>
      </c>
      <c r="B1758" s="123" t="s">
        <v>7609</v>
      </c>
      <c r="C1758" s="256" t="s">
        <v>7124</v>
      </c>
      <c r="D1758" s="328" t="s">
        <v>928</v>
      </c>
      <c r="E1758" s="122" t="str">
        <f t="shared" si="27"/>
        <v xml:space="preserve">4792 : 자금이체일련번호는입력항목이아님      </v>
      </c>
    </row>
    <row r="1759" spans="1:5" s="64" customFormat="1">
      <c r="A1759" s="316" t="s">
        <v>4635</v>
      </c>
      <c r="B1759" s="123" t="s">
        <v>7609</v>
      </c>
      <c r="C1759" s="256" t="s">
        <v>7125</v>
      </c>
      <c r="D1759" s="328" t="s">
        <v>927</v>
      </c>
      <c r="E1759" s="122" t="str">
        <f t="shared" si="27"/>
        <v xml:space="preserve">4793 : 복합대기순서항목은입력항목이아닙니다  </v>
      </c>
    </row>
    <row r="1760" spans="1:5" s="64" customFormat="1">
      <c r="A1760" s="316" t="s">
        <v>4635</v>
      </c>
      <c r="B1760" s="123" t="s">
        <v>7609</v>
      </c>
      <c r="C1760" s="256" t="s">
        <v>7126</v>
      </c>
      <c r="D1760" s="328" t="s">
        <v>926</v>
      </c>
      <c r="E1760" s="122" t="str">
        <f t="shared" si="27"/>
        <v xml:space="preserve">4794 : 결제방법항목은입력항목이아닙니다      </v>
      </c>
    </row>
    <row r="1761" spans="1:5" s="64" customFormat="1">
      <c r="A1761" s="316" t="s">
        <v>4635</v>
      </c>
      <c r="B1761" s="123" t="s">
        <v>7609</v>
      </c>
      <c r="C1761" s="256" t="s">
        <v>7127</v>
      </c>
      <c r="D1761" s="328" t="s">
        <v>925</v>
      </c>
      <c r="E1761" s="122" t="str">
        <f t="shared" si="27"/>
        <v xml:space="preserve">4795 : 결제실패원인항목은입력항목이아님      </v>
      </c>
    </row>
    <row r="1762" spans="1:5" s="64" customFormat="1">
      <c r="A1762" s="316" t="s">
        <v>4635</v>
      </c>
      <c r="B1762" s="123" t="s">
        <v>7609</v>
      </c>
      <c r="C1762" s="256" t="s">
        <v>7128</v>
      </c>
      <c r="D1762" s="328" t="s">
        <v>924</v>
      </c>
      <c r="E1762" s="122" t="str">
        <f t="shared" si="27"/>
        <v xml:space="preserve">4796 : 가용총순지급한도항목은입력항목아님    </v>
      </c>
    </row>
    <row r="1763" spans="1:5" s="64" customFormat="1">
      <c r="A1763" s="316" t="s">
        <v>4635</v>
      </c>
      <c r="B1763" s="123" t="s">
        <v>7609</v>
      </c>
      <c r="C1763" s="256" t="s">
        <v>7129</v>
      </c>
      <c r="D1763" s="328" t="s">
        <v>923</v>
      </c>
      <c r="E1763" s="122" t="str">
        <f t="shared" si="27"/>
        <v>4797 : 가용양자간순지급한도항목은입력항목아님</v>
      </c>
    </row>
    <row r="1764" spans="1:5" s="64" customFormat="1">
      <c r="A1764" s="316" t="s">
        <v>4635</v>
      </c>
      <c r="B1764" s="123" t="s">
        <v>7609</v>
      </c>
      <c r="C1764" s="256" t="s">
        <v>7130</v>
      </c>
      <c r="D1764" s="328" t="s">
        <v>922</v>
      </c>
      <c r="E1764" s="122" t="str">
        <f t="shared" si="27"/>
        <v xml:space="preserve">4798 : 총계정원장을 확인 하세요          </v>
      </c>
    </row>
    <row r="1765" spans="1:5" s="64" customFormat="1">
      <c r="A1765" s="316" t="s">
        <v>4635</v>
      </c>
      <c r="B1765" s="123" t="s">
        <v>7609</v>
      </c>
      <c r="C1765" s="256" t="s">
        <v>7131</v>
      </c>
      <c r="D1765" s="328" t="s">
        <v>921</v>
      </c>
      <c r="E1765" s="122" t="str">
        <f t="shared" si="27"/>
        <v xml:space="preserve">4800 : 입력한대리인명과등록된대리인명불일치  </v>
      </c>
    </row>
    <row r="1766" spans="1:5" s="64" customFormat="1">
      <c r="A1766" s="316" t="s">
        <v>4635</v>
      </c>
      <c r="B1766" s="123" t="s">
        <v>7609</v>
      </c>
      <c r="C1766" s="256" t="s">
        <v>7132</v>
      </c>
      <c r="D1766" s="328" t="s">
        <v>920</v>
      </c>
      <c r="E1766" s="122" t="str">
        <f t="shared" si="27"/>
        <v xml:space="preserve">4801 : 대상년월 입력오류입니다             </v>
      </c>
    </row>
    <row r="1767" spans="1:5" s="64" customFormat="1">
      <c r="A1767" s="316" t="s">
        <v>4635</v>
      </c>
      <c r="B1767" s="123" t="s">
        <v>7609</v>
      </c>
      <c r="C1767" s="256" t="s">
        <v>7133</v>
      </c>
      <c r="D1767" s="328" t="s">
        <v>919</v>
      </c>
      <c r="E1767" s="122" t="str">
        <f t="shared" si="27"/>
        <v xml:space="preserve">4802 : 수취인이름 입력 오류              </v>
      </c>
    </row>
    <row r="1768" spans="1:5" s="64" customFormat="1">
      <c r="A1768" s="316" t="s">
        <v>4635</v>
      </c>
      <c r="B1768" s="123" t="s">
        <v>7609</v>
      </c>
      <c r="C1768" s="256" t="s">
        <v>7134</v>
      </c>
      <c r="D1768" s="328" t="s">
        <v>918</v>
      </c>
      <c r="E1768" s="122" t="str">
        <f t="shared" si="27"/>
        <v xml:space="preserve">4803 : 의뢰인이름 입력 오류              </v>
      </c>
    </row>
    <row r="1769" spans="1:5" s="64" customFormat="1">
      <c r="A1769" s="316" t="s">
        <v>4635</v>
      </c>
      <c r="B1769" s="123" t="s">
        <v>7609</v>
      </c>
      <c r="C1769" s="256" t="s">
        <v>7135</v>
      </c>
      <c r="D1769" s="328" t="s">
        <v>917</v>
      </c>
      <c r="E1769" s="122" t="str">
        <f t="shared" si="27"/>
        <v xml:space="preserve">4804 : 의뢰인구분 입력 오류              </v>
      </c>
    </row>
    <row r="1770" spans="1:5" s="64" customFormat="1">
      <c r="A1770" s="316" t="s">
        <v>4635</v>
      </c>
      <c r="B1770" s="123" t="s">
        <v>7609</v>
      </c>
      <c r="C1770" s="256" t="s">
        <v>7136</v>
      </c>
      <c r="D1770" s="328" t="s">
        <v>916</v>
      </c>
      <c r="E1770" s="122" t="str">
        <f t="shared" si="27"/>
        <v xml:space="preserve">5000 : 자금이체　ＨＩＳＴＯＲＹ　파일　오류  </v>
      </c>
    </row>
    <row r="1771" spans="1:5" s="64" customFormat="1">
      <c r="A1771" s="316" t="s">
        <v>4635</v>
      </c>
      <c r="B1771" s="123" t="s">
        <v>7609</v>
      </c>
      <c r="C1771" s="256" t="s">
        <v>7137</v>
      </c>
      <c r="D1771" s="328" t="s">
        <v>915</v>
      </c>
      <c r="E1771" s="122" t="str">
        <f t="shared" si="27"/>
        <v xml:space="preserve">5001 : 거래일자를  확인  하세요          </v>
      </c>
    </row>
    <row r="1772" spans="1:5" s="64" customFormat="1">
      <c r="A1772" s="316" t="s">
        <v>4635</v>
      </c>
      <c r="B1772" s="123" t="s">
        <v>7609</v>
      </c>
      <c r="C1772" s="256" t="s">
        <v>7138</v>
      </c>
      <c r="D1772" s="328" t="s">
        <v>914</v>
      </c>
      <c r="E1772" s="122" t="str">
        <f t="shared" si="27"/>
        <v xml:space="preserve">5002 : 거래기관을  확인  하세요          </v>
      </c>
    </row>
    <row r="1773" spans="1:5" s="64" customFormat="1">
      <c r="A1773" s="316" t="s">
        <v>4635</v>
      </c>
      <c r="B1773" s="123" t="s">
        <v>7609</v>
      </c>
      <c r="C1773" s="256" t="s">
        <v>7139</v>
      </c>
      <c r="D1773" s="328" t="s">
        <v>913</v>
      </c>
      <c r="E1773" s="122" t="str">
        <f t="shared" si="27"/>
        <v xml:space="preserve">5003 : 계좌간이체구분  입력  오류입니다  </v>
      </c>
    </row>
    <row r="1774" spans="1:5" s="64" customFormat="1">
      <c r="A1774" s="316" t="s">
        <v>4635</v>
      </c>
      <c r="B1774" s="123" t="s">
        <v>7609</v>
      </c>
      <c r="C1774" s="256" t="s">
        <v>7140</v>
      </c>
      <c r="D1774" s="328" t="s">
        <v>912</v>
      </c>
      <c r="E1774" s="122" t="str">
        <f t="shared" si="27"/>
        <v xml:space="preserve">5004 : 계좌간자금이체시점  오류입니다      </v>
      </c>
    </row>
    <row r="1775" spans="1:5" s="64" customFormat="1">
      <c r="A1775" s="316" t="s">
        <v>4635</v>
      </c>
      <c r="B1775" s="123" t="s">
        <v>7609</v>
      </c>
      <c r="C1775" s="256" t="s">
        <v>7141</v>
      </c>
      <c r="D1775" s="328" t="s">
        <v>911</v>
      </c>
      <c r="E1775" s="122" t="str">
        <f t="shared" si="27"/>
        <v xml:space="preserve">5005 : 당좌  ＴＯ　결제전용만　가능합니다  </v>
      </c>
    </row>
    <row r="1776" spans="1:5" s="64" customFormat="1">
      <c r="A1776" s="316" t="s">
        <v>4635</v>
      </c>
      <c r="B1776" s="123" t="s">
        <v>7609</v>
      </c>
      <c r="C1776" s="256" t="s">
        <v>7142</v>
      </c>
      <c r="D1776" s="328" t="s">
        <v>910</v>
      </c>
      <c r="E1776" s="122" t="str">
        <f t="shared" si="27"/>
        <v xml:space="preserve">5006 : 결제전용  ＴＯ　당좌만　가능합니다  </v>
      </c>
    </row>
    <row r="1777" spans="1:5" s="64" customFormat="1">
      <c r="A1777" s="316" t="s">
        <v>4635</v>
      </c>
      <c r="B1777" s="123" t="s">
        <v>7609</v>
      </c>
      <c r="C1777" s="256" t="s">
        <v>7143</v>
      </c>
      <c r="D1777" s="328" t="s">
        <v>909</v>
      </c>
      <c r="E1777" s="122" t="str">
        <f t="shared" si="27"/>
        <v xml:space="preserve">5007 : 이체금액 입력 오류입니다          </v>
      </c>
    </row>
    <row r="1778" spans="1:5" s="64" customFormat="1">
      <c r="A1778" s="316" t="s">
        <v>4635</v>
      </c>
      <c r="B1778" s="123" t="s">
        <v>7609</v>
      </c>
      <c r="C1778" s="256" t="s">
        <v>7144</v>
      </c>
      <c r="D1778" s="328" t="s">
        <v>908</v>
      </c>
      <c r="E1778" s="122" t="str">
        <f t="shared" si="27"/>
        <v xml:space="preserve">5008 : 계좌간자금이체 이미 존재합니다    </v>
      </c>
    </row>
    <row r="1779" spans="1:5" s="64" customFormat="1">
      <c r="A1779" s="316" t="s">
        <v>4635</v>
      </c>
      <c r="B1779" s="123" t="s">
        <v>7609</v>
      </c>
      <c r="C1779" s="256" t="s">
        <v>7145</v>
      </c>
      <c r="D1779" s="328" t="s">
        <v>907</v>
      </c>
      <c r="E1779" s="122" t="str">
        <f t="shared" si="27"/>
        <v xml:space="preserve">5009 : 서버전문조회 오류입니다             </v>
      </c>
    </row>
    <row r="1780" spans="1:5" s="64" customFormat="1">
      <c r="A1780" s="316" t="s">
        <v>4635</v>
      </c>
      <c r="B1780" s="123" t="s">
        <v>7609</v>
      </c>
      <c r="C1780" s="256" t="s">
        <v>7146</v>
      </c>
      <c r="D1780" s="328" t="s">
        <v>906</v>
      </c>
      <c r="E1780" s="122" t="str">
        <f t="shared" si="27"/>
        <v xml:space="preserve">5010 : 유효하지  않은 기관  입니다     </v>
      </c>
    </row>
    <row r="1781" spans="1:5" s="64" customFormat="1">
      <c r="A1781" s="316" t="s">
        <v>4635</v>
      </c>
      <c r="B1781" s="123" t="s">
        <v>7609</v>
      </c>
      <c r="C1781" s="256" t="s">
        <v>7147</v>
      </c>
      <c r="D1781" s="328" t="s">
        <v>905</v>
      </c>
      <c r="E1781" s="122" t="str">
        <f t="shared" si="27"/>
        <v xml:space="preserve">5011 : 약정체결이  안된  기관  입니다  </v>
      </c>
    </row>
    <row r="1782" spans="1:5" s="64" customFormat="1">
      <c r="A1782" s="316" t="s">
        <v>4635</v>
      </c>
      <c r="B1782" s="123" t="s">
        <v>7609</v>
      </c>
      <c r="C1782" s="256" t="s">
        <v>7148</v>
      </c>
      <c r="D1782" s="328" t="s">
        <v>904</v>
      </c>
      <c r="E1782" s="122" t="str">
        <f t="shared" si="27"/>
        <v xml:space="preserve">5012 : 약정  체결  상태가  아닙니다    </v>
      </c>
    </row>
    <row r="1783" spans="1:5" s="64" customFormat="1">
      <c r="A1783" s="316" t="s">
        <v>4635</v>
      </c>
      <c r="B1783" s="123" t="s">
        <v>7609</v>
      </c>
      <c r="C1783" s="256" t="s">
        <v>7149</v>
      </c>
      <c r="D1783" s="328" t="s">
        <v>903</v>
      </c>
      <c r="E1783" s="122" t="str">
        <f t="shared" si="27"/>
        <v xml:space="preserve">5013 : 변경후 설정금액 입력 오류입니다 </v>
      </c>
    </row>
    <row r="1784" spans="1:5" s="64" customFormat="1">
      <c r="A1784" s="316" t="s">
        <v>4635</v>
      </c>
      <c r="B1784" s="123" t="s">
        <v>7609</v>
      </c>
      <c r="C1784" s="256" t="s">
        <v>7150</v>
      </c>
      <c r="D1784" s="328" t="s">
        <v>902</v>
      </c>
      <c r="E1784" s="122" t="str">
        <f t="shared" si="27"/>
        <v xml:space="preserve">5014 : 전문관리번호를  확인  하세요      </v>
      </c>
    </row>
    <row r="1785" spans="1:5" s="64" customFormat="1">
      <c r="A1785" s="316" t="s">
        <v>4635</v>
      </c>
      <c r="B1785" s="123" t="s">
        <v>7609</v>
      </c>
      <c r="C1785" s="256" t="s">
        <v>7151</v>
      </c>
      <c r="D1785" s="328" t="s">
        <v>901</v>
      </c>
      <c r="E1785" s="122" t="str">
        <f t="shared" si="27"/>
        <v xml:space="preserve">5015 : 설정내역이  이미  존재합니다      </v>
      </c>
    </row>
    <row r="1786" spans="1:5" s="64" customFormat="1">
      <c r="A1786" s="316" t="s">
        <v>4635</v>
      </c>
      <c r="B1786" s="123" t="s">
        <v>7609</v>
      </c>
      <c r="C1786" s="256" t="s">
        <v>7152</v>
      </c>
      <c r="D1786" s="328" t="s">
        <v>900</v>
      </c>
      <c r="E1786" s="122" t="str">
        <f t="shared" si="27"/>
        <v xml:space="preserve">5016 : 기관그룹구분  입력  오류입니다    </v>
      </c>
    </row>
    <row r="1787" spans="1:5" s="64" customFormat="1">
      <c r="A1787" s="316" t="s">
        <v>4635</v>
      </c>
      <c r="B1787" s="123" t="s">
        <v>7609</v>
      </c>
      <c r="C1787" s="256" t="s">
        <v>7153</v>
      </c>
      <c r="D1787" s="328" t="s">
        <v>899</v>
      </c>
      <c r="E1787" s="122" t="str">
        <f t="shared" si="27"/>
        <v xml:space="preserve">5017 : 상대코드를  확인  하세요          </v>
      </c>
    </row>
    <row r="1788" spans="1:5" s="64" customFormat="1">
      <c r="A1788" s="316" t="s">
        <v>4635</v>
      </c>
      <c r="B1788" s="123" t="s">
        <v>7609</v>
      </c>
      <c r="C1788" s="256" t="s">
        <v>7154</v>
      </c>
      <c r="D1788" s="328" t="s">
        <v>880</v>
      </c>
      <c r="E1788" s="122" t="str">
        <f t="shared" si="27"/>
        <v xml:space="preserve">5018 : 한도구분  입력  오류입니다        </v>
      </c>
    </row>
    <row r="1789" spans="1:5" s="64" customFormat="1">
      <c r="A1789" s="316" t="s">
        <v>4635</v>
      </c>
      <c r="B1789" s="123" t="s">
        <v>7609</v>
      </c>
      <c r="C1789" s="256" t="s">
        <v>7155</v>
      </c>
      <c r="D1789" s="328" t="s">
        <v>898</v>
      </c>
      <c r="E1789" s="122" t="str">
        <f t="shared" si="27"/>
        <v xml:space="preserve">5019 : 거래구분  입력  오류입니다        </v>
      </c>
    </row>
    <row r="1790" spans="1:5" s="64" customFormat="1">
      <c r="A1790" s="316" t="s">
        <v>4635</v>
      </c>
      <c r="B1790" s="123" t="s">
        <v>7609</v>
      </c>
      <c r="C1790" s="256" t="s">
        <v>7156</v>
      </c>
      <c r="D1790" s="328" t="s">
        <v>897</v>
      </c>
      <c r="E1790" s="122" t="str">
        <f t="shared" si="27"/>
        <v xml:space="preserve">5020 : 총순지급한도  내역이  없습니다    </v>
      </c>
    </row>
    <row r="1791" spans="1:5" s="64" customFormat="1">
      <c r="A1791" s="316" t="s">
        <v>4635</v>
      </c>
      <c r="B1791" s="123" t="s">
        <v>7609</v>
      </c>
      <c r="C1791" s="256" t="s">
        <v>7157</v>
      </c>
      <c r="D1791" s="328" t="s">
        <v>896</v>
      </c>
      <c r="E1791" s="122" t="str">
        <f t="shared" si="27"/>
        <v>5021 : 동일한도그룹에  소속된  기관입니다</v>
      </c>
    </row>
    <row r="1792" spans="1:5" s="64" customFormat="1">
      <c r="A1792" s="316" t="s">
        <v>4635</v>
      </c>
      <c r="B1792" s="123" t="s">
        <v>7609</v>
      </c>
      <c r="C1792" s="256" t="s">
        <v>7158</v>
      </c>
      <c r="D1792" s="328" t="s">
        <v>895</v>
      </c>
      <c r="E1792" s="122" t="str">
        <f t="shared" si="27"/>
        <v>5022 : 양자간순지급한도  내역이  없습니다</v>
      </c>
    </row>
    <row r="1793" spans="1:5" s="64" customFormat="1">
      <c r="A1793" s="316" t="s">
        <v>4635</v>
      </c>
      <c r="B1793" s="123" t="s">
        <v>7609</v>
      </c>
      <c r="C1793" s="256" t="s">
        <v>7159</v>
      </c>
      <c r="D1793" s="328" t="s">
        <v>894</v>
      </c>
      <c r="E1793" s="122" t="str">
        <f t="shared" si="27"/>
        <v xml:space="preserve">5023 : 동일한도그룹내  소속기관이  없음  </v>
      </c>
    </row>
    <row r="1794" spans="1:5" s="64" customFormat="1">
      <c r="A1794" s="316" t="s">
        <v>4635</v>
      </c>
      <c r="B1794" s="123" t="s">
        <v>7609</v>
      </c>
      <c r="C1794" s="256" t="s">
        <v>7160</v>
      </c>
      <c r="D1794" s="328" t="s">
        <v>893</v>
      </c>
      <c r="E1794" s="122" t="str">
        <f t="shared" si="27"/>
        <v>5024 : 동일한도그룹설정  내역이  없습니다</v>
      </c>
    </row>
    <row r="1795" spans="1:5" s="64" customFormat="1">
      <c r="A1795" s="316" t="s">
        <v>4635</v>
      </c>
      <c r="B1795" s="123" t="s">
        <v>7609</v>
      </c>
      <c r="C1795" s="256" t="s">
        <v>7161</v>
      </c>
      <c r="D1795" s="328" t="s">
        <v>892</v>
      </c>
      <c r="E1795" s="122" t="str">
        <f t="shared" si="27"/>
        <v xml:space="preserve">5025 : 동일한도그룹설정  금액이  존재함  </v>
      </c>
    </row>
    <row r="1796" spans="1:5" s="64" customFormat="1">
      <c r="A1796" s="316" t="s">
        <v>4635</v>
      </c>
      <c r="B1796" s="123" t="s">
        <v>7609</v>
      </c>
      <c r="C1796" s="256" t="s">
        <v>7162</v>
      </c>
      <c r="D1796" s="328" t="s">
        <v>891</v>
      </c>
      <c r="E1796" s="122" t="str">
        <f t="shared" ref="E1796:E1859" si="28">_xlfn.TEXTJOIN(" : ",FALSE,C1796:D1796)</f>
        <v>5026 : 동일한도그룹설정  금액이  없습니다</v>
      </c>
    </row>
    <row r="1797" spans="1:5" s="64" customFormat="1">
      <c r="A1797" s="316" t="s">
        <v>4635</v>
      </c>
      <c r="B1797" s="123" t="s">
        <v>7609</v>
      </c>
      <c r="C1797" s="256" t="s">
        <v>7163</v>
      </c>
      <c r="D1797" s="328" t="s">
        <v>890</v>
      </c>
      <c r="E1797" s="122" t="str">
        <f t="shared" si="28"/>
        <v xml:space="preserve">5027 : 총순지급한도  이미  존재함        </v>
      </c>
    </row>
    <row r="1798" spans="1:5" s="64" customFormat="1">
      <c r="A1798" s="316" t="s">
        <v>4635</v>
      </c>
      <c r="B1798" s="123" t="s">
        <v>7609</v>
      </c>
      <c r="C1798" s="256" t="s">
        <v>7164</v>
      </c>
      <c r="D1798" s="328" t="s">
        <v>889</v>
      </c>
      <c r="E1798" s="122" t="str">
        <f t="shared" si="28"/>
        <v xml:space="preserve">5028 : 양자간순지급한도  이미  존재함    </v>
      </c>
    </row>
    <row r="1799" spans="1:5" s="64" customFormat="1">
      <c r="A1799" s="316" t="s">
        <v>4635</v>
      </c>
      <c r="B1799" s="123" t="s">
        <v>7609</v>
      </c>
      <c r="C1799" s="256" t="s">
        <v>7165</v>
      </c>
      <c r="D1799" s="328" t="s">
        <v>888</v>
      </c>
      <c r="E1799" s="122" t="str">
        <f t="shared" si="28"/>
        <v xml:space="preserve">5029 : 한도그룹변경내역  이미  존재함    </v>
      </c>
    </row>
    <row r="1800" spans="1:5" s="64" customFormat="1">
      <c r="A1800" s="316" t="s">
        <v>4635</v>
      </c>
      <c r="B1800" s="123" t="s">
        <v>7609</v>
      </c>
      <c r="C1800" s="256" t="s">
        <v>7166</v>
      </c>
      <c r="D1800" s="328" t="s">
        <v>887</v>
      </c>
      <c r="E1800" s="122" t="str">
        <f t="shared" si="28"/>
        <v xml:space="preserve">5030 : 한도변경내역  이미  존재함        </v>
      </c>
    </row>
    <row r="1801" spans="1:5" s="64" customFormat="1">
      <c r="A1801" s="316" t="s">
        <v>4635</v>
      </c>
      <c r="B1801" s="123" t="s">
        <v>7609</v>
      </c>
      <c r="C1801" s="256" t="s">
        <v>7167</v>
      </c>
      <c r="D1801" s="328" t="s">
        <v>886</v>
      </c>
      <c r="E1801" s="122" t="str">
        <f t="shared" si="28"/>
        <v xml:space="preserve">5031 : 처리구분  입력  오류입니다        </v>
      </c>
    </row>
    <row r="1802" spans="1:5" s="64" customFormat="1">
      <c r="A1802" s="316" t="s">
        <v>4635</v>
      </c>
      <c r="B1802" s="123" t="s">
        <v>7609</v>
      </c>
      <c r="C1802" s="256" t="s">
        <v>7168</v>
      </c>
      <c r="D1802" s="328" t="s">
        <v>885</v>
      </c>
      <c r="E1802" s="122" t="str">
        <f t="shared" si="28"/>
        <v xml:space="preserve">5032 : 그룹명을  확인  하세요            </v>
      </c>
    </row>
    <row r="1803" spans="1:5" s="64" customFormat="1">
      <c r="A1803" s="316" t="s">
        <v>4635</v>
      </c>
      <c r="B1803" s="123" t="s">
        <v>7609</v>
      </c>
      <c r="C1803" s="256" t="s">
        <v>7169</v>
      </c>
      <c r="D1803" s="328" t="s">
        <v>884</v>
      </c>
      <c r="E1803" s="122" t="str">
        <f t="shared" si="28"/>
        <v xml:space="preserve">5033 : 상대그룹코드를  확인  하세요      </v>
      </c>
    </row>
    <row r="1804" spans="1:5" s="64" customFormat="1">
      <c r="A1804" s="316" t="s">
        <v>4635</v>
      </c>
      <c r="B1804" s="123" t="s">
        <v>7609</v>
      </c>
      <c r="C1804" s="256" t="s">
        <v>7170</v>
      </c>
      <c r="D1804" s="328" t="s">
        <v>883</v>
      </c>
      <c r="E1804" s="122" t="str">
        <f t="shared" si="28"/>
        <v xml:space="preserve">5034 : 소속기관을  확인  하세요          </v>
      </c>
    </row>
    <row r="1805" spans="1:5" s="64" customFormat="1">
      <c r="A1805" s="316" t="s">
        <v>4635</v>
      </c>
      <c r="B1805" s="123" t="s">
        <v>7609</v>
      </c>
      <c r="C1805" s="256" t="s">
        <v>7171</v>
      </c>
      <c r="D1805" s="328" t="s">
        <v>882</v>
      </c>
      <c r="E1805" s="122" t="str">
        <f t="shared" si="28"/>
        <v xml:space="preserve">5035 : 동일한도그룹설정  이미  존재함    </v>
      </c>
    </row>
    <row r="1806" spans="1:5" s="64" customFormat="1">
      <c r="A1806" s="316" t="s">
        <v>4635</v>
      </c>
      <c r="B1806" s="123" t="s">
        <v>7609</v>
      </c>
      <c r="C1806" s="256" t="s">
        <v>7172</v>
      </c>
      <c r="D1806" s="328" t="s">
        <v>881</v>
      </c>
      <c r="E1806" s="122" t="str">
        <f t="shared" si="28"/>
        <v xml:space="preserve">5036 : 다른그룹에  소속된  기관입니다    </v>
      </c>
    </row>
    <row r="1807" spans="1:5" s="64" customFormat="1">
      <c r="A1807" s="316" t="s">
        <v>4635</v>
      </c>
      <c r="B1807" s="123" t="s">
        <v>7609</v>
      </c>
      <c r="C1807" s="256" t="s">
        <v>7173</v>
      </c>
      <c r="D1807" s="328" t="s">
        <v>880</v>
      </c>
      <c r="E1807" s="122" t="str">
        <f t="shared" si="28"/>
        <v xml:space="preserve">5037 : 한도구분  입력  오류입니다        </v>
      </c>
    </row>
    <row r="1808" spans="1:5" s="64" customFormat="1">
      <c r="A1808" s="316" t="s">
        <v>4635</v>
      </c>
      <c r="B1808" s="123" t="s">
        <v>7609</v>
      </c>
      <c r="C1808" s="256" t="s">
        <v>7174</v>
      </c>
      <c r="D1808" s="328" t="s">
        <v>879</v>
      </c>
      <c r="E1808" s="122" t="str">
        <f t="shared" si="28"/>
        <v xml:space="preserve">5038 : 변경후  한도금액  오류입니다      </v>
      </c>
    </row>
    <row r="1809" spans="1:5" s="64" customFormat="1">
      <c r="A1809" s="316" t="s">
        <v>4635</v>
      </c>
      <c r="B1809" s="123" t="s">
        <v>7609</v>
      </c>
      <c r="C1809" s="256" t="s">
        <v>7175</v>
      </c>
      <c r="D1809" s="328" t="s">
        <v>878</v>
      </c>
      <c r="E1809" s="122" t="str">
        <f t="shared" si="28"/>
        <v xml:space="preserve">5039 : 상대구분  입력  오류입니다        </v>
      </c>
    </row>
    <row r="1810" spans="1:5" s="64" customFormat="1">
      <c r="A1810" s="316" t="s">
        <v>4635</v>
      </c>
      <c r="B1810" s="123" t="s">
        <v>7609</v>
      </c>
      <c r="C1810" s="256" t="s">
        <v>7176</v>
      </c>
      <c r="D1810" s="328" t="s">
        <v>877</v>
      </c>
      <c r="E1810" s="122" t="str">
        <f t="shared" si="28"/>
        <v xml:space="preserve">5040 : 그룹구분  입력  오류입니다        </v>
      </c>
    </row>
    <row r="1811" spans="1:5" s="64" customFormat="1">
      <c r="A1811" s="316" t="s">
        <v>4635</v>
      </c>
      <c r="B1811" s="123" t="s">
        <v>7609</v>
      </c>
      <c r="C1811" s="256" t="s">
        <v>7177</v>
      </c>
      <c r="D1811" s="328" t="s">
        <v>876</v>
      </c>
      <c r="E1811" s="122" t="str">
        <f t="shared" si="28"/>
        <v xml:space="preserve">5041 : 그룹코드  입력  오류입니다        </v>
      </c>
    </row>
    <row r="1812" spans="1:5" s="64" customFormat="1">
      <c r="A1812" s="316" t="s">
        <v>4635</v>
      </c>
      <c r="B1812" s="123" t="s">
        <v>7609</v>
      </c>
      <c r="C1812" s="256" t="s">
        <v>7178</v>
      </c>
      <c r="D1812" s="328" t="s">
        <v>875</v>
      </c>
      <c r="E1812" s="122" t="str">
        <f t="shared" si="28"/>
        <v xml:space="preserve">5042 : 소속기관  입력  오류입니다        </v>
      </c>
    </row>
    <row r="1813" spans="1:5" s="64" customFormat="1">
      <c r="A1813" s="316" t="s">
        <v>4635</v>
      </c>
      <c r="B1813" s="123" t="s">
        <v>7609</v>
      </c>
      <c r="C1813" s="256" t="s">
        <v>7179</v>
      </c>
      <c r="D1813" s="328" t="s">
        <v>874</v>
      </c>
      <c r="E1813" s="122" t="str">
        <f t="shared" si="28"/>
        <v xml:space="preserve">5043 : 자금이체시스템종류오류                </v>
      </c>
    </row>
    <row r="1814" spans="1:5" s="64" customFormat="1">
      <c r="A1814" s="316" t="s">
        <v>4635</v>
      </c>
      <c r="B1814" s="123" t="s">
        <v>7609</v>
      </c>
      <c r="C1814" s="256" t="s">
        <v>7180</v>
      </c>
      <c r="D1814" s="328" t="s">
        <v>873</v>
      </c>
      <c r="E1814" s="122" t="str">
        <f t="shared" si="28"/>
        <v xml:space="preserve">5044 : 처리결과입력오류                      </v>
      </c>
    </row>
    <row r="1815" spans="1:5" s="64" customFormat="1">
      <c r="A1815" s="316" t="s">
        <v>4635</v>
      </c>
      <c r="B1815" s="123" t="s">
        <v>7609</v>
      </c>
      <c r="C1815" s="256" t="s">
        <v>7181</v>
      </c>
      <c r="D1815" s="328" t="s">
        <v>872</v>
      </c>
      <c r="E1815" s="122" t="str">
        <f t="shared" si="28"/>
        <v xml:space="preserve">5045 : 예상조회시점입력오류                  </v>
      </c>
    </row>
    <row r="1816" spans="1:5" s="64" customFormat="1">
      <c r="A1816" s="316" t="s">
        <v>4635</v>
      </c>
      <c r="B1816" s="123" t="s">
        <v>7609</v>
      </c>
      <c r="C1816" s="256" t="s">
        <v>7182</v>
      </c>
      <c r="D1816" s="328" t="s">
        <v>871</v>
      </c>
      <c r="E1816" s="122" t="str">
        <f t="shared" si="28"/>
        <v xml:space="preserve">5046 : 서버참가기관이 존재하지 않습니다  </v>
      </c>
    </row>
    <row r="1817" spans="1:5" s="64" customFormat="1">
      <c r="A1817" s="316" t="s">
        <v>4635</v>
      </c>
      <c r="B1817" s="123" t="s">
        <v>7609</v>
      </c>
      <c r="C1817" s="256" t="s">
        <v>7183</v>
      </c>
      <c r="D1817" s="328" t="s">
        <v>870</v>
      </c>
      <c r="E1817" s="122" t="str">
        <f t="shared" si="28"/>
        <v xml:space="preserve">5047 : 부과기간년월 입력오류입니다         </v>
      </c>
    </row>
    <row r="1818" spans="1:5" s="64" customFormat="1">
      <c r="A1818" s="316" t="s">
        <v>4635</v>
      </c>
      <c r="B1818" s="123" t="s">
        <v>7609</v>
      </c>
      <c r="C1818" s="256" t="s">
        <v>7184</v>
      </c>
      <c r="D1818" s="328" t="s">
        <v>869</v>
      </c>
      <c r="E1818" s="122" t="str">
        <f t="shared" si="28"/>
        <v xml:space="preserve">5048 : 신청기관 입력오류입니다             </v>
      </c>
    </row>
    <row r="1819" spans="1:5" s="64" customFormat="1">
      <c r="A1819" s="316" t="s">
        <v>4635</v>
      </c>
      <c r="B1819" s="123" t="s">
        <v>7609</v>
      </c>
      <c r="C1819" s="256" t="s">
        <v>7185</v>
      </c>
      <c r="D1819" s="328" t="s">
        <v>868</v>
      </c>
      <c r="E1819" s="122" t="str">
        <f t="shared" si="28"/>
        <v xml:space="preserve">5049 : 약정종류  입력  오류입니다        </v>
      </c>
    </row>
    <row r="1820" spans="1:5" s="64" customFormat="1">
      <c r="A1820" s="316" t="s">
        <v>4635</v>
      </c>
      <c r="B1820" s="123" t="s">
        <v>7609</v>
      </c>
      <c r="C1820" s="256" t="s">
        <v>7186</v>
      </c>
      <c r="D1820" s="328" t="s">
        <v>867</v>
      </c>
      <c r="E1820" s="122" t="str">
        <f t="shared" si="28"/>
        <v xml:space="preserve">5050 : 처리일자  입력  오류입니다        </v>
      </c>
    </row>
    <row r="1821" spans="1:5" s="64" customFormat="1">
      <c r="A1821" s="316" t="s">
        <v>4635</v>
      </c>
      <c r="B1821" s="123" t="s">
        <v>7609</v>
      </c>
      <c r="C1821" s="256" t="s">
        <v>7187</v>
      </c>
      <c r="D1821" s="328" t="s">
        <v>866</v>
      </c>
      <c r="E1821" s="122" t="str">
        <f t="shared" si="28"/>
        <v xml:space="preserve">5051 : 처리시각  입력  오류입니다        </v>
      </c>
    </row>
    <row r="1822" spans="1:5" s="64" customFormat="1">
      <c r="A1822" s="316" t="s">
        <v>4635</v>
      </c>
      <c r="B1822" s="123" t="s">
        <v>7609</v>
      </c>
      <c r="C1822" s="256" t="s">
        <v>7188</v>
      </c>
      <c r="D1822" s="328" t="s">
        <v>865</v>
      </c>
      <c r="E1822" s="122" t="str">
        <f t="shared" si="28"/>
        <v xml:space="preserve">5052 : 계좌간자금이체 처리  오류입니다   </v>
      </c>
    </row>
    <row r="1823" spans="1:5" s="64" customFormat="1">
      <c r="A1823" s="316" t="s">
        <v>4635</v>
      </c>
      <c r="B1823" s="123" t="s">
        <v>7609</v>
      </c>
      <c r="C1823" s="256" t="s">
        <v>7189</v>
      </c>
      <c r="D1823" s="328" t="s">
        <v>864</v>
      </c>
      <c r="E1823" s="122" t="str">
        <f t="shared" si="28"/>
        <v xml:space="preserve">5053 : 상대기관구분 오류입니다             </v>
      </c>
    </row>
    <row r="1824" spans="1:5" s="64" customFormat="1">
      <c r="A1824" s="316" t="s">
        <v>4635</v>
      </c>
      <c r="B1824" s="123" t="s">
        <v>7609</v>
      </c>
      <c r="C1824" s="256" t="s">
        <v>7190</v>
      </c>
      <c r="D1824" s="328" t="s">
        <v>863</v>
      </c>
      <c r="E1824" s="122" t="str">
        <f t="shared" si="28"/>
        <v xml:space="preserve">5054 : 상대기관코드 오류입니다             </v>
      </c>
    </row>
    <row r="1825" spans="1:5" s="64" customFormat="1">
      <c r="A1825" s="316" t="s">
        <v>4635</v>
      </c>
      <c r="B1825" s="123" t="s">
        <v>7609</v>
      </c>
      <c r="C1825" s="256" t="s">
        <v>7191</v>
      </c>
      <c r="D1825" s="328" t="s">
        <v>862</v>
      </c>
      <c r="E1825" s="122" t="str">
        <f t="shared" si="28"/>
        <v xml:space="preserve">5055 : 거래시간입력 오류입니다             </v>
      </c>
    </row>
    <row r="1826" spans="1:5" s="64" customFormat="1">
      <c r="A1826" s="316" t="s">
        <v>4635</v>
      </c>
      <c r="B1826" s="123" t="s">
        <v>7609</v>
      </c>
      <c r="C1826" s="256" t="s">
        <v>7192</v>
      </c>
      <c r="D1826" s="328" t="s">
        <v>861</v>
      </c>
      <c r="E1826" s="122" t="str">
        <f t="shared" si="28"/>
        <v xml:space="preserve">5056 : 상계결제구분입력 오류입니다         </v>
      </c>
    </row>
    <row r="1827" spans="1:5" s="64" customFormat="1">
      <c r="A1827" s="316" t="s">
        <v>4635</v>
      </c>
      <c r="B1827" s="123" t="s">
        <v>7609</v>
      </c>
      <c r="C1827" s="256" t="s">
        <v>7193</v>
      </c>
      <c r="D1827" s="328" t="s">
        <v>860</v>
      </c>
      <c r="E1827" s="122" t="str">
        <f t="shared" si="28"/>
        <v xml:space="preserve">5057 : 최대그룹 설정수 초과입니다        </v>
      </c>
    </row>
    <row r="1828" spans="1:5" s="64" customFormat="1">
      <c r="A1828" s="316" t="s">
        <v>4635</v>
      </c>
      <c r="B1828" s="123" t="s">
        <v>7609</v>
      </c>
      <c r="C1828" s="256" t="s">
        <v>7194</v>
      </c>
      <c r="D1828" s="328" t="s">
        <v>859</v>
      </c>
      <c r="E1828" s="122" t="str">
        <f t="shared" si="28"/>
        <v xml:space="preserve">5058 : 변경후한도금액은  입력불가함        </v>
      </c>
    </row>
    <row r="1829" spans="1:5" s="64" customFormat="1">
      <c r="A1829" s="316" t="s">
        <v>4635</v>
      </c>
      <c r="B1829" s="123" t="s">
        <v>7609</v>
      </c>
      <c r="C1829" s="256" t="s">
        <v>7195</v>
      </c>
      <c r="D1829" s="328" t="s">
        <v>858</v>
      </c>
      <c r="E1829" s="122" t="str">
        <f t="shared" si="28"/>
        <v xml:space="preserve">5059 : 기관/그룹구분 코드 입력 불가  </v>
      </c>
    </row>
    <row r="1830" spans="1:5" s="64" customFormat="1">
      <c r="A1830" s="316" t="s">
        <v>4635</v>
      </c>
      <c r="B1830" s="123" t="s">
        <v>7609</v>
      </c>
      <c r="C1830" s="256" t="s">
        <v>7196</v>
      </c>
      <c r="D1830" s="328" t="s">
        <v>857</v>
      </c>
      <c r="E1830" s="122" t="str">
        <f t="shared" si="28"/>
        <v xml:space="preserve">5060 : 기관/그룹구분 코드 입력 오류  </v>
      </c>
    </row>
    <row r="1831" spans="1:5" s="64" customFormat="1">
      <c r="A1831" s="316" t="s">
        <v>4635</v>
      </c>
      <c r="B1831" s="123" t="s">
        <v>7609</v>
      </c>
      <c r="C1831" s="256" t="s">
        <v>7197</v>
      </c>
      <c r="D1831" s="328" t="s">
        <v>856</v>
      </c>
      <c r="E1831" s="122" t="str">
        <f t="shared" si="28"/>
        <v xml:space="preserve">5061 : 그룹코드 입력 불가합니다          </v>
      </c>
    </row>
    <row r="1832" spans="1:5" s="64" customFormat="1">
      <c r="A1832" s="316" t="s">
        <v>4635</v>
      </c>
      <c r="B1832" s="123" t="s">
        <v>7609</v>
      </c>
      <c r="C1832" s="256" t="s">
        <v>7198</v>
      </c>
      <c r="D1832" s="328" t="s">
        <v>855</v>
      </c>
      <c r="E1832" s="122" t="str">
        <f t="shared" si="28"/>
        <v xml:space="preserve">5062 : 소속기관 입력 불가합니다          </v>
      </c>
    </row>
    <row r="1833" spans="1:5" s="64" customFormat="1">
      <c r="A1833" s="316" t="s">
        <v>4635</v>
      </c>
      <c r="B1833" s="123" t="s">
        <v>7609</v>
      </c>
      <c r="C1833" s="256" t="s">
        <v>7199</v>
      </c>
      <c r="D1833" s="328" t="s">
        <v>854</v>
      </c>
      <c r="E1833" s="122" t="str">
        <f t="shared" si="28"/>
        <v xml:space="preserve">5063 : 삭제시 그룹명 소속기관 입력불가 </v>
      </c>
    </row>
    <row r="1834" spans="1:5" s="64" customFormat="1">
      <c r="A1834" s="316" t="s">
        <v>4635</v>
      </c>
      <c r="B1834" s="123" t="s">
        <v>7609</v>
      </c>
      <c r="C1834" s="256" t="s">
        <v>7200</v>
      </c>
      <c r="D1834" s="328" t="s">
        <v>853</v>
      </c>
      <c r="E1834" s="122" t="str">
        <f t="shared" si="28"/>
        <v>5064 : 신청기관과  상대기관이  동일합니다</v>
      </c>
    </row>
    <row r="1835" spans="1:5" s="64" customFormat="1">
      <c r="A1835" s="316" t="s">
        <v>4635</v>
      </c>
      <c r="B1835" s="123" t="s">
        <v>7609</v>
      </c>
      <c r="C1835" s="256" t="s">
        <v>7201</v>
      </c>
      <c r="D1835" s="328" t="s">
        <v>852</v>
      </c>
      <c r="E1835" s="122" t="str">
        <f t="shared" si="28"/>
        <v>5065 : 신청기관은  소속기관으로  입력불가</v>
      </c>
    </row>
    <row r="1836" spans="1:5" s="64" customFormat="1">
      <c r="A1836" s="316" t="s">
        <v>4635</v>
      </c>
      <c r="B1836" s="123" t="s">
        <v>7609</v>
      </c>
      <c r="C1836" s="256" t="s">
        <v>7202</v>
      </c>
      <c r="D1836" s="328" t="s">
        <v>851</v>
      </c>
      <c r="E1836" s="122" t="str">
        <f t="shared" si="28"/>
        <v xml:space="preserve">5066 : 조회건수 초과 조회기간 수정요망 </v>
      </c>
    </row>
    <row r="1837" spans="1:5" s="64" customFormat="1">
      <c r="A1837" s="316" t="s">
        <v>4635</v>
      </c>
      <c r="B1837" s="123" t="s">
        <v>7609</v>
      </c>
      <c r="C1837" s="256" t="s">
        <v>7203</v>
      </c>
      <c r="D1837" s="328" t="s">
        <v>850</v>
      </c>
      <c r="E1837" s="122" t="str">
        <f t="shared" si="28"/>
        <v xml:space="preserve">5067 : 삭제 거래를 이용하십시요          </v>
      </c>
    </row>
    <row r="1838" spans="1:5" s="64" customFormat="1">
      <c r="A1838" s="316" t="s">
        <v>4635</v>
      </c>
      <c r="B1838" s="123" t="s">
        <v>7609</v>
      </c>
      <c r="C1838" s="256" t="s">
        <v>7204</v>
      </c>
      <c r="D1838" s="328" t="s">
        <v>849</v>
      </c>
      <c r="E1838" s="122" t="str">
        <f t="shared" si="28"/>
        <v xml:space="preserve">5068 : 변경 전-후 금액이 동일함      </v>
      </c>
    </row>
    <row r="1839" spans="1:5" s="64" customFormat="1">
      <c r="A1839" s="316" t="s">
        <v>4635</v>
      </c>
      <c r="B1839" s="123" t="s">
        <v>7609</v>
      </c>
      <c r="C1839" s="256" t="s">
        <v>7205</v>
      </c>
      <c r="D1839" s="328" t="s">
        <v>848</v>
      </c>
      <c r="E1839" s="122" t="str">
        <f t="shared" si="28"/>
        <v xml:space="preserve">5069 : 변경전  설정금액이  불일치함      </v>
      </c>
    </row>
    <row r="1840" spans="1:5" s="64" customFormat="1">
      <c r="A1840" s="316" t="s">
        <v>4635</v>
      </c>
      <c r="B1840" s="123" t="s">
        <v>7609</v>
      </c>
      <c r="C1840" s="256" t="s">
        <v>7206</v>
      </c>
      <c r="D1840" s="328" t="s">
        <v>847</v>
      </c>
      <c r="E1840" s="122" t="str">
        <f t="shared" si="28"/>
        <v xml:space="preserve">5070 : 기관이  이미  존재합니다          </v>
      </c>
    </row>
    <row r="1841" spans="1:5" s="64" customFormat="1">
      <c r="A1841" s="316" t="s">
        <v>4635</v>
      </c>
      <c r="B1841" s="123" t="s">
        <v>7609</v>
      </c>
      <c r="C1841" s="256" t="s">
        <v>7207</v>
      </c>
      <c r="D1841" s="328" t="s">
        <v>846</v>
      </c>
      <c r="E1841" s="122" t="str">
        <f t="shared" si="28"/>
        <v xml:space="preserve">5071 : 이체시간은  입력항목이  아닙니다  </v>
      </c>
    </row>
    <row r="1842" spans="1:5" s="64" customFormat="1">
      <c r="A1842" s="316" t="s">
        <v>4635</v>
      </c>
      <c r="B1842" s="123" t="s">
        <v>7609</v>
      </c>
      <c r="C1842" s="256" t="s">
        <v>7208</v>
      </c>
      <c r="D1842" s="328" t="s">
        <v>845</v>
      </c>
      <c r="E1842" s="122" t="str">
        <f t="shared" si="28"/>
        <v xml:space="preserve">5072 : 회계번호는  입력항목이  아닙니다  </v>
      </c>
    </row>
    <row r="1843" spans="1:5" s="64" customFormat="1">
      <c r="A1843" s="316" t="s">
        <v>4635</v>
      </c>
      <c r="B1843" s="123" t="s">
        <v>7609</v>
      </c>
      <c r="C1843" s="256" t="s">
        <v>7209</v>
      </c>
      <c r="D1843" s="328" t="s">
        <v>844</v>
      </c>
      <c r="E1843" s="122" t="str">
        <f t="shared" si="28"/>
        <v>5073 : 당좌예금잔액  입력항목이  아닙니다</v>
      </c>
    </row>
    <row r="1844" spans="1:5" s="64" customFormat="1">
      <c r="A1844" s="316" t="s">
        <v>4635</v>
      </c>
      <c r="B1844" s="123" t="s">
        <v>7609</v>
      </c>
      <c r="C1844" s="256" t="s">
        <v>7210</v>
      </c>
      <c r="D1844" s="328" t="s">
        <v>843</v>
      </c>
      <c r="E1844" s="122" t="str">
        <f t="shared" si="28"/>
        <v>5074 : 결제전용잔액  입력항목이  아닙니다</v>
      </c>
    </row>
    <row r="1845" spans="1:5" s="64" customFormat="1">
      <c r="A1845" s="316" t="s">
        <v>4635</v>
      </c>
      <c r="B1845" s="123" t="s">
        <v>7609</v>
      </c>
      <c r="C1845" s="256" t="s">
        <v>7211</v>
      </c>
      <c r="D1845" s="328" t="s">
        <v>842</v>
      </c>
      <c r="E1845" s="122" t="str">
        <f t="shared" si="28"/>
        <v xml:space="preserve">5075 : 당좌대출가능금액  입력항목  아님  </v>
      </c>
    </row>
    <row r="1846" spans="1:5" s="64" customFormat="1">
      <c r="A1846" s="316" t="s">
        <v>4635</v>
      </c>
      <c r="B1846" s="123" t="s">
        <v>7609</v>
      </c>
      <c r="C1846" s="256" t="s">
        <v>7212</v>
      </c>
      <c r="D1846" s="328" t="s">
        <v>841</v>
      </c>
      <c r="E1846" s="122" t="str">
        <f t="shared" si="28"/>
        <v xml:space="preserve">5076 : 설정시간은  입력항목이  아닙니다  </v>
      </c>
    </row>
    <row r="1847" spans="1:5" s="64" customFormat="1">
      <c r="A1847" s="316" t="s">
        <v>4635</v>
      </c>
      <c r="B1847" s="123" t="s">
        <v>7609</v>
      </c>
      <c r="C1847" s="256" t="s">
        <v>7213</v>
      </c>
      <c r="D1847" s="328" t="s">
        <v>840</v>
      </c>
      <c r="E1847" s="122" t="str">
        <f t="shared" si="28"/>
        <v>5077 : 신규.변경 이외 그룹명 입력불가</v>
      </c>
    </row>
    <row r="1848" spans="1:5" s="64" customFormat="1">
      <c r="A1848" s="316" t="s">
        <v>4635</v>
      </c>
      <c r="B1848" s="123" t="s">
        <v>7609</v>
      </c>
      <c r="C1848" s="256" t="s">
        <v>7214</v>
      </c>
      <c r="D1848" s="328" t="s">
        <v>839</v>
      </c>
      <c r="E1848" s="122" t="str">
        <f t="shared" si="28"/>
        <v>5078 : 순지급한도여유액은 입력항목이 아님</v>
      </c>
    </row>
    <row r="1849" spans="1:5" s="64" customFormat="1">
      <c r="A1849" s="316" t="s">
        <v>4635</v>
      </c>
      <c r="B1849" s="123" t="s">
        <v>7609</v>
      </c>
      <c r="C1849" s="256" t="s">
        <v>7215</v>
      </c>
      <c r="D1849" s="328" t="s">
        <v>838</v>
      </c>
      <c r="E1849" s="122" t="str">
        <f t="shared" si="28"/>
        <v xml:space="preserve">5079 : 최종한도변경일은 입력항목이 아님  </v>
      </c>
    </row>
    <row r="1850" spans="1:5" s="64" customFormat="1">
      <c r="A1850" s="316" t="s">
        <v>4635</v>
      </c>
      <c r="B1850" s="123" t="s">
        <v>7609</v>
      </c>
      <c r="C1850" s="256" t="s">
        <v>7216</v>
      </c>
      <c r="D1850" s="328" t="s">
        <v>837</v>
      </c>
      <c r="E1850" s="122" t="str">
        <f t="shared" si="28"/>
        <v xml:space="preserve">5080 : 변경시간은 입력항목이 아닙니다    </v>
      </c>
    </row>
    <row r="1851" spans="1:5" s="64" customFormat="1">
      <c r="A1851" s="316" t="s">
        <v>4635</v>
      </c>
      <c r="B1851" s="123" t="s">
        <v>7609</v>
      </c>
      <c r="C1851" s="256" t="s">
        <v>7217</v>
      </c>
      <c r="D1851" s="328" t="s">
        <v>836</v>
      </c>
      <c r="E1851" s="122" t="str">
        <f t="shared" si="28"/>
        <v xml:space="preserve">5081 : 시작일자가 종료일자보다 큽니다    </v>
      </c>
    </row>
    <row r="1852" spans="1:5" s="64" customFormat="1">
      <c r="A1852" s="316" t="s">
        <v>4635</v>
      </c>
      <c r="B1852" s="123" t="s">
        <v>7609</v>
      </c>
      <c r="C1852" s="256" t="s">
        <v>7218</v>
      </c>
      <c r="D1852" s="328" t="s">
        <v>835</v>
      </c>
      <c r="E1852" s="122" t="str">
        <f t="shared" si="28"/>
        <v xml:space="preserve">5082 : 조회건수는 입력항목이 아닙니다    </v>
      </c>
    </row>
    <row r="1853" spans="1:5" s="64" customFormat="1">
      <c r="A1853" s="316" t="s">
        <v>4635</v>
      </c>
      <c r="B1853" s="123" t="s">
        <v>7609</v>
      </c>
      <c r="C1853" s="256" t="s">
        <v>7219</v>
      </c>
      <c r="D1853" s="328" t="s">
        <v>834</v>
      </c>
      <c r="E1853" s="122" t="str">
        <f t="shared" si="28"/>
        <v xml:space="preserve">5083 : 총전문수는 입력항목이 아닙니다    </v>
      </c>
    </row>
    <row r="1854" spans="1:5" s="64" customFormat="1">
      <c r="A1854" s="316" t="s">
        <v>4635</v>
      </c>
      <c r="B1854" s="123" t="s">
        <v>7609</v>
      </c>
      <c r="C1854" s="256" t="s">
        <v>7220</v>
      </c>
      <c r="D1854" s="328" t="s">
        <v>833</v>
      </c>
      <c r="E1854" s="122" t="str">
        <f t="shared" si="28"/>
        <v xml:space="preserve">5084 : 총조회건수는 입력항목이 아닙니다  </v>
      </c>
    </row>
    <row r="1855" spans="1:5" s="64" customFormat="1">
      <c r="A1855" s="316" t="s">
        <v>4635</v>
      </c>
      <c r="B1855" s="123" t="s">
        <v>7609</v>
      </c>
      <c r="C1855" s="256" t="s">
        <v>7221</v>
      </c>
      <c r="D1855" s="328" t="s">
        <v>832</v>
      </c>
      <c r="E1855" s="122" t="str">
        <f t="shared" si="28"/>
        <v xml:space="preserve">5085 : 거래일자 입력항목이 아닙니다      </v>
      </c>
    </row>
    <row r="1856" spans="1:5" s="64" customFormat="1">
      <c r="A1856" s="316" t="s">
        <v>4635</v>
      </c>
      <c r="B1856" s="123" t="s">
        <v>7609</v>
      </c>
      <c r="C1856" s="256" t="s">
        <v>7222</v>
      </c>
      <c r="D1856" s="328" t="s">
        <v>831</v>
      </c>
      <c r="E1856" s="122" t="str">
        <f t="shared" si="28"/>
        <v xml:space="preserve">5086 : 설정금액은 입력항목이 아닙니다    </v>
      </c>
    </row>
    <row r="1857" spans="1:5" s="64" customFormat="1">
      <c r="A1857" s="316" t="s">
        <v>4635</v>
      </c>
      <c r="B1857" s="123" t="s">
        <v>7609</v>
      </c>
      <c r="C1857" s="256" t="s">
        <v>7223</v>
      </c>
      <c r="D1857" s="328" t="s">
        <v>830</v>
      </c>
      <c r="E1857" s="122" t="str">
        <f t="shared" si="28"/>
        <v xml:space="preserve">5087 : 상대코드 입력 오류입니다          </v>
      </c>
    </row>
    <row r="1858" spans="1:5" s="64" customFormat="1">
      <c r="A1858" s="316" t="s">
        <v>4635</v>
      </c>
      <c r="B1858" s="123" t="s">
        <v>7609</v>
      </c>
      <c r="C1858" s="256" t="s">
        <v>7224</v>
      </c>
      <c r="D1858" s="328" t="s">
        <v>829</v>
      </c>
      <c r="E1858" s="122" t="str">
        <f t="shared" si="28"/>
        <v xml:space="preserve">5088 : 취급점코드는 입력항목이 아닙니다  </v>
      </c>
    </row>
    <row r="1859" spans="1:5" s="64" customFormat="1">
      <c r="A1859" s="316" t="s">
        <v>4635</v>
      </c>
      <c r="B1859" s="123" t="s">
        <v>7609</v>
      </c>
      <c r="C1859" s="256" t="s">
        <v>7225</v>
      </c>
      <c r="D1859" s="328" t="s">
        <v>828</v>
      </c>
      <c r="E1859" s="122" t="str">
        <f t="shared" si="28"/>
        <v>5089 : 계좌구분코드는 입력항목이 아닙니다</v>
      </c>
    </row>
    <row r="1860" spans="1:5" s="64" customFormat="1">
      <c r="A1860" s="316" t="s">
        <v>4635</v>
      </c>
      <c r="B1860" s="123" t="s">
        <v>7609</v>
      </c>
      <c r="C1860" s="256" t="s">
        <v>7226</v>
      </c>
      <c r="D1860" s="328" t="s">
        <v>827</v>
      </c>
      <c r="E1860" s="122" t="str">
        <f t="shared" ref="E1860:E1923" si="29">_xlfn.TEXTJOIN(" : ",FALSE,C1860:D1860)</f>
        <v xml:space="preserve">5090 : 전일잔액은 입력항목이 아닙니다    </v>
      </c>
    </row>
    <row r="1861" spans="1:5" s="64" customFormat="1">
      <c r="A1861" s="316" t="s">
        <v>4635</v>
      </c>
      <c r="B1861" s="123" t="s">
        <v>7609</v>
      </c>
      <c r="C1861" s="256" t="s">
        <v>7227</v>
      </c>
      <c r="D1861" s="328" t="s">
        <v>826</v>
      </c>
      <c r="E1861" s="122" t="str">
        <f t="shared" si="29"/>
        <v xml:space="preserve">5091 : 입금액은 입력항목이아닙니다         </v>
      </c>
    </row>
    <row r="1862" spans="1:5" s="64" customFormat="1">
      <c r="A1862" s="316" t="s">
        <v>4635</v>
      </c>
      <c r="B1862" s="123" t="s">
        <v>7609</v>
      </c>
      <c r="C1862" s="256" t="s">
        <v>7228</v>
      </c>
      <c r="D1862" s="328" t="s">
        <v>825</v>
      </c>
      <c r="E1862" s="122" t="str">
        <f t="shared" si="29"/>
        <v xml:space="preserve">5092 : 출금액은 입력항목이 아닙니다      </v>
      </c>
    </row>
    <row r="1863" spans="1:5" s="64" customFormat="1">
      <c r="A1863" s="316" t="s">
        <v>4635</v>
      </c>
      <c r="B1863" s="123" t="s">
        <v>7609</v>
      </c>
      <c r="C1863" s="256" t="s">
        <v>7229</v>
      </c>
      <c r="D1863" s="328" t="s">
        <v>824</v>
      </c>
      <c r="E1863" s="122" t="str">
        <f t="shared" si="29"/>
        <v xml:space="preserve">5093 : 금일잔액은 입력항목이 아닙니다    </v>
      </c>
    </row>
    <row r="1864" spans="1:5" s="64" customFormat="1">
      <c r="A1864" s="316" t="s">
        <v>4635</v>
      </c>
      <c r="B1864" s="123" t="s">
        <v>7609</v>
      </c>
      <c r="C1864" s="256" t="s">
        <v>7230</v>
      </c>
      <c r="D1864" s="328" t="s">
        <v>823</v>
      </c>
      <c r="E1864" s="122" t="str">
        <f t="shared" si="29"/>
        <v xml:space="preserve">5094 : 입력부서 계정개설처와 불일치함    </v>
      </c>
    </row>
    <row r="1865" spans="1:5" s="64" customFormat="1">
      <c r="A1865" s="316" t="s">
        <v>4635</v>
      </c>
      <c r="B1865" s="123" t="s">
        <v>7609</v>
      </c>
      <c r="C1865" s="256" t="s">
        <v>7231</v>
      </c>
      <c r="D1865" s="328" t="s">
        <v>822</v>
      </c>
      <c r="E1865" s="122" t="str">
        <f t="shared" si="29"/>
        <v xml:space="preserve">5095 : 신청기관이 존재하지 않습니다      </v>
      </c>
    </row>
    <row r="1866" spans="1:5" s="64" customFormat="1">
      <c r="A1866" s="316" t="s">
        <v>4635</v>
      </c>
      <c r="B1866" s="123" t="s">
        <v>7609</v>
      </c>
      <c r="C1866" s="256" t="s">
        <v>7232</v>
      </c>
      <c r="D1866" s="328" t="s">
        <v>821</v>
      </c>
      <c r="E1866" s="122" t="str">
        <f t="shared" si="29"/>
        <v xml:space="preserve">5096 : 일중당좌대출잔액은입력항목이아닙니다  </v>
      </c>
    </row>
    <row r="1867" spans="1:5" s="64" customFormat="1">
      <c r="A1867" s="316" t="s">
        <v>4635</v>
      </c>
      <c r="B1867" s="123" t="s">
        <v>7609</v>
      </c>
      <c r="C1867" s="256" t="s">
        <v>7233</v>
      </c>
      <c r="D1867" s="328" t="s">
        <v>820</v>
      </c>
      <c r="E1867" s="122" t="str">
        <f t="shared" si="29"/>
        <v xml:space="preserve">5097 : 총순지급한도는입력항목이아닙니다      </v>
      </c>
    </row>
    <row r="1868" spans="1:5" s="64" customFormat="1">
      <c r="A1868" s="316" t="s">
        <v>4635</v>
      </c>
      <c r="B1868" s="123" t="s">
        <v>7609</v>
      </c>
      <c r="C1868" s="256" t="s">
        <v>7234</v>
      </c>
      <c r="D1868" s="328" t="s">
        <v>819</v>
      </c>
      <c r="E1868" s="122" t="str">
        <f t="shared" si="29"/>
        <v xml:space="preserve">5098 : 최저순지급한도는입력항목이아닙니다    </v>
      </c>
    </row>
    <row r="1869" spans="1:5" s="64" customFormat="1">
      <c r="A1869" s="316" t="s">
        <v>4635</v>
      </c>
      <c r="B1869" s="123" t="s">
        <v>7609</v>
      </c>
      <c r="C1869" s="256" t="s">
        <v>7235</v>
      </c>
      <c r="D1869" s="328" t="s">
        <v>818</v>
      </c>
      <c r="E1869" s="122" t="str">
        <f t="shared" si="29"/>
        <v xml:space="preserve">5099 : 총순지급금액은입력항목이아닙니다      </v>
      </c>
    </row>
    <row r="1870" spans="1:5" s="64" customFormat="1">
      <c r="A1870" s="316" t="s">
        <v>4635</v>
      </c>
      <c r="B1870" s="123" t="s">
        <v>7609</v>
      </c>
      <c r="C1870" s="256" t="s">
        <v>7236</v>
      </c>
      <c r="D1870" s="328" t="s">
        <v>817</v>
      </c>
      <c r="E1870" s="122" t="str">
        <f t="shared" si="29"/>
        <v>5100 : 총순지급한도 기관그룹구분 입력불가</v>
      </c>
    </row>
    <row r="1871" spans="1:5" s="64" customFormat="1">
      <c r="A1871" s="316" t="s">
        <v>4635</v>
      </c>
      <c r="B1871" s="123" t="s">
        <v>7609</v>
      </c>
      <c r="C1871" s="256" t="s">
        <v>7237</v>
      </c>
      <c r="D1871" s="328" t="s">
        <v>816</v>
      </c>
      <c r="E1871" s="122" t="str">
        <f t="shared" si="29"/>
        <v xml:space="preserve">5101 : 총순지급한도 상대코드 입력불가    </v>
      </c>
    </row>
    <row r="1872" spans="1:5" s="64" customFormat="1">
      <c r="A1872" s="316" t="s">
        <v>4635</v>
      </c>
      <c r="B1872" s="123" t="s">
        <v>7609</v>
      </c>
      <c r="C1872" s="256" t="s">
        <v>7238</v>
      </c>
      <c r="D1872" s="328" t="s">
        <v>815</v>
      </c>
      <c r="E1872" s="122" t="str">
        <f t="shared" si="29"/>
        <v xml:space="preserve">5102 : 상대기관이 존재하지 않습니다      </v>
      </c>
    </row>
    <row r="1873" spans="1:5" s="64" customFormat="1">
      <c r="A1873" s="316" t="s">
        <v>4635</v>
      </c>
      <c r="B1873" s="123" t="s">
        <v>7609</v>
      </c>
      <c r="C1873" s="256" t="s">
        <v>7239</v>
      </c>
      <c r="D1873" s="328" t="s">
        <v>814</v>
      </c>
      <c r="E1873" s="122" t="str">
        <f t="shared" si="29"/>
        <v xml:space="preserve">5103 : 변경전 설정금액 입력 불가합니다 </v>
      </c>
    </row>
    <row r="1874" spans="1:5" s="64" customFormat="1">
      <c r="A1874" s="316" t="s">
        <v>4635</v>
      </c>
      <c r="B1874" s="123" t="s">
        <v>7609</v>
      </c>
      <c r="C1874" s="256" t="s">
        <v>7240</v>
      </c>
      <c r="D1874" s="328" t="s">
        <v>813</v>
      </c>
      <c r="E1874" s="122" t="str">
        <f t="shared" si="29"/>
        <v xml:space="preserve">5104 : 거래시작일자 입력 오류입니다      </v>
      </c>
    </row>
    <row r="1875" spans="1:5" s="64" customFormat="1">
      <c r="A1875" s="316" t="s">
        <v>4635</v>
      </c>
      <c r="B1875" s="123" t="s">
        <v>7609</v>
      </c>
      <c r="C1875" s="256" t="s">
        <v>7241</v>
      </c>
      <c r="D1875" s="328" t="s">
        <v>812</v>
      </c>
      <c r="E1875" s="122" t="str">
        <f t="shared" si="29"/>
        <v xml:space="preserve">5105 : 거래종료일자 입력 오류입니다      </v>
      </c>
    </row>
    <row r="1876" spans="1:5" s="64" customFormat="1">
      <c r="A1876" s="316" t="s">
        <v>4635</v>
      </c>
      <c r="B1876" s="123" t="s">
        <v>7609</v>
      </c>
      <c r="C1876" s="256" t="s">
        <v>7242</v>
      </c>
      <c r="D1876" s="328" t="s">
        <v>811</v>
      </c>
      <c r="E1876" s="122" t="str">
        <f t="shared" si="29"/>
        <v xml:space="preserve">5106 : 총순지급한도 상대구분 입력불가    </v>
      </c>
    </row>
    <row r="1877" spans="1:5" s="64" customFormat="1">
      <c r="A1877" s="316" t="s">
        <v>4635</v>
      </c>
      <c r="B1877" s="123" t="s">
        <v>7609</v>
      </c>
      <c r="C1877" s="256" t="s">
        <v>7243</v>
      </c>
      <c r="D1877" s="328" t="s">
        <v>810</v>
      </c>
      <c r="E1877" s="122" t="str">
        <f t="shared" si="29"/>
        <v xml:space="preserve">5107 : 거래시간-시작 입력오류            </v>
      </c>
    </row>
    <row r="1878" spans="1:5" s="64" customFormat="1">
      <c r="A1878" s="316" t="s">
        <v>4635</v>
      </c>
      <c r="B1878" s="123" t="s">
        <v>7609</v>
      </c>
      <c r="C1878" s="256" t="s">
        <v>7244</v>
      </c>
      <c r="D1878" s="328" t="s">
        <v>809</v>
      </c>
      <c r="E1878" s="122" t="str">
        <f t="shared" si="29"/>
        <v xml:space="preserve">5108 : 거래시간-종료 입력오류            </v>
      </c>
    </row>
    <row r="1879" spans="1:5" s="64" customFormat="1">
      <c r="A1879" s="316" t="s">
        <v>4635</v>
      </c>
      <c r="B1879" s="123" t="s">
        <v>7609</v>
      </c>
      <c r="C1879" s="256" t="s">
        <v>7245</v>
      </c>
      <c r="D1879" s="328" t="s">
        <v>808</v>
      </c>
      <c r="E1879" s="122" t="str">
        <f t="shared" si="29"/>
        <v xml:space="preserve">5109 : 시작시간이 종료시간보다 큽니다    </v>
      </c>
    </row>
    <row r="1880" spans="1:5" s="64" customFormat="1">
      <c r="A1880" s="316" t="s">
        <v>4635</v>
      </c>
      <c r="B1880" s="123" t="s">
        <v>7609</v>
      </c>
      <c r="C1880" s="256" t="s">
        <v>7246</v>
      </c>
      <c r="D1880" s="328" t="s">
        <v>807</v>
      </c>
      <c r="E1880" s="122" t="str">
        <f t="shared" si="29"/>
        <v xml:space="preserve">5110 : 상대구분 전체만 입력 가능함     </v>
      </c>
    </row>
    <row r="1881" spans="1:5" s="64" customFormat="1">
      <c r="A1881" s="316" t="s">
        <v>4635</v>
      </c>
      <c r="B1881" s="123" t="s">
        <v>7609</v>
      </c>
      <c r="C1881" s="256" t="s">
        <v>7247</v>
      </c>
      <c r="D1881" s="328" t="s">
        <v>806</v>
      </c>
      <c r="E1881" s="122" t="str">
        <f t="shared" si="29"/>
        <v xml:space="preserve">5111 : 상대코드는 특정 일때만 입력함   </v>
      </c>
    </row>
    <row r="1882" spans="1:5" s="64" customFormat="1">
      <c r="A1882" s="316" t="s">
        <v>4635</v>
      </c>
      <c r="B1882" s="123" t="s">
        <v>7609</v>
      </c>
      <c r="C1882" s="256" t="s">
        <v>7248</v>
      </c>
      <c r="D1882" s="328" t="s">
        <v>805</v>
      </c>
      <c r="E1882" s="122" t="str">
        <f t="shared" si="29"/>
        <v xml:space="preserve">5112 : 변경전 설정금액을 입력하시오      </v>
      </c>
    </row>
    <row r="1883" spans="1:5" s="64" customFormat="1">
      <c r="A1883" s="316" t="s">
        <v>4635</v>
      </c>
      <c r="B1883" s="123" t="s">
        <v>7609</v>
      </c>
      <c r="C1883" s="256" t="s">
        <v>7249</v>
      </c>
      <c r="D1883" s="328" t="s">
        <v>804</v>
      </c>
      <c r="E1883" s="122" t="str">
        <f t="shared" si="29"/>
        <v xml:space="preserve">5113 : 시작일자가 영업일자보다 큽니다    </v>
      </c>
    </row>
    <row r="1884" spans="1:5" s="64" customFormat="1">
      <c r="A1884" s="316" t="s">
        <v>4635</v>
      </c>
      <c r="B1884" s="123" t="s">
        <v>7609</v>
      </c>
      <c r="C1884" s="256" t="s">
        <v>7250</v>
      </c>
      <c r="D1884" s="328" t="s">
        <v>803</v>
      </c>
      <c r="E1884" s="122" t="str">
        <f t="shared" si="29"/>
        <v xml:space="preserve">5114 : 종료일자가 영업일자보다 큽니다    </v>
      </c>
    </row>
    <row r="1885" spans="1:5" s="64" customFormat="1">
      <c r="A1885" s="316" t="s">
        <v>4635</v>
      </c>
      <c r="B1885" s="123" t="s">
        <v>7609</v>
      </c>
      <c r="C1885" s="256" t="s">
        <v>7251</v>
      </c>
      <c r="D1885" s="328" t="s">
        <v>802</v>
      </c>
      <c r="E1885" s="122" t="str">
        <f t="shared" si="29"/>
        <v xml:space="preserve">5115 : 변경하고자하는 그룹명이 동일함    </v>
      </c>
    </row>
    <row r="1886" spans="1:5" s="64" customFormat="1">
      <c r="A1886" s="316" t="s">
        <v>4635</v>
      </c>
      <c r="B1886" s="123" t="s">
        <v>7609</v>
      </c>
      <c r="C1886" s="256" t="s">
        <v>7252</v>
      </c>
      <c r="D1886" s="328" t="s">
        <v>801</v>
      </c>
      <c r="E1886" s="122" t="str">
        <f t="shared" si="29"/>
        <v>5116 : 순지급한도여유액부호 입력항목 아님</v>
      </c>
    </row>
    <row r="1887" spans="1:5" s="64" customFormat="1">
      <c r="A1887" s="316" t="s">
        <v>4635</v>
      </c>
      <c r="B1887" s="123" t="s">
        <v>7609</v>
      </c>
      <c r="C1887" s="256" t="s">
        <v>7253</v>
      </c>
      <c r="D1887" s="328" t="s">
        <v>800</v>
      </c>
      <c r="E1887" s="122" t="str">
        <f t="shared" si="29"/>
        <v xml:space="preserve">5117 : 순지급금액 부호는 입력항목 아님 </v>
      </c>
    </row>
    <row r="1888" spans="1:5" s="64" customFormat="1">
      <c r="A1888" s="316" t="s">
        <v>4635</v>
      </c>
      <c r="B1888" s="123" t="s">
        <v>7609</v>
      </c>
      <c r="C1888" s="256" t="s">
        <v>7254</v>
      </c>
      <c r="D1888" s="328" t="s">
        <v>799</v>
      </c>
      <c r="E1888" s="122" t="str">
        <f t="shared" si="29"/>
        <v xml:space="preserve">5118 : 순지급금액은 입력항목 아님        </v>
      </c>
    </row>
    <row r="1889" spans="1:5" s="64" customFormat="1">
      <c r="A1889" s="316" t="s">
        <v>4635</v>
      </c>
      <c r="B1889" s="123" t="s">
        <v>7609</v>
      </c>
      <c r="C1889" s="256" t="s">
        <v>7255</v>
      </c>
      <c r="D1889" s="328" t="s">
        <v>798</v>
      </c>
      <c r="E1889" s="122" t="str">
        <f t="shared" si="29"/>
        <v xml:space="preserve">5119 : 설정금액은 억원단위로 입력하세요  </v>
      </c>
    </row>
    <row r="1890" spans="1:5" s="64" customFormat="1">
      <c r="A1890" s="316" t="s">
        <v>4635</v>
      </c>
      <c r="B1890" s="123" t="s">
        <v>7609</v>
      </c>
      <c r="C1890" s="256" t="s">
        <v>7256</v>
      </c>
      <c r="D1890" s="328" t="s">
        <v>797</v>
      </c>
      <c r="E1890" s="122" t="str">
        <f t="shared" si="29"/>
        <v>5200 : 일중댱좌대출이자 수취완료 거래불가</v>
      </c>
    </row>
    <row r="1891" spans="1:5" s="64" customFormat="1">
      <c r="A1891" s="316" t="s">
        <v>4635</v>
      </c>
      <c r="B1891" s="123" t="s">
        <v>7609</v>
      </c>
      <c r="C1891" s="256" t="s">
        <v>7257</v>
      </c>
      <c r="D1891" s="328" t="s">
        <v>796</v>
      </c>
      <c r="E1891" s="122" t="str">
        <f t="shared" si="29"/>
        <v xml:space="preserve">5201 : 설정구분 입력 오류입니다          </v>
      </c>
    </row>
    <row r="1892" spans="1:5" s="64" customFormat="1">
      <c r="A1892" s="316" t="s">
        <v>4635</v>
      </c>
      <c r="B1892" s="123" t="s">
        <v>7609</v>
      </c>
      <c r="C1892" s="256" t="s">
        <v>7258</v>
      </c>
      <c r="D1892" s="328" t="s">
        <v>795</v>
      </c>
      <c r="E1892" s="122" t="str">
        <f t="shared" si="29"/>
        <v xml:space="preserve">6000 : 회계구좌파일　오류                    </v>
      </c>
    </row>
    <row r="1893" spans="1:5" s="64" customFormat="1">
      <c r="A1893" s="316" t="s">
        <v>4635</v>
      </c>
      <c r="B1893" s="123" t="s">
        <v>7609</v>
      </c>
      <c r="C1893" s="256" t="s">
        <v>7259</v>
      </c>
      <c r="D1893" s="328" t="s">
        <v>794</v>
      </c>
      <c r="E1893" s="122" t="str">
        <f t="shared" si="29"/>
        <v xml:space="preserve">6001 : 강제거래종료가정상처리됨              </v>
      </c>
    </row>
    <row r="1894" spans="1:5" s="64" customFormat="1">
      <c r="A1894" s="316" t="s">
        <v>4635</v>
      </c>
      <c r="B1894" s="123" t="s">
        <v>7609</v>
      </c>
      <c r="C1894" s="256" t="s">
        <v>7260</v>
      </c>
      <c r="D1894" s="328" t="s">
        <v>793</v>
      </c>
      <c r="E1894" s="122" t="str">
        <f t="shared" si="29"/>
        <v xml:space="preserve">6002 : 거래종료시각은17:30입니다           </v>
      </c>
    </row>
    <row r="1895" spans="1:5" s="64" customFormat="1">
      <c r="A1895" s="316" t="s">
        <v>4635</v>
      </c>
      <c r="B1895" s="123" t="s">
        <v>7609</v>
      </c>
      <c r="C1895" s="256" t="s">
        <v>7261</v>
      </c>
      <c r="D1895" s="328" t="s">
        <v>792</v>
      </c>
      <c r="E1895" s="122" t="str">
        <f t="shared" si="29"/>
        <v xml:space="preserve">6003 : 거래종료지시가모든참가기관에통보됨    </v>
      </c>
    </row>
    <row r="1896" spans="1:5" s="64" customFormat="1">
      <c r="A1896" s="316" t="s">
        <v>4635</v>
      </c>
      <c r="B1896" s="123" t="s">
        <v>7609</v>
      </c>
      <c r="C1896" s="256" t="s">
        <v>7262</v>
      </c>
      <c r="D1896" s="328" t="s">
        <v>791</v>
      </c>
      <c r="E1896" s="122" t="str">
        <f t="shared" si="29"/>
        <v xml:space="preserve">6004 : 거래종료지시가해당참가기관에통보됨    </v>
      </c>
    </row>
    <row r="1897" spans="1:5" s="64" customFormat="1">
      <c r="A1897" s="316" t="s">
        <v>4635</v>
      </c>
      <c r="B1897" s="123" t="s">
        <v>7609</v>
      </c>
      <c r="C1897" s="256" t="s">
        <v>7263</v>
      </c>
      <c r="D1897" s="328" t="s">
        <v>790</v>
      </c>
      <c r="E1897" s="122" t="str">
        <f t="shared" si="29"/>
        <v xml:space="preserve">6005 : 거래종료가　정상적으로　되었습니다．  </v>
      </c>
    </row>
    <row r="1898" spans="1:5" s="64" customFormat="1">
      <c r="A1898" s="316" t="s">
        <v>4635</v>
      </c>
      <c r="B1898" s="123" t="s">
        <v>7609</v>
      </c>
      <c r="C1898" s="256" t="s">
        <v>7264</v>
      </c>
      <c r="D1898" s="328" t="s">
        <v>789</v>
      </c>
      <c r="E1898" s="122" t="str">
        <f t="shared" si="29"/>
        <v xml:space="preserve">6006 : 대사작업실행시간은17:20 입니다      </v>
      </c>
    </row>
    <row r="1899" spans="1:5" s="64" customFormat="1">
      <c r="A1899" s="316" t="s">
        <v>4635</v>
      </c>
      <c r="B1899" s="123" t="s">
        <v>7609</v>
      </c>
      <c r="C1899" s="256" t="s">
        <v>7265</v>
      </c>
      <c r="D1899" s="328" t="s">
        <v>788</v>
      </c>
      <c r="E1899" s="122" t="str">
        <f t="shared" si="29"/>
        <v xml:space="preserve">6007 : 대사작업이　실행중　입니다．          </v>
      </c>
    </row>
    <row r="1900" spans="1:5" s="64" customFormat="1">
      <c r="A1900" s="316" t="s">
        <v>4635</v>
      </c>
      <c r="B1900" s="123" t="s">
        <v>7609</v>
      </c>
      <c r="C1900" s="256" t="s">
        <v>7266</v>
      </c>
      <c r="D1900" s="328" t="s">
        <v>787</v>
      </c>
      <c r="E1900" s="122" t="str">
        <f t="shared" si="29"/>
        <v xml:space="preserve">6008 : 대사작업이　완료　되었습니다．        </v>
      </c>
    </row>
    <row r="1901" spans="1:5" s="64" customFormat="1">
      <c r="A1901" s="316" t="s">
        <v>4635</v>
      </c>
      <c r="B1901" s="123" t="s">
        <v>7609</v>
      </c>
      <c r="C1901" s="256" t="s">
        <v>7267</v>
      </c>
      <c r="D1901" s="328" t="s">
        <v>786</v>
      </c>
      <c r="E1901" s="122" t="str">
        <f t="shared" si="29"/>
        <v xml:space="preserve">6009 : 대사파일을　만들지　않았습니다．      </v>
      </c>
    </row>
    <row r="1902" spans="1:5" s="64" customFormat="1">
      <c r="A1902" s="316" t="s">
        <v>4635</v>
      </c>
      <c r="B1902" s="123" t="s">
        <v>7609</v>
      </c>
      <c r="C1902" s="256" t="s">
        <v>7268</v>
      </c>
      <c r="D1902" s="328" t="s">
        <v>785</v>
      </c>
      <c r="E1902" s="122" t="str">
        <f t="shared" si="29"/>
        <v xml:space="preserve">6010 : 대사파일이　일치하지　않습니다．      </v>
      </c>
    </row>
    <row r="1903" spans="1:5" s="64" customFormat="1">
      <c r="A1903" s="316" t="s">
        <v>4635</v>
      </c>
      <c r="B1903" s="123" t="s">
        <v>7609</v>
      </c>
      <c r="C1903" s="256" t="s">
        <v>7269</v>
      </c>
      <c r="D1903" s="328" t="s">
        <v>784</v>
      </c>
      <c r="E1903" s="122" t="str">
        <f t="shared" si="29"/>
        <v xml:space="preserve">6011 : 서버간거래개시가정상적으로 됨       </v>
      </c>
    </row>
    <row r="1904" spans="1:5" s="64" customFormat="1">
      <c r="A1904" s="316" t="s">
        <v>4635</v>
      </c>
      <c r="B1904" s="123" t="s">
        <v>7609</v>
      </c>
      <c r="C1904" s="256" t="s">
        <v>7270</v>
      </c>
      <c r="D1904" s="328" t="s">
        <v>783</v>
      </c>
      <c r="E1904" s="122" t="str">
        <f t="shared" si="29"/>
        <v xml:space="preserve">6012 : 업무거래개시시각은09:30입니다       </v>
      </c>
    </row>
    <row r="1905" spans="1:5" s="64" customFormat="1">
      <c r="A1905" s="316" t="s">
        <v>4635</v>
      </c>
      <c r="B1905" s="123" t="s">
        <v>7609</v>
      </c>
      <c r="C1905" s="256" t="s">
        <v>7271</v>
      </c>
      <c r="D1905" s="328" t="s">
        <v>782</v>
      </c>
      <c r="E1905" s="122" t="str">
        <f t="shared" si="29"/>
        <v xml:space="preserve">6013 : 업무거래개시가 정상적으로됨         </v>
      </c>
    </row>
    <row r="1906" spans="1:5" s="64" customFormat="1">
      <c r="A1906" s="316" t="s">
        <v>4635</v>
      </c>
      <c r="B1906" s="123" t="s">
        <v>7609</v>
      </c>
      <c r="C1906" s="256" t="s">
        <v>7272</v>
      </c>
      <c r="D1906" s="328" t="s">
        <v>781</v>
      </c>
      <c r="E1906" s="122" t="str">
        <f t="shared" si="29"/>
        <v xml:space="preserve">6014 : 예비종료시각은17:00입니다           </v>
      </c>
    </row>
    <row r="1907" spans="1:5" s="64" customFormat="1">
      <c r="A1907" s="316" t="s">
        <v>4635</v>
      </c>
      <c r="B1907" s="123" t="s">
        <v>7609</v>
      </c>
      <c r="C1907" s="256" t="s">
        <v>7273</v>
      </c>
      <c r="D1907" s="328" t="s">
        <v>780</v>
      </c>
      <c r="E1907" s="122" t="str">
        <f t="shared" si="29"/>
        <v xml:space="preserve">6015 : 예비종료이후에접수된자료처리불가함    </v>
      </c>
    </row>
    <row r="1908" spans="1:5" s="64" customFormat="1">
      <c r="A1908" s="316" t="s">
        <v>4635</v>
      </c>
      <c r="B1908" s="123" t="s">
        <v>7609</v>
      </c>
      <c r="C1908" s="256" t="s">
        <v>7274</v>
      </c>
      <c r="D1908" s="328" t="s">
        <v>779</v>
      </c>
      <c r="E1908" s="122" t="str">
        <f t="shared" si="29"/>
        <v xml:space="preserve">6016 : 예비종료가　정상적으로　되었습니다．  </v>
      </c>
    </row>
    <row r="1909" spans="1:5" s="64" customFormat="1">
      <c r="A1909" s="316" t="s">
        <v>4635</v>
      </c>
      <c r="B1909" s="123" t="s">
        <v>7609</v>
      </c>
      <c r="C1909" s="256" t="s">
        <v>7275</v>
      </c>
      <c r="D1909" s="328" t="s">
        <v>778</v>
      </c>
      <c r="E1909" s="122" t="str">
        <f t="shared" si="29"/>
        <v xml:space="preserve">6017 : 이미　예비종료가　되었습니다．        </v>
      </c>
    </row>
    <row r="1910" spans="1:5" s="64" customFormat="1">
      <c r="A1910" s="316" t="s">
        <v>4635</v>
      </c>
      <c r="B1910" s="123" t="s">
        <v>7609</v>
      </c>
      <c r="C1910" s="256" t="s">
        <v>7276</v>
      </c>
      <c r="D1910" s="328" t="s">
        <v>777</v>
      </c>
      <c r="E1910" s="122" t="str">
        <f t="shared" si="29"/>
        <v xml:space="preserve">6018 : 정상적으로　대사를　완료하였습니다．  </v>
      </c>
    </row>
    <row r="1911" spans="1:5" s="64" customFormat="1">
      <c r="A1911" s="316" t="s">
        <v>4635</v>
      </c>
      <c r="B1911" s="123" t="s">
        <v>7609</v>
      </c>
      <c r="C1911" s="256" t="s">
        <v>7277</v>
      </c>
      <c r="D1911" s="328" t="s">
        <v>776</v>
      </c>
      <c r="E1911" s="122" t="str">
        <f t="shared" si="29"/>
        <v xml:space="preserve">6019 : 정상적으로대사화일을만들었습니다      </v>
      </c>
    </row>
    <row r="1912" spans="1:5" s="64" customFormat="1">
      <c r="A1912" s="316" t="s">
        <v>4635</v>
      </c>
      <c r="B1912" s="123" t="s">
        <v>7609</v>
      </c>
      <c r="C1912" s="256" t="s">
        <v>7278</v>
      </c>
      <c r="D1912" s="328" t="s">
        <v>775</v>
      </c>
      <c r="E1912" s="122" t="str">
        <f t="shared" si="29"/>
        <v xml:space="preserve">6020 : 집계　시각은　１７：１５　입니다．    </v>
      </c>
    </row>
    <row r="1913" spans="1:5" s="64" customFormat="1">
      <c r="A1913" s="316" t="s">
        <v>4635</v>
      </c>
      <c r="B1913" s="123" t="s">
        <v>7609</v>
      </c>
      <c r="C1913" s="256" t="s">
        <v>7279</v>
      </c>
      <c r="D1913" s="328" t="s">
        <v>774</v>
      </c>
      <c r="E1913" s="122" t="str">
        <f t="shared" si="29"/>
        <v xml:space="preserve">6021 : 집계가　정상적으로　되었습니다．      </v>
      </c>
    </row>
    <row r="1914" spans="1:5" s="64" customFormat="1">
      <c r="A1914" s="316" t="s">
        <v>4635</v>
      </c>
      <c r="B1914" s="123" t="s">
        <v>7609</v>
      </c>
      <c r="C1914" s="256" t="s">
        <v>7280</v>
      </c>
      <c r="D1914" s="328" t="s">
        <v>773</v>
      </c>
      <c r="E1914" s="122" t="str">
        <f t="shared" si="29"/>
        <v xml:space="preserve">6022 : 집계자료가　일치　합니다．            </v>
      </c>
    </row>
    <row r="1915" spans="1:5" s="64" customFormat="1">
      <c r="A1915" s="316" t="s">
        <v>4635</v>
      </c>
      <c r="B1915" s="123" t="s">
        <v>7609</v>
      </c>
      <c r="C1915" s="256" t="s">
        <v>7281</v>
      </c>
      <c r="D1915" s="328" t="s">
        <v>772</v>
      </c>
      <c r="E1915" s="122" t="str">
        <f t="shared" si="29"/>
        <v xml:space="preserve">6023 : 집계자료가　일치하지　않습니다．　    </v>
      </c>
    </row>
    <row r="1916" spans="1:5" s="64" customFormat="1">
      <c r="A1916" s="316" t="s">
        <v>4635</v>
      </c>
      <c r="B1916" s="123" t="s">
        <v>7609</v>
      </c>
      <c r="C1916" s="256" t="s">
        <v>7282</v>
      </c>
      <c r="D1916" s="328" t="s">
        <v>771</v>
      </c>
      <c r="E1916" s="122" t="str">
        <f t="shared" si="29"/>
        <v xml:space="preserve">6024 : 서버기관간메세지교환정보를상대에통보  </v>
      </c>
    </row>
    <row r="1917" spans="1:5" s="64" customFormat="1">
      <c r="A1917" s="316" t="s">
        <v>4635</v>
      </c>
      <c r="B1917" s="123" t="s">
        <v>7609</v>
      </c>
      <c r="C1917" s="256" t="s">
        <v>7283</v>
      </c>
      <c r="D1917" s="328" t="s">
        <v>770</v>
      </c>
      <c r="E1917" s="122" t="str">
        <f t="shared" si="29"/>
        <v xml:space="preserve">6025 : 신청기관장애정보를전체참가기관에통보  </v>
      </c>
    </row>
    <row r="1918" spans="1:5" s="64" customFormat="1">
      <c r="A1918" s="316" t="s">
        <v>4635</v>
      </c>
      <c r="B1918" s="123" t="s">
        <v>7609</v>
      </c>
      <c r="C1918" s="256" t="s">
        <v>7284</v>
      </c>
      <c r="D1918" s="328" t="s">
        <v>769</v>
      </c>
      <c r="E1918" s="122" t="str">
        <f t="shared" si="29"/>
        <v xml:space="preserve">6026 : 업무개시통보응답에러입니다            </v>
      </c>
    </row>
    <row r="1919" spans="1:5" s="64" customFormat="1">
      <c r="A1919" s="316" t="s">
        <v>4635</v>
      </c>
      <c r="B1919" s="123" t="s">
        <v>7609</v>
      </c>
      <c r="C1919" s="256" t="s">
        <v>7285</v>
      </c>
      <c r="D1919" s="328" t="s">
        <v>768</v>
      </c>
      <c r="E1919" s="122" t="str">
        <f t="shared" si="29"/>
        <v xml:space="preserve">6027 : 예비종료　통보응답　에러　입니다．    </v>
      </c>
    </row>
    <row r="1920" spans="1:5" s="64" customFormat="1">
      <c r="A1920" s="316" t="s">
        <v>4635</v>
      </c>
      <c r="B1920" s="123" t="s">
        <v>7609</v>
      </c>
      <c r="C1920" s="256" t="s">
        <v>7286</v>
      </c>
      <c r="D1920" s="328" t="s">
        <v>767</v>
      </c>
      <c r="E1920" s="122" t="str">
        <f t="shared" si="29"/>
        <v xml:space="preserve">6028 : 집계　통보응답　에러　입니다．        </v>
      </c>
    </row>
    <row r="1921" spans="1:5" s="64" customFormat="1">
      <c r="A1921" s="316" t="s">
        <v>4635</v>
      </c>
      <c r="B1921" s="123" t="s">
        <v>7609</v>
      </c>
      <c r="C1921" s="256" t="s">
        <v>7287</v>
      </c>
      <c r="D1921" s="328" t="s">
        <v>766</v>
      </c>
      <c r="E1921" s="122" t="str">
        <f t="shared" si="29"/>
        <v xml:space="preserve">6029 : 대사결과송신통보응답에러입니다        </v>
      </c>
    </row>
    <row r="1922" spans="1:5" s="64" customFormat="1">
      <c r="A1922" s="316" t="s">
        <v>4635</v>
      </c>
      <c r="B1922" s="123" t="s">
        <v>7609</v>
      </c>
      <c r="C1922" s="256" t="s">
        <v>7288</v>
      </c>
      <c r="D1922" s="328" t="s">
        <v>765</v>
      </c>
      <c r="E1922" s="122" t="str">
        <f t="shared" si="29"/>
        <v xml:space="preserve">6030 : 거래종료　통보응답　에러　입니다．    </v>
      </c>
    </row>
    <row r="1923" spans="1:5" s="64" customFormat="1">
      <c r="A1923" s="316" t="s">
        <v>4635</v>
      </c>
      <c r="B1923" s="123" t="s">
        <v>7609</v>
      </c>
      <c r="C1923" s="256" t="s">
        <v>7289</v>
      </c>
      <c r="D1923" s="328" t="s">
        <v>764</v>
      </c>
      <c r="E1923" s="122" t="str">
        <f t="shared" si="29"/>
        <v xml:space="preserve">6031 : 집계취소가　정상적으로　되었습니다．  </v>
      </c>
    </row>
    <row r="1924" spans="1:5" s="64" customFormat="1">
      <c r="A1924" s="316" t="s">
        <v>4635</v>
      </c>
      <c r="B1924" s="123" t="s">
        <v>7609</v>
      </c>
      <c r="C1924" s="256" t="s">
        <v>7290</v>
      </c>
      <c r="D1924" s="328" t="s">
        <v>763</v>
      </c>
      <c r="E1924" s="122" t="str">
        <f t="shared" ref="E1924:E1987" si="30">_xlfn.TEXTJOIN(" : ",FALSE,C1924:D1924)</f>
        <v xml:space="preserve">6032 : 예비종료취소가 정상적으로되었습니다 </v>
      </c>
    </row>
    <row r="1925" spans="1:5" s="64" customFormat="1">
      <c r="A1925" s="316" t="s">
        <v>4635</v>
      </c>
      <c r="B1925" s="123" t="s">
        <v>7609</v>
      </c>
      <c r="C1925" s="256" t="s">
        <v>7291</v>
      </c>
      <c r="D1925" s="328" t="s">
        <v>762</v>
      </c>
      <c r="E1925" s="122" t="str">
        <f t="shared" si="30"/>
        <v xml:space="preserve">6033 : 거래종료취소가 정상적으로되었습니다 </v>
      </c>
    </row>
    <row r="1926" spans="1:5" s="64" customFormat="1">
      <c r="A1926" s="316" t="s">
        <v>4635</v>
      </c>
      <c r="B1926" s="123" t="s">
        <v>7609</v>
      </c>
      <c r="C1926" s="256" t="s">
        <v>7292</v>
      </c>
      <c r="D1926" s="328" t="s">
        <v>761</v>
      </c>
      <c r="E1926" s="122" t="str">
        <f t="shared" si="30"/>
        <v xml:space="preserve">6034 : 장애구분　입력　오류　입니다.         </v>
      </c>
    </row>
    <row r="1927" spans="1:5" s="64" customFormat="1">
      <c r="A1927" s="316" t="s">
        <v>4635</v>
      </c>
      <c r="B1927" s="123" t="s">
        <v>7609</v>
      </c>
      <c r="C1927" s="256" t="s">
        <v>7293</v>
      </c>
      <c r="D1927" s="328" t="s">
        <v>760</v>
      </c>
      <c r="E1927" s="122" t="str">
        <f t="shared" si="30"/>
        <v xml:space="preserve">6035 : 이미　장애등록　처리　되었습니다.     </v>
      </c>
    </row>
    <row r="1928" spans="1:5" s="64" customFormat="1">
      <c r="A1928" s="316" t="s">
        <v>4635</v>
      </c>
      <c r="B1928" s="123" t="s">
        <v>7609</v>
      </c>
      <c r="C1928" s="256" t="s">
        <v>7294</v>
      </c>
      <c r="D1928" s="328" t="s">
        <v>759</v>
      </c>
      <c r="E1928" s="122" t="str">
        <f t="shared" si="30"/>
        <v xml:space="preserve">6036 : 이미　장애해지　처리　되었습니다.     </v>
      </c>
    </row>
    <row r="1929" spans="1:5" s="64" customFormat="1">
      <c r="A1929" s="316" t="s">
        <v>4635</v>
      </c>
      <c r="B1929" s="123" t="s">
        <v>7609</v>
      </c>
      <c r="C1929" s="256" t="s">
        <v>7295</v>
      </c>
      <c r="D1929" s="328" t="s">
        <v>758</v>
      </c>
      <c r="E1929" s="122" t="str">
        <f t="shared" si="30"/>
        <v xml:space="preserve">6037 : 단말전환여부　입력　오류　입니다.     </v>
      </c>
    </row>
    <row r="1930" spans="1:5" s="64" customFormat="1">
      <c r="A1930" s="316" t="s">
        <v>4635</v>
      </c>
      <c r="B1930" s="123" t="s">
        <v>7609</v>
      </c>
      <c r="C1930" s="256" t="s">
        <v>7296</v>
      </c>
      <c r="D1930" s="328" t="s">
        <v>757</v>
      </c>
      <c r="E1930" s="122" t="str">
        <f t="shared" si="30"/>
        <v xml:space="preserve">6038 : 서버　참가기관이　아닙니다.           </v>
      </c>
    </row>
    <row r="1931" spans="1:5" s="64" customFormat="1">
      <c r="A1931" s="316" t="s">
        <v>4635</v>
      </c>
      <c r="B1931" s="123" t="s">
        <v>7609</v>
      </c>
      <c r="C1931" s="256" t="s">
        <v>7297</v>
      </c>
      <c r="D1931" s="328" t="s">
        <v>756</v>
      </c>
      <c r="E1931" s="122" t="str">
        <f t="shared" si="30"/>
        <v xml:space="preserve">6039 : 파일　송수신구분　오류　입니다        </v>
      </c>
    </row>
    <row r="1932" spans="1:5" s="64" customFormat="1">
      <c r="A1932" s="316" t="s">
        <v>4635</v>
      </c>
      <c r="B1932" s="123" t="s">
        <v>7609</v>
      </c>
      <c r="C1932" s="256" t="s">
        <v>7298</v>
      </c>
      <c r="D1932" s="328" t="s">
        <v>755</v>
      </c>
      <c r="E1932" s="122" t="str">
        <f t="shared" si="30"/>
        <v xml:space="preserve">6040 : 파일　송수신　처리구분　오류　입니다  </v>
      </c>
    </row>
    <row r="1933" spans="1:5" s="64" customFormat="1">
      <c r="A1933" s="316" t="s">
        <v>4635</v>
      </c>
      <c r="B1933" s="123" t="s">
        <v>7609</v>
      </c>
      <c r="C1933" s="256" t="s">
        <v>7299</v>
      </c>
      <c r="D1933" s="328" t="s">
        <v>754</v>
      </c>
      <c r="E1933" s="122" t="str">
        <f t="shared" si="30"/>
        <v xml:space="preserve">6041 : 집계지시　미응답　기관　입니다        </v>
      </c>
    </row>
    <row r="1934" spans="1:5" s="64" customFormat="1">
      <c r="A1934" s="316" t="s">
        <v>4635</v>
      </c>
      <c r="B1934" s="123" t="s">
        <v>7609</v>
      </c>
      <c r="C1934" s="256" t="s">
        <v>7300</v>
      </c>
      <c r="D1934" s="328" t="s">
        <v>753</v>
      </c>
      <c r="E1934" s="122" t="str">
        <f t="shared" si="30"/>
        <v xml:space="preserve">6042 : 서버간　거래개시　전　입니다.         </v>
      </c>
    </row>
    <row r="1935" spans="1:5" s="64" customFormat="1">
      <c r="A1935" s="316" t="s">
        <v>4635</v>
      </c>
      <c r="B1935" s="123" t="s">
        <v>7609</v>
      </c>
      <c r="C1935" s="256" t="s">
        <v>7301</v>
      </c>
      <c r="D1935" s="328" t="s">
        <v>752</v>
      </c>
      <c r="E1935" s="122" t="str">
        <f t="shared" si="30"/>
        <v xml:space="preserve">6043 : 당일　단말전환후　서버전환　불가      </v>
      </c>
    </row>
    <row r="1936" spans="1:5" s="64" customFormat="1">
      <c r="A1936" s="316" t="s">
        <v>4635</v>
      </c>
      <c r="B1936" s="123" t="s">
        <v>7609</v>
      </c>
      <c r="C1936" s="256" t="s">
        <v>7302</v>
      </c>
      <c r="D1936" s="328" t="s">
        <v>751</v>
      </c>
      <c r="E1936" s="122" t="str">
        <f t="shared" si="30"/>
        <v xml:space="preserve">6044 : 서버참가기관　진행상황　자료　없음    </v>
      </c>
    </row>
    <row r="1937" spans="1:5" s="64" customFormat="1">
      <c r="A1937" s="316" t="s">
        <v>4635</v>
      </c>
      <c r="B1937" s="123" t="s">
        <v>7609</v>
      </c>
      <c r="C1937" s="256" t="s">
        <v>7303</v>
      </c>
      <c r="D1937" s="328" t="s">
        <v>750</v>
      </c>
      <c r="E1937" s="122" t="str">
        <f t="shared" si="30"/>
        <v xml:space="preserve">6045 : 대사자료　거래구분　오류              </v>
      </c>
    </row>
    <row r="1938" spans="1:5" s="64" customFormat="1">
      <c r="A1938" s="316" t="s">
        <v>4635</v>
      </c>
      <c r="B1938" s="123" t="s">
        <v>7609</v>
      </c>
      <c r="C1938" s="256" t="s">
        <v>7304</v>
      </c>
      <c r="D1938" s="328" t="s">
        <v>749</v>
      </c>
      <c r="E1938" s="122" t="str">
        <f t="shared" si="30"/>
        <v xml:space="preserve">6046 : 대사자료　HEAD/TRAIL　건수　상이    </v>
      </c>
    </row>
    <row r="1939" spans="1:5" s="64" customFormat="1">
      <c r="A1939" s="316" t="s">
        <v>4635</v>
      </c>
      <c r="B1939" s="123" t="s">
        <v>7609</v>
      </c>
      <c r="C1939" s="256" t="s">
        <v>7305</v>
      </c>
      <c r="D1939" s="328" t="s">
        <v>748</v>
      </c>
      <c r="E1939" s="122" t="str">
        <f t="shared" si="30"/>
        <v xml:space="preserve">6047 : 대사자료　반복횟수　오류              </v>
      </c>
    </row>
    <row r="1940" spans="1:5" s="64" customFormat="1">
      <c r="A1940" s="316" t="s">
        <v>4635</v>
      </c>
      <c r="B1940" s="123" t="s">
        <v>7609</v>
      </c>
      <c r="C1940" s="256" t="s">
        <v>7306</v>
      </c>
      <c r="D1940" s="328" t="s">
        <v>747</v>
      </c>
      <c r="E1940" s="122" t="str">
        <f t="shared" si="30"/>
        <v>6048 : 서버참가기관　대사자료송수신　자료없음</v>
      </c>
    </row>
    <row r="1941" spans="1:5" s="64" customFormat="1">
      <c r="A1941" s="316" t="s">
        <v>4635</v>
      </c>
      <c r="B1941" s="123" t="s">
        <v>7609</v>
      </c>
      <c r="C1941" s="256" t="s">
        <v>7307</v>
      </c>
      <c r="D1941" s="328" t="s">
        <v>746</v>
      </c>
      <c r="E1941" s="122" t="str">
        <f t="shared" si="30"/>
        <v xml:space="preserve">6049 : 대사자료　DATA구분　오류            </v>
      </c>
    </row>
    <row r="1942" spans="1:5" s="64" customFormat="1">
      <c r="A1942" s="316" t="s">
        <v>4635</v>
      </c>
      <c r="B1942" s="123" t="s">
        <v>7609</v>
      </c>
      <c r="C1942" s="256" t="s">
        <v>7308</v>
      </c>
      <c r="D1942" s="328" t="s">
        <v>745</v>
      </c>
      <c r="E1942" s="122" t="str">
        <f t="shared" si="30"/>
        <v xml:space="preserve">6050 : 대사업무구분　오류                    </v>
      </c>
    </row>
    <row r="1943" spans="1:5" s="64" customFormat="1">
      <c r="A1943" s="316" t="s">
        <v>4635</v>
      </c>
      <c r="B1943" s="123" t="s">
        <v>7609</v>
      </c>
      <c r="C1943" s="256" t="s">
        <v>7309</v>
      </c>
      <c r="D1943" s="328" t="s">
        <v>744</v>
      </c>
      <c r="E1943" s="122" t="str">
        <f t="shared" si="30"/>
        <v xml:space="preserve">6051 : 대사자료　HEAD/DATA　건수　상이     </v>
      </c>
    </row>
    <row r="1944" spans="1:5" s="64" customFormat="1">
      <c r="A1944" s="316" t="s">
        <v>4635</v>
      </c>
      <c r="B1944" s="123" t="s">
        <v>7609</v>
      </c>
      <c r="C1944" s="256" t="s">
        <v>7310</v>
      </c>
      <c r="D1944" s="328" t="s">
        <v>743</v>
      </c>
      <c r="E1944" s="122" t="str">
        <f t="shared" si="30"/>
        <v xml:space="preserve">6052 : 대사내역 없음(대사결과 미통지)  </v>
      </c>
    </row>
    <row r="1945" spans="1:5" s="64" customFormat="1">
      <c r="A1945" s="316" t="s">
        <v>4635</v>
      </c>
      <c r="B1945" s="123" t="s">
        <v>7609</v>
      </c>
      <c r="C1945" s="256" t="s">
        <v>7311</v>
      </c>
      <c r="D1945" s="328" t="s">
        <v>742</v>
      </c>
      <c r="E1945" s="122" t="str">
        <f t="shared" si="30"/>
        <v xml:space="preserve">6053 : 요청전문관리번호 오류               </v>
      </c>
    </row>
    <row r="1946" spans="1:5" s="64" customFormat="1">
      <c r="A1946" s="316" t="s">
        <v>4635</v>
      </c>
      <c r="B1946" s="123" t="s">
        <v>7609</v>
      </c>
      <c r="C1946" s="256" t="s">
        <v>7312</v>
      </c>
      <c r="D1946" s="328" t="s">
        <v>741</v>
      </c>
      <c r="E1946" s="122" t="str">
        <f t="shared" si="30"/>
        <v xml:space="preserve">6054 : 이체수취구분 오류                   </v>
      </c>
    </row>
    <row r="1947" spans="1:5" s="64" customFormat="1">
      <c r="A1947" s="316" t="s">
        <v>4635</v>
      </c>
      <c r="B1947" s="123" t="s">
        <v>7609</v>
      </c>
      <c r="C1947" s="256" t="s">
        <v>7313</v>
      </c>
      <c r="D1947" s="328" t="s">
        <v>740</v>
      </c>
      <c r="E1947" s="122" t="str">
        <f t="shared" si="30"/>
        <v xml:space="preserve">6055 : 총괄계리마감이 안되었습니다         </v>
      </c>
    </row>
    <row r="1948" spans="1:5" s="64" customFormat="1">
      <c r="A1948" s="316" t="s">
        <v>4635</v>
      </c>
      <c r="B1948" s="123" t="s">
        <v>7609</v>
      </c>
      <c r="C1948" s="256" t="s">
        <v>7314</v>
      </c>
      <c r="D1948" s="328" t="s">
        <v>739</v>
      </c>
      <c r="E1948" s="122" t="str">
        <f t="shared" si="30"/>
        <v xml:space="preserve">6056 : 집계 작성구분 오류                </v>
      </c>
    </row>
    <row r="1949" spans="1:5" s="64" customFormat="1">
      <c r="A1949" s="316" t="s">
        <v>4635</v>
      </c>
      <c r="B1949" s="123" t="s">
        <v>7609</v>
      </c>
      <c r="C1949" s="256" t="s">
        <v>7315</v>
      </c>
      <c r="D1949" s="328" t="s">
        <v>738</v>
      </c>
      <c r="E1949" s="122" t="str">
        <f t="shared" si="30"/>
        <v xml:space="preserve">6057 : 참가기관 대사자료 중복 오류     </v>
      </c>
    </row>
    <row r="1950" spans="1:5" s="64" customFormat="1">
      <c r="A1950" s="316" t="s">
        <v>4635</v>
      </c>
      <c r="B1950" s="123" t="s">
        <v>7609</v>
      </c>
      <c r="C1950" s="256" t="s">
        <v>7316</v>
      </c>
      <c r="D1950" s="328" t="s">
        <v>737</v>
      </c>
      <c r="E1950" s="122" t="str">
        <f t="shared" si="30"/>
        <v xml:space="preserve">6058 : 업무코드오류                          </v>
      </c>
    </row>
    <row r="1951" spans="1:5" s="64" customFormat="1">
      <c r="A1951" s="316" t="s">
        <v>4635</v>
      </c>
      <c r="B1951" s="123" t="s">
        <v>7609</v>
      </c>
      <c r="C1951" s="256" t="s">
        <v>7317</v>
      </c>
      <c r="D1951" s="328" t="s">
        <v>736</v>
      </c>
      <c r="E1951" s="122" t="str">
        <f t="shared" si="30"/>
        <v xml:space="preserve">6059 : 종별코드오류                          </v>
      </c>
    </row>
    <row r="1952" spans="1:5" s="64" customFormat="1">
      <c r="A1952" s="316" t="s">
        <v>4635</v>
      </c>
      <c r="B1952" s="123" t="s">
        <v>7609</v>
      </c>
      <c r="C1952" s="256" t="s">
        <v>7318</v>
      </c>
      <c r="D1952" s="328" t="s">
        <v>735</v>
      </c>
      <c r="E1952" s="122" t="str">
        <f t="shared" si="30"/>
        <v xml:space="preserve">6060 : 거래코드오류                          </v>
      </c>
    </row>
    <row r="1953" spans="1:5" s="64" customFormat="1">
      <c r="A1953" s="316" t="s">
        <v>4635</v>
      </c>
      <c r="B1953" s="123" t="s">
        <v>7609</v>
      </c>
      <c r="C1953" s="256" t="s">
        <v>7319</v>
      </c>
      <c r="D1953" s="328" t="s">
        <v>734</v>
      </c>
      <c r="E1953" s="122" t="str">
        <f t="shared" si="30"/>
        <v xml:space="preserve">6061 : 종별코드불일치오류                    </v>
      </c>
    </row>
    <row r="1954" spans="1:5" s="64" customFormat="1">
      <c r="A1954" s="316" t="s">
        <v>4635</v>
      </c>
      <c r="B1954" s="123" t="s">
        <v>7609</v>
      </c>
      <c r="C1954" s="256" t="s">
        <v>7320</v>
      </c>
      <c r="D1954" s="328" t="s">
        <v>733</v>
      </c>
      <c r="E1954" s="122" t="str">
        <f t="shared" si="30"/>
        <v xml:space="preserve">6062 : 거래코드불일치오류                    </v>
      </c>
    </row>
    <row r="1955" spans="1:5" s="64" customFormat="1">
      <c r="A1955" s="316" t="s">
        <v>4635</v>
      </c>
      <c r="B1955" s="123" t="s">
        <v>7609</v>
      </c>
      <c r="C1955" s="256" t="s">
        <v>7321</v>
      </c>
      <c r="D1955" s="328" t="s">
        <v>732</v>
      </c>
      <c r="E1955" s="122" t="str">
        <f t="shared" si="30"/>
        <v xml:space="preserve">6063 : 불럭번호오류                          </v>
      </c>
    </row>
    <row r="1956" spans="1:5" s="64" customFormat="1">
      <c r="A1956" s="316" t="s">
        <v>4635</v>
      </c>
      <c r="B1956" s="123" t="s">
        <v>7609</v>
      </c>
      <c r="C1956" s="256" t="s">
        <v>7322</v>
      </c>
      <c r="D1956" s="328" t="s">
        <v>731</v>
      </c>
      <c r="E1956" s="122" t="str">
        <f t="shared" si="30"/>
        <v xml:space="preserve">6064 : 데이터시퀀스오류                      </v>
      </c>
    </row>
    <row r="1957" spans="1:5" s="64" customFormat="1">
      <c r="A1957" s="316" t="s">
        <v>4635</v>
      </c>
      <c r="B1957" s="123" t="s">
        <v>7609</v>
      </c>
      <c r="C1957" s="256" t="s">
        <v>7323</v>
      </c>
      <c r="D1957" s="328" t="s">
        <v>730</v>
      </c>
      <c r="E1957" s="122" t="str">
        <f t="shared" si="30"/>
        <v xml:space="preserve">6065 : TIME-OUT오류                          </v>
      </c>
    </row>
    <row r="1958" spans="1:5" s="64" customFormat="1">
      <c r="A1958" s="316" t="s">
        <v>4635</v>
      </c>
      <c r="B1958" s="123" t="s">
        <v>7609</v>
      </c>
      <c r="C1958" s="256" t="s">
        <v>7324</v>
      </c>
      <c r="D1958" s="328" t="s">
        <v>729</v>
      </c>
      <c r="E1958" s="122" t="str">
        <f t="shared" si="30"/>
        <v xml:space="preserve">6066 : 결번확인오류                          </v>
      </c>
    </row>
    <row r="1959" spans="1:5" s="64" customFormat="1">
      <c r="A1959" s="316" t="s">
        <v>4635</v>
      </c>
      <c r="B1959" s="123" t="s">
        <v>7609</v>
      </c>
      <c r="C1959" s="256" t="s">
        <v>7325</v>
      </c>
      <c r="D1959" s="328" t="s">
        <v>728</v>
      </c>
      <c r="E1959" s="122" t="str">
        <f t="shared" si="30"/>
        <v xml:space="preserve">6067 : 중복수신오류                          </v>
      </c>
    </row>
    <row r="1960" spans="1:5" s="64" customFormat="1">
      <c r="A1960" s="316" t="s">
        <v>4635</v>
      </c>
      <c r="B1960" s="123" t="s">
        <v>7609</v>
      </c>
      <c r="C1960" s="256" t="s">
        <v>7326</v>
      </c>
      <c r="D1960" s="328" t="s">
        <v>727</v>
      </c>
      <c r="E1960" s="122" t="str">
        <f t="shared" si="30"/>
        <v xml:space="preserve">6068 : 비밀번호오류                          </v>
      </c>
    </row>
    <row r="1961" spans="1:5" s="64" customFormat="1">
      <c r="A1961" s="316" t="s">
        <v>4635</v>
      </c>
      <c r="B1961" s="123" t="s">
        <v>7609</v>
      </c>
      <c r="C1961" s="256" t="s">
        <v>7327</v>
      </c>
      <c r="D1961" s="328" t="s">
        <v>726</v>
      </c>
      <c r="E1961" s="122" t="str">
        <f t="shared" si="30"/>
        <v xml:space="preserve">6069 : 참가기관ID오류                      </v>
      </c>
    </row>
    <row r="1962" spans="1:5" s="64" customFormat="1">
      <c r="A1962" s="316" t="s">
        <v>4635</v>
      </c>
      <c r="B1962" s="123" t="s">
        <v>7609</v>
      </c>
      <c r="C1962" s="256" t="s">
        <v>7328</v>
      </c>
      <c r="D1962" s="328" t="s">
        <v>725</v>
      </c>
      <c r="E1962" s="122" t="str">
        <f t="shared" si="30"/>
        <v xml:space="preserve">6070 : 업무게시전오류                        </v>
      </c>
    </row>
    <row r="1963" spans="1:5" s="64" customFormat="1">
      <c r="A1963" s="316" t="s">
        <v>4635</v>
      </c>
      <c r="B1963" s="123" t="s">
        <v>7609</v>
      </c>
      <c r="C1963" s="256" t="s">
        <v>7329</v>
      </c>
      <c r="D1963" s="328" t="s">
        <v>724</v>
      </c>
      <c r="E1963" s="122" t="str">
        <f t="shared" si="30"/>
        <v xml:space="preserve">6071 : 집계응답전문미수신                    </v>
      </c>
    </row>
    <row r="1964" spans="1:5" s="64" customFormat="1">
      <c r="A1964" s="316" t="s">
        <v>4635</v>
      </c>
      <c r="B1964" s="123" t="s">
        <v>7609</v>
      </c>
      <c r="C1964" s="256" t="s">
        <v>7330</v>
      </c>
      <c r="D1964" s="328" t="s">
        <v>723</v>
      </c>
      <c r="E1964" s="122" t="str">
        <f t="shared" si="30"/>
        <v xml:space="preserve">6072 : 응답코드오류                          </v>
      </c>
    </row>
    <row r="1965" spans="1:5" s="64" customFormat="1">
      <c r="A1965" s="316" t="s">
        <v>4635</v>
      </c>
      <c r="B1965" s="123" t="s">
        <v>7609</v>
      </c>
      <c r="C1965" s="256" t="s">
        <v>7331</v>
      </c>
      <c r="D1965" s="328" t="s">
        <v>722</v>
      </c>
      <c r="E1965" s="122" t="str">
        <f t="shared" si="30"/>
        <v xml:space="preserve">6073 : 회선이상                              </v>
      </c>
    </row>
    <row r="1966" spans="1:5" s="64" customFormat="1">
      <c r="A1966" s="316" t="s">
        <v>4635</v>
      </c>
      <c r="B1966" s="123" t="s">
        <v>7609</v>
      </c>
      <c r="C1966" s="256" t="s">
        <v>7332</v>
      </c>
      <c r="D1966" s="328" t="s">
        <v>721</v>
      </c>
      <c r="E1966" s="122" t="str">
        <f t="shared" si="30"/>
        <v xml:space="preserve">6074 : 파일열기오류                          </v>
      </c>
    </row>
    <row r="1967" spans="1:5" s="64" customFormat="1">
      <c r="A1967" s="316" t="s">
        <v>4635</v>
      </c>
      <c r="B1967" s="123" t="s">
        <v>7609</v>
      </c>
      <c r="C1967" s="256" t="s">
        <v>7333</v>
      </c>
      <c r="D1967" s="328" t="s">
        <v>720</v>
      </c>
      <c r="E1967" s="122" t="str">
        <f t="shared" si="30"/>
        <v xml:space="preserve">6075 : 송수신오류                            </v>
      </c>
    </row>
    <row r="1968" spans="1:5" s="64" customFormat="1">
      <c r="A1968" s="316" t="s">
        <v>4635</v>
      </c>
      <c r="B1968" s="123" t="s">
        <v>7609</v>
      </c>
      <c r="C1968" s="256" t="s">
        <v>7334</v>
      </c>
      <c r="D1968" s="328" t="s">
        <v>719</v>
      </c>
      <c r="E1968" s="122" t="str">
        <f t="shared" si="30"/>
        <v xml:space="preserve">6076 : 송수신정상                            </v>
      </c>
    </row>
    <row r="1969" spans="1:5" s="64" customFormat="1">
      <c r="A1969" s="316" t="s">
        <v>4635</v>
      </c>
      <c r="B1969" s="123" t="s">
        <v>7609</v>
      </c>
      <c r="C1969" s="256" t="s">
        <v>7335</v>
      </c>
      <c r="D1969" s="328" t="s">
        <v>718</v>
      </c>
      <c r="E1969" s="122" t="str">
        <f t="shared" si="30"/>
        <v xml:space="preserve">6077 : 예비지시/취소구분 입력오류        </v>
      </c>
    </row>
    <row r="1970" spans="1:5" s="64" customFormat="1">
      <c r="A1970" s="316" t="s">
        <v>4635</v>
      </c>
      <c r="B1970" s="123" t="s">
        <v>7609</v>
      </c>
      <c r="C1970" s="256" t="s">
        <v>7336</v>
      </c>
      <c r="D1970" s="328" t="s">
        <v>717</v>
      </c>
      <c r="E1970" s="122" t="str">
        <f t="shared" si="30"/>
        <v xml:space="preserve">6078 : 집계지시/취소구분 입력오류        </v>
      </c>
    </row>
    <row r="1971" spans="1:5" s="64" customFormat="1">
      <c r="A1971" s="316" t="s">
        <v>4635</v>
      </c>
      <c r="B1971" s="123" t="s">
        <v>7609</v>
      </c>
      <c r="C1971" s="256" t="s">
        <v>7337</v>
      </c>
      <c r="D1971" s="328" t="s">
        <v>716</v>
      </c>
      <c r="E1971" s="122" t="str">
        <f t="shared" si="30"/>
        <v xml:space="preserve">6079 : 작업종료지시/취소구분 입력오류    </v>
      </c>
    </row>
    <row r="1972" spans="1:5" s="64" customFormat="1">
      <c r="A1972" s="316" t="s">
        <v>4635</v>
      </c>
      <c r="B1972" s="123" t="s">
        <v>7609</v>
      </c>
      <c r="C1972" s="256" t="s">
        <v>7338</v>
      </c>
      <c r="D1972" s="328" t="s">
        <v>715</v>
      </c>
      <c r="E1972" s="122" t="str">
        <f t="shared" si="30"/>
        <v xml:space="preserve">6080 : 거래일자가 영업일자와 다릅니다    </v>
      </c>
    </row>
    <row r="1973" spans="1:5" s="64" customFormat="1">
      <c r="A1973" s="316" t="s">
        <v>4635</v>
      </c>
      <c r="B1973" s="123" t="s">
        <v>7609</v>
      </c>
      <c r="C1973" s="256" t="s">
        <v>7339</v>
      </c>
      <c r="D1973" s="328" t="s">
        <v>714</v>
      </c>
      <c r="E1973" s="122" t="str">
        <f t="shared" si="30"/>
        <v xml:space="preserve">7000 : 점별정보파일　오류                    </v>
      </c>
    </row>
    <row r="1974" spans="1:5" s="64" customFormat="1">
      <c r="A1974" s="316" t="s">
        <v>4635</v>
      </c>
      <c r="B1974" s="123" t="s">
        <v>7609</v>
      </c>
      <c r="C1974" s="256" t="s">
        <v>7340</v>
      </c>
      <c r="D1974" s="328" t="s">
        <v>713</v>
      </c>
      <c r="E1974" s="122" t="str">
        <f t="shared" si="30"/>
        <v xml:space="preserve">7001 : 업무 미개시 상태입니다.           </v>
      </c>
    </row>
    <row r="1975" spans="1:5" s="64" customFormat="1">
      <c r="A1975" s="316" t="s">
        <v>4635</v>
      </c>
      <c r="B1975" s="123" t="s">
        <v>7609</v>
      </c>
      <c r="C1975" s="256" t="s">
        <v>7341</v>
      </c>
      <c r="D1975" s="328" t="s">
        <v>712</v>
      </c>
      <c r="E1975" s="122" t="str">
        <f t="shared" si="30"/>
        <v xml:space="preserve">7002 : 참가기관ID를 확인하시오.          </v>
      </c>
    </row>
    <row r="1976" spans="1:5" s="64" customFormat="1">
      <c r="A1976" s="316" t="s">
        <v>4635</v>
      </c>
      <c r="B1976" s="123" t="s">
        <v>7609</v>
      </c>
      <c r="C1976" s="256" t="s">
        <v>7342</v>
      </c>
      <c r="D1976" s="328" t="s">
        <v>711</v>
      </c>
      <c r="E1976" s="122" t="str">
        <f t="shared" si="30"/>
        <v xml:space="preserve">7003 : 비밀번호를 확인하시오.              </v>
      </c>
    </row>
    <row r="1977" spans="1:5" s="64" customFormat="1">
      <c r="A1977" s="316" t="s">
        <v>4635</v>
      </c>
      <c r="B1977" s="123" t="s">
        <v>7609</v>
      </c>
      <c r="C1977" s="256" t="s">
        <v>7343</v>
      </c>
      <c r="D1977" s="328" t="s">
        <v>710</v>
      </c>
      <c r="E1977" s="122" t="str">
        <f t="shared" si="30"/>
        <v xml:space="preserve">7004 : 참가기관ID가 존재하지 않습니다. </v>
      </c>
    </row>
    <row r="1978" spans="1:5" s="64" customFormat="1">
      <c r="A1978" s="316" t="s">
        <v>4635</v>
      </c>
      <c r="B1978" s="123" t="s">
        <v>7609</v>
      </c>
      <c r="C1978" s="256" t="s">
        <v>7344</v>
      </c>
      <c r="D1978" s="328" t="s">
        <v>709</v>
      </c>
      <c r="E1978" s="122" t="str">
        <f t="shared" si="30"/>
        <v xml:space="preserve">7005 : 비밀번호를 변경 후 사용하시오.  </v>
      </c>
    </row>
    <row r="1979" spans="1:5" s="64" customFormat="1">
      <c r="A1979" s="316" t="s">
        <v>4635</v>
      </c>
      <c r="B1979" s="123" t="s">
        <v>7609</v>
      </c>
      <c r="C1979" s="256" t="s">
        <v>7345</v>
      </c>
      <c r="D1979" s="328" t="s">
        <v>708</v>
      </c>
      <c r="E1979" s="122" t="str">
        <f t="shared" si="30"/>
        <v xml:space="preserve">7006 : 비밀번호 3회이상 오류             </v>
      </c>
    </row>
    <row r="1980" spans="1:5" s="64" customFormat="1">
      <c r="A1980" s="316" t="s">
        <v>4635</v>
      </c>
      <c r="B1980" s="123" t="s">
        <v>7609</v>
      </c>
      <c r="C1980" s="256" t="s">
        <v>7346</v>
      </c>
      <c r="D1980" s="328" t="s">
        <v>707</v>
      </c>
      <c r="E1980" s="122" t="str">
        <f t="shared" si="30"/>
        <v xml:space="preserve">7007 : 비밀번호 오류(1회)                </v>
      </c>
    </row>
    <row r="1981" spans="1:5" s="64" customFormat="1">
      <c r="A1981" s="316" t="s">
        <v>4635</v>
      </c>
      <c r="B1981" s="123" t="s">
        <v>7609</v>
      </c>
      <c r="C1981" s="256" t="s">
        <v>7347</v>
      </c>
      <c r="D1981" s="328" t="s">
        <v>706</v>
      </c>
      <c r="E1981" s="122" t="str">
        <f t="shared" si="30"/>
        <v xml:space="preserve">7008 : 비밀번호 오류(2회)                </v>
      </c>
    </row>
    <row r="1982" spans="1:5" s="64" customFormat="1">
      <c r="A1982" s="316" t="s">
        <v>4635</v>
      </c>
      <c r="B1982" s="123" t="s">
        <v>7609</v>
      </c>
      <c r="C1982" s="256" t="s">
        <v>7348</v>
      </c>
      <c r="D1982" s="328" t="s">
        <v>705</v>
      </c>
      <c r="E1982" s="122" t="str">
        <f t="shared" si="30"/>
        <v xml:space="preserve">7009 : 비밀번호 3회 이상 입력오류      </v>
      </c>
    </row>
    <row r="1983" spans="1:5" s="64" customFormat="1">
      <c r="A1983" s="316" t="s">
        <v>4635</v>
      </c>
      <c r="B1983" s="123" t="s">
        <v>7609</v>
      </c>
      <c r="C1983" s="256" t="s">
        <v>7349</v>
      </c>
      <c r="D1983" s="328" t="s">
        <v>704</v>
      </c>
      <c r="E1983" s="122" t="str">
        <f t="shared" si="30"/>
        <v xml:space="preserve">7010 : 비밀번호 갱신일(90일)이 초과  </v>
      </c>
    </row>
    <row r="1984" spans="1:5" s="64" customFormat="1">
      <c r="A1984" s="316" t="s">
        <v>4635</v>
      </c>
      <c r="B1984" s="123" t="s">
        <v>7609</v>
      </c>
      <c r="C1984" s="256" t="s">
        <v>7350</v>
      </c>
      <c r="D1984" s="328" t="s">
        <v>703</v>
      </c>
      <c r="E1984" s="122" t="str">
        <f t="shared" si="30"/>
        <v xml:space="preserve">7011 : 삭제된 참가기관ID입니다.          </v>
      </c>
    </row>
    <row r="1985" spans="1:5" s="64" customFormat="1">
      <c r="A1985" s="316" t="s">
        <v>4635</v>
      </c>
      <c r="B1985" s="123" t="s">
        <v>7609</v>
      </c>
      <c r="C1985" s="256" t="s">
        <v>7351</v>
      </c>
      <c r="D1985" s="328" t="s">
        <v>702</v>
      </c>
      <c r="E1985" s="122" t="str">
        <f t="shared" si="30"/>
        <v xml:space="preserve">7012 : 구비밀번호를 확인하십시오.          </v>
      </c>
    </row>
    <row r="1986" spans="1:5" s="64" customFormat="1">
      <c r="A1986" s="316" t="s">
        <v>4635</v>
      </c>
      <c r="B1986" s="123" t="s">
        <v>7609</v>
      </c>
      <c r="C1986" s="256" t="s">
        <v>7352</v>
      </c>
      <c r="D1986" s="328" t="s">
        <v>701</v>
      </c>
      <c r="E1986" s="122" t="str">
        <f t="shared" si="30"/>
        <v xml:space="preserve">7013 : 신비밀번호를 확인하십시오.          </v>
      </c>
    </row>
    <row r="1987" spans="1:5" s="64" customFormat="1">
      <c r="A1987" s="316" t="s">
        <v>4635</v>
      </c>
      <c r="B1987" s="123" t="s">
        <v>7609</v>
      </c>
      <c r="C1987" s="256" t="s">
        <v>7353</v>
      </c>
      <c r="D1987" s="328" t="s">
        <v>700</v>
      </c>
      <c r="E1987" s="122" t="str">
        <f t="shared" si="30"/>
        <v xml:space="preserve">7014 : 비밀번호 규칙 오류                </v>
      </c>
    </row>
    <row r="1988" spans="1:5" s="64" customFormat="1">
      <c r="A1988" s="316" t="s">
        <v>4635</v>
      </c>
      <c r="B1988" s="123" t="s">
        <v>7609</v>
      </c>
      <c r="C1988" s="256" t="s">
        <v>7354</v>
      </c>
      <c r="D1988" s="328" t="s">
        <v>699</v>
      </c>
      <c r="E1988" s="122" t="str">
        <f t="shared" ref="E1988:E2051" si="31">_xlfn.TEXTJOIN(" : ",FALSE,C1988:D1988)</f>
        <v xml:space="preserve">7015 : 비밀번호가 참가기관ID와 동일    </v>
      </c>
    </row>
    <row r="1989" spans="1:5" s="64" customFormat="1">
      <c r="A1989" s="316" t="s">
        <v>4635</v>
      </c>
      <c r="B1989" s="123" t="s">
        <v>7609</v>
      </c>
      <c r="C1989" s="256" t="s">
        <v>7355</v>
      </c>
      <c r="D1989" s="328" t="s">
        <v>698</v>
      </c>
      <c r="E1989" s="122" t="str">
        <f t="shared" si="31"/>
        <v xml:space="preserve">7016 : 사용한 적이 있는 비밀번호       </v>
      </c>
    </row>
    <row r="1990" spans="1:5" s="64" customFormat="1">
      <c r="A1990" s="316" t="s">
        <v>4635</v>
      </c>
      <c r="B1990" s="123" t="s">
        <v>7609</v>
      </c>
      <c r="C1990" s="256" t="s">
        <v>7356</v>
      </c>
      <c r="D1990" s="328" t="s">
        <v>697</v>
      </c>
      <c r="E1990" s="122" t="str">
        <f t="shared" si="31"/>
        <v xml:space="preserve">7017 : 구비밀번호가 일치하지 않습니다.   </v>
      </c>
    </row>
    <row r="1991" spans="1:5" s="64" customFormat="1">
      <c r="A1991" s="316" t="s">
        <v>4635</v>
      </c>
      <c r="B1991" s="123" t="s">
        <v>7609</v>
      </c>
      <c r="C1991" s="256" t="s">
        <v>7357</v>
      </c>
      <c r="D1991" s="328" t="s">
        <v>696</v>
      </c>
      <c r="E1991" s="122" t="str">
        <f t="shared" si="31"/>
        <v xml:space="preserve">7018 : 암호화 여부 값을 확인(Y OR N)   </v>
      </c>
    </row>
    <row r="1992" spans="1:5" s="64" customFormat="1">
      <c r="A1992" s="316" t="s">
        <v>4635</v>
      </c>
      <c r="B1992" s="123" t="s">
        <v>7609</v>
      </c>
      <c r="C1992" s="256" t="s">
        <v>7358</v>
      </c>
      <c r="D1992" s="328" t="s">
        <v>695</v>
      </c>
      <c r="E1992" s="122" t="str">
        <f t="shared" si="31"/>
        <v xml:space="preserve">7019 : 암호화 여부가 N이어야 합니다.   </v>
      </c>
    </row>
    <row r="1993" spans="1:5" s="64" customFormat="1">
      <c r="A1993" s="316" t="s">
        <v>4635</v>
      </c>
      <c r="B1993" s="123" t="s">
        <v>7609</v>
      </c>
      <c r="C1993" s="256" t="s">
        <v>7359</v>
      </c>
      <c r="D1993" s="328" t="s">
        <v>694</v>
      </c>
      <c r="E1993" s="122" t="str">
        <f t="shared" si="31"/>
        <v xml:space="preserve">7020 : 암호화 여부가 Y이어야 합니다.   </v>
      </c>
    </row>
    <row r="1994" spans="1:5" s="64" customFormat="1">
      <c r="A1994" s="316" t="s">
        <v>4635</v>
      </c>
      <c r="B1994" s="123" t="s">
        <v>7609</v>
      </c>
      <c r="C1994" s="256" t="s">
        <v>7360</v>
      </c>
      <c r="D1994" s="328" t="s">
        <v>693</v>
      </c>
      <c r="E1994" s="122" t="str">
        <f t="shared" si="31"/>
        <v>7021 : 암호화된 전문 복호화 오류입니다.</v>
      </c>
    </row>
    <row r="1995" spans="1:5" s="64" customFormat="1">
      <c r="A1995" s="316" t="s">
        <v>4635</v>
      </c>
      <c r="B1995" s="123" t="s">
        <v>7609</v>
      </c>
      <c r="C1995" s="256" t="s">
        <v>7361</v>
      </c>
      <c r="D1995" s="328" t="s">
        <v>665</v>
      </c>
      <c r="E1995" s="122" t="str">
        <f t="shared" si="31"/>
        <v xml:space="preserve">7022 : 한국은행 중계기기 처리오류        </v>
      </c>
    </row>
    <row r="1996" spans="1:5" s="64" customFormat="1">
      <c r="A1996" s="316" t="s">
        <v>4635</v>
      </c>
      <c r="B1996" s="123" t="s">
        <v>7609</v>
      </c>
      <c r="C1996" s="256" t="s">
        <v>7362</v>
      </c>
      <c r="D1996" s="328" t="s">
        <v>665</v>
      </c>
      <c r="E1996" s="122" t="str">
        <f t="shared" si="31"/>
        <v xml:space="preserve">7023 : 한국은행 중계기기 처리오류        </v>
      </c>
    </row>
    <row r="1997" spans="1:5" s="64" customFormat="1">
      <c r="A1997" s="316" t="s">
        <v>4635</v>
      </c>
      <c r="B1997" s="123" t="s">
        <v>7609</v>
      </c>
      <c r="C1997" s="256" t="s">
        <v>7363</v>
      </c>
      <c r="D1997" s="328" t="s">
        <v>665</v>
      </c>
      <c r="E1997" s="122" t="str">
        <f t="shared" si="31"/>
        <v xml:space="preserve">7024 : 한국은행 중계기기 처리오류        </v>
      </c>
    </row>
    <row r="1998" spans="1:5" s="64" customFormat="1">
      <c r="A1998" s="316" t="s">
        <v>4635</v>
      </c>
      <c r="B1998" s="123" t="s">
        <v>7609</v>
      </c>
      <c r="C1998" s="256" t="s">
        <v>7364</v>
      </c>
      <c r="D1998" s="328" t="s">
        <v>692</v>
      </c>
      <c r="E1998" s="122" t="str">
        <f t="shared" si="31"/>
        <v xml:space="preserve">7025 : 실제송신기관과 입력송신기관불일치   </v>
      </c>
    </row>
    <row r="1999" spans="1:5" s="64" customFormat="1">
      <c r="A1999" s="316" t="s">
        <v>4635</v>
      </c>
      <c r="B1999" s="123" t="s">
        <v>7609</v>
      </c>
      <c r="C1999" s="256" t="s">
        <v>7365</v>
      </c>
      <c r="D1999" s="328" t="s">
        <v>691</v>
      </c>
      <c r="E1999" s="122" t="str">
        <f t="shared" si="31"/>
        <v xml:space="preserve">7026 : 전문관리번호 중복 오류            </v>
      </c>
    </row>
    <row r="2000" spans="1:5" s="64" customFormat="1">
      <c r="A2000" s="316" t="s">
        <v>4635</v>
      </c>
      <c r="B2000" s="123" t="s">
        <v>7609</v>
      </c>
      <c r="C2000" s="256" t="s">
        <v>7366</v>
      </c>
      <c r="D2000" s="328" t="s">
        <v>690</v>
      </c>
      <c r="E2000" s="122" t="str">
        <f t="shared" si="31"/>
        <v xml:space="preserve">7027 : 한국은행을 수신기관으로 지정불가  </v>
      </c>
    </row>
    <row r="2001" spans="1:5" s="64" customFormat="1">
      <c r="A2001" s="316" t="s">
        <v>4635</v>
      </c>
      <c r="B2001" s="123" t="s">
        <v>7609</v>
      </c>
      <c r="C2001" s="256" t="s">
        <v>7367</v>
      </c>
      <c r="D2001" s="328" t="s">
        <v>689</v>
      </c>
      <c r="E2001" s="122" t="str">
        <f t="shared" si="31"/>
        <v xml:space="preserve">7028 : 송신기관과 수신기관이 동일합니다. </v>
      </c>
    </row>
    <row r="2002" spans="1:5" s="64" customFormat="1">
      <c r="A2002" s="316" t="s">
        <v>4635</v>
      </c>
      <c r="B2002" s="123" t="s">
        <v>7609</v>
      </c>
      <c r="C2002" s="256" t="s">
        <v>7368</v>
      </c>
      <c r="D2002" s="328" t="s">
        <v>688</v>
      </c>
      <c r="E2002" s="122" t="str">
        <f t="shared" si="31"/>
        <v xml:space="preserve">7029 : 송신기관과 이체기관 상이          </v>
      </c>
    </row>
    <row r="2003" spans="1:5" s="64" customFormat="1">
      <c r="A2003" s="316" t="s">
        <v>4635</v>
      </c>
      <c r="B2003" s="123" t="s">
        <v>7609</v>
      </c>
      <c r="C2003" s="256" t="s">
        <v>7369</v>
      </c>
      <c r="D2003" s="328" t="s">
        <v>687</v>
      </c>
      <c r="E2003" s="122" t="str">
        <f t="shared" si="31"/>
        <v xml:space="preserve">7030 : 수신기관과 수취기관 상이          </v>
      </c>
    </row>
    <row r="2004" spans="1:5" s="64" customFormat="1">
      <c r="A2004" s="316" t="s">
        <v>4635</v>
      </c>
      <c r="B2004" s="123" t="s">
        <v>7609</v>
      </c>
      <c r="C2004" s="256" t="s">
        <v>7370</v>
      </c>
      <c r="D2004" s="328" t="s">
        <v>686</v>
      </c>
      <c r="E2004" s="122" t="str">
        <f t="shared" si="31"/>
        <v xml:space="preserve">7031 : 송신기관이등록된참가기관이아닙니다    </v>
      </c>
    </row>
    <row r="2005" spans="1:5" s="64" customFormat="1">
      <c r="A2005" s="316" t="s">
        <v>4635</v>
      </c>
      <c r="B2005" s="123" t="s">
        <v>7609</v>
      </c>
      <c r="C2005" s="256" t="s">
        <v>7371</v>
      </c>
      <c r="D2005" s="328" t="s">
        <v>685</v>
      </c>
      <c r="E2005" s="122" t="str">
        <f t="shared" si="31"/>
        <v>7032 : 요청전문의응답코드가  SPACE가 아님</v>
      </c>
    </row>
    <row r="2006" spans="1:5" s="64" customFormat="1">
      <c r="A2006" s="316" t="s">
        <v>4635</v>
      </c>
      <c r="B2006" s="123" t="s">
        <v>7609</v>
      </c>
      <c r="C2006" s="256" t="s">
        <v>7372</v>
      </c>
      <c r="D2006" s="328" t="s">
        <v>684</v>
      </c>
      <c r="E2006" s="122" t="str">
        <f t="shared" si="31"/>
        <v>7033 : 통지전문의응답코드가  SPACE가 아님</v>
      </c>
    </row>
    <row r="2007" spans="1:5" s="64" customFormat="1">
      <c r="A2007" s="316" t="s">
        <v>4635</v>
      </c>
      <c r="B2007" s="123" t="s">
        <v>7609</v>
      </c>
      <c r="C2007" s="256" t="s">
        <v>7373</v>
      </c>
      <c r="D2007" s="328" t="s">
        <v>683</v>
      </c>
      <c r="E2007" s="122" t="str">
        <f t="shared" si="31"/>
        <v xml:space="preserve">7034 : 영업일자 오류입니다.                </v>
      </c>
    </row>
    <row r="2008" spans="1:5" s="64" customFormat="1">
      <c r="A2008" s="316" t="s">
        <v>4635</v>
      </c>
      <c r="B2008" s="123" t="s">
        <v>7609</v>
      </c>
      <c r="C2008" s="256" t="s">
        <v>7374</v>
      </c>
      <c r="D2008" s="328" t="s">
        <v>682</v>
      </c>
      <c r="E2008" s="122" t="str">
        <f t="shared" si="31"/>
        <v xml:space="preserve">7036 : 전문 전송일자 오류입니다.         </v>
      </c>
    </row>
    <row r="2009" spans="1:5" s="64" customFormat="1">
      <c r="A2009" s="316" t="s">
        <v>4635</v>
      </c>
      <c r="B2009" s="123" t="s">
        <v>7609</v>
      </c>
      <c r="C2009" s="256" t="s">
        <v>7375</v>
      </c>
      <c r="D2009" s="328" t="s">
        <v>681</v>
      </c>
      <c r="E2009" s="122" t="str">
        <f t="shared" si="31"/>
        <v xml:space="preserve">7037 : 요청전문의SYSTEM ID 오류입니다      </v>
      </c>
    </row>
    <row r="2010" spans="1:5" s="64" customFormat="1">
      <c r="A2010" s="316" t="s">
        <v>4635</v>
      </c>
      <c r="B2010" s="123" t="s">
        <v>7609</v>
      </c>
      <c r="C2010" s="256" t="s">
        <v>7376</v>
      </c>
      <c r="D2010" s="328" t="s">
        <v>680</v>
      </c>
      <c r="E2010" s="122" t="str">
        <f t="shared" si="31"/>
        <v xml:space="preserve">7038 : 통지전문의SYSTEM ID 오류입니다      </v>
      </c>
    </row>
    <row r="2011" spans="1:5" s="64" customFormat="1">
      <c r="A2011" s="316" t="s">
        <v>4635</v>
      </c>
      <c r="B2011" s="123" t="s">
        <v>7609</v>
      </c>
      <c r="C2011" s="256" t="s">
        <v>7377</v>
      </c>
      <c r="D2011" s="328" t="s">
        <v>679</v>
      </c>
      <c r="E2011" s="122" t="str">
        <f t="shared" si="31"/>
        <v xml:space="preserve">7039 : 영업일자 오류                       </v>
      </c>
    </row>
    <row r="2012" spans="1:5" s="64" customFormat="1">
      <c r="A2012" s="316" t="s">
        <v>4635</v>
      </c>
      <c r="B2012" s="123" t="s">
        <v>7609</v>
      </c>
      <c r="C2012" s="256" t="s">
        <v>7378</v>
      </c>
      <c r="D2012" s="328" t="s">
        <v>678</v>
      </c>
      <c r="E2012" s="122" t="str">
        <f t="shared" si="31"/>
        <v xml:space="preserve">7040 : 전문관리번호 중복 오류입니다.     </v>
      </c>
    </row>
    <row r="2013" spans="1:5" s="64" customFormat="1">
      <c r="A2013" s="316" t="s">
        <v>4635</v>
      </c>
      <c r="B2013" s="123" t="s">
        <v>7609</v>
      </c>
      <c r="C2013" s="256" t="s">
        <v>7379</v>
      </c>
      <c r="D2013" s="328" t="s">
        <v>677</v>
      </c>
      <c r="E2013" s="122" t="str">
        <f t="shared" si="31"/>
        <v>7041 : 수신기관은한국은행으로지정되어야합니다</v>
      </c>
    </row>
    <row r="2014" spans="1:5" s="64" customFormat="1">
      <c r="A2014" s="316" t="s">
        <v>4635</v>
      </c>
      <c r="B2014" s="123" t="s">
        <v>7609</v>
      </c>
      <c r="C2014" s="256" t="s">
        <v>7380</v>
      </c>
      <c r="D2014" s="328" t="s">
        <v>676</v>
      </c>
      <c r="E2014" s="122" t="str">
        <f t="shared" si="31"/>
        <v xml:space="preserve">7042 : 요청전문의 공란이 공백이아닙니다  </v>
      </c>
    </row>
    <row r="2015" spans="1:5" s="64" customFormat="1">
      <c r="A2015" s="316" t="s">
        <v>4635</v>
      </c>
      <c r="B2015" s="123" t="s">
        <v>7609</v>
      </c>
      <c r="C2015" s="256" t="s">
        <v>7381</v>
      </c>
      <c r="D2015" s="328" t="s">
        <v>675</v>
      </c>
      <c r="E2015" s="122" t="str">
        <f t="shared" si="31"/>
        <v xml:space="preserve">7043 : 응답전문 종별코드 오류입니다.     </v>
      </c>
    </row>
    <row r="2016" spans="1:5" s="64" customFormat="1">
      <c r="A2016" s="316" t="s">
        <v>4635</v>
      </c>
      <c r="B2016" s="123" t="s">
        <v>7609</v>
      </c>
      <c r="C2016" s="256" t="s">
        <v>7382</v>
      </c>
      <c r="D2016" s="328" t="s">
        <v>674</v>
      </c>
      <c r="E2016" s="122" t="str">
        <f t="shared" si="31"/>
        <v xml:space="preserve">7044 : 거래구분코드 오류입니다.            </v>
      </c>
    </row>
    <row r="2017" spans="1:5" s="64" customFormat="1">
      <c r="A2017" s="316" t="s">
        <v>4635</v>
      </c>
      <c r="B2017" s="123" t="s">
        <v>7609</v>
      </c>
      <c r="C2017" s="256" t="s">
        <v>7383</v>
      </c>
      <c r="D2017" s="328" t="s">
        <v>673</v>
      </c>
      <c r="E2017" s="122" t="str">
        <f t="shared" si="31"/>
        <v xml:space="preserve">7045 : 한국은행중계기기처리오류(기타오류)  </v>
      </c>
    </row>
    <row r="2018" spans="1:5" s="64" customFormat="1">
      <c r="A2018" s="316" t="s">
        <v>4635</v>
      </c>
      <c r="B2018" s="123" t="s">
        <v>7609</v>
      </c>
      <c r="C2018" s="256" t="s">
        <v>7384</v>
      </c>
      <c r="D2018" s="328" t="s">
        <v>672</v>
      </c>
      <c r="E2018" s="122" t="str">
        <f t="shared" si="31"/>
        <v xml:space="preserve">7101 : 매도기관결제전용약정을확인하시오      </v>
      </c>
    </row>
    <row r="2019" spans="1:5" s="64" customFormat="1">
      <c r="A2019" s="316" t="s">
        <v>4635</v>
      </c>
      <c r="B2019" s="123" t="s">
        <v>7609</v>
      </c>
      <c r="C2019" s="256" t="s">
        <v>7385</v>
      </c>
      <c r="D2019" s="328" t="s">
        <v>671</v>
      </c>
      <c r="E2019" s="122" t="str">
        <f t="shared" si="31"/>
        <v xml:space="preserve">7102 : 매수기관결제전용약정을확인하시오      </v>
      </c>
    </row>
    <row r="2020" spans="1:5" s="64" customFormat="1">
      <c r="A2020" s="316" t="s">
        <v>4635</v>
      </c>
      <c r="B2020" s="123" t="s">
        <v>7609</v>
      </c>
      <c r="C2020" s="256" t="s">
        <v>7386</v>
      </c>
      <c r="D2020" s="328" t="s">
        <v>670</v>
      </c>
      <c r="E2020" s="122" t="str">
        <f t="shared" si="31"/>
        <v xml:space="preserve">7103 : 사용자　ＯＲ　비밀번호　오류          </v>
      </c>
    </row>
    <row r="2021" spans="1:5" s="64" customFormat="1">
      <c r="A2021" s="316" t="s">
        <v>4635</v>
      </c>
      <c r="B2021" s="123" t="s">
        <v>7609</v>
      </c>
      <c r="C2021" s="256" t="s">
        <v>7387</v>
      </c>
      <c r="D2021" s="328" t="s">
        <v>669</v>
      </c>
      <c r="E2021" s="122" t="str">
        <f t="shared" si="31"/>
        <v xml:space="preserve">7104 : 예탁원취급점이　영업중이　아닙니다．  </v>
      </c>
    </row>
    <row r="2022" spans="1:5" s="64" customFormat="1">
      <c r="A2022" s="316" t="s">
        <v>4635</v>
      </c>
      <c r="B2022" s="123" t="s">
        <v>7609</v>
      </c>
      <c r="C2022" s="256" t="s">
        <v>7388</v>
      </c>
      <c r="D2022" s="328" t="s">
        <v>668</v>
      </c>
      <c r="E2022" s="122" t="str">
        <f t="shared" si="31"/>
        <v xml:space="preserve">7105 : 전송작업　대기시간　초과              </v>
      </c>
    </row>
    <row r="2023" spans="1:5" s="64" customFormat="1">
      <c r="A2023" s="316" t="s">
        <v>4635</v>
      </c>
      <c r="B2023" s="123" t="s">
        <v>7609</v>
      </c>
      <c r="C2023" s="256" t="s">
        <v>7389</v>
      </c>
      <c r="D2023" s="328" t="s">
        <v>667</v>
      </c>
      <c r="E2023" s="122" t="str">
        <f t="shared" si="31"/>
        <v xml:space="preserve">7106 : 증권대금이체　마감상태가　아님        </v>
      </c>
    </row>
    <row r="2024" spans="1:5" s="64" customFormat="1">
      <c r="A2024" s="316" t="s">
        <v>4635</v>
      </c>
      <c r="B2024" s="123" t="s">
        <v>7609</v>
      </c>
      <c r="C2024" s="256" t="s">
        <v>7390</v>
      </c>
      <c r="D2024" s="328" t="s">
        <v>666</v>
      </c>
      <c r="E2024" s="122" t="str">
        <f t="shared" si="31"/>
        <v xml:space="preserve">7107 : 증권예탁원앞　미통보내역　존재        </v>
      </c>
    </row>
    <row r="2025" spans="1:5" s="64" customFormat="1">
      <c r="A2025" s="316" t="s">
        <v>4635</v>
      </c>
      <c r="B2025" s="123" t="s">
        <v>7609</v>
      </c>
      <c r="C2025" s="256" t="s">
        <v>7391</v>
      </c>
      <c r="D2025" s="328" t="s">
        <v>665</v>
      </c>
      <c r="E2025" s="122" t="str">
        <f t="shared" si="31"/>
        <v xml:space="preserve">7499 : 한국은행 중계기기 처리오류        </v>
      </c>
    </row>
    <row r="2026" spans="1:5" s="64" customFormat="1">
      <c r="A2026" s="316" t="s">
        <v>4635</v>
      </c>
      <c r="B2026" s="123" t="s">
        <v>7609</v>
      </c>
      <c r="C2026" s="256" t="s">
        <v>7392</v>
      </c>
      <c r="D2026" s="328" t="s">
        <v>664</v>
      </c>
      <c r="E2026" s="122" t="str">
        <f t="shared" si="31"/>
        <v>7501 : 개별전표등록 처리 대상 서비스 입니다.</v>
      </c>
    </row>
    <row r="2027" spans="1:5" s="64" customFormat="1">
      <c r="A2027" s="316" t="s">
        <v>4635</v>
      </c>
      <c r="B2027" s="123" t="s">
        <v>7609</v>
      </c>
      <c r="C2027" s="256" t="s">
        <v>7393</v>
      </c>
      <c r="D2027" s="328" t="s">
        <v>663</v>
      </c>
      <c r="E2027" s="122" t="str">
        <f t="shared" si="31"/>
        <v>7502 : 상대계정과목를 입력하세요.</v>
      </c>
    </row>
    <row r="2028" spans="1:5" s="64" customFormat="1">
      <c r="A2028" s="316" t="s">
        <v>4635</v>
      </c>
      <c r="B2028" s="123" t="s">
        <v>7609</v>
      </c>
      <c r="C2028" s="256" t="s">
        <v>7394</v>
      </c>
      <c r="D2028" s="328" t="s">
        <v>662</v>
      </c>
      <c r="E2028" s="122" t="str">
        <f t="shared" si="31"/>
        <v>7503 : 건별관리번호를 입력하세요.</v>
      </c>
    </row>
    <row r="2029" spans="1:5" s="64" customFormat="1">
      <c r="A2029" s="316" t="s">
        <v>4635</v>
      </c>
      <c r="B2029" s="123" t="s">
        <v>7609</v>
      </c>
      <c r="C2029" s="256" t="s">
        <v>7395</v>
      </c>
      <c r="D2029" s="328" t="s">
        <v>661</v>
      </c>
      <c r="E2029" s="122" t="str">
        <f t="shared" si="31"/>
        <v>7504 : 당초거래일자를 입력하세요.</v>
      </c>
    </row>
    <row r="2030" spans="1:5" s="64" customFormat="1">
      <c r="A2030" s="316" t="s">
        <v>4635</v>
      </c>
      <c r="B2030" s="123" t="s">
        <v>7609</v>
      </c>
      <c r="C2030" s="256" t="s">
        <v>7396</v>
      </c>
      <c r="D2030" s="328" t="s">
        <v>660</v>
      </c>
      <c r="E2030" s="122" t="str">
        <f t="shared" si="31"/>
        <v>7505 : 당초회계번호를 입력하세요.</v>
      </c>
    </row>
    <row r="2031" spans="1:5" s="64" customFormat="1">
      <c r="A2031" s="316" t="s">
        <v>4635</v>
      </c>
      <c r="B2031" s="123" t="s">
        <v>7609</v>
      </c>
      <c r="C2031" s="256" t="s">
        <v>7397</v>
      </c>
      <c r="D2031" s="328" t="s">
        <v>659</v>
      </c>
      <c r="E2031" s="122" t="str">
        <f t="shared" si="31"/>
        <v>7506 : 당초전표일련번호를 입력하세요.</v>
      </c>
    </row>
    <row r="2032" spans="1:5" s="64" customFormat="1">
      <c r="A2032" s="316" t="s">
        <v>4635</v>
      </c>
      <c r="B2032" s="123" t="s">
        <v>7609</v>
      </c>
      <c r="C2032" s="256" t="s">
        <v>7398</v>
      </c>
      <c r="D2032" s="328" t="s">
        <v>658</v>
      </c>
      <c r="E2032" s="122" t="str">
        <f t="shared" si="31"/>
        <v>7507 : 취소사유코드를 입력하세요.</v>
      </c>
    </row>
    <row r="2033" spans="1:5" s="64" customFormat="1">
      <c r="A2033" s="316" t="s">
        <v>4635</v>
      </c>
      <c r="B2033" s="123" t="s">
        <v>7609</v>
      </c>
      <c r="C2033" s="256" t="s">
        <v>7399</v>
      </c>
      <c r="D2033" s="328" t="s">
        <v>657</v>
      </c>
      <c r="E2033" s="122" t="str">
        <f t="shared" si="31"/>
        <v>7508 : 취소부문분류코드를 입력하세요.</v>
      </c>
    </row>
    <row r="2034" spans="1:5" s="64" customFormat="1">
      <c r="A2034" s="316" t="s">
        <v>4635</v>
      </c>
      <c r="B2034" s="123" t="s">
        <v>7609</v>
      </c>
      <c r="C2034" s="256" t="s">
        <v>7400</v>
      </c>
      <c r="D2034" s="328" t="s">
        <v>656</v>
      </c>
      <c r="E2034" s="122" t="str">
        <f t="shared" si="31"/>
        <v>7509 : 해당 분개유형을 조립할 수 있는 서비스ID가 아닙니다.</v>
      </c>
    </row>
    <row r="2035" spans="1:5" s="64" customFormat="1">
      <c r="A2035" s="316" t="s">
        <v>4635</v>
      </c>
      <c r="B2035" s="123" t="s">
        <v>7609</v>
      </c>
      <c r="C2035" s="256" t="s">
        <v>7401</v>
      </c>
      <c r="D2035" s="328" t="s">
        <v>655</v>
      </c>
      <c r="E2035" s="122" t="str">
        <f t="shared" si="31"/>
        <v>7510 : 서비스ID매핑내역 조회 오류입니다.</v>
      </c>
    </row>
    <row r="2036" spans="1:5" s="64" customFormat="1">
      <c r="A2036" s="316" t="s">
        <v>4635</v>
      </c>
      <c r="B2036" s="123" t="s">
        <v>7609</v>
      </c>
      <c r="C2036" s="256" t="s">
        <v>7402</v>
      </c>
      <c r="D2036" s="328" t="s">
        <v>654</v>
      </c>
      <c r="E2036" s="122" t="str">
        <f t="shared" si="31"/>
        <v>7511 : 상대기관 당좌거래약정이 거래정지 되었습니다.</v>
      </c>
    </row>
    <row r="2037" spans="1:5" s="64" customFormat="1">
      <c r="A2037" s="316" t="s">
        <v>4635</v>
      </c>
      <c r="B2037" s="123" t="s">
        <v>7609</v>
      </c>
      <c r="C2037" s="256" t="s">
        <v>7403</v>
      </c>
      <c r="D2037" s="328" t="s">
        <v>653</v>
      </c>
      <c r="E2037" s="122" t="str">
        <f t="shared" si="31"/>
        <v>7512 : 분개유형기본 조회 오류입니다.</v>
      </c>
    </row>
    <row r="2038" spans="1:5" s="64" customFormat="1">
      <c r="A2038" s="316" t="s">
        <v>4635</v>
      </c>
      <c r="B2038" s="123" t="s">
        <v>7609</v>
      </c>
      <c r="C2038" s="256" t="s">
        <v>7404</v>
      </c>
      <c r="D2038" s="328" t="s">
        <v>652</v>
      </c>
      <c r="E2038" s="122" t="str">
        <f t="shared" si="31"/>
        <v>7513 : 당좌거래약정이 거래정지 되었습니다.</v>
      </c>
    </row>
    <row r="2039" spans="1:5" s="64" customFormat="1">
      <c r="A2039" s="316" t="s">
        <v>4635</v>
      </c>
      <c r="B2039" s="123" t="s">
        <v>7609</v>
      </c>
      <c r="C2039" s="256" t="s">
        <v>7405</v>
      </c>
      <c r="D2039" s="328" t="s">
        <v>651</v>
      </c>
      <c r="E2039" s="122" t="str">
        <f t="shared" si="31"/>
        <v>7514 : 상대기관 당좌거래약정이 해지 되었습니다.</v>
      </c>
    </row>
    <row r="2040" spans="1:5" s="64" customFormat="1">
      <c r="A2040" s="316" t="s">
        <v>4635</v>
      </c>
      <c r="B2040" s="123" t="s">
        <v>7609</v>
      </c>
      <c r="C2040" s="256" t="s">
        <v>7406</v>
      </c>
      <c r="D2040" s="328" t="s">
        <v>650</v>
      </c>
      <c r="E2040" s="122" t="str">
        <f t="shared" si="31"/>
        <v>7515 : 단말기검증조회구분코드를 입력하세요.</v>
      </c>
    </row>
    <row r="2041" spans="1:5" s="64" customFormat="1">
      <c r="A2041" s="316" t="s">
        <v>4635</v>
      </c>
      <c r="B2041" s="123" t="s">
        <v>7609</v>
      </c>
      <c r="C2041" s="256" t="s">
        <v>7407</v>
      </c>
      <c r="D2041" s="328" t="s">
        <v>649</v>
      </c>
      <c r="E2041" s="122" t="str">
        <f t="shared" si="31"/>
        <v>7516 : 국가휴일검증조회구분코드를 입력하세요.</v>
      </c>
    </row>
    <row r="2042" spans="1:5" s="64" customFormat="1">
      <c r="A2042" s="316" t="s">
        <v>4635</v>
      </c>
      <c r="B2042" s="123" t="s">
        <v>7609</v>
      </c>
      <c r="C2042" s="256" t="s">
        <v>7408</v>
      </c>
      <c r="D2042" s="328" t="s">
        <v>648</v>
      </c>
      <c r="E2042" s="122" t="str">
        <f t="shared" si="31"/>
        <v>7517 : 프로그램검증조회구분코드를 입력하세요.</v>
      </c>
    </row>
    <row r="2043" spans="1:5" s="64" customFormat="1">
      <c r="A2043" s="316" t="s">
        <v>4635</v>
      </c>
      <c r="B2043" s="123" t="s">
        <v>7609</v>
      </c>
      <c r="C2043" s="256" t="s">
        <v>7409</v>
      </c>
      <c r="D2043" s="328" t="s">
        <v>647</v>
      </c>
      <c r="E2043" s="122" t="str">
        <f t="shared" si="31"/>
        <v>7518 : 부서코드검증조회구분코드를 입력하세요.</v>
      </c>
    </row>
    <row r="2044" spans="1:5" s="64" customFormat="1">
      <c r="A2044" s="316" t="s">
        <v>4635</v>
      </c>
      <c r="B2044" s="123" t="s">
        <v>7609</v>
      </c>
      <c r="C2044" s="256" t="s">
        <v>7410</v>
      </c>
      <c r="D2044" s="328" t="s">
        <v>646</v>
      </c>
      <c r="E2044" s="122" t="str">
        <f t="shared" si="31"/>
        <v>7519 : 기관코드검증조회구분코드를 입력하세요.</v>
      </c>
    </row>
    <row r="2045" spans="1:5" s="64" customFormat="1">
      <c r="A2045" s="316" t="s">
        <v>4635</v>
      </c>
      <c r="B2045" s="123" t="s">
        <v>7609</v>
      </c>
      <c r="C2045" s="256" t="s">
        <v>7411</v>
      </c>
      <c r="D2045" s="328" t="s">
        <v>645</v>
      </c>
      <c r="E2045" s="122" t="str">
        <f t="shared" si="31"/>
        <v>7520 : 상대기관코드검증조회구분코드를 입력하세요.</v>
      </c>
    </row>
    <row r="2046" spans="1:5" s="64" customFormat="1">
      <c r="A2046" s="316" t="s">
        <v>4635</v>
      </c>
      <c r="B2046" s="123" t="s">
        <v>7609</v>
      </c>
      <c r="C2046" s="256" t="s">
        <v>7412</v>
      </c>
      <c r="D2046" s="328" t="s">
        <v>644</v>
      </c>
      <c r="E2046" s="122" t="str">
        <f t="shared" si="31"/>
        <v>7521 : 기관부서별금융기관약정검증조회구분코드를 입력하세요.</v>
      </c>
    </row>
    <row r="2047" spans="1:5" s="64" customFormat="1">
      <c r="A2047" s="316" t="s">
        <v>4635</v>
      </c>
      <c r="B2047" s="123" t="s">
        <v>7609</v>
      </c>
      <c r="C2047" s="256" t="s">
        <v>7413</v>
      </c>
      <c r="D2047" s="328" t="s">
        <v>643</v>
      </c>
      <c r="E2047" s="122" t="str">
        <f t="shared" si="31"/>
        <v>7522 : 상대기관부서별금융기관약정검증조회구분코드를 입력하세요.</v>
      </c>
    </row>
    <row r="2048" spans="1:5" s="64" customFormat="1">
      <c r="A2048" s="316" t="s">
        <v>4635</v>
      </c>
      <c r="B2048" s="123" t="s">
        <v>7609</v>
      </c>
      <c r="C2048" s="256" t="s">
        <v>7414</v>
      </c>
      <c r="D2048" s="328" t="s">
        <v>642</v>
      </c>
      <c r="E2048" s="122" t="str">
        <f t="shared" si="31"/>
        <v>7523 : 예금업무상태내역검증조회구분코드를 입력하세요.</v>
      </c>
    </row>
    <row r="2049" spans="1:5" s="64" customFormat="1">
      <c r="A2049" s="316" t="s">
        <v>4635</v>
      </c>
      <c r="B2049" s="123" t="s">
        <v>7609</v>
      </c>
      <c r="C2049" s="256" t="s">
        <v>7415</v>
      </c>
      <c r="D2049" s="328" t="s">
        <v>641</v>
      </c>
      <c r="E2049" s="122" t="str">
        <f t="shared" si="31"/>
        <v>7524 : 단말기검증조회시 단말기번호를 입력하세요.</v>
      </c>
    </row>
    <row r="2050" spans="1:5" s="64" customFormat="1">
      <c r="A2050" s="316" t="s">
        <v>4635</v>
      </c>
      <c r="B2050" s="123" t="s">
        <v>7609</v>
      </c>
      <c r="C2050" s="256" t="s">
        <v>7416</v>
      </c>
      <c r="D2050" s="328" t="s">
        <v>640</v>
      </c>
      <c r="E2050" s="122" t="str">
        <f t="shared" si="31"/>
        <v>7525 : 프로그램관리 데이터가 존재하지 않습니다.</v>
      </c>
    </row>
    <row r="2051" spans="1:5" s="64" customFormat="1">
      <c r="A2051" s="316" t="s">
        <v>4635</v>
      </c>
      <c r="B2051" s="123" t="s">
        <v>7609</v>
      </c>
      <c r="C2051" s="256" t="s">
        <v>7417</v>
      </c>
      <c r="D2051" s="328" t="s">
        <v>639</v>
      </c>
      <c r="E2051" s="122" t="str">
        <f t="shared" si="31"/>
        <v>7526 : 회계국가코드를 입력하세요.</v>
      </c>
    </row>
    <row r="2052" spans="1:5" s="64" customFormat="1">
      <c r="A2052" s="316" t="s">
        <v>4635</v>
      </c>
      <c r="B2052" s="123" t="s">
        <v>7609</v>
      </c>
      <c r="C2052" s="256" t="s">
        <v>7418</v>
      </c>
      <c r="D2052" s="328" t="s">
        <v>638</v>
      </c>
      <c r="E2052" s="122" t="str">
        <f t="shared" ref="E2052:E2115" si="32">_xlfn.TEXTJOIN(" : ",FALSE,C2052:D2052)</f>
        <v>7527 : 국가휴일 데이터가 존재하지 않습니다.</v>
      </c>
    </row>
    <row r="2053" spans="1:5" s="64" customFormat="1">
      <c r="A2053" s="316" t="s">
        <v>4635</v>
      </c>
      <c r="B2053" s="123" t="s">
        <v>7609</v>
      </c>
      <c r="C2053" s="256" t="s">
        <v>7419</v>
      </c>
      <c r="D2053" s="328" t="s">
        <v>637</v>
      </c>
      <c r="E2053" s="122" t="str">
        <f t="shared" si="32"/>
        <v>7528 : 회계업무구분코드를 입력하세요.</v>
      </c>
    </row>
    <row r="2054" spans="1:5" s="64" customFormat="1">
      <c r="A2054" s="316" t="s">
        <v>4635</v>
      </c>
      <c r="B2054" s="123" t="s">
        <v>7609</v>
      </c>
      <c r="C2054" s="256" t="s">
        <v>7420</v>
      </c>
      <c r="D2054" s="328" t="s">
        <v>636</v>
      </c>
      <c r="E2054" s="122" t="str">
        <f t="shared" si="32"/>
        <v>7529 : 프로그램ID를 입력하세요.</v>
      </c>
    </row>
    <row r="2055" spans="1:5" s="64" customFormat="1">
      <c r="A2055" s="316" t="s">
        <v>4635</v>
      </c>
      <c r="B2055" s="123" t="s">
        <v>7609</v>
      </c>
      <c r="C2055" s="256" t="s">
        <v>7421</v>
      </c>
      <c r="D2055" s="328" t="s">
        <v>635</v>
      </c>
      <c r="E2055" s="122" t="str">
        <f t="shared" si="32"/>
        <v>7530 : 입력거래일자와 단말기거래일자가 다릅니다.</v>
      </c>
    </row>
    <row r="2056" spans="1:5" s="64" customFormat="1">
      <c r="A2056" s="316" t="s">
        <v>4635</v>
      </c>
      <c r="B2056" s="123" t="s">
        <v>7609</v>
      </c>
      <c r="C2056" s="256" t="s">
        <v>7422</v>
      </c>
      <c r="D2056" s="328" t="s">
        <v>634</v>
      </c>
      <c r="E2056" s="122" t="str">
        <f t="shared" si="32"/>
        <v>7531 : 상대부서코드를 입력하세요.</v>
      </c>
    </row>
    <row r="2057" spans="1:5" s="64" customFormat="1">
      <c r="A2057" s="316" t="s">
        <v>4635</v>
      </c>
      <c r="B2057" s="123" t="s">
        <v>7609</v>
      </c>
      <c r="C2057" s="256" t="s">
        <v>7423</v>
      </c>
      <c r="D2057" s="328" t="s">
        <v>633</v>
      </c>
      <c r="E2057" s="122" t="str">
        <f t="shared" si="32"/>
        <v>7532 : 거래기관코드를 입력하세요.</v>
      </c>
    </row>
    <row r="2058" spans="1:5" s="64" customFormat="1">
      <c r="A2058" s="316" t="s">
        <v>4635</v>
      </c>
      <c r="B2058" s="123" t="s">
        <v>7609</v>
      </c>
      <c r="C2058" s="256" t="s">
        <v>7424</v>
      </c>
      <c r="D2058" s="328" t="s">
        <v>632</v>
      </c>
      <c r="E2058" s="122" t="str">
        <f t="shared" si="32"/>
        <v>7533 : 상대거래기관코드를 입력하세요.</v>
      </c>
    </row>
    <row r="2059" spans="1:5" s="64" customFormat="1">
      <c r="A2059" s="316" t="s">
        <v>4635</v>
      </c>
      <c r="B2059" s="123" t="s">
        <v>7609</v>
      </c>
      <c r="C2059" s="256" t="s">
        <v>7425</v>
      </c>
      <c r="D2059" s="328" t="s">
        <v>631</v>
      </c>
      <c r="E2059" s="122" t="str">
        <f t="shared" si="32"/>
        <v>7534 : 거래기관약정종류코드를 입력하세요.</v>
      </c>
    </row>
    <row r="2060" spans="1:5" s="64" customFormat="1">
      <c r="A2060" s="316" t="s">
        <v>4635</v>
      </c>
      <c r="B2060" s="123" t="s">
        <v>7609</v>
      </c>
      <c r="C2060" s="256" t="s">
        <v>7426</v>
      </c>
      <c r="D2060" s="328" t="s">
        <v>630</v>
      </c>
      <c r="E2060" s="122" t="str">
        <f t="shared" si="32"/>
        <v>7535 : 상대거래기관약정종류코드를 입력하세요.</v>
      </c>
    </row>
    <row r="2061" spans="1:5" s="64" customFormat="1">
      <c r="A2061" s="316" t="s">
        <v>4635</v>
      </c>
      <c r="B2061" s="123" t="s">
        <v>7609</v>
      </c>
      <c r="C2061" s="256" t="s">
        <v>7427</v>
      </c>
      <c r="D2061" s="328" t="s">
        <v>629</v>
      </c>
      <c r="E2061" s="122" t="str">
        <f t="shared" si="32"/>
        <v>7536 : 처리권한이 없는 부서(분실포함)입니다.</v>
      </c>
    </row>
    <row r="2062" spans="1:5" s="64" customFormat="1">
      <c r="A2062" s="316" t="s">
        <v>4635</v>
      </c>
      <c r="B2062" s="123" t="s">
        <v>7609</v>
      </c>
      <c r="C2062" s="256" t="s">
        <v>7428</v>
      </c>
      <c r="D2062" s="328" t="s">
        <v>628</v>
      </c>
      <c r="E2062" s="122" t="str">
        <f t="shared" si="32"/>
        <v>7537 : 사용불가능한 프로그램입니다.</v>
      </c>
    </row>
    <row r="2063" spans="1:5" s="64" customFormat="1">
      <c r="A2063" s="316" t="s">
        <v>4635</v>
      </c>
      <c r="B2063" s="123" t="s">
        <v>7609</v>
      </c>
      <c r="C2063" s="256" t="s">
        <v>7429</v>
      </c>
      <c r="D2063" s="328" t="s">
        <v>627</v>
      </c>
      <c r="E2063" s="122" t="str">
        <f t="shared" si="32"/>
        <v>7538 : 상대부서코드가 미등록 되었습니다.</v>
      </c>
    </row>
    <row r="2064" spans="1:5" s="64" customFormat="1">
      <c r="A2064" s="316" t="s">
        <v>4635</v>
      </c>
      <c r="B2064" s="123" t="s">
        <v>7609</v>
      </c>
      <c r="C2064" s="256" t="s">
        <v>7430</v>
      </c>
      <c r="D2064" s="328" t="s">
        <v>626</v>
      </c>
      <c r="E2064" s="122" t="str">
        <f t="shared" si="32"/>
        <v>7539 : 상대거래기관코드가 미등록 되었습니다.</v>
      </c>
    </row>
    <row r="2065" spans="1:5" s="64" customFormat="1">
      <c r="A2065" s="316" t="s">
        <v>4635</v>
      </c>
      <c r="B2065" s="123" t="s">
        <v>7609</v>
      </c>
      <c r="C2065" s="256" t="s">
        <v>7431</v>
      </c>
      <c r="D2065" s="328" t="s">
        <v>625</v>
      </c>
      <c r="E2065" s="122" t="str">
        <f t="shared" si="32"/>
        <v>7540 : 상대거래기관 금융기관약정이 미등록 되었습니다.</v>
      </c>
    </row>
    <row r="2066" spans="1:5" s="64" customFormat="1">
      <c r="A2066" s="316" t="s">
        <v>4635</v>
      </c>
      <c r="B2066" s="123" t="s">
        <v>7609</v>
      </c>
      <c r="C2066" s="256" t="s">
        <v>7432</v>
      </c>
      <c r="D2066" s="328" t="s">
        <v>624</v>
      </c>
      <c r="E2066" s="122" t="str">
        <f t="shared" si="32"/>
        <v>7541 : 상대부서의 예금거래정보가 존재하지 않습니다.</v>
      </c>
    </row>
    <row r="2067" spans="1:5" s="64" customFormat="1">
      <c r="A2067" s="316" t="s">
        <v>4635</v>
      </c>
      <c r="B2067" s="123" t="s">
        <v>7609</v>
      </c>
      <c r="C2067" s="256" t="s">
        <v>7433</v>
      </c>
      <c r="D2067" s="328" t="s">
        <v>623</v>
      </c>
      <c r="E2067" s="122" t="str">
        <f t="shared" si="32"/>
        <v>7542 : 통지내역 테이블 조회 오류입니다.</v>
      </c>
    </row>
    <row r="2068" spans="1:5" s="64" customFormat="1">
      <c r="A2068" s="316" t="s">
        <v>4635</v>
      </c>
      <c r="B2068" s="123" t="s">
        <v>7609</v>
      </c>
      <c r="C2068" s="256" t="s">
        <v>7434</v>
      </c>
      <c r="D2068" s="328" t="s">
        <v>622</v>
      </c>
      <c r="E2068" s="122" t="str">
        <f t="shared" si="32"/>
        <v>7543 : 분개일련번호를 입력하세요.</v>
      </c>
    </row>
    <row r="2069" spans="1:5" s="64" customFormat="1">
      <c r="A2069" s="316" t="s">
        <v>4635</v>
      </c>
      <c r="B2069" s="123" t="s">
        <v>7609</v>
      </c>
      <c r="C2069" s="256" t="s">
        <v>7435</v>
      </c>
      <c r="D2069" s="328" t="s">
        <v>621</v>
      </c>
      <c r="E2069" s="122" t="str">
        <f t="shared" si="32"/>
        <v>7544 : 분개유형일련번호를 입력하세요.</v>
      </c>
    </row>
    <row r="2070" spans="1:5" s="64" customFormat="1">
      <c r="A2070" s="316" t="s">
        <v>4635</v>
      </c>
      <c r="B2070" s="123" t="s">
        <v>7609</v>
      </c>
      <c r="C2070" s="256" t="s">
        <v>7436</v>
      </c>
      <c r="D2070" s="328" t="s">
        <v>620</v>
      </c>
      <c r="E2070" s="122" t="str">
        <f t="shared" si="32"/>
        <v>7545 : 분개유형내역 목록조회 오류입니다.</v>
      </c>
    </row>
    <row r="2071" spans="1:5" s="64" customFormat="1">
      <c r="A2071" s="316" t="s">
        <v>4635</v>
      </c>
      <c r="B2071" s="123" t="s">
        <v>7609</v>
      </c>
      <c r="C2071" s="256" t="s">
        <v>7437</v>
      </c>
      <c r="D2071" s="328" t="s">
        <v>619</v>
      </c>
      <c r="E2071" s="122" t="str">
        <f t="shared" si="32"/>
        <v>7546 : 분개유형내역 개별조회 오류입니다.</v>
      </c>
    </row>
    <row r="2072" spans="1:5" s="64" customFormat="1">
      <c r="A2072" s="316" t="s">
        <v>4635</v>
      </c>
      <c r="B2072" s="123" t="s">
        <v>7609</v>
      </c>
      <c r="C2072" s="256" t="s">
        <v>7438</v>
      </c>
      <c r="D2072" s="328" t="s">
        <v>618</v>
      </c>
      <c r="E2072" s="122" t="str">
        <f t="shared" si="32"/>
        <v>7547 : 한은망수수료 수취완료된 거래일입니다.</v>
      </c>
    </row>
    <row r="2073" spans="1:5" s="64" customFormat="1">
      <c r="A2073" s="316" t="s">
        <v>4635</v>
      </c>
      <c r="B2073" s="123" t="s">
        <v>7609</v>
      </c>
      <c r="C2073" s="256" t="s">
        <v>7439</v>
      </c>
      <c r="D2073" s="328" t="s">
        <v>617</v>
      </c>
      <c r="E2073" s="122" t="str">
        <f t="shared" si="32"/>
        <v>7548 : 상대예금업무상태내역검증조회구분코드를 입력하세요</v>
      </c>
    </row>
    <row r="2074" spans="1:5" s="64" customFormat="1">
      <c r="A2074" s="316" t="s">
        <v>4635</v>
      </c>
      <c r="B2074" s="123" t="s">
        <v>7609</v>
      </c>
      <c r="C2074" s="256" t="s">
        <v>7440</v>
      </c>
      <c r="D2074" s="328" t="s">
        <v>616</v>
      </c>
      <c r="E2074" s="122" t="str">
        <f t="shared" si="32"/>
        <v>7549 : 단말기검증조회시 단말기분실조회여부를 입력하세요.</v>
      </c>
    </row>
    <row r="2075" spans="1:5" s="64" customFormat="1">
      <c r="A2075" s="316" t="s">
        <v>4635</v>
      </c>
      <c r="B2075" s="123" t="s">
        <v>7609</v>
      </c>
      <c r="C2075" s="256" t="s">
        <v>7441</v>
      </c>
      <c r="D2075" s="328" t="s">
        <v>615</v>
      </c>
      <c r="E2075" s="122" t="str">
        <f t="shared" si="32"/>
        <v>7550 : 통지서 재출력을 위한 기본정보가 존재하지 않습니다.</v>
      </c>
    </row>
    <row r="2076" spans="1:5" s="64" customFormat="1">
      <c r="A2076" s="316" t="s">
        <v>4635</v>
      </c>
      <c r="B2076" s="123" t="s">
        <v>7609</v>
      </c>
      <c r="C2076" s="256" t="s">
        <v>7442</v>
      </c>
      <c r="D2076" s="328" t="s">
        <v>614</v>
      </c>
      <c r="E2076" s="122" t="str">
        <f t="shared" si="32"/>
        <v>7551 : 신청프로그램명이 미입력 되었습니다.</v>
      </c>
    </row>
    <row r="2077" spans="1:5" s="64" customFormat="1">
      <c r="A2077" s="316" t="s">
        <v>4635</v>
      </c>
      <c r="B2077" s="123" t="s">
        <v>7609</v>
      </c>
      <c r="C2077" s="256" t="s">
        <v>7443</v>
      </c>
      <c r="D2077" s="328" t="s">
        <v>613</v>
      </c>
      <c r="E2077" s="122" t="str">
        <f t="shared" si="32"/>
        <v>7552 : 처리업무내용이 미입력 되었습니다.</v>
      </c>
    </row>
    <row r="2078" spans="1:5" s="64" customFormat="1">
      <c r="A2078" s="316" t="s">
        <v>4635</v>
      </c>
      <c r="B2078" s="123" t="s">
        <v>7609</v>
      </c>
      <c r="C2078" s="256" t="s">
        <v>7444</v>
      </c>
      <c r="D2078" s="328" t="s">
        <v>612</v>
      </c>
      <c r="E2078" s="122" t="str">
        <f t="shared" si="32"/>
        <v>7553 : 신속지급지시 대기해제 처리중 오류입니다.</v>
      </c>
    </row>
    <row r="2079" spans="1:5" s="64" customFormat="1">
      <c r="A2079" s="316" t="s">
        <v>4635</v>
      </c>
      <c r="B2079" s="123" t="s">
        <v>7609</v>
      </c>
      <c r="C2079" s="256" t="s">
        <v>7445</v>
      </c>
      <c r="D2079" s="328" t="s">
        <v>611</v>
      </c>
      <c r="E2079" s="122" t="str">
        <f t="shared" si="32"/>
        <v>7554 : 마감종류코드가 미입력 되었습니다.</v>
      </c>
    </row>
    <row r="2080" spans="1:5" s="64" customFormat="1">
      <c r="A2080" s="316" t="s">
        <v>4635</v>
      </c>
      <c r="B2080" s="123" t="s">
        <v>7609</v>
      </c>
      <c r="C2080" s="256" t="s">
        <v>7446</v>
      </c>
      <c r="D2080" s="328" t="s">
        <v>610</v>
      </c>
      <c r="E2080" s="122" t="str">
        <f t="shared" si="32"/>
        <v>7555 : 거래구분 코드 입력 오류입니다.</v>
      </c>
    </row>
    <row r="2081" spans="1:5" s="64" customFormat="1">
      <c r="A2081" s="316" t="s">
        <v>4635</v>
      </c>
      <c r="B2081" s="123" t="s">
        <v>7609</v>
      </c>
      <c r="C2081" s="256" t="s">
        <v>7447</v>
      </c>
      <c r="D2081" s="328" t="s">
        <v>609</v>
      </c>
      <c r="E2081" s="122" t="str">
        <f t="shared" si="32"/>
        <v>7556 : 신청의뢰기관은 입력항목이 아닙니다.</v>
      </c>
    </row>
    <row r="2082" spans="1:5" s="64" customFormat="1">
      <c r="A2082" s="316" t="s">
        <v>4635</v>
      </c>
      <c r="B2082" s="123" t="s">
        <v>7609</v>
      </c>
      <c r="C2082" s="256" t="s">
        <v>7448</v>
      </c>
      <c r="D2082" s="328" t="s">
        <v>363</v>
      </c>
      <c r="E2082" s="122" t="str">
        <f t="shared" si="32"/>
        <v>7557 : 서면 수수료 생성 시 오류가 발생하였습니다.</v>
      </c>
    </row>
    <row r="2083" spans="1:5" s="64" customFormat="1">
      <c r="A2083" s="316" t="s">
        <v>4635</v>
      </c>
      <c r="B2083" s="123" t="s">
        <v>7609</v>
      </c>
      <c r="C2083" s="256" t="s">
        <v>7449</v>
      </c>
      <c r="D2083" s="328" t="s">
        <v>364</v>
      </c>
      <c r="E2083" s="122" t="str">
        <f t="shared" si="32"/>
        <v>7558 : 한은망 수수료 생성 시 오류가 발생하였습니다.</v>
      </c>
    </row>
    <row r="2084" spans="1:5" s="64" customFormat="1">
      <c r="A2084" s="316" t="s">
        <v>4635</v>
      </c>
      <c r="B2084" s="123" t="s">
        <v>7609</v>
      </c>
      <c r="C2084" s="256" t="s">
        <v>7450</v>
      </c>
      <c r="D2084" s="328" t="s">
        <v>362</v>
      </c>
      <c r="E2084" s="122" t="str">
        <f t="shared" si="32"/>
        <v>7559 : 수수료기준시간 조회 시 오류가 발생하였습니다.</v>
      </c>
    </row>
    <row r="2085" spans="1:5" s="64" customFormat="1">
      <c r="A2085" s="316" t="s">
        <v>4635</v>
      </c>
      <c r="B2085" s="123" t="s">
        <v>7609</v>
      </c>
      <c r="C2085" s="256" t="s">
        <v>7451</v>
      </c>
      <c r="D2085" s="328" t="s">
        <v>608</v>
      </c>
      <c r="E2085" s="122" t="str">
        <f t="shared" si="32"/>
        <v>7560 : 03월 마지막 일요일 조회 시 오류가 발생하였습니다.</v>
      </c>
    </row>
    <row r="2086" spans="1:5" s="64" customFormat="1">
      <c r="A2086" s="316" t="s">
        <v>4635</v>
      </c>
      <c r="B2086" s="123" t="s">
        <v>7609</v>
      </c>
      <c r="C2086" s="256" t="s">
        <v>7452</v>
      </c>
      <c r="D2086" s="328" t="s">
        <v>607</v>
      </c>
      <c r="E2086" s="122" t="str">
        <f t="shared" si="32"/>
        <v>7561 : 10월 마지막 일요일 조회 시 오류가 발생하였습니다.</v>
      </c>
    </row>
    <row r="2087" spans="1:5" s="64" customFormat="1">
      <c r="A2087" s="316" t="s">
        <v>4635</v>
      </c>
      <c r="B2087" s="123" t="s">
        <v>7609</v>
      </c>
      <c r="C2087" s="256" t="s">
        <v>7453</v>
      </c>
      <c r="D2087" s="328" t="s">
        <v>606</v>
      </c>
      <c r="E2087" s="122" t="str">
        <f t="shared" si="32"/>
        <v>7562 : 취소동의가 불가능한 거래입니다.</v>
      </c>
    </row>
    <row r="2088" spans="1:5" s="64" customFormat="1">
      <c r="A2088" s="316" t="s">
        <v>4635</v>
      </c>
      <c r="B2088" s="123" t="s">
        <v>7609</v>
      </c>
      <c r="C2088" s="256" t="s">
        <v>7454</v>
      </c>
      <c r="D2088" s="328" t="s">
        <v>605</v>
      </c>
      <c r="E2088" s="122" t="str">
        <f t="shared" si="32"/>
        <v>7563 : 신청사유 입력 오류입니다.</v>
      </c>
    </row>
    <row r="2089" spans="1:5" s="64" customFormat="1">
      <c r="A2089" s="316" t="s">
        <v>4635</v>
      </c>
      <c r="B2089" s="123" t="s">
        <v>7609</v>
      </c>
      <c r="C2089" s="256" t="s">
        <v>7455</v>
      </c>
      <c r="D2089" s="328" t="s">
        <v>604</v>
      </c>
      <c r="E2089" s="122" t="str">
        <f t="shared" si="32"/>
        <v>7564 : 마감후자금이체신청 가능시간이 아닙니다.</v>
      </c>
    </row>
    <row r="2090" spans="1:5" s="64" customFormat="1">
      <c r="A2090" s="316" t="s">
        <v>4635</v>
      </c>
      <c r="B2090" s="123" t="s">
        <v>7609</v>
      </c>
      <c r="C2090" s="256" t="s">
        <v>7456</v>
      </c>
      <c r="D2090" s="328" t="s">
        <v>603</v>
      </c>
      <c r="E2090" s="122" t="str">
        <f t="shared" si="32"/>
        <v>7565 : 마감후자금이체신청이 마감 되었습니다.</v>
      </c>
    </row>
    <row r="2091" spans="1:5" s="64" customFormat="1">
      <c r="A2091" s="316" t="s">
        <v>4635</v>
      </c>
      <c r="B2091" s="123" t="s">
        <v>7609</v>
      </c>
      <c r="C2091" s="256" t="s">
        <v>7457</v>
      </c>
      <c r="D2091" s="328" t="s">
        <v>602</v>
      </c>
      <c r="E2091" s="122" t="str">
        <f t="shared" si="32"/>
        <v>7566 : 마감후자금이체 신청내역이 없습니다.</v>
      </c>
    </row>
    <row r="2092" spans="1:5" s="64" customFormat="1">
      <c r="A2092" s="316" t="s">
        <v>4635</v>
      </c>
      <c r="B2092" s="123" t="s">
        <v>7609</v>
      </c>
      <c r="C2092" s="256" t="s">
        <v>7458</v>
      </c>
      <c r="D2092" s="328" t="s">
        <v>601</v>
      </c>
      <c r="E2092" s="122" t="str">
        <f t="shared" si="32"/>
        <v>7567 : 마감후자금이체 갱신 오류입니다.</v>
      </c>
    </row>
    <row r="2093" spans="1:5" s="64" customFormat="1">
      <c r="A2093" s="316" t="s">
        <v>4635</v>
      </c>
      <c r="B2093" s="123" t="s">
        <v>7609</v>
      </c>
      <c r="C2093" s="256" t="s">
        <v>7459</v>
      </c>
      <c r="D2093" s="328" t="s">
        <v>600</v>
      </c>
      <c r="E2093" s="122" t="str">
        <f t="shared" si="32"/>
        <v>7568 : 반려사유를 확인하세요.</v>
      </c>
    </row>
    <row r="2094" spans="1:5" s="64" customFormat="1">
      <c r="A2094" s="316" t="s">
        <v>4635</v>
      </c>
      <c r="B2094" s="123" t="s">
        <v>7609</v>
      </c>
      <c r="C2094" s="256" t="s">
        <v>7460</v>
      </c>
      <c r="D2094" s="328" t="s">
        <v>599</v>
      </c>
      <c r="E2094" s="122" t="str">
        <f t="shared" si="32"/>
        <v>7569 : 수취인 구분 입력 오류입니다.</v>
      </c>
    </row>
    <row r="2095" spans="1:5" s="64" customFormat="1">
      <c r="A2095" s="316" t="s">
        <v>4635</v>
      </c>
      <c r="B2095" s="123" t="s">
        <v>7609</v>
      </c>
      <c r="C2095" s="256" t="s">
        <v>7461</v>
      </c>
      <c r="D2095" s="328" t="s">
        <v>598</v>
      </c>
      <c r="E2095" s="122" t="str">
        <f t="shared" si="32"/>
        <v>7570 : 수취인 지역 입력 오류입니다.</v>
      </c>
    </row>
    <row r="2096" spans="1:5" s="64" customFormat="1">
      <c r="A2096" s="316" t="s">
        <v>4635</v>
      </c>
      <c r="B2096" s="123" t="s">
        <v>7609</v>
      </c>
      <c r="C2096" s="256" t="s">
        <v>7462</v>
      </c>
      <c r="D2096" s="328" t="s">
        <v>597</v>
      </c>
      <c r="E2096" s="122" t="str">
        <f t="shared" si="32"/>
        <v>7571 : 수취기관의 일중당좌대출 상환용도인 경우만 기관간 자금이체가 가능합니다.</v>
      </c>
    </row>
    <row r="2097" spans="1:5" s="64" customFormat="1">
      <c r="A2097" s="316" t="s">
        <v>4635</v>
      </c>
      <c r="B2097" s="123" t="s">
        <v>7609</v>
      </c>
      <c r="C2097" s="256" t="s">
        <v>7463</v>
      </c>
      <c r="D2097" s="328" t="s">
        <v>596</v>
      </c>
      <c r="E2097" s="122" t="str">
        <f t="shared" si="32"/>
        <v>7572 : 현재 당좌계좌(한은거래)잔액 오류입니다.</v>
      </c>
    </row>
    <row r="2098" spans="1:5" s="64" customFormat="1">
      <c r="A2098" s="316" t="s">
        <v>4635</v>
      </c>
      <c r="B2098" s="123" t="s">
        <v>7609</v>
      </c>
      <c r="C2098" s="256" t="s">
        <v>7464</v>
      </c>
      <c r="D2098" s="328" t="s">
        <v>595</v>
      </c>
      <c r="E2098" s="122" t="str">
        <f t="shared" si="32"/>
        <v>7573 : 예약은 차액결제 참가기관만 가능합니다.</v>
      </c>
    </row>
    <row r="2099" spans="1:5" s="64" customFormat="1">
      <c r="A2099" s="316" t="s">
        <v>4635</v>
      </c>
      <c r="B2099" s="123" t="s">
        <v>7609</v>
      </c>
      <c r="C2099" s="256" t="s">
        <v>7465</v>
      </c>
      <c r="D2099" s="328" t="s">
        <v>594</v>
      </c>
      <c r="E2099" s="122" t="str">
        <f t="shared" si="32"/>
        <v>7574 : 금액구분 오류 입니다.</v>
      </c>
    </row>
    <row r="2100" spans="1:5" s="64" customFormat="1">
      <c r="A2100" s="316" t="s">
        <v>4635</v>
      </c>
      <c r="B2100" s="123" t="s">
        <v>7609</v>
      </c>
      <c r="C2100" s="256" t="s">
        <v>7466</v>
      </c>
      <c r="D2100" s="328" t="s">
        <v>593</v>
      </c>
      <c r="E2100" s="122" t="str">
        <f t="shared" si="32"/>
        <v>7575 : 이체의뢰인 구분 입력 오류입니다.</v>
      </c>
    </row>
    <row r="2101" spans="1:5" s="64" customFormat="1">
      <c r="A2101" s="316" t="s">
        <v>4635</v>
      </c>
      <c r="B2101" s="123" t="s">
        <v>7609</v>
      </c>
      <c r="C2101" s="256" t="s">
        <v>7467</v>
      </c>
      <c r="D2101" s="328" t="s">
        <v>592</v>
      </c>
      <c r="E2101" s="122" t="str">
        <f t="shared" si="32"/>
        <v>7576 : 이체의뢰인 지역 입력 오류입니다.</v>
      </c>
    </row>
    <row r="2102" spans="1:5" s="64" customFormat="1">
      <c r="A2102" s="316" t="s">
        <v>4635</v>
      </c>
      <c r="B2102" s="123" t="s">
        <v>7609</v>
      </c>
      <c r="C2102" s="256" t="s">
        <v>7468</v>
      </c>
      <c r="D2102" s="328" t="s">
        <v>591</v>
      </c>
      <c r="E2102" s="122" t="str">
        <f t="shared" si="32"/>
        <v>7577 : 수취의뢰인 구분 입력 오류입니다.</v>
      </c>
    </row>
    <row r="2103" spans="1:5" s="64" customFormat="1">
      <c r="A2103" s="316" t="s">
        <v>4635</v>
      </c>
      <c r="B2103" s="123" t="s">
        <v>7609</v>
      </c>
      <c r="C2103" s="256" t="s">
        <v>7469</v>
      </c>
      <c r="D2103" s="328" t="s">
        <v>590</v>
      </c>
      <c r="E2103" s="122" t="str">
        <f t="shared" si="32"/>
        <v>7578 : 수취의뢰인 지역 입력 오류입니다.</v>
      </c>
    </row>
    <row r="2104" spans="1:5" s="64" customFormat="1">
      <c r="A2104" s="316" t="s">
        <v>4635</v>
      </c>
      <c r="B2104" s="123" t="s">
        <v>7609</v>
      </c>
      <c r="C2104" s="256" t="s">
        <v>7470</v>
      </c>
      <c r="D2104" s="328" t="s">
        <v>589</v>
      </c>
      <c r="E2104" s="122" t="str">
        <f t="shared" si="32"/>
        <v>7579 : 한은금융망 운영상태 정보가 없습니다.</v>
      </c>
    </row>
    <row r="2105" spans="1:5" s="64" customFormat="1">
      <c r="A2105" s="316" t="s">
        <v>4635</v>
      </c>
      <c r="B2105" s="123" t="s">
        <v>7609</v>
      </c>
      <c r="C2105" s="256" t="s">
        <v>7471</v>
      </c>
      <c r="D2105" s="328" t="s">
        <v>588</v>
      </c>
      <c r="E2105" s="122" t="str">
        <f t="shared" si="32"/>
        <v>7580 : 해당 업무가 장애 상태입니다.</v>
      </c>
    </row>
    <row r="2106" spans="1:5" s="64" customFormat="1">
      <c r="A2106" s="316" t="s">
        <v>4635</v>
      </c>
      <c r="B2106" s="123" t="s">
        <v>7609</v>
      </c>
      <c r="C2106" s="256" t="s">
        <v>7472</v>
      </c>
      <c r="D2106" s="328" t="s">
        <v>587</v>
      </c>
      <c r="E2106" s="122" t="str">
        <f t="shared" si="32"/>
        <v>7581 : 신청기관 개별마감연장 상태가 아닙니다.</v>
      </c>
    </row>
    <row r="2107" spans="1:5" s="64" customFormat="1">
      <c r="A2107" s="316" t="s">
        <v>4635</v>
      </c>
      <c r="B2107" s="123" t="s">
        <v>7609</v>
      </c>
      <c r="C2107" s="256" t="s">
        <v>7473</v>
      </c>
      <c r="D2107" s="328" t="s">
        <v>586</v>
      </c>
      <c r="E2107" s="122" t="str">
        <f t="shared" si="32"/>
        <v>7582 : 상대기관 개별마감연장 상태가 아닙니다.</v>
      </c>
    </row>
    <row r="2108" spans="1:5" s="64" customFormat="1">
      <c r="A2108" s="316" t="s">
        <v>4635</v>
      </c>
      <c r="B2108" s="123" t="s">
        <v>7609</v>
      </c>
      <c r="C2108" s="256" t="s">
        <v>7474</v>
      </c>
      <c r="D2108" s="328" t="s">
        <v>585</v>
      </c>
      <c r="E2108" s="122" t="str">
        <f t="shared" si="32"/>
        <v>7583 : 상환할 일중당좌대출잔액이 없습니다.</v>
      </c>
    </row>
    <row r="2109" spans="1:5" s="64" customFormat="1">
      <c r="A2109" s="316" t="s">
        <v>4635</v>
      </c>
      <c r="B2109" s="123" t="s">
        <v>7609</v>
      </c>
      <c r="C2109" s="256" t="s">
        <v>7475</v>
      </c>
      <c r="D2109" s="328" t="s">
        <v>584</v>
      </c>
      <c r="E2109" s="122" t="str">
        <f t="shared" si="32"/>
        <v>7584 : 신청기관앞 CLS자금수취내역이 없습니다.</v>
      </c>
    </row>
    <row r="2110" spans="1:5" s="64" customFormat="1">
      <c r="A2110" s="316" t="s">
        <v>4635</v>
      </c>
      <c r="B2110" s="123" t="s">
        <v>7609</v>
      </c>
      <c r="C2110" s="256" t="s">
        <v>7476</v>
      </c>
      <c r="D2110" s="328" t="s">
        <v>583</v>
      </c>
      <c r="E2110" s="122" t="str">
        <f t="shared" si="32"/>
        <v>7585 : CLS관련 자금이체 가능시각이 아닙니다.</v>
      </c>
    </row>
    <row r="2111" spans="1:5" s="64" customFormat="1">
      <c r="A2111" s="316" t="s">
        <v>4635</v>
      </c>
      <c r="B2111" s="123" t="s">
        <v>7609</v>
      </c>
      <c r="C2111" s="256" t="s">
        <v>7477</v>
      </c>
      <c r="D2111" s="328" t="s">
        <v>582</v>
      </c>
      <c r="E2111" s="122" t="str">
        <f t="shared" si="32"/>
        <v>7586 : 참가기관에서 등록한 거래제한기관 입니다.</v>
      </c>
    </row>
    <row r="2112" spans="1:5" s="64" customFormat="1">
      <c r="A2112" s="316" t="s">
        <v>4635</v>
      </c>
      <c r="B2112" s="123" t="s">
        <v>7609</v>
      </c>
      <c r="C2112" s="256" t="s">
        <v>7478</v>
      </c>
      <c r="D2112" s="328" t="s">
        <v>581</v>
      </c>
      <c r="E2112" s="122" t="str">
        <f t="shared" si="32"/>
        <v>7587 : 대기(예약)취소동의 신청기관은 수취기관이어야 합니다.</v>
      </c>
    </row>
    <row r="2113" spans="1:5" s="64" customFormat="1">
      <c r="A2113" s="316" t="s">
        <v>4635</v>
      </c>
      <c r="B2113" s="123" t="s">
        <v>7609</v>
      </c>
      <c r="C2113" s="256" t="s">
        <v>7479</v>
      </c>
      <c r="D2113" s="328" t="s">
        <v>580</v>
      </c>
      <c r="E2113" s="122" t="str">
        <f t="shared" si="32"/>
        <v>7588 : 예약신청 가능시각이 아닙니다.</v>
      </c>
    </row>
    <row r="2114" spans="1:5" s="64" customFormat="1">
      <c r="A2114" s="316" t="s">
        <v>4635</v>
      </c>
      <c r="B2114" s="123" t="s">
        <v>7609</v>
      </c>
      <c r="C2114" s="256" t="s">
        <v>7480</v>
      </c>
      <c r="D2114" s="328" t="s">
        <v>579</v>
      </c>
      <c r="E2114" s="122" t="str">
        <f t="shared" si="32"/>
        <v>7589 : 신청기관은 예탁결제원만 가능합니다.</v>
      </c>
    </row>
    <row r="2115" spans="1:5" s="64" customFormat="1">
      <c r="A2115" s="316" t="s">
        <v>4635</v>
      </c>
      <c r="B2115" s="123" t="s">
        <v>7609</v>
      </c>
      <c r="C2115" s="256" t="s">
        <v>7481</v>
      </c>
      <c r="D2115" s="328" t="s">
        <v>578</v>
      </c>
      <c r="E2115" s="122" t="str">
        <f t="shared" si="32"/>
        <v>7590 : 증권대금이체 마감후 거래가능한 자금코드 입니다.</v>
      </c>
    </row>
    <row r="2116" spans="1:5" s="64" customFormat="1">
      <c r="A2116" s="316" t="s">
        <v>4635</v>
      </c>
      <c r="B2116" s="123" t="s">
        <v>7609</v>
      </c>
      <c r="C2116" s="256" t="s">
        <v>7482</v>
      </c>
      <c r="D2116" s="328" t="s">
        <v>577</v>
      </c>
      <c r="E2116" s="122" t="str">
        <f t="shared" ref="E2116:E2179" si="33">_xlfn.TEXTJOIN(" : ",FALSE,C2116:D2116)</f>
        <v>7591 : 채무증권전문회원 정보 입력/수정/해지 불가 입니다.</v>
      </c>
    </row>
    <row r="2117" spans="1:5" s="64" customFormat="1">
      <c r="A2117" s="316" t="s">
        <v>4635</v>
      </c>
      <c r="B2117" s="123" t="s">
        <v>7609</v>
      </c>
      <c r="C2117" s="256" t="s">
        <v>7483</v>
      </c>
      <c r="D2117" s="328" t="s">
        <v>576</v>
      </c>
      <c r="E2117" s="122" t="str">
        <f t="shared" si="33"/>
        <v>7592 : 자동수행거래ID 입력 오류입니다.</v>
      </c>
    </row>
    <row r="2118" spans="1:5" s="64" customFormat="1">
      <c r="A2118" s="316" t="s">
        <v>4635</v>
      </c>
      <c r="B2118" s="123" t="s">
        <v>7609</v>
      </c>
      <c r="C2118" s="256" t="s">
        <v>7484</v>
      </c>
      <c r="D2118" s="328" t="s">
        <v>575</v>
      </c>
      <c r="E2118" s="122" t="str">
        <f t="shared" si="33"/>
        <v>7593 : 마감후자금이체신청사유 입력 오류입니다.</v>
      </c>
    </row>
    <row r="2119" spans="1:5" s="64" customFormat="1">
      <c r="A2119" s="316" t="s">
        <v>4635</v>
      </c>
      <c r="B2119" s="123" t="s">
        <v>7609</v>
      </c>
      <c r="C2119" s="256" t="s">
        <v>7485</v>
      </c>
      <c r="D2119" s="328" t="s">
        <v>574</v>
      </c>
      <c r="E2119" s="122" t="str">
        <f t="shared" si="33"/>
        <v>7594 : 수신. 거액간 이체는 기관내 자금이체만 가능합니다</v>
      </c>
    </row>
    <row r="2120" spans="1:5" s="64" customFormat="1">
      <c r="A2120" s="316" t="s">
        <v>4635</v>
      </c>
      <c r="B2120" s="123" t="s">
        <v>7609</v>
      </c>
      <c r="C2120" s="256" t="s">
        <v>7486</v>
      </c>
      <c r="D2120" s="328" t="s">
        <v>573</v>
      </c>
      <c r="E2120" s="122" t="str">
        <f t="shared" si="33"/>
        <v>7595 : 연쇄결제여부는 입력 항목이 아닙니다.</v>
      </c>
    </row>
    <row r="2121" spans="1:5" s="64" customFormat="1">
      <c r="A2121" s="316" t="s">
        <v>4635</v>
      </c>
      <c r="B2121" s="123" t="s">
        <v>7609</v>
      </c>
      <c r="C2121" s="256" t="s">
        <v>7487</v>
      </c>
      <c r="D2121" s="328" t="s">
        <v>572</v>
      </c>
      <c r="E2121" s="122" t="str">
        <f t="shared" si="33"/>
        <v>7596 : 연쇄결제 잔액이 부족합니다.</v>
      </c>
    </row>
    <row r="2122" spans="1:5" s="64" customFormat="1">
      <c r="A2122" s="316" t="s">
        <v>4635</v>
      </c>
      <c r="B2122" s="123" t="s">
        <v>7609</v>
      </c>
      <c r="C2122" s="256" t="s">
        <v>7488</v>
      </c>
      <c r="D2122" s="328" t="s">
        <v>571</v>
      </c>
      <c r="E2122" s="122" t="str">
        <f t="shared" si="33"/>
        <v>7597 : 당좌대출 차입금지상태입니다.</v>
      </c>
    </row>
    <row r="2123" spans="1:5" s="64" customFormat="1">
      <c r="A2123" s="316" t="s">
        <v>4635</v>
      </c>
      <c r="B2123" s="123" t="s">
        <v>7609</v>
      </c>
      <c r="C2123" s="256" t="s">
        <v>7489</v>
      </c>
      <c r="D2123" s="328" t="s">
        <v>570</v>
      </c>
      <c r="E2123" s="122" t="str">
        <f t="shared" si="33"/>
        <v>7598 : 당좌대출 상환 처리할 잔액이 부족합니다.</v>
      </c>
    </row>
    <row r="2124" spans="1:5" s="64" customFormat="1">
      <c r="A2124" s="316" t="s">
        <v>4635</v>
      </c>
      <c r="B2124" s="123" t="s">
        <v>7609</v>
      </c>
      <c r="C2124" s="256" t="s">
        <v>7490</v>
      </c>
      <c r="D2124" s="328" t="s">
        <v>569</v>
      </c>
      <c r="E2124" s="122" t="str">
        <f t="shared" si="33"/>
        <v>7599 : 당좌대출 실행을 위한 가용금액이 부족합니다.</v>
      </c>
    </row>
    <row r="2125" spans="1:5" s="64" customFormat="1">
      <c r="A2125" s="316" t="s">
        <v>4635</v>
      </c>
      <c r="B2125" s="123" t="s">
        <v>7609</v>
      </c>
      <c r="C2125" s="256" t="s">
        <v>7491</v>
      </c>
      <c r="D2125" s="328" t="s">
        <v>568</v>
      </c>
      <c r="E2125" s="122" t="str">
        <f t="shared" si="33"/>
        <v xml:space="preserve">8000 : 한글파일　오류                        </v>
      </c>
    </row>
    <row r="2126" spans="1:5" s="64" customFormat="1">
      <c r="A2126" s="316" t="s">
        <v>4635</v>
      </c>
      <c r="B2126" s="123" t="s">
        <v>7609</v>
      </c>
      <c r="C2126" s="256" t="s">
        <v>7492</v>
      </c>
      <c r="D2126" s="328" t="s">
        <v>567</v>
      </c>
      <c r="E2126" s="122" t="str">
        <f t="shared" si="33"/>
        <v xml:space="preserve">8010 : 결제또는NOSTRO기관만신청가능        </v>
      </c>
    </row>
    <row r="2127" spans="1:5" s="64" customFormat="1">
      <c r="A2127" s="316" t="s">
        <v>4635</v>
      </c>
      <c r="B2127" s="123" t="s">
        <v>7609</v>
      </c>
      <c r="C2127" s="256" t="s">
        <v>7493</v>
      </c>
      <c r="D2127" s="328" t="s">
        <v>566</v>
      </c>
      <c r="E2127" s="122" t="str">
        <f t="shared" si="33"/>
        <v xml:space="preserve">8011 : 수혜기관오류（ＣＬＳＢＡＮＫ아님）    </v>
      </c>
    </row>
    <row r="2128" spans="1:5" s="64" customFormat="1">
      <c r="A2128" s="316" t="s">
        <v>4635</v>
      </c>
      <c r="B2128" s="123" t="s">
        <v>7609</v>
      </c>
      <c r="C2128" s="256" t="s">
        <v>7494</v>
      </c>
      <c r="D2128" s="328" t="s">
        <v>565</v>
      </c>
      <c r="E2128" s="122" t="str">
        <f t="shared" si="33"/>
        <v xml:space="preserve">8012 : 수혜기관을　확인하세요                </v>
      </c>
    </row>
    <row r="2129" spans="1:5" s="64" customFormat="1">
      <c r="A2129" s="316" t="s">
        <v>4635</v>
      </c>
      <c r="B2129" s="123" t="s">
        <v>7609</v>
      </c>
      <c r="C2129" s="256" t="s">
        <v>7495</v>
      </c>
      <c r="D2129" s="328" t="s">
        <v>564</v>
      </c>
      <c r="E2129" s="122" t="str">
        <f t="shared" si="33"/>
        <v xml:space="preserve">8013 : 수혜기관ＢＩＣ코드　미등록            </v>
      </c>
    </row>
    <row r="2130" spans="1:5" s="64" customFormat="1">
      <c r="A2130" s="316" t="s">
        <v>4635</v>
      </c>
      <c r="B2130" s="123" t="s">
        <v>7609</v>
      </c>
      <c r="C2130" s="256" t="s">
        <v>7496</v>
      </c>
      <c r="D2130" s="328" t="s">
        <v>563</v>
      </c>
      <c r="E2130" s="122" t="str">
        <f t="shared" si="33"/>
        <v xml:space="preserve">8014 : 신청기관（유동성，ＮＯＳＴＲＯ아님）  </v>
      </c>
    </row>
    <row r="2131" spans="1:5" s="64" customFormat="1">
      <c r="A2131" s="316" t="s">
        <v>4635</v>
      </c>
      <c r="B2131" s="123" t="s">
        <v>7609</v>
      </c>
      <c r="C2131" s="256" t="s">
        <v>7497</v>
      </c>
      <c r="D2131" s="328" t="s">
        <v>562</v>
      </c>
      <c r="E2131" s="122" t="str">
        <f t="shared" si="33"/>
        <v xml:space="preserve">8015 : 신청기관과　지시기관　불일치          </v>
      </c>
    </row>
    <row r="2132" spans="1:5" s="64" customFormat="1">
      <c r="A2132" s="316" t="s">
        <v>4635</v>
      </c>
      <c r="B2132" s="123" t="s">
        <v>7609</v>
      </c>
      <c r="C2132" s="256" t="s">
        <v>7498</v>
      </c>
      <c r="D2132" s="328" t="s">
        <v>561</v>
      </c>
      <c r="E2132" s="122" t="str">
        <f t="shared" si="33"/>
        <v xml:space="preserve">8016 : 신청기관ＢＩＣ코드　미등록！          </v>
      </c>
    </row>
    <row r="2133" spans="1:5" s="64" customFormat="1">
      <c r="A2133" s="316" t="s">
        <v>4635</v>
      </c>
      <c r="B2133" s="123" t="s">
        <v>7609</v>
      </c>
      <c r="C2133" s="256" t="s">
        <v>7499</v>
      </c>
      <c r="D2133" s="328" t="s">
        <v>560</v>
      </c>
      <c r="E2133" s="122" t="str">
        <f t="shared" si="33"/>
        <v xml:space="preserve">8017 : 중개기관　입력대상　아님              </v>
      </c>
    </row>
    <row r="2134" spans="1:5" s="64" customFormat="1">
      <c r="A2134" s="316" t="s">
        <v>4635</v>
      </c>
      <c r="B2134" s="123" t="s">
        <v>7609</v>
      </c>
      <c r="C2134" s="256" t="s">
        <v>7500</v>
      </c>
      <c r="D2134" s="328" t="s">
        <v>559</v>
      </c>
      <c r="E2134" s="122" t="str">
        <f t="shared" si="33"/>
        <v xml:space="preserve">8018 : 중개기관　코드오류                    </v>
      </c>
    </row>
    <row r="2135" spans="1:5" s="64" customFormat="1">
      <c r="A2135" s="316" t="s">
        <v>4635</v>
      </c>
      <c r="B2135" s="123" t="s">
        <v>7609</v>
      </c>
      <c r="C2135" s="256" t="s">
        <v>7501</v>
      </c>
      <c r="D2135" s="328" t="s">
        <v>558</v>
      </c>
      <c r="E2135" s="122" t="str">
        <f t="shared" si="33"/>
        <v xml:space="preserve">8019 : 지시기관（유동성공급기관오류）        </v>
      </c>
    </row>
    <row r="2136" spans="1:5" s="64" customFormat="1">
      <c r="A2136" s="316" t="s">
        <v>4635</v>
      </c>
      <c r="B2136" s="123" t="s">
        <v>7609</v>
      </c>
      <c r="C2136" s="256" t="s">
        <v>7502</v>
      </c>
      <c r="D2136" s="328" t="s">
        <v>557</v>
      </c>
      <c r="E2136" s="122" t="str">
        <f t="shared" si="33"/>
        <v xml:space="preserve">8020 : 지시기관과　수혜기관　불일치          </v>
      </c>
    </row>
    <row r="2137" spans="1:5" s="64" customFormat="1">
      <c r="A2137" s="316" t="s">
        <v>4635</v>
      </c>
      <c r="B2137" s="123" t="s">
        <v>7609</v>
      </c>
      <c r="C2137" s="256" t="s">
        <v>7503</v>
      </c>
      <c r="D2137" s="328" t="s">
        <v>556</v>
      </c>
      <c r="E2137" s="122" t="str">
        <f t="shared" si="33"/>
        <v xml:space="preserve">8021 : 지시기관오류（결제회원은행아님）      </v>
      </c>
    </row>
    <row r="2138" spans="1:5" s="64" customFormat="1">
      <c r="A2138" s="316" t="s">
        <v>4635</v>
      </c>
      <c r="B2138" s="123" t="s">
        <v>7609</v>
      </c>
      <c r="C2138" s="256" t="s">
        <v>7504</v>
      </c>
      <c r="D2138" s="328" t="s">
        <v>555</v>
      </c>
      <c r="E2138" s="122" t="str">
        <f t="shared" si="33"/>
        <v xml:space="preserve">8022 : 지시기관오류（유동성공급기관아님）    </v>
      </c>
    </row>
    <row r="2139" spans="1:5" s="64" customFormat="1">
      <c r="A2139" s="316" t="s">
        <v>4635</v>
      </c>
      <c r="B2139" s="123" t="s">
        <v>7609</v>
      </c>
      <c r="C2139" s="256" t="s">
        <v>7505</v>
      </c>
      <c r="D2139" s="328" t="s">
        <v>554</v>
      </c>
      <c r="E2139" s="122" t="str">
        <f t="shared" si="33"/>
        <v xml:space="preserve">8023 : 지시기관을　확인하세요                </v>
      </c>
    </row>
    <row r="2140" spans="1:5" s="64" customFormat="1">
      <c r="A2140" s="316" t="s">
        <v>4635</v>
      </c>
      <c r="B2140" s="123" t="s">
        <v>7609</v>
      </c>
      <c r="C2140" s="256" t="s">
        <v>7506</v>
      </c>
      <c r="D2140" s="328" t="s">
        <v>553</v>
      </c>
      <c r="E2140" s="122" t="str">
        <f t="shared" si="33"/>
        <v xml:space="preserve">8024 : 지시기관ＢＩＣ코드　미등록            </v>
      </c>
    </row>
    <row r="2141" spans="1:5" s="64" customFormat="1">
      <c r="A2141" s="316" t="s">
        <v>4635</v>
      </c>
      <c r="B2141" s="123" t="s">
        <v>7609</v>
      </c>
      <c r="C2141" s="256" t="s">
        <v>7507</v>
      </c>
      <c r="D2141" s="328" t="s">
        <v>552</v>
      </c>
      <c r="E2141" s="122" t="str">
        <f t="shared" si="33"/>
        <v xml:space="preserve">8025 : 차액결제　처리중！　                  </v>
      </c>
    </row>
    <row r="2142" spans="1:5" s="64" customFormat="1">
      <c r="A2142" s="316" t="s">
        <v>4635</v>
      </c>
      <c r="B2142" s="123" t="s">
        <v>7609</v>
      </c>
      <c r="C2142" s="256" t="s">
        <v>7508</v>
      </c>
      <c r="D2142" s="328" t="s">
        <v>551</v>
      </c>
      <c r="E2142" s="122" t="str">
        <f t="shared" si="33"/>
        <v xml:space="preserve">8026 : ＣＬＳ　연계시스템　마감상태가　아님  </v>
      </c>
    </row>
    <row r="2143" spans="1:5" s="64" customFormat="1">
      <c r="A2143" s="316" t="s">
        <v>4635</v>
      </c>
      <c r="B2143" s="123" t="s">
        <v>7609</v>
      </c>
      <c r="C2143" s="256" t="s">
        <v>7509</v>
      </c>
      <c r="D2143" s="328" t="s">
        <v>550</v>
      </c>
      <c r="E2143" s="122" t="str">
        <f t="shared" si="33"/>
        <v xml:space="preserve">8027 : ＣＬＳ거래상태를　확인하십시오！      </v>
      </c>
    </row>
    <row r="2144" spans="1:5" s="64" customFormat="1">
      <c r="A2144" s="316" t="s">
        <v>4635</v>
      </c>
      <c r="B2144" s="123" t="s">
        <v>7609</v>
      </c>
      <c r="C2144" s="256" t="s">
        <v>7510</v>
      </c>
      <c r="D2144" s="328" t="s">
        <v>549</v>
      </c>
      <c r="E2144" s="122" t="str">
        <f t="shared" si="33"/>
        <v xml:space="preserve">8028 : ＮＯＳＴＲＯ기관만　신청가능          </v>
      </c>
    </row>
    <row r="2145" spans="1:5" s="64" customFormat="1">
      <c r="A2145" s="316" t="s">
        <v>4635</v>
      </c>
      <c r="B2145" s="123" t="s">
        <v>7609</v>
      </c>
      <c r="C2145" s="256" t="s">
        <v>7511</v>
      </c>
      <c r="D2145" s="328" t="s">
        <v>548</v>
      </c>
      <c r="E2145" s="122" t="str">
        <f t="shared" si="33"/>
        <v>8029 : 지시기관오류（ＮＯＳＴＲＯ기관　아님）</v>
      </c>
    </row>
    <row r="2146" spans="1:5" s="64" customFormat="1">
      <c r="A2146" s="316" t="s">
        <v>4635</v>
      </c>
      <c r="B2146" s="123" t="s">
        <v>7609</v>
      </c>
      <c r="C2146" s="256" t="s">
        <v>7512</v>
      </c>
      <c r="D2146" s="328" t="s">
        <v>547</v>
      </c>
      <c r="E2146" s="122" t="str">
        <f t="shared" si="33"/>
        <v xml:space="preserve">8030 : 수혜기관　입력　오류                  </v>
      </c>
    </row>
    <row r="2147" spans="1:5" s="64" customFormat="1">
      <c r="A2147" s="316" t="s">
        <v>4635</v>
      </c>
      <c r="B2147" s="123" t="s">
        <v>7609</v>
      </c>
      <c r="C2147" s="256" t="s">
        <v>7513</v>
      </c>
      <c r="D2147" s="328" t="s">
        <v>546</v>
      </c>
      <c r="E2147" s="122" t="str">
        <f t="shared" si="33"/>
        <v xml:space="preserve">8031 : 중개기관　입력　오류                  </v>
      </c>
    </row>
    <row r="2148" spans="1:5" s="64" customFormat="1">
      <c r="A2148" s="316" t="s">
        <v>4635</v>
      </c>
      <c r="B2148" s="123" t="s">
        <v>7609</v>
      </c>
      <c r="C2148" s="256" t="s">
        <v>7514</v>
      </c>
      <c r="D2148" s="328" t="s">
        <v>545</v>
      </c>
      <c r="E2148" s="122" t="str">
        <f t="shared" si="33"/>
        <v xml:space="preserve">8032 : 당좌거래　가능여부　확인　오류        </v>
      </c>
    </row>
    <row r="2149" spans="1:5" s="64" customFormat="1">
      <c r="A2149" s="316" t="s">
        <v>4635</v>
      </c>
      <c r="B2149" s="123" t="s">
        <v>7609</v>
      </c>
      <c r="C2149" s="256" t="s">
        <v>7515</v>
      </c>
      <c r="D2149" s="328" t="s">
        <v>544</v>
      </c>
      <c r="E2149" s="122" t="str">
        <f t="shared" si="33"/>
        <v xml:space="preserve">8033 : 대기거래　생성　오류                  </v>
      </c>
    </row>
    <row r="2150" spans="1:5" s="64" customFormat="1">
      <c r="A2150" s="316" t="s">
        <v>4635</v>
      </c>
      <c r="B2150" s="123" t="s">
        <v>7609</v>
      </c>
      <c r="C2150" s="256" t="s">
        <v>7516</v>
      </c>
      <c r="D2150" s="328" t="s">
        <v>543</v>
      </c>
      <c r="E2150" s="122" t="str">
        <f t="shared" si="33"/>
        <v xml:space="preserve">8034 : ＣＬＳ　ＬＩＮＫ　오류                </v>
      </c>
    </row>
    <row r="2151" spans="1:5" s="64" customFormat="1">
      <c r="A2151" s="316" t="s">
        <v>4635</v>
      </c>
      <c r="B2151" s="123" t="s">
        <v>7609</v>
      </c>
      <c r="C2151" s="256" t="s">
        <v>7517</v>
      </c>
      <c r="D2151" s="328" t="s">
        <v>542</v>
      </c>
      <c r="E2151" s="122" t="str">
        <f t="shared" si="33"/>
        <v xml:space="preserve">8035 : 신청기관ＢＩＣ코드　미입력！          </v>
      </c>
    </row>
    <row r="2152" spans="1:5" s="64" customFormat="1">
      <c r="A2152" s="316" t="s">
        <v>4635</v>
      </c>
      <c r="B2152" s="123" t="s">
        <v>7609</v>
      </c>
      <c r="C2152" s="256" t="s">
        <v>7518</v>
      </c>
      <c r="D2152" s="328" t="s">
        <v>541</v>
      </c>
      <c r="E2152" s="122" t="str">
        <f t="shared" si="33"/>
        <v xml:space="preserve">8036 : 지시기관ＢＩＣ코드　미입력！          </v>
      </c>
    </row>
    <row r="2153" spans="1:5" s="64" customFormat="1">
      <c r="A2153" s="316" t="s">
        <v>4635</v>
      </c>
      <c r="B2153" s="123" t="s">
        <v>7609</v>
      </c>
      <c r="C2153" s="256" t="s">
        <v>7519</v>
      </c>
      <c r="D2153" s="328" t="s">
        <v>540</v>
      </c>
      <c r="E2153" s="122" t="str">
        <f t="shared" si="33"/>
        <v xml:space="preserve">8037 : 수혜기관ＢＩＣ코드　미입력！          </v>
      </c>
    </row>
    <row r="2154" spans="1:5" s="64" customFormat="1">
      <c r="A2154" s="316" t="s">
        <v>4635</v>
      </c>
      <c r="B2154" s="123" t="s">
        <v>7609</v>
      </c>
      <c r="C2154" s="256" t="s">
        <v>7520</v>
      </c>
      <c r="D2154" s="328" t="s">
        <v>539</v>
      </c>
      <c r="E2154" s="122" t="str">
        <f t="shared" si="33"/>
        <v xml:space="preserve">8038 : 중개기관ＢＩＣ코드　미입력！          </v>
      </c>
    </row>
    <row r="2155" spans="1:5" s="64" customFormat="1">
      <c r="A2155" s="316" t="s">
        <v>4635</v>
      </c>
      <c r="B2155" s="123" t="s">
        <v>7609</v>
      </c>
      <c r="C2155" s="256" t="s">
        <v>7521</v>
      </c>
      <c r="D2155" s="328" t="s">
        <v>538</v>
      </c>
      <c r="E2155" s="122" t="str">
        <f t="shared" si="33"/>
        <v xml:space="preserve">8401 : 마감　상태　입니다！                  </v>
      </c>
    </row>
    <row r="2156" spans="1:5" s="64" customFormat="1">
      <c r="A2156" s="316" t="s">
        <v>4635</v>
      </c>
      <c r="B2156" s="123" t="s">
        <v>7609</v>
      </c>
      <c r="C2156" s="256" t="s">
        <v>7522</v>
      </c>
      <c r="D2156" s="328" t="s">
        <v>537</v>
      </c>
      <c r="E2156" s="122" t="str">
        <f t="shared" si="33"/>
        <v xml:space="preserve">8402 : 인출예정일자를확인하시오              </v>
      </c>
    </row>
    <row r="2157" spans="1:5" s="64" customFormat="1">
      <c r="A2157" s="316" t="s">
        <v>4635</v>
      </c>
      <c r="B2157" s="123" t="s">
        <v>7609</v>
      </c>
      <c r="C2157" s="256" t="s">
        <v>7523</v>
      </c>
      <c r="D2157" s="328" t="s">
        <v>536</v>
      </c>
      <c r="E2157" s="122" t="str">
        <f t="shared" si="33"/>
        <v xml:space="preserve">8403 : 당좌계정개설처를　입력하십시오！      </v>
      </c>
    </row>
    <row r="2158" spans="1:5" s="64" customFormat="1">
      <c r="A2158" s="316" t="s">
        <v>4635</v>
      </c>
      <c r="B2158" s="123" t="s">
        <v>7609</v>
      </c>
      <c r="C2158" s="256" t="s">
        <v>7524</v>
      </c>
      <c r="D2158" s="328" t="s">
        <v>535</v>
      </c>
      <c r="E2158" s="122" t="str">
        <f t="shared" si="33"/>
        <v xml:space="preserve">8404 : 현금　지급업무　취급　불가            </v>
      </c>
    </row>
    <row r="2159" spans="1:5" s="64" customFormat="1">
      <c r="A2159" s="316" t="s">
        <v>4635</v>
      </c>
      <c r="B2159" s="123" t="s">
        <v>7609</v>
      </c>
      <c r="C2159" s="256" t="s">
        <v>7525</v>
      </c>
      <c r="D2159" s="328" t="s">
        <v>534</v>
      </c>
      <c r="E2159" s="122" t="str">
        <f t="shared" si="33"/>
        <v xml:space="preserve">8405 : 신청금액이　０　입니다！              </v>
      </c>
    </row>
    <row r="2160" spans="1:5" s="64" customFormat="1">
      <c r="A2160" s="316" t="s">
        <v>4635</v>
      </c>
      <c r="B2160" s="123" t="s">
        <v>7609</v>
      </c>
      <c r="C2160" s="256" t="s">
        <v>7526</v>
      </c>
      <c r="D2160" s="328" t="s">
        <v>517</v>
      </c>
      <c r="E2160" s="122" t="str">
        <f t="shared" si="33"/>
        <v xml:space="preserve">8406 : 대리인　주민번호를　확인하십시오！    </v>
      </c>
    </row>
    <row r="2161" spans="1:5" s="64" customFormat="1">
      <c r="A2161" s="316" t="s">
        <v>4635</v>
      </c>
      <c r="B2161" s="123" t="s">
        <v>7609</v>
      </c>
      <c r="C2161" s="256" t="s">
        <v>7527</v>
      </c>
      <c r="D2161" s="328" t="s">
        <v>533</v>
      </c>
      <c r="E2161" s="122" t="str">
        <f t="shared" si="33"/>
        <v xml:space="preserve">8407 : 현송책임자주민번호를확인하시오        </v>
      </c>
    </row>
    <row r="2162" spans="1:5" s="64" customFormat="1">
      <c r="A2162" s="316" t="s">
        <v>4635</v>
      </c>
      <c r="B2162" s="123" t="s">
        <v>7609</v>
      </c>
      <c r="C2162" s="256" t="s">
        <v>7528</v>
      </c>
      <c r="D2162" s="328" t="s">
        <v>532</v>
      </c>
      <c r="E2162" s="122" t="str">
        <f t="shared" si="33"/>
        <v xml:space="preserve">8408 : 지정책임자주민번호를확인하시오        </v>
      </c>
    </row>
    <row r="2163" spans="1:5" s="64" customFormat="1">
      <c r="A2163" s="316" t="s">
        <v>4635</v>
      </c>
      <c r="B2163" s="123" t="s">
        <v>7609</v>
      </c>
      <c r="C2163" s="256" t="s">
        <v>7529</v>
      </c>
      <c r="D2163" s="328" t="s">
        <v>531</v>
      </c>
      <c r="E2163" s="122" t="str">
        <f t="shared" si="33"/>
        <v xml:space="preserve">8409 : 지정책임자확인요-현송책임자와동일   </v>
      </c>
    </row>
    <row r="2164" spans="1:5" s="64" customFormat="1">
      <c r="A2164" s="316" t="s">
        <v>4635</v>
      </c>
      <c r="B2164" s="123" t="s">
        <v>7609</v>
      </c>
      <c r="C2164" s="256" t="s">
        <v>7530</v>
      </c>
      <c r="D2164" s="328" t="s">
        <v>530</v>
      </c>
      <c r="E2164" s="122" t="str">
        <f t="shared" si="33"/>
        <v xml:space="preserve">8410 : 한국은행원주분실만지정책임자입력가능  </v>
      </c>
    </row>
    <row r="2165" spans="1:5" s="64" customFormat="1">
      <c r="A2165" s="316" t="s">
        <v>4635</v>
      </c>
      <c r="B2165" s="123" t="s">
        <v>7609</v>
      </c>
      <c r="C2165" s="256" t="s">
        <v>7531</v>
      </c>
      <c r="D2165" s="328" t="s">
        <v>529</v>
      </c>
      <c r="E2165" s="122" t="str">
        <f t="shared" si="33"/>
        <v xml:space="preserve">8411 : 비밀번호를　입력하십시오！            </v>
      </c>
    </row>
    <row r="2166" spans="1:5" s="64" customFormat="1">
      <c r="A2166" s="316" t="s">
        <v>4635</v>
      </c>
      <c r="B2166" s="123" t="s">
        <v>7609</v>
      </c>
      <c r="C2166" s="256" t="s">
        <v>7532</v>
      </c>
      <c r="D2166" s="328" t="s">
        <v>528</v>
      </c>
      <c r="E2166" s="122" t="str">
        <f t="shared" si="33"/>
        <v xml:space="preserve">8412 : 비밀번호6자를모두채우시오           </v>
      </c>
    </row>
    <row r="2167" spans="1:5" s="64" customFormat="1">
      <c r="A2167" s="316" t="s">
        <v>4635</v>
      </c>
      <c r="B2167" s="123" t="s">
        <v>7609</v>
      </c>
      <c r="C2167" s="256" t="s">
        <v>7533</v>
      </c>
      <c r="D2167" s="328" t="s">
        <v>527</v>
      </c>
      <c r="E2167" s="122" t="str">
        <f t="shared" si="33"/>
        <v xml:space="preserve">8413 : 비밀번호　재확인을　입력하세요！      </v>
      </c>
    </row>
    <row r="2168" spans="1:5" s="64" customFormat="1">
      <c r="A2168" s="316" t="s">
        <v>4635</v>
      </c>
      <c r="B2168" s="123" t="s">
        <v>7609</v>
      </c>
      <c r="C2168" s="256" t="s">
        <v>7534</v>
      </c>
      <c r="D2168" s="328" t="s">
        <v>526</v>
      </c>
      <c r="E2168" s="122" t="str">
        <f t="shared" si="33"/>
        <v xml:space="preserve">8414 : 비밀번호　두개가　서로　다릅니다！    </v>
      </c>
    </row>
    <row r="2169" spans="1:5" s="64" customFormat="1">
      <c r="A2169" s="316" t="s">
        <v>4635</v>
      </c>
      <c r="B2169" s="123" t="s">
        <v>7609</v>
      </c>
      <c r="C2169" s="256" t="s">
        <v>7535</v>
      </c>
      <c r="D2169" s="328" t="s">
        <v>525</v>
      </c>
      <c r="E2169" s="122" t="str">
        <f t="shared" si="33"/>
        <v xml:space="preserve">8415 : 대리인이　등록되지　않았습니다！      </v>
      </c>
    </row>
    <row r="2170" spans="1:5" s="64" customFormat="1">
      <c r="A2170" s="316" t="s">
        <v>4635</v>
      </c>
      <c r="B2170" s="123" t="s">
        <v>7609</v>
      </c>
      <c r="C2170" s="256" t="s">
        <v>7536</v>
      </c>
      <c r="D2170" s="328" t="s">
        <v>524</v>
      </c>
      <c r="E2170" s="122" t="str">
        <f t="shared" si="33"/>
        <v xml:space="preserve">8416 : 대리인의　소속기관이　다릅니다！      </v>
      </c>
    </row>
    <row r="2171" spans="1:5" s="64" customFormat="1">
      <c r="A2171" s="316" t="s">
        <v>4635</v>
      </c>
      <c r="B2171" s="123" t="s">
        <v>7609</v>
      </c>
      <c r="C2171" s="256" t="s">
        <v>7537</v>
      </c>
      <c r="D2171" s="328" t="s">
        <v>523</v>
      </c>
      <c r="E2171" s="122" t="str">
        <f t="shared" si="33"/>
        <v xml:space="preserve">8417 : 현송책임자가　등록되지　않았습니다！  </v>
      </c>
    </row>
    <row r="2172" spans="1:5" s="64" customFormat="1">
      <c r="A2172" s="316" t="s">
        <v>4635</v>
      </c>
      <c r="B2172" s="123" t="s">
        <v>7609</v>
      </c>
      <c r="C2172" s="256" t="s">
        <v>7538</v>
      </c>
      <c r="D2172" s="328" t="s">
        <v>522</v>
      </c>
      <c r="E2172" s="122" t="str">
        <f t="shared" si="33"/>
        <v xml:space="preserve">8418 : 현송책임자의　소속기관이　다릅니다！  </v>
      </c>
    </row>
    <row r="2173" spans="1:5" s="64" customFormat="1">
      <c r="A2173" s="316" t="s">
        <v>4635</v>
      </c>
      <c r="B2173" s="123" t="s">
        <v>7609</v>
      </c>
      <c r="C2173" s="256" t="s">
        <v>7539</v>
      </c>
      <c r="D2173" s="328" t="s">
        <v>521</v>
      </c>
      <c r="E2173" s="122" t="str">
        <f t="shared" si="33"/>
        <v xml:space="preserve">8419 : 현송책임자의계정개설처가다릅니다      </v>
      </c>
    </row>
    <row r="2174" spans="1:5" s="64" customFormat="1">
      <c r="A2174" s="316" t="s">
        <v>4635</v>
      </c>
      <c r="B2174" s="123" t="s">
        <v>7609</v>
      </c>
      <c r="C2174" s="256" t="s">
        <v>7540</v>
      </c>
      <c r="D2174" s="328" t="s">
        <v>520</v>
      </c>
      <c r="E2174" s="122" t="str">
        <f t="shared" si="33"/>
        <v xml:space="preserve">8420 : 지정책임자가　등록되지　않았습니다！  </v>
      </c>
    </row>
    <row r="2175" spans="1:5" s="64" customFormat="1">
      <c r="A2175" s="316" t="s">
        <v>4635</v>
      </c>
      <c r="B2175" s="123" t="s">
        <v>7609</v>
      </c>
      <c r="C2175" s="256" t="s">
        <v>7541</v>
      </c>
      <c r="D2175" s="328" t="s">
        <v>519</v>
      </c>
      <c r="E2175" s="122" t="str">
        <f t="shared" si="33"/>
        <v xml:space="preserve">8421 : 지정책임자의　소속기관이　다릅니다！  </v>
      </c>
    </row>
    <row r="2176" spans="1:5" s="64" customFormat="1">
      <c r="A2176" s="316" t="s">
        <v>4635</v>
      </c>
      <c r="B2176" s="123" t="s">
        <v>7609</v>
      </c>
      <c r="C2176" s="256" t="s">
        <v>7542</v>
      </c>
      <c r="D2176" s="328" t="s">
        <v>518</v>
      </c>
      <c r="E2176" s="122" t="str">
        <f t="shared" si="33"/>
        <v xml:space="preserve">8422 : 이미현금지급이신청되어있습니다        </v>
      </c>
    </row>
    <row r="2177" spans="1:5" s="64" customFormat="1">
      <c r="A2177" s="316" t="s">
        <v>4635</v>
      </c>
      <c r="B2177" s="123" t="s">
        <v>7609</v>
      </c>
      <c r="C2177" s="256" t="s">
        <v>7543</v>
      </c>
      <c r="D2177" s="328" t="s">
        <v>517</v>
      </c>
      <c r="E2177" s="122" t="str">
        <f t="shared" si="33"/>
        <v xml:space="preserve">8423 : 대리인　주민번호를　확인하십시오！    </v>
      </c>
    </row>
    <row r="2178" spans="1:5" s="64" customFormat="1">
      <c r="A2178" s="316" t="s">
        <v>4635</v>
      </c>
      <c r="B2178" s="123" t="s">
        <v>7609</v>
      </c>
      <c r="C2178" s="256" t="s">
        <v>7544</v>
      </c>
      <c r="D2178" s="328" t="s">
        <v>516</v>
      </c>
      <c r="E2178" s="122" t="str">
        <f t="shared" si="33"/>
        <v xml:space="preserve">8424 : 당좌거래정지중입니다！                </v>
      </c>
    </row>
    <row r="2179" spans="1:5" s="64" customFormat="1">
      <c r="A2179" s="316" t="s">
        <v>4635</v>
      </c>
      <c r="B2179" s="123" t="s">
        <v>7609</v>
      </c>
      <c r="C2179" s="256" t="s">
        <v>7545</v>
      </c>
      <c r="D2179" s="328" t="s">
        <v>515</v>
      </c>
      <c r="E2179" s="122" t="str">
        <f t="shared" si="33"/>
        <v xml:space="preserve">8425 : 사용불가능한　당좌계정개설처입니다！  </v>
      </c>
    </row>
    <row r="2180" spans="1:5" s="64" customFormat="1">
      <c r="A2180" s="316" t="s">
        <v>4635</v>
      </c>
      <c r="B2180" s="123" t="s">
        <v>7609</v>
      </c>
      <c r="C2180" s="256" t="s">
        <v>7546</v>
      </c>
      <c r="D2180" s="328" t="s">
        <v>514</v>
      </c>
      <c r="E2180" s="122" t="str">
        <f t="shared" ref="E2180:E2243" si="34">_xlfn.TEXTJOIN(" : ",FALSE,C2180:D2180)</f>
        <v xml:space="preserve">8426 : 당좌계좌를　개설할수없는　곳입니다！  </v>
      </c>
    </row>
    <row r="2181" spans="1:5" s="64" customFormat="1">
      <c r="A2181" s="316" t="s">
        <v>4635</v>
      </c>
      <c r="B2181" s="123" t="s">
        <v>7609</v>
      </c>
      <c r="C2181" s="256" t="s">
        <v>7547</v>
      </c>
      <c r="D2181" s="328" t="s">
        <v>513</v>
      </c>
      <c r="E2181" s="122" t="str">
        <f t="shared" si="34"/>
        <v xml:space="preserve">8427 : 등록되지않은　당좌계정개설처입니다！  </v>
      </c>
    </row>
    <row r="2182" spans="1:5" s="64" customFormat="1">
      <c r="A2182" s="316" t="s">
        <v>4635</v>
      </c>
      <c r="B2182" s="123" t="s">
        <v>7609</v>
      </c>
      <c r="C2182" s="256" t="s">
        <v>7548</v>
      </c>
      <c r="D2182" s="328" t="s">
        <v>512</v>
      </c>
      <c r="E2182" s="122" t="str">
        <f t="shared" si="34"/>
        <v xml:space="preserve">8428 : 신청번호를　확인하십시오！            </v>
      </c>
    </row>
    <row r="2183" spans="1:5" s="64" customFormat="1">
      <c r="A2183" s="316" t="s">
        <v>4635</v>
      </c>
      <c r="B2183" s="123" t="s">
        <v>7609</v>
      </c>
      <c r="C2183" s="256" t="s">
        <v>7549</v>
      </c>
      <c r="D2183" s="328" t="s">
        <v>511</v>
      </c>
      <c r="E2183" s="122" t="str">
        <f t="shared" si="34"/>
        <v xml:space="preserve">8429 : 이미　신청취소된　건입니다！          </v>
      </c>
    </row>
    <row r="2184" spans="1:5" s="64" customFormat="1">
      <c r="A2184" s="316" t="s">
        <v>4635</v>
      </c>
      <c r="B2184" s="123" t="s">
        <v>7609</v>
      </c>
      <c r="C2184" s="256" t="s">
        <v>7550</v>
      </c>
      <c r="D2184" s="328" t="s">
        <v>510</v>
      </c>
      <c r="E2184" s="122" t="str">
        <f t="shared" si="34"/>
        <v xml:space="preserve">8430 : 의뢰완료건이므로취소할수없습니다      </v>
      </c>
    </row>
    <row r="2185" spans="1:5" s="64" customFormat="1">
      <c r="A2185" s="316" t="s">
        <v>4635</v>
      </c>
      <c r="B2185" s="123" t="s">
        <v>7609</v>
      </c>
      <c r="C2185" s="256" t="s">
        <v>7551</v>
      </c>
      <c r="D2185" s="328" t="s">
        <v>509</v>
      </c>
      <c r="E2185" s="122" t="str">
        <f t="shared" si="34"/>
        <v xml:space="preserve">8431 : 이미지급의뢰오류처리된건입니다        </v>
      </c>
    </row>
    <row r="2186" spans="1:5" s="64" customFormat="1">
      <c r="A2186" s="316" t="s">
        <v>4635</v>
      </c>
      <c r="B2186" s="123" t="s">
        <v>7609</v>
      </c>
      <c r="C2186" s="256" t="s">
        <v>7552</v>
      </c>
      <c r="D2186" s="328" t="s">
        <v>508</v>
      </c>
      <c r="E2186" s="122" t="str">
        <f t="shared" si="34"/>
        <v xml:space="preserve">8432 : 이미　현금지급이　완료된　건입니다！  </v>
      </c>
    </row>
    <row r="2187" spans="1:5" s="64" customFormat="1">
      <c r="A2187" s="316" t="s">
        <v>4635</v>
      </c>
      <c r="B2187" s="123" t="s">
        <v>7609</v>
      </c>
      <c r="C2187" s="256" t="s">
        <v>7553</v>
      </c>
      <c r="D2187" s="328" t="s">
        <v>507</v>
      </c>
      <c r="E2187" s="122" t="str">
        <f t="shared" si="34"/>
        <v xml:space="preserve">8433 : 처리상태코드　오류！                  </v>
      </c>
    </row>
    <row r="2188" spans="1:5" s="64" customFormat="1">
      <c r="A2188" s="316" t="s">
        <v>4635</v>
      </c>
      <c r="B2188" s="123" t="s">
        <v>7609</v>
      </c>
      <c r="C2188" s="256" t="s">
        <v>7554</v>
      </c>
      <c r="D2188" s="328" t="s">
        <v>506</v>
      </c>
      <c r="E2188" s="122" t="str">
        <f t="shared" si="34"/>
        <v xml:space="preserve">8434 : 신청금액이신청시금액과다릅니다        </v>
      </c>
    </row>
    <row r="2189" spans="1:5" s="64" customFormat="1">
      <c r="A2189" s="316" t="s">
        <v>4635</v>
      </c>
      <c r="B2189" s="123" t="s">
        <v>7609</v>
      </c>
      <c r="C2189" s="256" t="s">
        <v>7555</v>
      </c>
      <c r="D2189" s="328" t="s">
        <v>505</v>
      </c>
      <c r="E2189" s="122" t="str">
        <f t="shared" si="34"/>
        <v xml:space="preserve">8435 : 인출예정일이　영업일　전　입니다！    </v>
      </c>
    </row>
    <row r="2190" spans="1:5" s="64" customFormat="1">
      <c r="A2190" s="316" t="s">
        <v>4635</v>
      </c>
      <c r="B2190" s="123" t="s">
        <v>7609</v>
      </c>
      <c r="C2190" s="256" t="s">
        <v>7556</v>
      </c>
      <c r="D2190" s="328" t="s">
        <v>504</v>
      </c>
      <c r="E2190" s="122" t="str">
        <f t="shared" si="34"/>
        <v xml:space="preserve">8436 : 현금지급대기테이블에없습니다          </v>
      </c>
    </row>
    <row r="2191" spans="1:5" s="64" customFormat="1">
      <c r="A2191" s="316" t="s">
        <v>4635</v>
      </c>
      <c r="B2191" s="123" t="s">
        <v>7609</v>
      </c>
      <c r="C2191" s="256" t="s">
        <v>7557</v>
      </c>
      <c r="D2191" s="328" t="s">
        <v>503</v>
      </c>
      <c r="E2191" s="122" t="str">
        <f t="shared" si="34"/>
        <v xml:space="preserve">8437 : 인출취급점을　확인하세요！            </v>
      </c>
    </row>
    <row r="2192" spans="1:5" s="64" customFormat="1">
      <c r="A2192" s="316" t="s">
        <v>4635</v>
      </c>
      <c r="B2192" s="123" t="s">
        <v>7609</v>
      </c>
      <c r="C2192" s="256" t="s">
        <v>7558</v>
      </c>
      <c r="D2192" s="328" t="s">
        <v>502</v>
      </c>
      <c r="E2192" s="122" t="str">
        <f t="shared" si="34"/>
        <v xml:space="preserve">8438 : 현금지급　신청건이　없습니다！        </v>
      </c>
    </row>
    <row r="2193" spans="1:5" s="64" customFormat="1">
      <c r="A2193" s="316" t="s">
        <v>4635</v>
      </c>
      <c r="B2193" s="123" t="s">
        <v>7609</v>
      </c>
      <c r="C2193" s="256" t="s">
        <v>7559</v>
      </c>
      <c r="D2193" s="328" t="s">
        <v>501</v>
      </c>
      <c r="E2193" s="122" t="str">
        <f t="shared" si="34"/>
        <v xml:space="preserve">8439 : 당좌거래약정이　해지되었습니다！      </v>
      </c>
    </row>
    <row r="2194" spans="1:5" s="64" customFormat="1">
      <c r="A2194" s="316" t="s">
        <v>4635</v>
      </c>
      <c r="B2194" s="123" t="s">
        <v>7609</v>
      </c>
      <c r="C2194" s="256" t="s">
        <v>7560</v>
      </c>
      <c r="D2194" s="328" t="s">
        <v>500</v>
      </c>
      <c r="E2194" s="122" t="str">
        <f t="shared" si="34"/>
        <v xml:space="preserve">8440 : 당좌거래약정이체결되지않았습니다      </v>
      </c>
    </row>
    <row r="2195" spans="1:5" s="64" customFormat="1">
      <c r="A2195" s="316" t="s">
        <v>4635</v>
      </c>
      <c r="B2195" s="123" t="s">
        <v>7609</v>
      </c>
      <c r="C2195" s="256" t="s">
        <v>7561</v>
      </c>
      <c r="D2195" s="328" t="s">
        <v>499</v>
      </c>
      <c r="E2195" s="122" t="str">
        <f t="shared" si="34"/>
        <v>8441 : 인출예정일 현금지급 마감상태입니다</v>
      </c>
    </row>
    <row r="2196" spans="1:5" s="64" customFormat="1">
      <c r="A2196" s="316" t="s">
        <v>4635</v>
      </c>
      <c r="B2196" s="123" t="s">
        <v>7609</v>
      </c>
      <c r="C2196" s="256" t="s">
        <v>7562</v>
      </c>
      <c r="D2196" s="328" t="s">
        <v>498</v>
      </c>
      <c r="E2196" s="122" t="str">
        <f t="shared" si="34"/>
        <v xml:space="preserve">8888 : 해당　자료가　없습니다．              </v>
      </c>
    </row>
    <row r="2197" spans="1:5" s="64" customFormat="1">
      <c r="A2197" s="316" t="s">
        <v>4635</v>
      </c>
      <c r="B2197" s="123" t="s">
        <v>7609</v>
      </c>
      <c r="C2197" s="256" t="s">
        <v>7563</v>
      </c>
      <c r="D2197" s="328" t="s">
        <v>497</v>
      </c>
      <c r="E2197" s="122" t="str">
        <f t="shared" si="34"/>
        <v xml:space="preserve">8900 : 참가기관 확인 오류입니다.         </v>
      </c>
    </row>
    <row r="2198" spans="1:5" s="64" customFormat="1">
      <c r="A2198" s="316" t="s">
        <v>4635</v>
      </c>
      <c r="B2198" s="123" t="s">
        <v>7609</v>
      </c>
      <c r="C2198" s="256" t="s">
        <v>7564</v>
      </c>
      <c r="D2198" s="328" t="s">
        <v>496</v>
      </c>
      <c r="E2198" s="122" t="str">
        <f t="shared" si="34"/>
        <v xml:space="preserve">9000 : 마감시간후　거래불가                  </v>
      </c>
    </row>
    <row r="2199" spans="1:5" s="64" customFormat="1">
      <c r="A2199" s="316" t="s">
        <v>4635</v>
      </c>
      <c r="B2199" s="123" t="s">
        <v>7609</v>
      </c>
      <c r="C2199" s="256" t="s">
        <v>7565</v>
      </c>
      <c r="D2199" s="328" t="s">
        <v>495</v>
      </c>
      <c r="E2199" s="122" t="str">
        <f t="shared" si="34"/>
        <v xml:space="preserve">9001 : 체결파일　오류                        </v>
      </c>
    </row>
    <row r="2200" spans="1:5" s="64" customFormat="1">
      <c r="A2200" s="316" t="s">
        <v>4635</v>
      </c>
      <c r="B2200" s="123" t="s">
        <v>7609</v>
      </c>
      <c r="C2200" s="256" t="s">
        <v>7566</v>
      </c>
      <c r="D2200" s="328" t="s">
        <v>494</v>
      </c>
      <c r="E2200" s="122" t="str">
        <f t="shared" si="34"/>
        <v xml:space="preserve">9002 : 차액결제정보파일　오류                </v>
      </c>
    </row>
    <row r="2201" spans="1:5" s="64" customFormat="1">
      <c r="A2201" s="316" t="s">
        <v>4635</v>
      </c>
      <c r="B2201" s="123" t="s">
        <v>7609</v>
      </c>
      <c r="C2201" s="256" t="s">
        <v>7567</v>
      </c>
      <c r="D2201" s="328" t="s">
        <v>493</v>
      </c>
      <c r="E2201" s="122" t="str">
        <f t="shared" si="34"/>
        <v xml:space="preserve">9003 : 상환파일　오류                        </v>
      </c>
    </row>
    <row r="2202" spans="1:5" s="64" customFormat="1">
      <c r="A2202" s="316" t="s">
        <v>4635</v>
      </c>
      <c r="B2202" s="123" t="s">
        <v>7609</v>
      </c>
      <c r="C2202" s="256" t="s">
        <v>7568</v>
      </c>
      <c r="D2202" s="328" t="s">
        <v>492</v>
      </c>
      <c r="E2202" s="122" t="str">
        <f t="shared" si="34"/>
        <v xml:space="preserve">9004 : 차액결제　수행중　（거래불가）        </v>
      </c>
    </row>
    <row r="2203" spans="1:5" s="64" customFormat="1">
      <c r="A2203" s="316" t="s">
        <v>4635</v>
      </c>
      <c r="B2203" s="123" t="s">
        <v>7609</v>
      </c>
      <c r="C2203" s="256" t="s">
        <v>7569</v>
      </c>
      <c r="D2203" s="328" t="s">
        <v>491</v>
      </c>
      <c r="E2203" s="122" t="str">
        <f t="shared" si="34"/>
        <v xml:space="preserve">9005 : 차액결제　결제파일　오류              </v>
      </c>
    </row>
    <row r="2204" spans="1:5" s="64" customFormat="1">
      <c r="A2204" s="316" t="s">
        <v>4635</v>
      </c>
      <c r="B2204" s="123" t="s">
        <v>7609</v>
      </c>
      <c r="C2204" s="256" t="s">
        <v>7570</v>
      </c>
      <c r="D2204" s="328" t="s">
        <v>490</v>
      </c>
      <c r="E2204" s="122" t="str">
        <f t="shared" si="34"/>
        <v xml:space="preserve">9007 : 머니기관　수수료　부족                </v>
      </c>
    </row>
    <row r="2205" spans="1:5" s="64" customFormat="1">
      <c r="A2205" s="316" t="s">
        <v>4635</v>
      </c>
      <c r="B2205" s="123" t="s">
        <v>7609</v>
      </c>
      <c r="C2205" s="256" t="s">
        <v>7571</v>
      </c>
      <c r="D2205" s="328" t="s">
        <v>489</v>
      </c>
      <c r="E2205" s="122" t="str">
        <f t="shared" si="34"/>
        <v xml:space="preserve">9008 : 회계　ＤＡＴＡ　오류                  </v>
      </c>
    </row>
    <row r="2206" spans="1:5" s="64" customFormat="1">
      <c r="A2206" s="316" t="s">
        <v>4635</v>
      </c>
      <c r="B2206" s="123" t="s">
        <v>7609</v>
      </c>
      <c r="C2206" s="256" t="s">
        <v>7572</v>
      </c>
      <c r="D2206" s="328" t="s">
        <v>488</v>
      </c>
      <c r="E2206" s="122" t="str">
        <f t="shared" si="34"/>
        <v xml:space="preserve">9009 : 한국은행 단말정보 조회 오류     </v>
      </c>
    </row>
    <row r="2207" spans="1:5" s="64" customFormat="1">
      <c r="A2207" s="316" t="s">
        <v>4635</v>
      </c>
      <c r="B2207" s="123" t="s">
        <v>7609</v>
      </c>
      <c r="C2207" s="256" t="s">
        <v>7573</v>
      </c>
      <c r="D2207" s="328" t="s">
        <v>487</v>
      </c>
      <c r="E2207" s="122" t="str">
        <f t="shared" si="34"/>
        <v xml:space="preserve">9100 : 포맷오류(데이터부)                  </v>
      </c>
    </row>
    <row r="2208" spans="1:5" s="64" customFormat="1">
      <c r="A2208" s="316" t="s">
        <v>4635</v>
      </c>
      <c r="B2208" s="123" t="s">
        <v>7609</v>
      </c>
      <c r="C2208" s="256" t="s">
        <v>7574</v>
      </c>
      <c r="D2208" s="328" t="s">
        <v>486</v>
      </c>
      <c r="E2208" s="122" t="str">
        <f t="shared" si="34"/>
        <v>9999 : 한은금융망 오류 발생</v>
      </c>
    </row>
    <row r="2209" spans="1:5" s="64" customFormat="1">
      <c r="A2209" s="316" t="s">
        <v>4635</v>
      </c>
      <c r="B2209" s="123" t="s">
        <v>7609</v>
      </c>
      <c r="C2209" s="256" t="s">
        <v>7575</v>
      </c>
      <c r="D2209" s="328" t="s">
        <v>485</v>
      </c>
      <c r="E2209" s="122" t="str">
        <f t="shared" si="34"/>
        <v xml:space="preserve">Y001 : 기관코드(870) 오류                  </v>
      </c>
    </row>
    <row r="2210" spans="1:5" s="64" customFormat="1">
      <c r="A2210" s="316" t="s">
        <v>4635</v>
      </c>
      <c r="B2210" s="123" t="s">
        <v>7609</v>
      </c>
      <c r="C2210" s="256" t="s">
        <v>7576</v>
      </c>
      <c r="D2210" s="328" t="s">
        <v>484</v>
      </c>
      <c r="E2210" s="122" t="str">
        <f t="shared" si="34"/>
        <v xml:space="preserve">Y002 : 파일구분(Q8) 오류                   </v>
      </c>
    </row>
    <row r="2211" spans="1:5" s="64" customFormat="1">
      <c r="A2211" s="316" t="s">
        <v>4635</v>
      </c>
      <c r="B2211" s="123" t="s">
        <v>7609</v>
      </c>
      <c r="C2211" s="256" t="s">
        <v>7577</v>
      </c>
      <c r="D2211" s="328" t="s">
        <v>483</v>
      </c>
      <c r="E2211" s="122" t="str">
        <f t="shared" si="34"/>
        <v xml:space="preserve">Y003 : 레코드구분 오류                     </v>
      </c>
    </row>
    <row r="2212" spans="1:5" s="64" customFormat="1">
      <c r="A2212" s="316" t="s">
        <v>4635</v>
      </c>
      <c r="B2212" s="123" t="s">
        <v>7609</v>
      </c>
      <c r="C2212" s="256" t="s">
        <v>7578</v>
      </c>
      <c r="D2212" s="328" t="s">
        <v>482</v>
      </c>
      <c r="E2212" s="122" t="str">
        <f t="shared" si="34"/>
        <v xml:space="preserve">Y004 : 전송일자 오류                       </v>
      </c>
    </row>
    <row r="2213" spans="1:5" s="64" customFormat="1">
      <c r="A2213" s="316" t="s">
        <v>4635</v>
      </c>
      <c r="B2213" s="123" t="s">
        <v>7609</v>
      </c>
      <c r="C2213" s="256" t="s">
        <v>7579</v>
      </c>
      <c r="D2213" s="328" t="s">
        <v>481</v>
      </c>
      <c r="E2213" s="122" t="str">
        <f t="shared" si="34"/>
        <v xml:space="preserve">Y005 : 상환일자 오류                       </v>
      </c>
    </row>
    <row r="2214" spans="1:5" s="64" customFormat="1">
      <c r="A2214" s="316" t="s">
        <v>4635</v>
      </c>
      <c r="B2214" s="123" t="s">
        <v>7609</v>
      </c>
      <c r="C2214" s="256" t="s">
        <v>7580</v>
      </c>
      <c r="D2214" s="328" t="s">
        <v>480</v>
      </c>
      <c r="E2214" s="122" t="str">
        <f t="shared" si="34"/>
        <v xml:space="preserve">Y006 : 집계레코드 총건수가 숫자가 아님 </v>
      </c>
    </row>
    <row r="2215" spans="1:5" s="64" customFormat="1">
      <c r="A2215" s="316" t="s">
        <v>4635</v>
      </c>
      <c r="B2215" s="123" t="s">
        <v>7609</v>
      </c>
      <c r="C2215" s="256" t="s">
        <v>7581</v>
      </c>
      <c r="D2215" s="328" t="s">
        <v>479</v>
      </c>
      <c r="E2215" s="122" t="str">
        <f t="shared" si="34"/>
        <v xml:space="preserve">Y007 : 집계레코드 총금액이 숫자가 아님 </v>
      </c>
    </row>
    <row r="2216" spans="1:5" s="64" customFormat="1">
      <c r="A2216" s="316" t="s">
        <v>4635</v>
      </c>
      <c r="B2216" s="123" t="s">
        <v>7609</v>
      </c>
      <c r="C2216" s="256" t="s">
        <v>7582</v>
      </c>
      <c r="D2216" s="328" t="s">
        <v>478</v>
      </c>
      <c r="E2216" s="122" t="str">
        <f t="shared" si="34"/>
        <v xml:space="preserve">Y008 : 집계 정상건수(금액)은 0만가능 </v>
      </c>
    </row>
    <row r="2217" spans="1:5" s="64" customFormat="1">
      <c r="A2217" s="316" t="s">
        <v>4635</v>
      </c>
      <c r="B2217" s="123" t="s">
        <v>7609</v>
      </c>
      <c r="C2217" s="256" t="s">
        <v>7583</v>
      </c>
      <c r="D2217" s="328" t="s">
        <v>477</v>
      </c>
      <c r="E2217" s="122" t="str">
        <f t="shared" si="34"/>
        <v xml:space="preserve">Y009 : 집계 오류건수(금액)은 0만가능 </v>
      </c>
    </row>
    <row r="2218" spans="1:5" s="64" customFormat="1">
      <c r="A2218" s="316" t="s">
        <v>4635</v>
      </c>
      <c r="B2218" s="123" t="s">
        <v>7609</v>
      </c>
      <c r="C2218" s="256" t="s">
        <v>7584</v>
      </c>
      <c r="D2218" s="328" t="s">
        <v>476</v>
      </c>
      <c r="E2218" s="122" t="str">
        <f t="shared" si="34"/>
        <v xml:space="preserve">Y010 : 이체(매수)기관코드 확인요망     </v>
      </c>
    </row>
    <row r="2219" spans="1:5" s="64" customFormat="1">
      <c r="A2219" s="316" t="s">
        <v>4635</v>
      </c>
      <c r="B2219" s="123" t="s">
        <v>7609</v>
      </c>
      <c r="C2219" s="256" t="s">
        <v>7585</v>
      </c>
      <c r="D2219" s="328" t="s">
        <v>475</v>
      </c>
      <c r="E2219" s="122" t="str">
        <f t="shared" si="34"/>
        <v xml:space="preserve">Y011 : 수취(매도)기관코드 확인요망     </v>
      </c>
    </row>
    <row r="2220" spans="1:5" s="64" customFormat="1">
      <c r="A2220" s="316" t="s">
        <v>4635</v>
      </c>
      <c r="B2220" s="123" t="s">
        <v>7609</v>
      </c>
      <c r="C2220" s="256" t="s">
        <v>7586</v>
      </c>
      <c r="D2220" s="328" t="s">
        <v>474</v>
      </c>
      <c r="E2220" s="122" t="str">
        <f t="shared" si="34"/>
        <v xml:space="preserve">Y012 : 계정개설처 오류                     </v>
      </c>
    </row>
    <row r="2221" spans="1:5" s="64" customFormat="1">
      <c r="A2221" s="316" t="s">
        <v>4635</v>
      </c>
      <c r="B2221" s="123" t="s">
        <v>7609</v>
      </c>
      <c r="C2221" s="256" t="s">
        <v>7587</v>
      </c>
      <c r="D2221" s="328" t="s">
        <v>473</v>
      </c>
      <c r="E2221" s="122" t="str">
        <f t="shared" si="34"/>
        <v xml:space="preserve">Y013 : 결제번호 항목이 공란임            </v>
      </c>
    </row>
    <row r="2222" spans="1:5" s="64" customFormat="1">
      <c r="A2222" s="316" t="s">
        <v>4635</v>
      </c>
      <c r="B2222" s="123" t="s">
        <v>7609</v>
      </c>
      <c r="C2222" s="256" t="s">
        <v>7588</v>
      </c>
      <c r="D2222" s="328" t="s">
        <v>472</v>
      </c>
      <c r="E2222" s="122" t="str">
        <f t="shared" si="34"/>
        <v xml:space="preserve">Y014 : 증권대금코드 오류                   </v>
      </c>
    </row>
    <row r="2223" spans="1:5" s="64" customFormat="1">
      <c r="A2223" s="316" t="s">
        <v>4635</v>
      </c>
      <c r="B2223" s="123" t="s">
        <v>7609</v>
      </c>
      <c r="C2223" s="256" t="s">
        <v>7589</v>
      </c>
      <c r="D2223" s="328" t="s">
        <v>471</v>
      </c>
      <c r="E2223" s="122" t="str">
        <f t="shared" si="34"/>
        <v xml:space="preserve">Y015 : 원천징수값은 1.2만 가능           </v>
      </c>
    </row>
    <row r="2224" spans="1:5" s="64" customFormat="1">
      <c r="A2224" s="316" t="s">
        <v>4635</v>
      </c>
      <c r="B2224" s="123" t="s">
        <v>7609</v>
      </c>
      <c r="C2224" s="256" t="s">
        <v>7590</v>
      </c>
      <c r="D2224" s="328" t="s">
        <v>470</v>
      </c>
      <c r="E2224" s="122" t="str">
        <f t="shared" si="34"/>
        <v xml:space="preserve">Y016 : 원천징수대상(자기분) 건수 오류  </v>
      </c>
    </row>
    <row r="2225" spans="1:5" s="64" customFormat="1">
      <c r="A2225" s="316" t="s">
        <v>4635</v>
      </c>
      <c r="B2225" s="123" t="s">
        <v>7609</v>
      </c>
      <c r="C2225" s="256" t="s">
        <v>7591</v>
      </c>
      <c r="D2225" s="328" t="s">
        <v>469</v>
      </c>
      <c r="E2225" s="122" t="str">
        <f t="shared" si="34"/>
        <v xml:space="preserve">Y017 : 수취기관에 예탁결제원이 없음      </v>
      </c>
    </row>
    <row r="2226" spans="1:5" s="64" customFormat="1">
      <c r="A2226" s="316" t="s">
        <v>4635</v>
      </c>
      <c r="B2226" s="123" t="s">
        <v>7609</v>
      </c>
      <c r="C2226" s="256" t="s">
        <v>7592</v>
      </c>
      <c r="D2226" s="328" t="s">
        <v>468</v>
      </c>
      <c r="E2226" s="122" t="str">
        <f t="shared" si="34"/>
        <v xml:space="preserve">Y018 : 결제번호별 총건수. 총금액 오류  </v>
      </c>
    </row>
    <row r="2227" spans="1:5" s="64" customFormat="1">
      <c r="A2227" s="316" t="s">
        <v>4635</v>
      </c>
      <c r="B2227" s="123" t="s">
        <v>7609</v>
      </c>
      <c r="C2227" s="256" t="s">
        <v>7593</v>
      </c>
      <c r="D2227" s="328" t="s">
        <v>467</v>
      </c>
      <c r="E2227" s="122" t="str">
        <f t="shared" si="34"/>
        <v xml:space="preserve">Y019 : 결제번호별 총건수 오류            </v>
      </c>
    </row>
    <row r="2228" spans="1:5" s="64" customFormat="1">
      <c r="A2228" s="316" t="s">
        <v>4635</v>
      </c>
      <c r="B2228" s="123" t="s">
        <v>7609</v>
      </c>
      <c r="C2228" s="256" t="s">
        <v>7594</v>
      </c>
      <c r="D2228" s="328" t="s">
        <v>466</v>
      </c>
      <c r="E2228" s="122" t="str">
        <f t="shared" si="34"/>
        <v xml:space="preserve">Y020 : 결제번호별 총금액 오류            </v>
      </c>
    </row>
    <row r="2229" spans="1:5" s="64" customFormat="1">
      <c r="A2229" s="316" t="s">
        <v>4635</v>
      </c>
      <c r="B2229" s="123" t="s">
        <v>7609</v>
      </c>
      <c r="C2229" s="256" t="s">
        <v>7595</v>
      </c>
      <c r="D2229" s="328" t="s">
        <v>465</v>
      </c>
      <c r="E2229" s="122" t="str">
        <f t="shared" si="34"/>
        <v xml:space="preserve">Y021 : 이체(발행)기관 거래점포코드오류 </v>
      </c>
    </row>
    <row r="2230" spans="1:5" s="64" customFormat="1">
      <c r="A2230" s="316" t="s">
        <v>4635</v>
      </c>
      <c r="B2230" s="123" t="s">
        <v>7609</v>
      </c>
      <c r="C2230" s="256" t="s">
        <v>7596</v>
      </c>
      <c r="D2230" s="328" t="s">
        <v>464</v>
      </c>
      <c r="E2230" s="122" t="str">
        <f t="shared" si="34"/>
        <v xml:space="preserve">Y022 : 금액 또는 건수가 숫자가 아님  </v>
      </c>
    </row>
    <row r="2231" spans="1:5" s="64" customFormat="1">
      <c r="A2231" s="316" t="s">
        <v>4635</v>
      </c>
      <c r="B2231" s="123" t="s">
        <v>7609</v>
      </c>
      <c r="C2231" s="256" t="s">
        <v>7597</v>
      </c>
      <c r="D2231" s="328" t="s">
        <v>463</v>
      </c>
      <c r="E2231" s="122" t="str">
        <f t="shared" si="34"/>
        <v xml:space="preserve">Y023 : 예탁자계좌번호 항목이 공백임      </v>
      </c>
    </row>
    <row r="2232" spans="1:5" s="64" customFormat="1">
      <c r="A2232" s="316" t="s">
        <v>4635</v>
      </c>
      <c r="B2232" s="123" t="s">
        <v>7609</v>
      </c>
      <c r="C2232" s="256" t="s">
        <v>7598</v>
      </c>
      <c r="D2232" s="328" t="s">
        <v>462</v>
      </c>
      <c r="E2232" s="122" t="str">
        <f t="shared" si="34"/>
        <v xml:space="preserve">Y024 : 오류코드항목이 SPACE가 아님       </v>
      </c>
    </row>
    <row r="2233" spans="1:5" s="64" customFormat="1">
      <c r="A2233" s="316" t="s">
        <v>4635</v>
      </c>
      <c r="B2233" s="123" t="s">
        <v>7609</v>
      </c>
      <c r="C2233" s="256" t="s">
        <v>7599</v>
      </c>
      <c r="D2233" s="328" t="s">
        <v>461</v>
      </c>
      <c r="E2233" s="122" t="str">
        <f t="shared" si="34"/>
        <v xml:space="preserve">Y025 : 공란항목이 SPACE가 아님           </v>
      </c>
    </row>
    <row r="2234" spans="1:5" s="64" customFormat="1">
      <c r="A2234" s="316" t="s">
        <v>4635</v>
      </c>
      <c r="B2234" s="123" t="s">
        <v>7609</v>
      </c>
      <c r="C2234" s="256" t="s">
        <v>7600</v>
      </c>
      <c r="D2234" s="328" t="s">
        <v>460</v>
      </c>
      <c r="E2234" s="122" t="str">
        <f t="shared" si="34"/>
        <v xml:space="preserve">Y026 : 종료표시(E) 오류                    </v>
      </c>
    </row>
    <row r="2235" spans="1:5" s="64" customFormat="1">
      <c r="A2235" s="316" t="s">
        <v>4635</v>
      </c>
      <c r="B2235" s="123" t="s">
        <v>7609</v>
      </c>
      <c r="C2235" s="256" t="s">
        <v>7601</v>
      </c>
      <c r="D2235" s="328" t="s">
        <v>459</v>
      </c>
      <c r="E2235" s="122" t="str">
        <f t="shared" si="34"/>
        <v xml:space="preserve">Y027 : 집계레코드가 없거나 중복임        </v>
      </c>
    </row>
    <row r="2236" spans="1:5" s="64" customFormat="1">
      <c r="A2236" s="316" t="s">
        <v>4635</v>
      </c>
      <c r="B2236" s="123" t="s">
        <v>7609</v>
      </c>
      <c r="C2236" s="256" t="s">
        <v>7602</v>
      </c>
      <c r="D2236" s="328" t="s">
        <v>458</v>
      </c>
      <c r="E2236" s="122" t="str">
        <f t="shared" si="34"/>
        <v xml:space="preserve">Y028 : 집계레코드의 총건수 확인요망      </v>
      </c>
    </row>
    <row r="2237" spans="1:5" s="64" customFormat="1">
      <c r="A2237" s="316" t="s">
        <v>4635</v>
      </c>
      <c r="B2237" s="123" t="s">
        <v>7609</v>
      </c>
      <c r="C2237" s="256" t="s">
        <v>7603</v>
      </c>
      <c r="D2237" s="328" t="s">
        <v>457</v>
      </c>
      <c r="E2237" s="122" t="str">
        <f t="shared" si="34"/>
        <v xml:space="preserve">Y029 : 집계레코드의 총금액 확인요망      </v>
      </c>
    </row>
    <row r="2238" spans="1:5" s="64" customFormat="1">
      <c r="A2238" s="316" t="s">
        <v>4635</v>
      </c>
      <c r="B2238" s="123" t="s">
        <v>7609</v>
      </c>
      <c r="C2238" s="256" t="s">
        <v>7604</v>
      </c>
      <c r="D2238" s="328" t="s">
        <v>456</v>
      </c>
      <c r="E2238" s="122" t="str">
        <f t="shared" si="34"/>
        <v xml:space="preserve">Y030 : 증권대금이체DB 데이터 중복        </v>
      </c>
    </row>
    <row r="2239" spans="1:5" s="64" customFormat="1">
      <c r="A2239" s="316" t="s">
        <v>4635</v>
      </c>
      <c r="B2239" s="123" t="s">
        <v>7609</v>
      </c>
      <c r="C2239" s="256" t="s">
        <v>7605</v>
      </c>
      <c r="D2239" s="328" t="s">
        <v>455</v>
      </c>
      <c r="E2239" s="122" t="str">
        <f t="shared" si="34"/>
        <v xml:space="preserve">Y031 : 전자단기사채DB 데이터 중복        </v>
      </c>
    </row>
    <row r="2240" spans="1:5" s="64" customFormat="1">
      <c r="A2240" s="316" t="s">
        <v>4635</v>
      </c>
      <c r="B2240" s="123" t="s">
        <v>7609</v>
      </c>
      <c r="C2240" s="256" t="s">
        <v>7606</v>
      </c>
      <c r="D2240" s="328" t="s">
        <v>454</v>
      </c>
      <c r="E2240" s="122" t="str">
        <f t="shared" si="34"/>
        <v xml:space="preserve">Y032 : 전자단기사채 접수(심사)시간초과 </v>
      </c>
    </row>
    <row r="2241" spans="1:19" s="64" customFormat="1">
      <c r="A2241" s="316" t="s">
        <v>4635</v>
      </c>
      <c r="B2241" s="123" t="s">
        <v>7609</v>
      </c>
      <c r="C2241" s="256" t="s">
        <v>7607</v>
      </c>
      <c r="D2241" s="328" t="s">
        <v>453</v>
      </c>
      <c r="E2241" s="122" t="str">
        <f t="shared" si="34"/>
        <v>Y098 : 이체기관계정개설처 입력 오류 입니다.</v>
      </c>
    </row>
    <row r="2242" spans="1:19" s="64" customFormat="1">
      <c r="A2242" s="316" t="s">
        <v>4635</v>
      </c>
      <c r="B2242" s="123" t="s">
        <v>7609</v>
      </c>
      <c r="C2242" s="256" t="s">
        <v>7608</v>
      </c>
      <c r="D2242" s="328" t="s">
        <v>452</v>
      </c>
      <c r="E2242" s="122" t="str">
        <f t="shared" si="34"/>
        <v>Y099 : 수취기관계정개설처 입력 오류 입니다.</v>
      </c>
    </row>
    <row r="2243" spans="1:19" s="64" customFormat="1">
      <c r="A2243" s="315" t="s">
        <v>448</v>
      </c>
      <c r="B2243" s="123" t="s">
        <v>4771</v>
      </c>
      <c r="C2243" s="338" t="s">
        <v>2675</v>
      </c>
      <c r="D2243" s="310" t="s">
        <v>2674</v>
      </c>
      <c r="E2243" s="122" t="str">
        <f t="shared" si="34"/>
        <v>0206 : 금융업무실</v>
      </c>
      <c r="K2243" s="65"/>
      <c r="L2243" s="65"/>
      <c r="M2243" s="65"/>
      <c r="N2243" s="65"/>
      <c r="O2243" s="65"/>
      <c r="P2243" s="65"/>
      <c r="Q2243" s="65"/>
      <c r="R2243" s="65"/>
      <c r="S2243" s="65"/>
    </row>
    <row r="2244" spans="1:19" s="64" customFormat="1">
      <c r="A2244" s="315" t="s">
        <v>448</v>
      </c>
      <c r="B2244" s="123" t="s">
        <v>4771</v>
      </c>
      <c r="C2244" s="338" t="s">
        <v>2673</v>
      </c>
      <c r="D2244" s="310" t="s">
        <v>2672</v>
      </c>
      <c r="E2244" s="122" t="str">
        <f t="shared" ref="E2244:E2263" si="35">_xlfn.TEXTJOIN(" : ",FALSE,C2244:D2244)</f>
        <v>0607 : 부산본부</v>
      </c>
      <c r="K2244" s="65"/>
      <c r="L2244" s="65"/>
      <c r="M2244" s="65"/>
      <c r="N2244" s="65"/>
      <c r="O2244" s="65"/>
      <c r="P2244" s="65"/>
      <c r="Q2244" s="65"/>
      <c r="R2244" s="65"/>
      <c r="S2244" s="65"/>
    </row>
    <row r="2245" spans="1:19" s="64" customFormat="1">
      <c r="A2245" s="315" t="s">
        <v>448</v>
      </c>
      <c r="B2245" s="123" t="s">
        <v>4771</v>
      </c>
      <c r="C2245" s="338" t="s">
        <v>2671</v>
      </c>
      <c r="D2245" s="310" t="s">
        <v>2670</v>
      </c>
      <c r="E2245" s="122" t="str">
        <f t="shared" si="35"/>
        <v>0611 : 대구경북본부</v>
      </c>
      <c r="K2245" s="65"/>
      <c r="L2245" s="65"/>
      <c r="M2245" s="65"/>
      <c r="N2245" s="65"/>
      <c r="O2245" s="65"/>
      <c r="P2245" s="65"/>
      <c r="Q2245" s="65"/>
      <c r="R2245" s="65"/>
      <c r="S2245" s="65"/>
    </row>
    <row r="2246" spans="1:19" s="64" customFormat="1">
      <c r="A2246" s="315" t="s">
        <v>448</v>
      </c>
      <c r="B2246" s="123" t="s">
        <v>4771</v>
      </c>
      <c r="C2246" s="338" t="s">
        <v>2669</v>
      </c>
      <c r="D2246" s="310" t="s">
        <v>2668</v>
      </c>
      <c r="E2246" s="122" t="str">
        <f t="shared" si="35"/>
        <v>0624 : 목포본부</v>
      </c>
      <c r="K2246" s="65"/>
      <c r="L2246" s="65"/>
      <c r="M2246" s="65"/>
      <c r="N2246" s="65"/>
      <c r="O2246" s="65"/>
      <c r="P2246" s="65"/>
      <c r="Q2246" s="65"/>
      <c r="R2246" s="65"/>
      <c r="S2246" s="65"/>
    </row>
    <row r="2247" spans="1:19" s="64" customFormat="1">
      <c r="A2247" s="315" t="s">
        <v>448</v>
      </c>
      <c r="B2247" s="123" t="s">
        <v>4771</v>
      </c>
      <c r="C2247" s="338" t="s">
        <v>2667</v>
      </c>
      <c r="D2247" s="310" t="s">
        <v>2666</v>
      </c>
      <c r="E2247" s="122" t="str">
        <f t="shared" si="35"/>
        <v>0638 : 광주전남본부</v>
      </c>
      <c r="K2247" s="65"/>
      <c r="L2247" s="65"/>
      <c r="M2247" s="65"/>
      <c r="N2247" s="65"/>
      <c r="O2247" s="65"/>
      <c r="P2247" s="65"/>
      <c r="Q2247" s="65"/>
      <c r="R2247" s="65"/>
      <c r="S2247" s="65"/>
    </row>
    <row r="2248" spans="1:19" s="64" customFormat="1">
      <c r="A2248" s="315" t="s">
        <v>448</v>
      </c>
      <c r="B2248" s="123" t="s">
        <v>4771</v>
      </c>
      <c r="C2248" s="338" t="s">
        <v>2665</v>
      </c>
      <c r="D2248" s="310" t="s">
        <v>2664</v>
      </c>
      <c r="E2248" s="122" t="str">
        <f t="shared" si="35"/>
        <v>0641 : 전북본부</v>
      </c>
      <c r="K2248" s="65"/>
      <c r="L2248" s="65"/>
      <c r="M2248" s="65"/>
      <c r="N2248" s="65"/>
      <c r="O2248" s="65"/>
      <c r="P2248" s="65"/>
      <c r="Q2248" s="65"/>
      <c r="R2248" s="65"/>
      <c r="S2248" s="65"/>
    </row>
    <row r="2249" spans="1:19" s="64" customFormat="1">
      <c r="A2249" s="315" t="s">
        <v>448</v>
      </c>
      <c r="B2249" s="123" t="s">
        <v>4771</v>
      </c>
      <c r="C2249" s="338" t="s">
        <v>2663</v>
      </c>
      <c r="D2249" s="310" t="s">
        <v>2662</v>
      </c>
      <c r="E2249" s="122" t="str">
        <f t="shared" si="35"/>
        <v>0655 : 대전충남본부</v>
      </c>
      <c r="K2249" s="65"/>
      <c r="L2249" s="65"/>
      <c r="M2249" s="65"/>
      <c r="N2249" s="65"/>
      <c r="O2249" s="65"/>
      <c r="P2249" s="65"/>
      <c r="Q2249" s="65"/>
      <c r="R2249" s="65"/>
      <c r="S2249" s="65"/>
    </row>
    <row r="2250" spans="1:19" s="64" customFormat="1">
      <c r="A2250" s="315" t="s">
        <v>448</v>
      </c>
      <c r="B2250" s="123" t="s">
        <v>4771</v>
      </c>
      <c r="C2250" s="338" t="s">
        <v>2661</v>
      </c>
      <c r="D2250" s="310" t="s">
        <v>2660</v>
      </c>
      <c r="E2250" s="122" t="str">
        <f t="shared" si="35"/>
        <v>0669 : 충북본부</v>
      </c>
      <c r="K2250" s="65"/>
      <c r="L2250" s="65"/>
      <c r="M2250" s="65"/>
      <c r="N2250" s="65"/>
      <c r="O2250" s="65"/>
      <c r="P2250" s="65"/>
      <c r="Q2250" s="65"/>
      <c r="R2250" s="65"/>
      <c r="S2250" s="65"/>
    </row>
    <row r="2251" spans="1:19" s="64" customFormat="1">
      <c r="A2251" s="315" t="s">
        <v>448</v>
      </c>
      <c r="B2251" s="123" t="s">
        <v>4771</v>
      </c>
      <c r="C2251" s="338" t="s">
        <v>2659</v>
      </c>
      <c r="D2251" s="310" t="s">
        <v>2658</v>
      </c>
      <c r="E2251" s="122" t="str">
        <f t="shared" si="35"/>
        <v>0672 : 강원본부</v>
      </c>
      <c r="K2251" s="65"/>
      <c r="L2251" s="65"/>
      <c r="M2251" s="65"/>
      <c r="N2251" s="65"/>
      <c r="O2251" s="65"/>
      <c r="P2251" s="65"/>
      <c r="Q2251" s="65"/>
      <c r="R2251" s="65"/>
      <c r="S2251" s="65"/>
    </row>
    <row r="2252" spans="1:19" s="64" customFormat="1">
      <c r="A2252" s="315" t="s">
        <v>448</v>
      </c>
      <c r="B2252" s="123" t="s">
        <v>4771</v>
      </c>
      <c r="C2252" s="338" t="s">
        <v>2657</v>
      </c>
      <c r="D2252" s="310" t="s">
        <v>2656</v>
      </c>
      <c r="E2252" s="122" t="str">
        <f t="shared" si="35"/>
        <v>0686 : 인천본부</v>
      </c>
      <c r="K2252" s="65"/>
      <c r="L2252" s="65"/>
      <c r="M2252" s="65"/>
      <c r="N2252" s="65"/>
      <c r="O2252" s="65"/>
      <c r="P2252" s="65"/>
      <c r="Q2252" s="65"/>
      <c r="R2252" s="65"/>
      <c r="S2252" s="65"/>
    </row>
    <row r="2253" spans="1:19" s="64" customFormat="1">
      <c r="A2253" s="315" t="s">
        <v>448</v>
      </c>
      <c r="B2253" s="123" t="s">
        <v>4771</v>
      </c>
      <c r="C2253" s="338" t="s">
        <v>2655</v>
      </c>
      <c r="D2253" s="310" t="s">
        <v>2654</v>
      </c>
      <c r="E2253" s="122" t="str">
        <f t="shared" si="35"/>
        <v>0690 : 제주본부</v>
      </c>
      <c r="K2253" s="65"/>
      <c r="L2253" s="65"/>
      <c r="M2253" s="65"/>
      <c r="N2253" s="65"/>
      <c r="O2253" s="65"/>
      <c r="P2253" s="65"/>
      <c r="Q2253" s="65"/>
      <c r="R2253" s="65"/>
      <c r="S2253" s="65"/>
    </row>
    <row r="2254" spans="1:19" s="64" customFormat="1">
      <c r="A2254" s="315" t="s">
        <v>448</v>
      </c>
      <c r="B2254" s="123" t="s">
        <v>4771</v>
      </c>
      <c r="C2254" s="338" t="s">
        <v>2653</v>
      </c>
      <c r="D2254" s="310" t="s">
        <v>2652</v>
      </c>
      <c r="E2254" s="122" t="str">
        <f t="shared" si="35"/>
        <v>0700 : 경기본부</v>
      </c>
      <c r="K2254" s="65"/>
      <c r="L2254" s="65"/>
      <c r="M2254" s="65"/>
      <c r="N2254" s="65"/>
      <c r="O2254" s="65"/>
      <c r="P2254" s="65"/>
      <c r="Q2254" s="65"/>
      <c r="R2254" s="65"/>
      <c r="S2254" s="65"/>
    </row>
    <row r="2255" spans="1:19" s="64" customFormat="1">
      <c r="A2255" s="315" t="s">
        <v>448</v>
      </c>
      <c r="B2255" s="123" t="s">
        <v>4771</v>
      </c>
      <c r="C2255" s="338" t="s">
        <v>2651</v>
      </c>
      <c r="D2255" s="310" t="s">
        <v>2650</v>
      </c>
      <c r="E2255" s="122" t="str">
        <f t="shared" si="35"/>
        <v>0713 : 경남본부</v>
      </c>
      <c r="K2255" s="65"/>
      <c r="L2255" s="65"/>
      <c r="M2255" s="65"/>
      <c r="N2255" s="65"/>
      <c r="O2255" s="65"/>
      <c r="P2255" s="65"/>
      <c r="Q2255" s="65"/>
      <c r="R2255" s="65"/>
      <c r="S2255" s="65"/>
    </row>
    <row r="2256" spans="1:19" s="64" customFormat="1">
      <c r="A2256" s="315" t="s">
        <v>448</v>
      </c>
      <c r="B2256" s="123" t="s">
        <v>4771</v>
      </c>
      <c r="C2256" s="338" t="s">
        <v>2649</v>
      </c>
      <c r="D2256" s="310" t="s">
        <v>2648</v>
      </c>
      <c r="E2256" s="122" t="str">
        <f t="shared" si="35"/>
        <v>0727 : 강릉본부</v>
      </c>
      <c r="K2256" s="65"/>
      <c r="L2256" s="65"/>
      <c r="M2256" s="65"/>
      <c r="N2256" s="65"/>
      <c r="O2256" s="65"/>
      <c r="P2256" s="65"/>
      <c r="Q2256" s="65"/>
      <c r="R2256" s="65"/>
      <c r="S2256" s="65"/>
    </row>
    <row r="2257" spans="1:19" s="64" customFormat="1">
      <c r="A2257" s="315" t="s">
        <v>448</v>
      </c>
      <c r="B2257" s="123" t="s">
        <v>4771</v>
      </c>
      <c r="C2257" s="338" t="s">
        <v>2647</v>
      </c>
      <c r="D2257" s="310" t="s">
        <v>2646</v>
      </c>
      <c r="E2257" s="122" t="str">
        <f t="shared" si="35"/>
        <v>0731 : 울산본부</v>
      </c>
      <c r="K2257" s="65"/>
      <c r="L2257" s="65"/>
      <c r="M2257" s="65"/>
      <c r="N2257" s="65"/>
      <c r="O2257" s="65"/>
      <c r="P2257" s="65"/>
      <c r="Q2257" s="65"/>
      <c r="R2257" s="65"/>
      <c r="S2257" s="65"/>
    </row>
    <row r="2258" spans="1:19" s="64" customFormat="1">
      <c r="A2258" s="315" t="s">
        <v>448</v>
      </c>
      <c r="B2258" s="123" t="s">
        <v>4771</v>
      </c>
      <c r="C2258" s="338" t="s">
        <v>2645</v>
      </c>
      <c r="D2258" s="310" t="s">
        <v>2644</v>
      </c>
      <c r="E2258" s="122" t="str">
        <f t="shared" si="35"/>
        <v>0744 : 포항본부</v>
      </c>
      <c r="K2258" s="65"/>
      <c r="L2258" s="65"/>
      <c r="M2258" s="65"/>
      <c r="N2258" s="65"/>
      <c r="O2258" s="65"/>
      <c r="P2258" s="65"/>
      <c r="Q2258" s="65"/>
      <c r="R2258" s="65"/>
      <c r="S2258" s="65"/>
    </row>
    <row r="2259" spans="1:19" s="64" customFormat="1">
      <c r="A2259" s="315" t="s">
        <v>448</v>
      </c>
      <c r="B2259" s="123" t="s">
        <v>4771</v>
      </c>
      <c r="C2259" s="338" t="s">
        <v>2643</v>
      </c>
      <c r="D2259" s="310" t="s">
        <v>2642</v>
      </c>
      <c r="E2259" s="122" t="str">
        <f t="shared" si="35"/>
        <v>0597 : 강남본부</v>
      </c>
      <c r="K2259" s="65"/>
      <c r="L2259" s="65"/>
      <c r="M2259" s="65"/>
      <c r="N2259" s="65"/>
      <c r="O2259" s="65"/>
      <c r="P2259" s="65"/>
      <c r="Q2259" s="65"/>
      <c r="R2259" s="65"/>
      <c r="S2259" s="65"/>
    </row>
    <row r="2260" spans="1:19" s="64" customFormat="1">
      <c r="A2260" s="315" t="s">
        <v>448</v>
      </c>
      <c r="B2260" s="123" t="s">
        <v>4771</v>
      </c>
      <c r="C2260" s="338" t="s">
        <v>2641</v>
      </c>
      <c r="D2260" s="310" t="s">
        <v>2640</v>
      </c>
      <c r="E2260" s="122" t="str">
        <f t="shared" si="35"/>
        <v>0209 : 금융업무실-국고증권</v>
      </c>
      <c r="K2260" s="65"/>
      <c r="L2260" s="65"/>
      <c r="M2260" s="65"/>
      <c r="N2260" s="65"/>
      <c r="O2260" s="65"/>
      <c r="P2260" s="65"/>
      <c r="Q2260" s="65"/>
      <c r="R2260" s="65"/>
      <c r="S2260" s="65"/>
    </row>
    <row r="2261" spans="1:19" s="64" customFormat="1">
      <c r="A2261" s="315" t="s">
        <v>448</v>
      </c>
      <c r="B2261" s="123" t="s">
        <v>4771</v>
      </c>
      <c r="C2261" s="338" t="s">
        <v>2639</v>
      </c>
      <c r="D2261" s="310" t="s">
        <v>2638</v>
      </c>
      <c r="E2261" s="122" t="str">
        <f t="shared" si="35"/>
        <v>0237 : 국제국</v>
      </c>
      <c r="K2261" s="65"/>
      <c r="L2261" s="65"/>
      <c r="M2261" s="65"/>
      <c r="N2261" s="65"/>
      <c r="O2261" s="65"/>
      <c r="P2261" s="65"/>
      <c r="Q2261" s="65"/>
      <c r="R2261" s="65"/>
      <c r="S2261" s="65"/>
    </row>
    <row r="2262" spans="1:19" s="64" customFormat="1">
      <c r="A2262" s="315" t="s">
        <v>448</v>
      </c>
      <c r="B2262" s="123" t="s">
        <v>4771</v>
      </c>
      <c r="C2262" s="338" t="s">
        <v>2637</v>
      </c>
      <c r="D2262" s="310" t="s">
        <v>2636</v>
      </c>
      <c r="E2262" s="122" t="str">
        <f t="shared" si="35"/>
        <v>1062 : 결제운영팀</v>
      </c>
      <c r="K2262" s="65"/>
      <c r="L2262" s="65"/>
      <c r="M2262" s="65"/>
      <c r="N2262" s="65"/>
      <c r="O2262" s="65"/>
      <c r="P2262" s="65"/>
      <c r="Q2262" s="65"/>
      <c r="R2262" s="65"/>
      <c r="S2262" s="65"/>
    </row>
    <row r="2263" spans="1:19" s="68" customFormat="1">
      <c r="A2263" s="317" t="s">
        <v>7610</v>
      </c>
      <c r="B2263" s="123" t="s">
        <v>4769</v>
      </c>
      <c r="C2263" s="329">
        <v>1016</v>
      </c>
      <c r="D2263" s="329" t="s">
        <v>2808</v>
      </c>
      <c r="E2263" s="122" t="str">
        <f t="shared" si="35"/>
        <v>1016 : 한국은행</v>
      </c>
      <c r="K2263" s="81"/>
      <c r="L2263" s="81"/>
      <c r="M2263" s="81"/>
      <c r="N2263" s="81"/>
      <c r="O2263" s="81"/>
      <c r="P2263" s="81"/>
      <c r="Q2263" s="81"/>
      <c r="R2263" s="81"/>
      <c r="S2263" s="81"/>
    </row>
    <row r="2264" spans="1:19" s="68" customFormat="1">
      <c r="A2264" s="317" t="s">
        <v>7610</v>
      </c>
      <c r="B2264" s="123" t="s">
        <v>4769</v>
      </c>
      <c r="C2264" s="329">
        <v>1020</v>
      </c>
      <c r="D2264" s="329" t="s">
        <v>2807</v>
      </c>
      <c r="E2264" s="122" t="str">
        <f t="shared" ref="E2264:E2326" si="36">_xlfn.TEXTJOIN(" : ",FALSE,C2264:D2264)</f>
        <v>1020 : 한국산업은행</v>
      </c>
      <c r="K2264" s="81"/>
      <c r="L2264" s="81"/>
      <c r="M2264" s="81"/>
      <c r="N2264" s="81"/>
      <c r="O2264" s="81"/>
      <c r="P2264" s="81"/>
      <c r="Q2264" s="81"/>
      <c r="R2264" s="81"/>
      <c r="S2264" s="81"/>
    </row>
    <row r="2265" spans="1:19" s="68" customFormat="1">
      <c r="A2265" s="317" t="s">
        <v>7610</v>
      </c>
      <c r="B2265" s="123" t="s">
        <v>4769</v>
      </c>
      <c r="C2265" s="329">
        <v>1033</v>
      </c>
      <c r="D2265" s="329" t="s">
        <v>2806</v>
      </c>
      <c r="E2265" s="122" t="str">
        <f t="shared" si="36"/>
        <v>1033 : 농협은행</v>
      </c>
      <c r="K2265" s="81"/>
      <c r="L2265" s="81"/>
      <c r="M2265" s="81"/>
      <c r="N2265" s="81"/>
      <c r="O2265" s="81"/>
      <c r="P2265" s="81"/>
      <c r="Q2265" s="81"/>
      <c r="R2265" s="81"/>
      <c r="S2265" s="81"/>
    </row>
    <row r="2266" spans="1:19" s="68" customFormat="1">
      <c r="A2266" s="317" t="s">
        <v>7610</v>
      </c>
      <c r="B2266" s="123" t="s">
        <v>4769</v>
      </c>
      <c r="C2266" s="329">
        <v>1047</v>
      </c>
      <c r="D2266" s="329" t="s">
        <v>2805</v>
      </c>
      <c r="E2266" s="122" t="str">
        <f t="shared" si="36"/>
        <v>1047 : 중소기업은행</v>
      </c>
      <c r="K2266" s="81"/>
      <c r="L2266" s="81"/>
      <c r="M2266" s="81"/>
      <c r="N2266" s="81"/>
      <c r="O2266" s="81"/>
      <c r="P2266" s="81"/>
      <c r="Q2266" s="81"/>
      <c r="R2266" s="81"/>
      <c r="S2266" s="81"/>
    </row>
    <row r="2267" spans="1:19" s="68" customFormat="1">
      <c r="A2267" s="317" t="s">
        <v>7610</v>
      </c>
      <c r="B2267" s="123" t="s">
        <v>4769</v>
      </c>
      <c r="C2267" s="329">
        <v>1051</v>
      </c>
      <c r="D2267" s="329" t="s">
        <v>2804</v>
      </c>
      <c r="E2267" s="122" t="str">
        <f t="shared" si="36"/>
        <v>1051 : 국민은행</v>
      </c>
      <c r="K2267" s="81"/>
      <c r="L2267" s="81"/>
      <c r="M2267" s="81"/>
      <c r="N2267" s="81"/>
      <c r="O2267" s="81"/>
      <c r="P2267" s="81"/>
      <c r="Q2267" s="81"/>
      <c r="R2267" s="81"/>
      <c r="S2267" s="81"/>
    </row>
    <row r="2268" spans="1:19" s="68" customFormat="1">
      <c r="A2268" s="317" t="s">
        <v>7610</v>
      </c>
      <c r="B2268" s="123" t="s">
        <v>4769</v>
      </c>
      <c r="C2268" s="329">
        <v>1081</v>
      </c>
      <c r="D2268" s="330" t="s">
        <v>2803</v>
      </c>
      <c r="E2268" s="122" t="str">
        <f t="shared" si="36"/>
        <v>1081 : 수협은행</v>
      </c>
      <c r="K2268" s="81"/>
      <c r="L2268" s="81"/>
      <c r="M2268" s="81"/>
      <c r="N2268" s="81"/>
      <c r="O2268" s="81"/>
      <c r="P2268" s="81"/>
      <c r="Q2268" s="81"/>
      <c r="R2268" s="81"/>
      <c r="S2268" s="81"/>
    </row>
    <row r="2269" spans="1:19" s="68" customFormat="1">
      <c r="A2269" s="317" t="s">
        <v>7610</v>
      </c>
      <c r="B2269" s="123" t="s">
        <v>4769</v>
      </c>
      <c r="C2269" s="329">
        <v>1095</v>
      </c>
      <c r="D2269" s="329" t="s">
        <v>2802</v>
      </c>
      <c r="E2269" s="122" t="str">
        <f t="shared" si="36"/>
        <v>1095 : 수출입은행</v>
      </c>
      <c r="K2269" s="81"/>
      <c r="L2269" s="81"/>
      <c r="M2269" s="81"/>
      <c r="N2269" s="81"/>
      <c r="O2269" s="81"/>
      <c r="P2269" s="81"/>
      <c r="Q2269" s="81"/>
      <c r="R2269" s="81"/>
      <c r="S2269" s="81"/>
    </row>
    <row r="2270" spans="1:19" s="68" customFormat="1">
      <c r="A2270" s="317" t="s">
        <v>7610</v>
      </c>
      <c r="B2270" s="123" t="s">
        <v>4769</v>
      </c>
      <c r="C2270" s="329">
        <v>1171</v>
      </c>
      <c r="D2270" s="329" t="s">
        <v>2801</v>
      </c>
      <c r="E2270" s="122" t="str">
        <f t="shared" si="36"/>
        <v>1171 : 우리은행</v>
      </c>
      <c r="K2270" s="81"/>
      <c r="L2270" s="81"/>
      <c r="M2270" s="81"/>
      <c r="N2270" s="81"/>
      <c r="O2270" s="81"/>
      <c r="P2270" s="81"/>
      <c r="Q2270" s="81"/>
      <c r="R2270" s="81"/>
      <c r="S2270" s="81"/>
    </row>
    <row r="2271" spans="1:19" s="68" customFormat="1">
      <c r="A2271" s="317" t="s">
        <v>7610</v>
      </c>
      <c r="B2271" s="123" t="s">
        <v>4769</v>
      </c>
      <c r="C2271" s="329">
        <v>1184</v>
      </c>
      <c r="D2271" s="330" t="s">
        <v>2800</v>
      </c>
      <c r="E2271" s="122" t="str">
        <f t="shared" si="36"/>
        <v>1184 : 한국스탠다드차타드은행</v>
      </c>
      <c r="K2271" s="81"/>
      <c r="L2271" s="81"/>
      <c r="M2271" s="81"/>
      <c r="N2271" s="81"/>
      <c r="O2271" s="81"/>
      <c r="P2271" s="81"/>
      <c r="Q2271" s="81"/>
      <c r="R2271" s="81"/>
      <c r="S2271" s="81"/>
    </row>
    <row r="2272" spans="1:19" s="68" customFormat="1">
      <c r="A2272" s="317" t="s">
        <v>7610</v>
      </c>
      <c r="B2272" s="123" t="s">
        <v>4769</v>
      </c>
      <c r="C2272" s="329">
        <v>1211</v>
      </c>
      <c r="D2272" s="329" t="s">
        <v>2799</v>
      </c>
      <c r="E2272" s="122" t="str">
        <f t="shared" si="36"/>
        <v>1211 : 신한은행</v>
      </c>
      <c r="K2272" s="81"/>
      <c r="L2272" s="81"/>
      <c r="M2272" s="81"/>
      <c r="N2272" s="81"/>
      <c r="O2272" s="81"/>
      <c r="P2272" s="81"/>
      <c r="Q2272" s="81"/>
      <c r="R2272" s="81"/>
      <c r="S2272" s="81"/>
    </row>
    <row r="2273" spans="1:19" s="68" customFormat="1">
      <c r="A2273" s="317" t="s">
        <v>7610</v>
      </c>
      <c r="B2273" s="123" t="s">
        <v>4769</v>
      </c>
      <c r="C2273" s="329">
        <v>1225</v>
      </c>
      <c r="D2273" s="329" t="s">
        <v>2798</v>
      </c>
      <c r="E2273" s="122" t="str">
        <f t="shared" si="36"/>
        <v>1225 : 한국씨티은행</v>
      </c>
      <c r="K2273" s="81"/>
      <c r="L2273" s="81"/>
      <c r="M2273" s="81"/>
      <c r="N2273" s="81"/>
      <c r="O2273" s="81"/>
      <c r="P2273" s="81"/>
      <c r="Q2273" s="81"/>
      <c r="R2273" s="81"/>
      <c r="S2273" s="81"/>
    </row>
    <row r="2274" spans="1:19" s="68" customFormat="1">
      <c r="A2274" s="317" t="s">
        <v>7610</v>
      </c>
      <c r="B2274" s="123" t="s">
        <v>4769</v>
      </c>
      <c r="C2274" s="329">
        <v>1260</v>
      </c>
      <c r="D2274" s="329" t="s">
        <v>2797</v>
      </c>
      <c r="E2274" s="122" t="str">
        <f t="shared" si="36"/>
        <v>1260 : 하나은행</v>
      </c>
      <c r="K2274" s="81"/>
      <c r="L2274" s="81"/>
      <c r="M2274" s="81"/>
      <c r="N2274" s="81"/>
      <c r="O2274" s="81"/>
      <c r="P2274" s="81"/>
      <c r="Q2274" s="81"/>
      <c r="R2274" s="81"/>
      <c r="S2274" s="81"/>
    </row>
    <row r="2275" spans="1:19" s="68" customFormat="1">
      <c r="A2275" s="317" t="s">
        <v>7610</v>
      </c>
      <c r="B2275" s="123" t="s">
        <v>4769</v>
      </c>
      <c r="C2275" s="329">
        <v>1291</v>
      </c>
      <c r="D2275" s="330" t="s">
        <v>2796</v>
      </c>
      <c r="E2275" s="122" t="str">
        <f t="shared" si="36"/>
        <v>1291 : 케이뱅크</v>
      </c>
      <c r="K2275" s="81"/>
      <c r="L2275" s="81"/>
      <c r="M2275" s="81"/>
      <c r="N2275" s="81"/>
      <c r="O2275" s="81"/>
      <c r="P2275" s="81"/>
      <c r="Q2275" s="81"/>
      <c r="R2275" s="81"/>
      <c r="S2275" s="81"/>
    </row>
    <row r="2276" spans="1:19" s="68" customFormat="1">
      <c r="A2276" s="317" t="s">
        <v>7610</v>
      </c>
      <c r="B2276" s="123" t="s">
        <v>4769</v>
      </c>
      <c r="C2276" s="329">
        <v>1292</v>
      </c>
      <c r="D2276" s="330" t="s">
        <v>2795</v>
      </c>
      <c r="E2276" s="122" t="str">
        <f t="shared" si="36"/>
        <v>1292 : 카카오뱅크</v>
      </c>
      <c r="K2276" s="81"/>
      <c r="L2276" s="81"/>
      <c r="M2276" s="81"/>
      <c r="N2276" s="81"/>
      <c r="O2276" s="81"/>
      <c r="P2276" s="81"/>
      <c r="Q2276" s="81"/>
      <c r="R2276" s="81"/>
      <c r="S2276" s="81"/>
    </row>
    <row r="2277" spans="1:19" s="68" customFormat="1">
      <c r="A2277" s="317" t="s">
        <v>7610</v>
      </c>
      <c r="B2277" s="123" t="s">
        <v>4769</v>
      </c>
      <c r="C2277" s="329">
        <v>1314</v>
      </c>
      <c r="D2277" s="329" t="s">
        <v>2794</v>
      </c>
      <c r="E2277" s="122" t="str">
        <f t="shared" si="36"/>
        <v>1314 : 대구은행</v>
      </c>
      <c r="K2277" s="81"/>
      <c r="L2277" s="81"/>
      <c r="M2277" s="81"/>
      <c r="N2277" s="81"/>
      <c r="O2277" s="81"/>
      <c r="P2277" s="81"/>
      <c r="Q2277" s="81"/>
      <c r="R2277" s="81"/>
      <c r="S2277" s="81"/>
    </row>
    <row r="2278" spans="1:19" s="68" customFormat="1">
      <c r="A2278" s="317" t="s">
        <v>7610</v>
      </c>
      <c r="B2278" s="123" t="s">
        <v>4769</v>
      </c>
      <c r="C2278" s="329">
        <v>1328</v>
      </c>
      <c r="D2278" s="329" t="s">
        <v>2793</v>
      </c>
      <c r="E2278" s="122" t="str">
        <f t="shared" si="36"/>
        <v>1328 : 부산은행</v>
      </c>
      <c r="K2278" s="81"/>
      <c r="L2278" s="81"/>
      <c r="M2278" s="81"/>
      <c r="N2278" s="81"/>
      <c r="O2278" s="81"/>
      <c r="P2278" s="81"/>
      <c r="Q2278" s="81"/>
      <c r="R2278" s="81"/>
      <c r="S2278" s="81"/>
    </row>
    <row r="2279" spans="1:19" s="68" customFormat="1">
      <c r="A2279" s="317" t="s">
        <v>7610</v>
      </c>
      <c r="B2279" s="123" t="s">
        <v>4769</v>
      </c>
      <c r="C2279" s="329">
        <v>1345</v>
      </c>
      <c r="D2279" s="329" t="s">
        <v>2792</v>
      </c>
      <c r="E2279" s="122" t="str">
        <f t="shared" si="36"/>
        <v>1345 : 광주은행</v>
      </c>
      <c r="K2279" s="81"/>
      <c r="L2279" s="81"/>
      <c r="M2279" s="81"/>
      <c r="N2279" s="81"/>
      <c r="O2279" s="81"/>
      <c r="P2279" s="81"/>
      <c r="Q2279" s="81"/>
      <c r="R2279" s="81"/>
      <c r="S2279" s="81"/>
    </row>
    <row r="2280" spans="1:19" s="68" customFormat="1">
      <c r="A2280" s="317" t="s">
        <v>7610</v>
      </c>
      <c r="B2280" s="123" t="s">
        <v>4769</v>
      </c>
      <c r="C2280" s="329">
        <v>1359</v>
      </c>
      <c r="D2280" s="329" t="s">
        <v>2791</v>
      </c>
      <c r="E2280" s="122" t="str">
        <f t="shared" si="36"/>
        <v>1359 : 제주은행</v>
      </c>
      <c r="K2280" s="81"/>
      <c r="L2280" s="81"/>
      <c r="M2280" s="81"/>
      <c r="N2280" s="81"/>
      <c r="O2280" s="81"/>
      <c r="P2280" s="81"/>
      <c r="Q2280" s="81"/>
      <c r="R2280" s="81"/>
      <c r="S2280" s="81"/>
    </row>
    <row r="2281" spans="1:19" s="68" customFormat="1">
      <c r="A2281" s="317" t="s">
        <v>7610</v>
      </c>
      <c r="B2281" s="123" t="s">
        <v>4769</v>
      </c>
      <c r="C2281" s="329">
        <v>1376</v>
      </c>
      <c r="D2281" s="329" t="s">
        <v>2790</v>
      </c>
      <c r="E2281" s="122" t="str">
        <f t="shared" si="36"/>
        <v>1376 : 전북은행</v>
      </c>
      <c r="K2281" s="81"/>
      <c r="L2281" s="81"/>
      <c r="M2281" s="81"/>
      <c r="N2281" s="81"/>
      <c r="O2281" s="81"/>
      <c r="P2281" s="81"/>
      <c r="Q2281" s="81"/>
      <c r="R2281" s="81"/>
      <c r="S2281" s="81"/>
    </row>
    <row r="2282" spans="1:19" s="68" customFormat="1">
      <c r="A2282" s="317" t="s">
        <v>7610</v>
      </c>
      <c r="B2282" s="123" t="s">
        <v>4769</v>
      </c>
      <c r="C2282" s="329">
        <v>1393</v>
      </c>
      <c r="D2282" s="329" t="s">
        <v>2789</v>
      </c>
      <c r="E2282" s="122" t="str">
        <f t="shared" si="36"/>
        <v>1393 : 경남은행</v>
      </c>
      <c r="K2282" s="81"/>
      <c r="L2282" s="81"/>
      <c r="M2282" s="81"/>
      <c r="N2282" s="81"/>
      <c r="O2282" s="81"/>
      <c r="P2282" s="81"/>
      <c r="Q2282" s="81"/>
      <c r="R2282" s="81"/>
      <c r="S2282" s="81"/>
    </row>
    <row r="2283" spans="1:19" s="68" customFormat="1">
      <c r="A2283" s="317" t="s">
        <v>7610</v>
      </c>
      <c r="B2283" s="123" t="s">
        <v>4769</v>
      </c>
      <c r="C2283" s="329">
        <v>1510</v>
      </c>
      <c r="D2283" s="329" t="s">
        <v>2788</v>
      </c>
      <c r="E2283" s="122" t="str">
        <f t="shared" si="36"/>
        <v>1510 : JP모간은행</v>
      </c>
      <c r="K2283" s="81"/>
      <c r="L2283" s="81"/>
      <c r="M2283" s="81"/>
      <c r="N2283" s="81"/>
      <c r="O2283" s="81"/>
      <c r="P2283" s="81"/>
      <c r="Q2283" s="81"/>
      <c r="R2283" s="81"/>
      <c r="S2283" s="81"/>
    </row>
    <row r="2284" spans="1:19" s="68" customFormat="1">
      <c r="A2284" s="317" t="s">
        <v>7610</v>
      </c>
      <c r="B2284" s="123" t="s">
        <v>4769</v>
      </c>
      <c r="C2284" s="329">
        <v>1537</v>
      </c>
      <c r="D2284" s="329" t="s">
        <v>2787</v>
      </c>
      <c r="E2284" s="122" t="str">
        <f t="shared" si="36"/>
        <v>1537 : BOA</v>
      </c>
      <c r="K2284" s="81"/>
      <c r="L2284" s="81"/>
      <c r="M2284" s="81"/>
      <c r="N2284" s="81"/>
      <c r="O2284" s="81"/>
      <c r="P2284" s="81"/>
      <c r="Q2284" s="81"/>
      <c r="R2284" s="81"/>
      <c r="S2284" s="81"/>
    </row>
    <row r="2285" spans="1:19" s="68" customFormat="1">
      <c r="A2285" s="317" t="s">
        <v>7610</v>
      </c>
      <c r="B2285" s="123" t="s">
        <v>4769</v>
      </c>
      <c r="C2285" s="329">
        <v>1541</v>
      </c>
      <c r="D2285" s="329" t="s">
        <v>2786</v>
      </c>
      <c r="E2285" s="122" t="str">
        <f t="shared" si="36"/>
        <v>1541 : 엠유에프지은행</v>
      </c>
      <c r="K2285" s="81"/>
      <c r="L2285" s="81"/>
      <c r="M2285" s="81"/>
      <c r="N2285" s="81"/>
      <c r="O2285" s="81"/>
      <c r="P2285" s="81"/>
      <c r="Q2285" s="81"/>
      <c r="R2285" s="81"/>
      <c r="S2285" s="81"/>
    </row>
    <row r="2286" spans="1:19" s="68" customFormat="1">
      <c r="A2286" s="317" t="s">
        <v>7610</v>
      </c>
      <c r="B2286" s="123" t="s">
        <v>4769</v>
      </c>
      <c r="C2286" s="329">
        <v>1571</v>
      </c>
      <c r="D2286" s="329" t="s">
        <v>2785</v>
      </c>
      <c r="E2286" s="122" t="str">
        <f t="shared" si="36"/>
        <v>1571 : 미즈호은행</v>
      </c>
      <c r="K2286" s="81"/>
      <c r="L2286" s="81"/>
      <c r="M2286" s="81"/>
      <c r="N2286" s="81"/>
      <c r="O2286" s="81"/>
      <c r="P2286" s="81"/>
      <c r="Q2286" s="81"/>
      <c r="R2286" s="81"/>
      <c r="S2286" s="81"/>
    </row>
    <row r="2287" spans="1:19" s="68" customFormat="1">
      <c r="A2287" s="317" t="s">
        <v>7610</v>
      </c>
      <c r="B2287" s="123" t="s">
        <v>4769</v>
      </c>
      <c r="C2287" s="329">
        <v>1599</v>
      </c>
      <c r="D2287" s="329" t="s">
        <v>2784</v>
      </c>
      <c r="E2287" s="122" t="str">
        <f t="shared" si="36"/>
        <v>1599 : 미쓰이스미토모</v>
      </c>
      <c r="K2287" s="81"/>
      <c r="L2287" s="81"/>
      <c r="M2287" s="81"/>
      <c r="N2287" s="81"/>
      <c r="O2287" s="81"/>
      <c r="P2287" s="81"/>
      <c r="Q2287" s="81"/>
      <c r="R2287" s="81"/>
      <c r="S2287" s="81"/>
    </row>
    <row r="2288" spans="1:19" s="68" customFormat="1">
      <c r="A2288" s="317" t="s">
        <v>7610</v>
      </c>
      <c r="B2288" s="123" t="s">
        <v>4769</v>
      </c>
      <c r="C2288" s="329">
        <v>1688</v>
      </c>
      <c r="D2288" s="329" t="s">
        <v>2783</v>
      </c>
      <c r="E2288" s="122" t="str">
        <f t="shared" si="36"/>
        <v>1688 : 비엔피파리바</v>
      </c>
      <c r="K2288" s="81"/>
      <c r="L2288" s="81"/>
      <c r="M2288" s="81"/>
      <c r="N2288" s="81"/>
      <c r="O2288" s="81"/>
      <c r="P2288" s="81"/>
      <c r="Q2288" s="81"/>
      <c r="R2288" s="81"/>
      <c r="S2288" s="81"/>
    </row>
    <row r="2289" spans="1:19" s="68" customFormat="1">
      <c r="A2289" s="317" t="s">
        <v>7610</v>
      </c>
      <c r="B2289" s="123" t="s">
        <v>4769</v>
      </c>
      <c r="C2289" s="329">
        <v>1763</v>
      </c>
      <c r="D2289" s="329" t="s">
        <v>2782</v>
      </c>
      <c r="E2289" s="122" t="str">
        <f t="shared" si="36"/>
        <v>1763 : ING</v>
      </c>
      <c r="K2289" s="81"/>
      <c r="L2289" s="81"/>
      <c r="M2289" s="81"/>
      <c r="N2289" s="81"/>
      <c r="O2289" s="81"/>
      <c r="P2289" s="81"/>
      <c r="Q2289" s="81"/>
      <c r="R2289" s="81"/>
      <c r="S2289" s="81"/>
    </row>
    <row r="2290" spans="1:19" s="68" customFormat="1">
      <c r="A2290" s="317" t="s">
        <v>7610</v>
      </c>
      <c r="B2290" s="123" t="s">
        <v>4769</v>
      </c>
      <c r="C2290" s="329">
        <v>1780</v>
      </c>
      <c r="D2290" s="329" t="s">
        <v>2781</v>
      </c>
      <c r="E2290" s="122" t="str">
        <f t="shared" si="36"/>
        <v>1780 : NOVAS</v>
      </c>
      <c r="K2290" s="81"/>
      <c r="L2290" s="81"/>
      <c r="M2290" s="81"/>
      <c r="N2290" s="81"/>
      <c r="O2290" s="81"/>
      <c r="P2290" s="81"/>
      <c r="Q2290" s="81"/>
      <c r="R2290" s="81"/>
      <c r="S2290" s="81"/>
    </row>
    <row r="2291" spans="1:19" s="68" customFormat="1">
      <c r="A2291" s="317" t="s">
        <v>7610</v>
      </c>
      <c r="B2291" s="123" t="s">
        <v>4769</v>
      </c>
      <c r="C2291" s="329">
        <v>1835</v>
      </c>
      <c r="D2291" s="329" t="s">
        <v>2780</v>
      </c>
      <c r="E2291" s="122" t="str">
        <f t="shared" si="36"/>
        <v>1835 : DEUTSCHE</v>
      </c>
      <c r="K2291" s="81"/>
      <c r="L2291" s="81"/>
      <c r="M2291" s="81"/>
      <c r="N2291" s="81"/>
      <c r="O2291" s="81"/>
      <c r="P2291" s="81"/>
      <c r="Q2291" s="81"/>
      <c r="R2291" s="81"/>
      <c r="S2291" s="81"/>
    </row>
    <row r="2292" spans="1:19" s="68" customFormat="1">
      <c r="A2292" s="317" t="s">
        <v>7610</v>
      </c>
      <c r="B2292" s="123" t="s">
        <v>4769</v>
      </c>
      <c r="C2292" s="329">
        <v>1852</v>
      </c>
      <c r="D2292" s="329" t="s">
        <v>2779</v>
      </c>
      <c r="E2292" s="122" t="str">
        <f t="shared" si="36"/>
        <v>1852 : 크레디아그리콜CIB</v>
      </c>
      <c r="K2292" s="81"/>
      <c r="L2292" s="81"/>
      <c r="M2292" s="81"/>
      <c r="N2292" s="81"/>
      <c r="O2292" s="81"/>
      <c r="P2292" s="81"/>
      <c r="Q2292" s="81"/>
      <c r="R2292" s="81"/>
      <c r="S2292" s="81"/>
    </row>
    <row r="2293" spans="1:19" s="68" customFormat="1">
      <c r="A2293" s="317" t="s">
        <v>7610</v>
      </c>
      <c r="B2293" s="123" t="s">
        <v>4769</v>
      </c>
      <c r="C2293" s="329">
        <v>1897</v>
      </c>
      <c r="D2293" s="329" t="s">
        <v>2778</v>
      </c>
      <c r="E2293" s="122" t="str">
        <f t="shared" si="36"/>
        <v>1897 : UBAF</v>
      </c>
      <c r="K2293" s="81"/>
      <c r="L2293" s="81"/>
      <c r="M2293" s="81"/>
      <c r="N2293" s="81"/>
      <c r="O2293" s="81"/>
      <c r="P2293" s="81"/>
      <c r="Q2293" s="81"/>
      <c r="R2293" s="81"/>
      <c r="S2293" s="81"/>
    </row>
    <row r="2294" spans="1:19" s="68" customFormat="1">
      <c r="A2294" s="317" t="s">
        <v>7610</v>
      </c>
      <c r="B2294" s="123" t="s">
        <v>4769</v>
      </c>
      <c r="C2294" s="329">
        <v>1938</v>
      </c>
      <c r="D2294" s="329" t="s">
        <v>2777</v>
      </c>
      <c r="E2294" s="122" t="str">
        <f t="shared" si="36"/>
        <v>1938 : 디비에스은행</v>
      </c>
      <c r="K2294" s="81"/>
      <c r="L2294" s="81"/>
      <c r="M2294" s="81"/>
      <c r="N2294" s="81"/>
      <c r="O2294" s="81"/>
      <c r="P2294" s="81"/>
      <c r="Q2294" s="81"/>
      <c r="R2294" s="81"/>
      <c r="S2294" s="81"/>
    </row>
    <row r="2295" spans="1:19" s="68" customFormat="1">
      <c r="A2295" s="317" t="s">
        <v>7610</v>
      </c>
      <c r="B2295" s="123" t="s">
        <v>4769</v>
      </c>
      <c r="C2295" s="329">
        <v>1990</v>
      </c>
      <c r="D2295" s="329" t="s">
        <v>2776</v>
      </c>
      <c r="E2295" s="122" t="str">
        <f t="shared" si="36"/>
        <v>1990 : SGB</v>
      </c>
      <c r="K2295" s="81"/>
      <c r="L2295" s="81"/>
      <c r="M2295" s="81"/>
      <c r="N2295" s="81"/>
      <c r="O2295" s="81"/>
      <c r="P2295" s="81"/>
      <c r="Q2295" s="81"/>
      <c r="R2295" s="81"/>
      <c r="S2295" s="81"/>
    </row>
    <row r="2296" spans="1:19" s="68" customFormat="1">
      <c r="A2296" s="317" t="s">
        <v>7610</v>
      </c>
      <c r="B2296" s="123" t="s">
        <v>4769</v>
      </c>
      <c r="C2296" s="329">
        <v>2018</v>
      </c>
      <c r="D2296" s="329" t="s">
        <v>2775</v>
      </c>
      <c r="E2296" s="122" t="str">
        <f t="shared" si="36"/>
        <v>2018 : UOB</v>
      </c>
      <c r="K2296" s="81"/>
      <c r="L2296" s="81"/>
      <c r="M2296" s="81"/>
      <c r="N2296" s="81"/>
      <c r="O2296" s="81"/>
      <c r="P2296" s="81"/>
      <c r="Q2296" s="81"/>
      <c r="R2296" s="81"/>
      <c r="S2296" s="81"/>
    </row>
    <row r="2297" spans="1:19" s="68" customFormat="1">
      <c r="A2297" s="317" t="s">
        <v>7610</v>
      </c>
      <c r="B2297" s="123" t="s">
        <v>4769</v>
      </c>
      <c r="C2297" s="329">
        <v>2066</v>
      </c>
      <c r="D2297" s="329" t="s">
        <v>2774</v>
      </c>
      <c r="E2297" s="122" t="str">
        <f t="shared" si="36"/>
        <v>2066 : 야마구찌</v>
      </c>
      <c r="K2297" s="81"/>
      <c r="L2297" s="81"/>
      <c r="M2297" s="81"/>
      <c r="N2297" s="81"/>
      <c r="O2297" s="81"/>
      <c r="P2297" s="81"/>
      <c r="Q2297" s="81"/>
      <c r="R2297" s="81"/>
      <c r="S2297" s="81"/>
    </row>
    <row r="2298" spans="1:19" s="68" customFormat="1">
      <c r="A2298" s="317" t="s">
        <v>7610</v>
      </c>
      <c r="B2298" s="123" t="s">
        <v>4769</v>
      </c>
      <c r="C2298" s="329">
        <v>2083</v>
      </c>
      <c r="D2298" s="329" t="s">
        <v>2773</v>
      </c>
      <c r="E2298" s="122" t="str">
        <f t="shared" si="36"/>
        <v>2083 : ANZ</v>
      </c>
      <c r="K2298" s="81"/>
      <c r="L2298" s="81"/>
      <c r="M2298" s="81"/>
      <c r="N2298" s="81"/>
      <c r="O2298" s="81"/>
      <c r="P2298" s="81"/>
      <c r="Q2298" s="81"/>
      <c r="R2298" s="81"/>
      <c r="S2298" s="81"/>
    </row>
    <row r="2299" spans="1:19" s="68" customFormat="1">
      <c r="A2299" s="317" t="s">
        <v>7610</v>
      </c>
      <c r="B2299" s="123" t="s">
        <v>4769</v>
      </c>
      <c r="C2299" s="329">
        <v>2097</v>
      </c>
      <c r="D2299" s="329" t="s">
        <v>2772</v>
      </c>
      <c r="E2299" s="122" t="str">
        <f t="shared" si="36"/>
        <v>2097 : NBP</v>
      </c>
      <c r="K2299" s="81"/>
      <c r="L2299" s="81"/>
      <c r="M2299" s="81"/>
      <c r="N2299" s="81"/>
      <c r="O2299" s="81"/>
      <c r="P2299" s="81"/>
      <c r="Q2299" s="81"/>
      <c r="R2299" s="81"/>
      <c r="S2299" s="81"/>
    </row>
    <row r="2300" spans="1:19" s="68" customFormat="1">
      <c r="A2300" s="317" t="s">
        <v>7610</v>
      </c>
      <c r="B2300" s="123" t="s">
        <v>4769</v>
      </c>
      <c r="C2300" s="329">
        <v>2107</v>
      </c>
      <c r="D2300" s="329" t="s">
        <v>2771</v>
      </c>
      <c r="E2300" s="122" t="str">
        <f t="shared" si="36"/>
        <v>2107 : 뉴욕멜론은행</v>
      </c>
      <c r="K2300" s="81"/>
      <c r="L2300" s="81"/>
      <c r="M2300" s="81"/>
      <c r="N2300" s="81"/>
      <c r="O2300" s="81"/>
      <c r="P2300" s="81"/>
      <c r="Q2300" s="81"/>
      <c r="R2300" s="81"/>
      <c r="S2300" s="81"/>
    </row>
    <row r="2301" spans="1:19" s="68" customFormat="1">
      <c r="A2301" s="317" t="s">
        <v>7610</v>
      </c>
      <c r="B2301" s="123" t="s">
        <v>4769</v>
      </c>
      <c r="C2301" s="329">
        <v>2258</v>
      </c>
      <c r="D2301" s="329" t="s">
        <v>2770</v>
      </c>
      <c r="E2301" s="122" t="str">
        <f t="shared" si="36"/>
        <v>2258 : OCBC</v>
      </c>
      <c r="K2301" s="81"/>
      <c r="L2301" s="81"/>
      <c r="M2301" s="81"/>
      <c r="N2301" s="81"/>
      <c r="O2301" s="81"/>
      <c r="P2301" s="81"/>
      <c r="Q2301" s="81"/>
      <c r="R2301" s="81"/>
      <c r="S2301" s="81"/>
    </row>
    <row r="2302" spans="1:19" s="68" customFormat="1">
      <c r="A2302" s="317" t="s">
        <v>7610</v>
      </c>
      <c r="B2302" s="123" t="s">
        <v>4769</v>
      </c>
      <c r="C2302" s="329">
        <v>2508</v>
      </c>
      <c r="D2302" s="329" t="s">
        <v>2769</v>
      </c>
      <c r="E2302" s="122" t="str">
        <f t="shared" si="36"/>
        <v>2508 : HSBC</v>
      </c>
      <c r="K2302" s="81"/>
      <c r="L2302" s="81"/>
      <c r="M2302" s="81"/>
      <c r="N2302" s="81"/>
      <c r="O2302" s="81"/>
      <c r="P2302" s="81"/>
      <c r="Q2302" s="81"/>
      <c r="R2302" s="81"/>
      <c r="S2302" s="81"/>
    </row>
    <row r="2303" spans="1:19" s="68" customFormat="1">
      <c r="A2303" s="317" t="s">
        <v>7610</v>
      </c>
      <c r="B2303" s="123" t="s">
        <v>4769</v>
      </c>
      <c r="C2303" s="329">
        <v>2539</v>
      </c>
      <c r="D2303" s="329" t="s">
        <v>2768</v>
      </c>
      <c r="E2303" s="122" t="str">
        <f t="shared" si="36"/>
        <v>2539 : BOC</v>
      </c>
      <c r="K2303" s="81"/>
      <c r="L2303" s="81"/>
      <c r="M2303" s="81"/>
      <c r="N2303" s="81"/>
      <c r="O2303" s="81"/>
      <c r="P2303" s="81"/>
      <c r="Q2303" s="81"/>
      <c r="R2303" s="81"/>
      <c r="S2303" s="81"/>
    </row>
    <row r="2304" spans="1:19" s="68" customFormat="1">
      <c r="A2304" s="317" t="s">
        <v>7610</v>
      </c>
      <c r="B2304" s="123" t="s">
        <v>4769</v>
      </c>
      <c r="C2304" s="329">
        <v>2556</v>
      </c>
      <c r="D2304" s="329" t="s">
        <v>2767</v>
      </c>
      <c r="E2304" s="122" t="str">
        <f t="shared" si="36"/>
        <v>2556 : METRO</v>
      </c>
      <c r="K2304" s="81"/>
      <c r="L2304" s="81"/>
      <c r="M2304" s="81"/>
      <c r="N2304" s="81"/>
      <c r="O2304" s="81"/>
      <c r="P2304" s="81"/>
      <c r="Q2304" s="81"/>
      <c r="R2304" s="81"/>
      <c r="S2304" s="81"/>
    </row>
    <row r="2305" spans="1:19" s="68" customFormat="1">
      <c r="A2305" s="317" t="s">
        <v>7610</v>
      </c>
      <c r="B2305" s="123" t="s">
        <v>4769</v>
      </c>
      <c r="C2305" s="329">
        <v>2560</v>
      </c>
      <c r="D2305" s="329" t="s">
        <v>2766</v>
      </c>
      <c r="E2305" s="122" t="str">
        <f t="shared" si="36"/>
        <v>2560 : 웰스파고은행</v>
      </c>
      <c r="K2305" s="81"/>
      <c r="L2305" s="81"/>
      <c r="M2305" s="81"/>
      <c r="N2305" s="81"/>
      <c r="O2305" s="81"/>
      <c r="P2305" s="81"/>
      <c r="Q2305" s="81"/>
      <c r="R2305" s="81"/>
      <c r="S2305" s="81"/>
    </row>
    <row r="2306" spans="1:19" s="68" customFormat="1">
      <c r="A2306" s="317" t="s">
        <v>7610</v>
      </c>
      <c r="B2306" s="123" t="s">
        <v>4769</v>
      </c>
      <c r="C2306" s="329">
        <v>2573</v>
      </c>
      <c r="D2306" s="329" t="s">
        <v>2765</v>
      </c>
      <c r="E2306" s="122" t="str">
        <f t="shared" si="36"/>
        <v>2573 : 크레디트스위스</v>
      </c>
      <c r="K2306" s="81"/>
      <c r="L2306" s="81"/>
      <c r="M2306" s="81"/>
      <c r="N2306" s="81"/>
      <c r="O2306" s="81"/>
      <c r="P2306" s="81"/>
      <c r="Q2306" s="81"/>
      <c r="R2306" s="81"/>
      <c r="S2306" s="81"/>
    </row>
    <row r="2307" spans="1:19" s="68" customFormat="1">
      <c r="A2307" s="317" t="s">
        <v>7610</v>
      </c>
      <c r="B2307" s="123" t="s">
        <v>4769</v>
      </c>
      <c r="C2307" s="329">
        <v>2587</v>
      </c>
      <c r="D2307" s="329" t="s">
        <v>2764</v>
      </c>
      <c r="E2307" s="122" t="str">
        <f t="shared" si="36"/>
        <v>2587 : 중국공상</v>
      </c>
      <c r="K2307" s="81"/>
      <c r="L2307" s="81"/>
      <c r="M2307" s="81"/>
      <c r="N2307" s="81"/>
      <c r="O2307" s="81"/>
      <c r="P2307" s="81"/>
      <c r="Q2307" s="81"/>
      <c r="R2307" s="81"/>
      <c r="S2307" s="81"/>
    </row>
    <row r="2308" spans="1:19" s="68" customFormat="1">
      <c r="A2308" s="317" t="s">
        <v>7610</v>
      </c>
      <c r="B2308" s="123" t="s">
        <v>4769</v>
      </c>
      <c r="C2308" s="329">
        <v>2601</v>
      </c>
      <c r="D2308" s="329" t="s">
        <v>2763</v>
      </c>
      <c r="E2308" s="122" t="str">
        <f t="shared" si="36"/>
        <v>2601 : 중국건설</v>
      </c>
      <c r="K2308" s="81"/>
      <c r="L2308" s="81"/>
      <c r="M2308" s="81"/>
      <c r="N2308" s="81"/>
      <c r="O2308" s="81"/>
      <c r="P2308" s="81"/>
      <c r="Q2308" s="81"/>
      <c r="R2308" s="81"/>
      <c r="S2308" s="81"/>
    </row>
    <row r="2309" spans="1:19" s="68" customFormat="1">
      <c r="A2309" s="317" t="s">
        <v>7610</v>
      </c>
      <c r="B2309" s="123" t="s">
        <v>4769</v>
      </c>
      <c r="C2309" s="329">
        <v>2602</v>
      </c>
      <c r="D2309" s="329" t="s">
        <v>2762</v>
      </c>
      <c r="E2309" s="122" t="str">
        <f t="shared" si="36"/>
        <v>2602 : 교통은행</v>
      </c>
      <c r="K2309" s="81"/>
      <c r="L2309" s="81"/>
      <c r="M2309" s="81"/>
      <c r="N2309" s="81"/>
      <c r="O2309" s="81"/>
      <c r="P2309" s="81"/>
      <c r="Q2309" s="81"/>
      <c r="R2309" s="81"/>
      <c r="S2309" s="81"/>
    </row>
    <row r="2310" spans="1:19" s="68" customFormat="1">
      <c r="A2310" s="317" t="s">
        <v>7610</v>
      </c>
      <c r="B2310" s="123" t="s">
        <v>4769</v>
      </c>
      <c r="C2310" s="329">
        <v>2603</v>
      </c>
      <c r="D2310" s="329" t="s">
        <v>2761</v>
      </c>
      <c r="E2310" s="122" t="str">
        <f t="shared" si="36"/>
        <v>2603 : 모간스탠리은행</v>
      </c>
      <c r="K2310" s="81"/>
      <c r="L2310" s="81"/>
      <c r="M2310" s="81"/>
      <c r="N2310" s="81"/>
      <c r="O2310" s="81"/>
      <c r="P2310" s="81"/>
      <c r="Q2310" s="81"/>
      <c r="R2310" s="81"/>
      <c r="S2310" s="81"/>
    </row>
    <row r="2311" spans="1:19" s="68" customFormat="1">
      <c r="A2311" s="317" t="s">
        <v>7610</v>
      </c>
      <c r="B2311" s="123" t="s">
        <v>4769</v>
      </c>
      <c r="C2311" s="329">
        <v>2630</v>
      </c>
      <c r="D2311" s="329" t="s">
        <v>2760</v>
      </c>
      <c r="E2311" s="122" t="str">
        <f t="shared" si="36"/>
        <v>2630 : 바덴뷔르템베르크주립은행</v>
      </c>
      <c r="K2311" s="81"/>
      <c r="L2311" s="81"/>
      <c r="M2311" s="81"/>
      <c r="N2311" s="81"/>
      <c r="O2311" s="81"/>
      <c r="P2311" s="81"/>
      <c r="Q2311" s="81"/>
      <c r="R2311" s="81"/>
      <c r="S2311" s="81"/>
    </row>
    <row r="2312" spans="1:19" s="68" customFormat="1">
      <c r="A2312" s="317" t="s">
        <v>7610</v>
      </c>
      <c r="B2312" s="123" t="s">
        <v>4769</v>
      </c>
      <c r="C2312" s="329">
        <v>2651</v>
      </c>
      <c r="D2312" s="329" t="s">
        <v>2759</v>
      </c>
      <c r="E2312" s="122" t="str">
        <f t="shared" si="36"/>
        <v>2651 : 중국농업은행</v>
      </c>
      <c r="K2312" s="81"/>
      <c r="L2312" s="81"/>
      <c r="M2312" s="81"/>
      <c r="N2312" s="81"/>
      <c r="O2312" s="81"/>
      <c r="P2312" s="81"/>
      <c r="Q2312" s="81"/>
      <c r="R2312" s="81"/>
      <c r="S2312" s="81"/>
    </row>
    <row r="2313" spans="1:19" s="68" customFormat="1">
      <c r="A2313" s="317" t="s">
        <v>7610</v>
      </c>
      <c r="B2313" s="123" t="s">
        <v>4769</v>
      </c>
      <c r="C2313" s="329">
        <v>2660</v>
      </c>
      <c r="D2313" s="329" t="s">
        <v>2758</v>
      </c>
      <c r="E2313" s="122" t="str">
        <f t="shared" si="36"/>
        <v>2660 : 교통은행(청산은행)</v>
      </c>
      <c r="K2313" s="81"/>
      <c r="L2313" s="81"/>
      <c r="M2313" s="81"/>
      <c r="N2313" s="81"/>
      <c r="O2313" s="81"/>
      <c r="P2313" s="81"/>
      <c r="Q2313" s="81"/>
      <c r="R2313" s="81"/>
      <c r="S2313" s="81"/>
    </row>
    <row r="2314" spans="1:19" s="68" customFormat="1">
      <c r="A2314" s="317" t="s">
        <v>7610</v>
      </c>
      <c r="B2314" s="123" t="s">
        <v>4769</v>
      </c>
      <c r="C2314" s="331">
        <v>2676</v>
      </c>
      <c r="D2314" s="330" t="s">
        <v>2757</v>
      </c>
      <c r="E2314" s="122" t="str">
        <f t="shared" si="36"/>
        <v>2676 : 스테이트뱅크오브인디아</v>
      </c>
      <c r="K2314" s="81"/>
      <c r="L2314" s="81"/>
      <c r="M2314" s="81"/>
      <c r="N2314" s="81"/>
      <c r="O2314" s="81"/>
      <c r="P2314" s="81"/>
      <c r="Q2314" s="81"/>
      <c r="R2314" s="81"/>
      <c r="S2314" s="81"/>
    </row>
    <row r="2315" spans="1:19" s="68" customFormat="1">
      <c r="A2315" s="317" t="s">
        <v>7610</v>
      </c>
      <c r="B2315" s="123" t="s">
        <v>4769</v>
      </c>
      <c r="C2315" s="331">
        <v>2677</v>
      </c>
      <c r="D2315" s="330" t="s">
        <v>2756</v>
      </c>
      <c r="E2315" s="122" t="str">
        <f t="shared" si="36"/>
        <v>2677 : 인도네시아느가라은행</v>
      </c>
      <c r="K2315" s="81"/>
      <c r="L2315" s="81"/>
      <c r="M2315" s="81"/>
      <c r="N2315" s="81"/>
      <c r="O2315" s="81"/>
      <c r="P2315" s="81"/>
      <c r="Q2315" s="81"/>
      <c r="R2315" s="81"/>
      <c r="S2315" s="81"/>
    </row>
    <row r="2316" spans="1:19" s="68" customFormat="1">
      <c r="A2316" s="317" t="s">
        <v>7610</v>
      </c>
      <c r="B2316" s="123" t="s">
        <v>4769</v>
      </c>
      <c r="C2316" s="331">
        <v>2678</v>
      </c>
      <c r="D2316" s="330" t="s">
        <v>2755</v>
      </c>
      <c r="E2316" s="122" t="str">
        <f t="shared" si="36"/>
        <v>2678 : 중국광대은행</v>
      </c>
      <c r="K2316" s="81"/>
      <c r="L2316" s="81"/>
      <c r="M2316" s="81"/>
      <c r="N2316" s="81"/>
      <c r="O2316" s="81"/>
      <c r="P2316" s="81"/>
      <c r="Q2316" s="81"/>
      <c r="R2316" s="81"/>
      <c r="S2316" s="81"/>
    </row>
    <row r="2317" spans="1:19" s="68" customFormat="1">
      <c r="A2317" s="317" t="s">
        <v>7610</v>
      </c>
      <c r="B2317" s="123" t="s">
        <v>4769</v>
      </c>
      <c r="C2317" s="331">
        <v>2679</v>
      </c>
      <c r="D2317" s="330" t="s">
        <v>2754</v>
      </c>
      <c r="E2317" s="122" t="str">
        <f t="shared" si="36"/>
        <v>2679 : 노던트러스트</v>
      </c>
      <c r="K2317" s="81"/>
      <c r="L2317" s="81"/>
      <c r="M2317" s="81"/>
      <c r="N2317" s="81"/>
      <c r="O2317" s="81"/>
      <c r="P2317" s="81"/>
      <c r="Q2317" s="81"/>
      <c r="R2317" s="81"/>
      <c r="S2317" s="81"/>
    </row>
    <row r="2318" spans="1:19" s="68" customFormat="1">
      <c r="A2318" s="317" t="s">
        <v>7610</v>
      </c>
      <c r="B2318" s="123" t="s">
        <v>4769</v>
      </c>
      <c r="C2318" s="329">
        <v>8070</v>
      </c>
      <c r="D2318" s="329" t="s">
        <v>2753</v>
      </c>
      <c r="E2318" s="122" t="str">
        <f t="shared" si="36"/>
        <v>8070 : 한국증권금융</v>
      </c>
      <c r="K2318" s="81"/>
      <c r="L2318" s="81"/>
      <c r="M2318" s="81"/>
      <c r="N2318" s="81"/>
      <c r="O2318" s="81"/>
      <c r="P2318" s="81"/>
      <c r="Q2318" s="81"/>
      <c r="R2318" s="81"/>
      <c r="S2318" s="81"/>
    </row>
    <row r="2319" spans="1:19" s="68" customFormat="1">
      <c r="A2319" s="317" t="s">
        <v>7610</v>
      </c>
      <c r="B2319" s="123" t="s">
        <v>4769</v>
      </c>
      <c r="C2319" s="329">
        <v>8201</v>
      </c>
      <c r="D2319" s="329" t="s">
        <v>2752</v>
      </c>
      <c r="E2319" s="122" t="str">
        <f t="shared" si="36"/>
        <v>8201 : 하이투자증권</v>
      </c>
      <c r="K2319" s="81"/>
      <c r="L2319" s="81"/>
      <c r="M2319" s="81"/>
      <c r="N2319" s="81"/>
      <c r="O2319" s="81"/>
      <c r="P2319" s="81"/>
      <c r="Q2319" s="81"/>
      <c r="R2319" s="81"/>
      <c r="S2319" s="81"/>
    </row>
    <row r="2320" spans="1:19" s="68" customFormat="1">
      <c r="A2320" s="317" t="s">
        <v>7610</v>
      </c>
      <c r="B2320" s="123" t="s">
        <v>4769</v>
      </c>
      <c r="C2320" s="329">
        <v>8245</v>
      </c>
      <c r="D2320" s="329" t="s">
        <v>2751</v>
      </c>
      <c r="E2320" s="122" t="str">
        <f t="shared" si="36"/>
        <v>8245 : 하나금융투자</v>
      </c>
      <c r="K2320" s="81"/>
      <c r="L2320" s="81"/>
      <c r="M2320" s="81"/>
      <c r="N2320" s="81"/>
      <c r="O2320" s="81"/>
      <c r="P2320" s="81"/>
      <c r="Q2320" s="81"/>
      <c r="R2320" s="81"/>
      <c r="S2320" s="81"/>
    </row>
    <row r="2321" spans="1:19" s="68" customFormat="1">
      <c r="A2321" s="317" t="s">
        <v>7610</v>
      </c>
      <c r="B2321" s="123" t="s">
        <v>4769</v>
      </c>
      <c r="C2321" s="329">
        <v>8259</v>
      </c>
      <c r="D2321" s="329" t="s">
        <v>2750</v>
      </c>
      <c r="E2321" s="122" t="str">
        <f t="shared" si="36"/>
        <v>8259 : 한국투자증권</v>
      </c>
      <c r="K2321" s="81"/>
      <c r="L2321" s="81"/>
      <c r="M2321" s="81"/>
      <c r="N2321" s="81"/>
      <c r="O2321" s="81"/>
      <c r="P2321" s="81"/>
      <c r="Q2321" s="81"/>
      <c r="R2321" s="81"/>
      <c r="S2321" s="81"/>
    </row>
    <row r="2322" spans="1:19" s="68" customFormat="1">
      <c r="A2322" s="317" t="s">
        <v>7610</v>
      </c>
      <c r="B2322" s="123" t="s">
        <v>4769</v>
      </c>
      <c r="C2322" s="329">
        <v>8509</v>
      </c>
      <c r="D2322" s="329" t="s">
        <v>2749</v>
      </c>
      <c r="E2322" s="122" t="str">
        <f t="shared" si="36"/>
        <v>8509 : 미래에셋대우</v>
      </c>
      <c r="K2322" s="81"/>
      <c r="L2322" s="81"/>
      <c r="M2322" s="81"/>
      <c r="N2322" s="81"/>
      <c r="O2322" s="81"/>
      <c r="P2322" s="81"/>
      <c r="Q2322" s="81"/>
      <c r="R2322" s="81"/>
      <c r="S2322" s="81"/>
    </row>
    <row r="2323" spans="1:19" s="68" customFormat="1">
      <c r="A2323" s="317" t="s">
        <v>7610</v>
      </c>
      <c r="B2323" s="123" t="s">
        <v>4769</v>
      </c>
      <c r="C2323" s="329">
        <v>8511</v>
      </c>
      <c r="D2323" s="329" t="s">
        <v>2748</v>
      </c>
      <c r="E2323" s="122" t="str">
        <f t="shared" si="36"/>
        <v>8511 : 노무라금융투자</v>
      </c>
      <c r="K2323" s="81"/>
      <c r="L2323" s="81"/>
      <c r="M2323" s="81"/>
      <c r="N2323" s="81"/>
      <c r="O2323" s="81"/>
      <c r="P2323" s="81"/>
      <c r="Q2323" s="81"/>
      <c r="R2323" s="81"/>
      <c r="S2323" s="81"/>
    </row>
    <row r="2324" spans="1:19" s="68" customFormat="1">
      <c r="A2324" s="317" t="s">
        <v>7610</v>
      </c>
      <c r="B2324" s="123" t="s">
        <v>4769</v>
      </c>
      <c r="C2324" s="329">
        <v>8512</v>
      </c>
      <c r="D2324" s="329" t="s">
        <v>2747</v>
      </c>
      <c r="E2324" s="122" t="str">
        <f t="shared" si="36"/>
        <v>8512 : 신한금융투자</v>
      </c>
      <c r="K2324" s="81"/>
      <c r="L2324" s="81"/>
      <c r="M2324" s="81"/>
      <c r="N2324" s="81"/>
      <c r="O2324" s="81"/>
      <c r="P2324" s="81"/>
      <c r="Q2324" s="81"/>
      <c r="R2324" s="81"/>
      <c r="S2324" s="81"/>
    </row>
    <row r="2325" spans="1:19" s="68" customFormat="1">
      <c r="A2325" s="317" t="s">
        <v>7610</v>
      </c>
      <c r="B2325" s="123" t="s">
        <v>4769</v>
      </c>
      <c r="C2325" s="329">
        <v>8526</v>
      </c>
      <c r="D2325" s="329" t="s">
        <v>2746</v>
      </c>
      <c r="E2325" s="122" t="str">
        <f t="shared" si="36"/>
        <v>8526 : NH투자증권</v>
      </c>
      <c r="K2325" s="81"/>
      <c r="L2325" s="81"/>
      <c r="M2325" s="81"/>
      <c r="N2325" s="81"/>
      <c r="O2325" s="81"/>
      <c r="P2325" s="81"/>
      <c r="Q2325" s="81"/>
      <c r="R2325" s="81"/>
      <c r="S2325" s="81"/>
    </row>
    <row r="2326" spans="1:19" s="68" customFormat="1">
      <c r="A2326" s="317" t="s">
        <v>7610</v>
      </c>
      <c r="B2326" s="123" t="s">
        <v>4769</v>
      </c>
      <c r="C2326" s="329">
        <v>8543</v>
      </c>
      <c r="D2326" s="329" t="s">
        <v>2745</v>
      </c>
      <c r="E2326" s="122" t="str">
        <f t="shared" si="36"/>
        <v>8543 : KB증권</v>
      </c>
      <c r="K2326" s="81"/>
      <c r="L2326" s="81"/>
      <c r="M2326" s="81"/>
      <c r="N2326" s="81"/>
      <c r="O2326" s="81"/>
      <c r="P2326" s="81"/>
      <c r="Q2326" s="81"/>
      <c r="R2326" s="81"/>
      <c r="S2326" s="81"/>
    </row>
    <row r="2327" spans="1:19" s="68" customFormat="1">
      <c r="A2327" s="317" t="s">
        <v>7610</v>
      </c>
      <c r="B2327" s="123" t="s">
        <v>4769</v>
      </c>
      <c r="C2327" s="329">
        <v>8557</v>
      </c>
      <c r="D2327" s="329" t="s">
        <v>2744</v>
      </c>
      <c r="E2327" s="122" t="str">
        <f t="shared" ref="E2327:E2390" si="37">_xlfn.TEXTJOIN(" : ",FALSE,C2327:D2327)</f>
        <v>8557 : 대신증권</v>
      </c>
      <c r="K2327" s="81"/>
      <c r="L2327" s="81"/>
      <c r="M2327" s="81"/>
      <c r="N2327" s="81"/>
      <c r="O2327" s="81"/>
      <c r="P2327" s="81"/>
      <c r="Q2327" s="81"/>
      <c r="R2327" s="81"/>
      <c r="S2327" s="81"/>
    </row>
    <row r="2328" spans="1:19" s="68" customFormat="1">
      <c r="A2328" s="317" t="s">
        <v>7610</v>
      </c>
      <c r="B2328" s="123" t="s">
        <v>4769</v>
      </c>
      <c r="C2328" s="329">
        <v>8574</v>
      </c>
      <c r="D2328" s="329" t="s">
        <v>2743</v>
      </c>
      <c r="E2328" s="122" t="str">
        <f t="shared" si="37"/>
        <v>8574 : 에스케이증권</v>
      </c>
      <c r="K2328" s="81"/>
      <c r="L2328" s="81"/>
      <c r="M2328" s="81"/>
      <c r="N2328" s="81"/>
      <c r="O2328" s="81"/>
      <c r="P2328" s="81"/>
      <c r="Q2328" s="81"/>
      <c r="R2328" s="81"/>
      <c r="S2328" s="81"/>
    </row>
    <row r="2329" spans="1:19" s="68" customFormat="1">
      <c r="A2329" s="317" t="s">
        <v>7610</v>
      </c>
      <c r="B2329" s="123" t="s">
        <v>4769</v>
      </c>
      <c r="C2329" s="329">
        <v>8588</v>
      </c>
      <c r="D2329" s="329" t="s">
        <v>2742</v>
      </c>
      <c r="E2329" s="122" t="str">
        <f t="shared" si="37"/>
        <v>8588 : 유안타증권</v>
      </c>
      <c r="K2329" s="81"/>
      <c r="L2329" s="81"/>
      <c r="M2329" s="81"/>
      <c r="N2329" s="81"/>
      <c r="O2329" s="81"/>
      <c r="P2329" s="81"/>
      <c r="Q2329" s="81"/>
      <c r="R2329" s="81"/>
      <c r="S2329" s="81"/>
    </row>
    <row r="2330" spans="1:19" s="68" customFormat="1">
      <c r="A2330" s="317" t="s">
        <v>7610</v>
      </c>
      <c r="B2330" s="123" t="s">
        <v>4769</v>
      </c>
      <c r="C2330" s="329">
        <v>8591</v>
      </c>
      <c r="D2330" s="329" t="s">
        <v>2741</v>
      </c>
      <c r="E2330" s="122" t="str">
        <f t="shared" si="37"/>
        <v>8591 : 한화투자증권</v>
      </c>
      <c r="K2330" s="81"/>
      <c r="L2330" s="81"/>
      <c r="M2330" s="81"/>
      <c r="N2330" s="81"/>
      <c r="O2330" s="81"/>
      <c r="P2330" s="81"/>
      <c r="Q2330" s="81"/>
      <c r="R2330" s="81"/>
      <c r="S2330" s="81"/>
    </row>
    <row r="2331" spans="1:19" s="68" customFormat="1">
      <c r="A2331" s="317" t="s">
        <v>7610</v>
      </c>
      <c r="B2331" s="123" t="s">
        <v>4769</v>
      </c>
      <c r="C2331" s="329">
        <v>8677</v>
      </c>
      <c r="D2331" s="329" t="s">
        <v>2740</v>
      </c>
      <c r="E2331" s="122" t="str">
        <f t="shared" si="37"/>
        <v>8677 : 신영증권</v>
      </c>
      <c r="K2331" s="81"/>
      <c r="L2331" s="81"/>
      <c r="M2331" s="81"/>
      <c r="N2331" s="81"/>
      <c r="O2331" s="81"/>
      <c r="P2331" s="81"/>
      <c r="Q2331" s="81"/>
      <c r="R2331" s="81"/>
      <c r="S2331" s="81"/>
    </row>
    <row r="2332" spans="1:19" s="68" customFormat="1">
      <c r="A2332" s="317" t="s">
        <v>7610</v>
      </c>
      <c r="B2332" s="123" t="s">
        <v>4769</v>
      </c>
      <c r="C2332" s="329">
        <v>8680</v>
      </c>
      <c r="D2332" s="329" t="s">
        <v>2739</v>
      </c>
      <c r="E2332" s="122" t="str">
        <f t="shared" si="37"/>
        <v>8680 : 유화증권</v>
      </c>
      <c r="K2332" s="81"/>
      <c r="L2332" s="81"/>
      <c r="M2332" s="81"/>
      <c r="N2332" s="81"/>
      <c r="O2332" s="81"/>
      <c r="P2332" s="81"/>
      <c r="Q2332" s="81"/>
      <c r="R2332" s="81"/>
      <c r="S2332" s="81"/>
    </row>
    <row r="2333" spans="1:19" s="68" customFormat="1">
      <c r="A2333" s="317" t="s">
        <v>7610</v>
      </c>
      <c r="B2333" s="123" t="s">
        <v>4769</v>
      </c>
      <c r="C2333" s="329">
        <v>8694</v>
      </c>
      <c r="D2333" s="329" t="s">
        <v>2738</v>
      </c>
      <c r="E2333" s="122" t="str">
        <f t="shared" si="37"/>
        <v>8694 : 한양증권</v>
      </c>
      <c r="K2333" s="81"/>
      <c r="L2333" s="81"/>
      <c r="M2333" s="81"/>
      <c r="N2333" s="81"/>
      <c r="O2333" s="81"/>
      <c r="P2333" s="81"/>
      <c r="Q2333" s="81"/>
      <c r="R2333" s="81"/>
      <c r="S2333" s="81"/>
    </row>
    <row r="2334" spans="1:19" s="68" customFormat="1">
      <c r="A2334" s="317" t="s">
        <v>7610</v>
      </c>
      <c r="B2334" s="123" t="s">
        <v>4769</v>
      </c>
      <c r="C2334" s="329">
        <v>8704</v>
      </c>
      <c r="D2334" s="329" t="s">
        <v>2737</v>
      </c>
      <c r="E2334" s="122" t="str">
        <f t="shared" si="37"/>
        <v>8704 : 유진투자증권</v>
      </c>
      <c r="K2334" s="81"/>
      <c r="L2334" s="81"/>
      <c r="M2334" s="81"/>
      <c r="N2334" s="81"/>
      <c r="O2334" s="81"/>
      <c r="P2334" s="81"/>
      <c r="Q2334" s="81"/>
      <c r="R2334" s="81"/>
      <c r="S2334" s="81"/>
    </row>
    <row r="2335" spans="1:19" s="68" customFormat="1">
      <c r="A2335" s="317" t="s">
        <v>7610</v>
      </c>
      <c r="B2335" s="123" t="s">
        <v>4769</v>
      </c>
      <c r="C2335" s="329">
        <v>8718</v>
      </c>
      <c r="D2335" s="329" t="s">
        <v>2736</v>
      </c>
      <c r="E2335" s="122" t="str">
        <f t="shared" si="37"/>
        <v>8718 : 상상인증권</v>
      </c>
      <c r="K2335" s="81"/>
      <c r="L2335" s="81"/>
      <c r="M2335" s="81"/>
      <c r="N2335" s="81"/>
      <c r="O2335" s="81"/>
      <c r="P2335" s="81"/>
      <c r="Q2335" s="81"/>
      <c r="R2335" s="81"/>
      <c r="S2335" s="81"/>
    </row>
    <row r="2336" spans="1:19" s="68" customFormat="1">
      <c r="A2336" s="317" t="s">
        <v>7610</v>
      </c>
      <c r="B2336" s="123" t="s">
        <v>4769</v>
      </c>
      <c r="C2336" s="329">
        <v>8735</v>
      </c>
      <c r="D2336" s="329" t="s">
        <v>2735</v>
      </c>
      <c r="E2336" s="122" t="str">
        <f t="shared" si="37"/>
        <v>8735 : 부국증권</v>
      </c>
      <c r="K2336" s="81"/>
      <c r="L2336" s="81"/>
      <c r="M2336" s="81"/>
      <c r="N2336" s="81"/>
      <c r="O2336" s="81"/>
      <c r="P2336" s="81"/>
      <c r="Q2336" s="81"/>
      <c r="R2336" s="81"/>
      <c r="S2336" s="81"/>
    </row>
    <row r="2337" spans="1:19" s="68" customFormat="1">
      <c r="A2337" s="317" t="s">
        <v>7610</v>
      </c>
      <c r="B2337" s="123" t="s">
        <v>4769</v>
      </c>
      <c r="C2337" s="329">
        <v>8749</v>
      </c>
      <c r="D2337" s="329" t="s">
        <v>2734</v>
      </c>
      <c r="E2337" s="122" t="str">
        <f t="shared" si="37"/>
        <v>8749 : 메리츠증권</v>
      </c>
      <c r="K2337" s="81"/>
      <c r="L2337" s="81"/>
      <c r="M2337" s="81"/>
      <c r="N2337" s="81"/>
      <c r="O2337" s="81"/>
      <c r="P2337" s="81"/>
      <c r="Q2337" s="81"/>
      <c r="R2337" s="81"/>
      <c r="S2337" s="81"/>
    </row>
    <row r="2338" spans="1:19" s="68" customFormat="1">
      <c r="A2338" s="317" t="s">
        <v>7610</v>
      </c>
      <c r="B2338" s="123" t="s">
        <v>4769</v>
      </c>
      <c r="C2338" s="329">
        <v>8770</v>
      </c>
      <c r="D2338" s="329" t="s">
        <v>2733</v>
      </c>
      <c r="E2338" s="122" t="str">
        <f t="shared" si="37"/>
        <v>8770 : 한국예탁결제원</v>
      </c>
      <c r="K2338" s="81"/>
      <c r="L2338" s="81"/>
      <c r="M2338" s="81"/>
      <c r="N2338" s="81"/>
      <c r="O2338" s="81"/>
      <c r="P2338" s="81"/>
      <c r="Q2338" s="81"/>
      <c r="R2338" s="81"/>
      <c r="S2338" s="81"/>
    </row>
    <row r="2339" spans="1:19" s="68" customFormat="1">
      <c r="A2339" s="317" t="s">
        <v>7610</v>
      </c>
      <c r="B2339" s="123" t="s">
        <v>4769</v>
      </c>
      <c r="C2339" s="329">
        <v>8783</v>
      </c>
      <c r="D2339" s="329" t="s">
        <v>2732</v>
      </c>
      <c r="E2339" s="122" t="str">
        <f t="shared" si="37"/>
        <v>8783 : 교보증권</v>
      </c>
      <c r="K2339" s="81"/>
      <c r="L2339" s="81"/>
      <c r="M2339" s="81"/>
      <c r="N2339" s="81"/>
      <c r="O2339" s="81"/>
      <c r="P2339" s="81"/>
      <c r="Q2339" s="81"/>
      <c r="R2339" s="81"/>
      <c r="S2339" s="81"/>
    </row>
    <row r="2340" spans="1:19" s="68" customFormat="1">
      <c r="A2340" s="317" t="s">
        <v>7610</v>
      </c>
      <c r="B2340" s="123" t="s">
        <v>4769</v>
      </c>
      <c r="C2340" s="329">
        <v>8797</v>
      </c>
      <c r="D2340" s="329" t="s">
        <v>2731</v>
      </c>
      <c r="E2340" s="122" t="str">
        <f t="shared" si="37"/>
        <v>8797 : 현대차증권</v>
      </c>
      <c r="K2340" s="81"/>
      <c r="L2340" s="81"/>
      <c r="M2340" s="81"/>
      <c r="N2340" s="81"/>
      <c r="O2340" s="81"/>
      <c r="P2340" s="81"/>
      <c r="Q2340" s="81"/>
      <c r="R2340" s="81"/>
      <c r="S2340" s="81"/>
    </row>
    <row r="2341" spans="1:19" s="68" customFormat="1">
      <c r="A2341" s="317" t="s">
        <v>7610</v>
      </c>
      <c r="B2341" s="123" t="s">
        <v>4769</v>
      </c>
      <c r="C2341" s="329">
        <v>8869</v>
      </c>
      <c r="D2341" s="329" t="s">
        <v>2730</v>
      </c>
      <c r="E2341" s="122" t="str">
        <f t="shared" si="37"/>
        <v>8869 : 씨티글로벌마켓증권</v>
      </c>
      <c r="K2341" s="81"/>
      <c r="L2341" s="81"/>
      <c r="M2341" s="81"/>
      <c r="N2341" s="81"/>
      <c r="O2341" s="81"/>
      <c r="P2341" s="81"/>
      <c r="Q2341" s="81"/>
      <c r="R2341" s="81"/>
      <c r="S2341" s="81"/>
    </row>
    <row r="2342" spans="1:19" s="68" customFormat="1">
      <c r="A2342" s="317" t="s">
        <v>7610</v>
      </c>
      <c r="B2342" s="123" t="s">
        <v>4769</v>
      </c>
      <c r="C2342" s="329">
        <v>8880</v>
      </c>
      <c r="D2342" s="329" t="s">
        <v>2729</v>
      </c>
      <c r="E2342" s="122" t="str">
        <f t="shared" si="37"/>
        <v>8880 : 한국예탁결제원(국채)</v>
      </c>
      <c r="K2342" s="81"/>
      <c r="L2342" s="81"/>
      <c r="M2342" s="81"/>
      <c r="N2342" s="81"/>
      <c r="O2342" s="81"/>
      <c r="P2342" s="81"/>
      <c r="Q2342" s="81"/>
      <c r="R2342" s="81"/>
      <c r="S2342" s="81"/>
    </row>
    <row r="2343" spans="1:19" s="68" customFormat="1">
      <c r="A2343" s="317" t="s">
        <v>7610</v>
      </c>
      <c r="B2343" s="123" t="s">
        <v>4769</v>
      </c>
      <c r="C2343" s="329">
        <v>8893</v>
      </c>
      <c r="D2343" s="329" t="s">
        <v>2728</v>
      </c>
      <c r="E2343" s="122" t="str">
        <f t="shared" si="37"/>
        <v>8893 : 키움증권</v>
      </c>
      <c r="K2343" s="81"/>
      <c r="L2343" s="81"/>
      <c r="M2343" s="81"/>
      <c r="N2343" s="81"/>
      <c r="O2343" s="81"/>
      <c r="P2343" s="81"/>
      <c r="Q2343" s="81"/>
      <c r="R2343" s="81"/>
      <c r="S2343" s="81"/>
    </row>
    <row r="2344" spans="1:19" s="68" customFormat="1">
      <c r="A2344" s="317" t="s">
        <v>7610</v>
      </c>
      <c r="B2344" s="123" t="s">
        <v>4769</v>
      </c>
      <c r="C2344" s="329">
        <v>8895</v>
      </c>
      <c r="D2344" s="329" t="s">
        <v>2727</v>
      </c>
      <c r="E2344" s="122" t="str">
        <f t="shared" si="37"/>
        <v>8895 : 유비에스증권리미티드</v>
      </c>
      <c r="K2344" s="81"/>
      <c r="L2344" s="81"/>
      <c r="M2344" s="81"/>
      <c r="N2344" s="81"/>
      <c r="O2344" s="81"/>
      <c r="P2344" s="81"/>
      <c r="Q2344" s="81"/>
      <c r="R2344" s="81"/>
      <c r="S2344" s="81"/>
    </row>
    <row r="2345" spans="1:19" s="68" customFormat="1">
      <c r="A2345" s="317" t="s">
        <v>7610</v>
      </c>
      <c r="B2345" s="123" t="s">
        <v>4769</v>
      </c>
      <c r="C2345" s="329">
        <v>8900</v>
      </c>
      <c r="D2345" s="329" t="s">
        <v>2726</v>
      </c>
      <c r="E2345" s="122" t="str">
        <f t="shared" si="37"/>
        <v>8900 : 교보생명보험</v>
      </c>
      <c r="K2345" s="81"/>
      <c r="L2345" s="81"/>
      <c r="M2345" s="81"/>
      <c r="N2345" s="81"/>
      <c r="O2345" s="81"/>
      <c r="P2345" s="81"/>
      <c r="Q2345" s="81"/>
      <c r="R2345" s="81"/>
      <c r="S2345" s="81"/>
    </row>
    <row r="2346" spans="1:19" s="68" customFormat="1">
      <c r="A2346" s="317" t="s">
        <v>7610</v>
      </c>
      <c r="B2346" s="123" t="s">
        <v>4769</v>
      </c>
      <c r="C2346" s="329">
        <v>8961</v>
      </c>
      <c r="D2346" s="329" t="s">
        <v>2725</v>
      </c>
      <c r="E2346" s="122" t="str">
        <f t="shared" si="37"/>
        <v>8961 : 한화생명보험</v>
      </c>
      <c r="K2346" s="81"/>
      <c r="L2346" s="81"/>
      <c r="M2346" s="81"/>
      <c r="N2346" s="81"/>
      <c r="O2346" s="81"/>
      <c r="P2346" s="81"/>
      <c r="Q2346" s="81"/>
      <c r="R2346" s="81"/>
      <c r="S2346" s="81"/>
    </row>
    <row r="2347" spans="1:19" s="68" customFormat="1">
      <c r="A2347" s="317" t="s">
        <v>7610</v>
      </c>
      <c r="B2347" s="123" t="s">
        <v>4769</v>
      </c>
      <c r="C2347" s="329">
        <v>8975</v>
      </c>
      <c r="D2347" s="329" t="s">
        <v>2724</v>
      </c>
      <c r="E2347" s="122" t="str">
        <f t="shared" si="37"/>
        <v>8975 : 삼성생명보험</v>
      </c>
      <c r="K2347" s="81"/>
      <c r="L2347" s="81"/>
      <c r="M2347" s="81"/>
      <c r="N2347" s="81"/>
      <c r="O2347" s="81"/>
      <c r="P2347" s="81"/>
      <c r="Q2347" s="81"/>
      <c r="R2347" s="81"/>
      <c r="S2347" s="81"/>
    </row>
    <row r="2348" spans="1:19" s="68" customFormat="1">
      <c r="A2348" s="317" t="s">
        <v>7610</v>
      </c>
      <c r="B2348" s="123" t="s">
        <v>4769</v>
      </c>
      <c r="C2348" s="329">
        <v>8989</v>
      </c>
      <c r="D2348" s="329" t="s">
        <v>2723</v>
      </c>
      <c r="E2348" s="122" t="str">
        <f t="shared" si="37"/>
        <v>8989 : 흥국생명보험</v>
      </c>
      <c r="K2348" s="81"/>
      <c r="L2348" s="81"/>
      <c r="M2348" s="81"/>
      <c r="N2348" s="81"/>
      <c r="O2348" s="81"/>
      <c r="P2348" s="81"/>
      <c r="Q2348" s="81"/>
      <c r="R2348" s="81"/>
      <c r="S2348" s="81"/>
    </row>
    <row r="2349" spans="1:19" s="68" customFormat="1">
      <c r="A2349" s="317" t="s">
        <v>7610</v>
      </c>
      <c r="B2349" s="123" t="s">
        <v>4769</v>
      </c>
      <c r="C2349" s="329">
        <v>8990</v>
      </c>
      <c r="D2349" s="329" t="s">
        <v>2722</v>
      </c>
      <c r="E2349" s="122" t="str">
        <f t="shared" si="37"/>
        <v>8990 : 미래에셋생명보험</v>
      </c>
      <c r="K2349" s="81"/>
      <c r="L2349" s="81"/>
      <c r="M2349" s="81"/>
      <c r="N2349" s="81"/>
      <c r="O2349" s="81"/>
      <c r="P2349" s="81"/>
      <c r="Q2349" s="81"/>
      <c r="R2349" s="81"/>
      <c r="S2349" s="81"/>
    </row>
    <row r="2350" spans="1:19" s="68" customFormat="1">
      <c r="A2350" s="317" t="s">
        <v>7610</v>
      </c>
      <c r="B2350" s="123" t="s">
        <v>4769</v>
      </c>
      <c r="C2350" s="329">
        <v>9009</v>
      </c>
      <c r="D2350" s="329" t="s">
        <v>2721</v>
      </c>
      <c r="E2350" s="122" t="str">
        <f t="shared" si="37"/>
        <v>9009 : 케이비손해보험</v>
      </c>
      <c r="K2350" s="81"/>
      <c r="L2350" s="81"/>
      <c r="M2350" s="81"/>
      <c r="N2350" s="81"/>
      <c r="O2350" s="81"/>
      <c r="P2350" s="81"/>
      <c r="Q2350" s="81"/>
      <c r="R2350" s="81"/>
      <c r="S2350" s="81"/>
    </row>
    <row r="2351" spans="1:19" s="68" customFormat="1">
      <c r="A2351" s="317" t="s">
        <v>7610</v>
      </c>
      <c r="B2351" s="123" t="s">
        <v>4769</v>
      </c>
      <c r="C2351" s="329">
        <v>9011</v>
      </c>
      <c r="D2351" s="329" t="s">
        <v>2720</v>
      </c>
      <c r="E2351" s="122" t="str">
        <f t="shared" si="37"/>
        <v>9011 : DB손해보험</v>
      </c>
      <c r="K2351" s="81"/>
      <c r="L2351" s="81"/>
      <c r="M2351" s="81"/>
      <c r="N2351" s="81"/>
      <c r="O2351" s="81"/>
      <c r="P2351" s="81"/>
      <c r="Q2351" s="81"/>
      <c r="R2351" s="81"/>
      <c r="S2351" s="81"/>
    </row>
    <row r="2352" spans="1:19" s="68" customFormat="1">
      <c r="A2352" s="317" t="s">
        <v>7610</v>
      </c>
      <c r="B2352" s="123" t="s">
        <v>4769</v>
      </c>
      <c r="C2352" s="329">
        <v>9014</v>
      </c>
      <c r="D2352" s="329" t="s">
        <v>2719</v>
      </c>
      <c r="E2352" s="122" t="str">
        <f t="shared" si="37"/>
        <v>9014 : 농협생명보험</v>
      </c>
      <c r="K2352" s="81"/>
      <c r="L2352" s="81"/>
      <c r="M2352" s="81"/>
      <c r="N2352" s="81"/>
      <c r="O2352" s="81"/>
      <c r="P2352" s="81"/>
      <c r="Q2352" s="81"/>
      <c r="R2352" s="81"/>
      <c r="S2352" s="81"/>
    </row>
    <row r="2353" spans="1:19" s="68" customFormat="1">
      <c r="A2353" s="317" t="s">
        <v>7610</v>
      </c>
      <c r="B2353" s="123" t="s">
        <v>4769</v>
      </c>
      <c r="C2353" s="329">
        <v>9015</v>
      </c>
      <c r="D2353" s="330" t="s">
        <v>2718</v>
      </c>
      <c r="E2353" s="122" t="str">
        <f t="shared" si="37"/>
        <v>9015 : 메리츠화재해상보험</v>
      </c>
      <c r="K2353" s="81"/>
      <c r="L2353" s="81"/>
      <c r="M2353" s="81"/>
      <c r="N2353" s="81"/>
      <c r="O2353" s="81"/>
      <c r="P2353" s="81"/>
      <c r="Q2353" s="81"/>
      <c r="R2353" s="81"/>
      <c r="S2353" s="81"/>
    </row>
    <row r="2354" spans="1:19" s="68" customFormat="1">
      <c r="A2354" s="317" t="s">
        <v>7610</v>
      </c>
      <c r="B2354" s="123" t="s">
        <v>4769</v>
      </c>
      <c r="C2354" s="329">
        <v>9016</v>
      </c>
      <c r="D2354" s="330" t="s">
        <v>2717</v>
      </c>
      <c r="E2354" s="122" t="str">
        <f t="shared" si="37"/>
        <v>9016 : 흥국화재보험</v>
      </c>
      <c r="K2354" s="81"/>
      <c r="L2354" s="81"/>
      <c r="M2354" s="81"/>
      <c r="N2354" s="81"/>
      <c r="O2354" s="81"/>
      <c r="P2354" s="81"/>
      <c r="Q2354" s="81"/>
      <c r="R2354" s="81"/>
      <c r="S2354" s="81"/>
    </row>
    <row r="2355" spans="1:19" s="68" customFormat="1">
      <c r="A2355" s="317" t="s">
        <v>7610</v>
      </c>
      <c r="B2355" s="123" t="s">
        <v>4769</v>
      </c>
      <c r="C2355" s="329">
        <v>9305</v>
      </c>
      <c r="D2355" s="329" t="s">
        <v>2716</v>
      </c>
      <c r="E2355" s="122" t="str">
        <f t="shared" si="37"/>
        <v>9305 : DB금융투자</v>
      </c>
      <c r="K2355" s="81"/>
      <c r="L2355" s="81"/>
      <c r="M2355" s="81"/>
      <c r="N2355" s="81"/>
      <c r="O2355" s="81"/>
      <c r="P2355" s="81"/>
      <c r="Q2355" s="81"/>
      <c r="R2355" s="81"/>
      <c r="S2355" s="81"/>
    </row>
    <row r="2356" spans="1:19" s="68" customFormat="1">
      <c r="A2356" s="317" t="s">
        <v>7610</v>
      </c>
      <c r="B2356" s="123" t="s">
        <v>4769</v>
      </c>
      <c r="C2356" s="329">
        <v>9322</v>
      </c>
      <c r="D2356" s="329" t="s">
        <v>2715</v>
      </c>
      <c r="E2356" s="122" t="str">
        <f t="shared" si="37"/>
        <v>9322 : 삼성증권</v>
      </c>
      <c r="K2356" s="81"/>
      <c r="L2356" s="81"/>
      <c r="M2356" s="81"/>
      <c r="N2356" s="81"/>
      <c r="O2356" s="81"/>
      <c r="P2356" s="81"/>
      <c r="Q2356" s="81"/>
      <c r="R2356" s="81"/>
      <c r="S2356" s="81"/>
    </row>
    <row r="2357" spans="1:19" s="68" customFormat="1">
      <c r="A2357" s="317" t="s">
        <v>7610</v>
      </c>
      <c r="B2357" s="123" t="s">
        <v>4769</v>
      </c>
      <c r="C2357" s="329">
        <v>9456</v>
      </c>
      <c r="D2357" s="329" t="s">
        <v>2714</v>
      </c>
      <c r="E2357" s="122" t="str">
        <f t="shared" si="37"/>
        <v>9456 : 우리종합금융</v>
      </c>
      <c r="K2357" s="81"/>
      <c r="L2357" s="81"/>
      <c r="M2357" s="81"/>
      <c r="N2357" s="81"/>
      <c r="O2357" s="81"/>
      <c r="P2357" s="81"/>
      <c r="Q2357" s="81"/>
      <c r="R2357" s="81"/>
      <c r="S2357" s="81"/>
    </row>
    <row r="2358" spans="1:19" s="68" customFormat="1">
      <c r="A2358" s="317" t="s">
        <v>7610</v>
      </c>
      <c r="B2358" s="123" t="s">
        <v>4769</v>
      </c>
      <c r="C2358" s="329">
        <v>9601</v>
      </c>
      <c r="D2358" s="329" t="s">
        <v>2713</v>
      </c>
      <c r="E2358" s="122" t="str">
        <f t="shared" si="37"/>
        <v>9601 : CLS</v>
      </c>
      <c r="K2358" s="81"/>
      <c r="L2358" s="81"/>
      <c r="M2358" s="81"/>
      <c r="N2358" s="81"/>
      <c r="O2358" s="81"/>
      <c r="P2358" s="81"/>
      <c r="Q2358" s="81"/>
      <c r="R2358" s="81"/>
      <c r="S2358" s="81"/>
    </row>
    <row r="2359" spans="1:19" s="68" customFormat="1">
      <c r="A2359" s="317" t="s">
        <v>7610</v>
      </c>
      <c r="B2359" s="123" t="s">
        <v>4769</v>
      </c>
      <c r="C2359" s="329">
        <v>9603</v>
      </c>
      <c r="D2359" s="329" t="s">
        <v>2712</v>
      </c>
      <c r="E2359" s="122" t="str">
        <f t="shared" si="37"/>
        <v>9603 : 예금보험공사</v>
      </c>
      <c r="K2359" s="81"/>
      <c r="L2359" s="81"/>
      <c r="M2359" s="81"/>
      <c r="N2359" s="81"/>
      <c r="O2359" s="81"/>
      <c r="P2359" s="81"/>
      <c r="Q2359" s="81"/>
      <c r="R2359" s="81"/>
      <c r="S2359" s="81"/>
    </row>
    <row r="2360" spans="1:19" s="68" customFormat="1">
      <c r="A2360" s="317" t="s">
        <v>7610</v>
      </c>
      <c r="B2360" s="123" t="s">
        <v>4769</v>
      </c>
      <c r="C2360" s="329">
        <v>9616</v>
      </c>
      <c r="D2360" s="329" t="s">
        <v>2711</v>
      </c>
      <c r="E2360" s="122" t="str">
        <f t="shared" si="37"/>
        <v>9616 : 산림조합중앙회</v>
      </c>
      <c r="K2360" s="81"/>
      <c r="L2360" s="81"/>
      <c r="M2360" s="81"/>
      <c r="N2360" s="81"/>
      <c r="O2360" s="81"/>
      <c r="P2360" s="81"/>
      <c r="Q2360" s="81"/>
      <c r="R2360" s="81"/>
      <c r="S2360" s="81"/>
    </row>
    <row r="2361" spans="1:19" s="68" customFormat="1">
      <c r="A2361" s="317" t="s">
        <v>7610</v>
      </c>
      <c r="B2361" s="123" t="s">
        <v>4769</v>
      </c>
      <c r="C2361" s="329">
        <v>9617</v>
      </c>
      <c r="D2361" s="329" t="s">
        <v>2710</v>
      </c>
      <c r="E2361" s="122" t="str">
        <f t="shared" si="37"/>
        <v>9617 : 신협중앙회</v>
      </c>
      <c r="K2361" s="81"/>
      <c r="L2361" s="81"/>
      <c r="M2361" s="81"/>
      <c r="N2361" s="81"/>
      <c r="O2361" s="81"/>
      <c r="P2361" s="81"/>
      <c r="Q2361" s="81"/>
      <c r="R2361" s="81"/>
      <c r="S2361" s="81"/>
    </row>
    <row r="2362" spans="1:19" s="68" customFormat="1">
      <c r="A2362" s="317" t="s">
        <v>7610</v>
      </c>
      <c r="B2362" s="123" t="s">
        <v>4769</v>
      </c>
      <c r="C2362" s="329">
        <v>9620</v>
      </c>
      <c r="D2362" s="329" t="s">
        <v>2709</v>
      </c>
      <c r="E2362" s="122" t="str">
        <f t="shared" si="37"/>
        <v>9620 : 새마을금고중앙회</v>
      </c>
      <c r="K2362" s="81"/>
      <c r="L2362" s="81"/>
      <c r="M2362" s="81"/>
      <c r="N2362" s="81"/>
      <c r="O2362" s="81"/>
      <c r="P2362" s="81"/>
      <c r="Q2362" s="81"/>
      <c r="R2362" s="81"/>
      <c r="S2362" s="81"/>
    </row>
    <row r="2363" spans="1:19" s="68" customFormat="1">
      <c r="A2363" s="317" t="s">
        <v>7610</v>
      </c>
      <c r="B2363" s="123" t="s">
        <v>4769</v>
      </c>
      <c r="C2363" s="329">
        <v>9621</v>
      </c>
      <c r="D2363" s="329" t="s">
        <v>2708</v>
      </c>
      <c r="E2363" s="122" t="str">
        <f t="shared" si="37"/>
        <v>9621 : 상호저축은행중앙회</v>
      </c>
      <c r="K2363" s="81"/>
      <c r="L2363" s="81"/>
      <c r="M2363" s="81"/>
      <c r="N2363" s="81"/>
      <c r="O2363" s="81"/>
      <c r="P2363" s="81"/>
      <c r="Q2363" s="81"/>
      <c r="R2363" s="81"/>
      <c r="S2363" s="81"/>
    </row>
    <row r="2364" spans="1:19" s="68" customFormat="1">
      <c r="A2364" s="317" t="s">
        <v>7610</v>
      </c>
      <c r="B2364" s="123" t="s">
        <v>4769</v>
      </c>
      <c r="C2364" s="329">
        <v>9622</v>
      </c>
      <c r="D2364" s="329" t="s">
        <v>2707</v>
      </c>
      <c r="E2364" s="122" t="str">
        <f t="shared" si="37"/>
        <v>9622 : 한국거래소</v>
      </c>
      <c r="K2364" s="81"/>
      <c r="L2364" s="81"/>
      <c r="M2364" s="81"/>
      <c r="N2364" s="81"/>
      <c r="O2364" s="81"/>
      <c r="P2364" s="81"/>
      <c r="Q2364" s="81"/>
      <c r="R2364" s="81"/>
      <c r="S2364" s="81"/>
    </row>
    <row r="2365" spans="1:19" s="68" customFormat="1">
      <c r="A2365" s="317" t="s">
        <v>7610</v>
      </c>
      <c r="B2365" s="123" t="s">
        <v>4769</v>
      </c>
      <c r="C2365" s="329">
        <v>9623</v>
      </c>
      <c r="D2365" s="329" t="s">
        <v>2706</v>
      </c>
      <c r="E2365" s="122" t="str">
        <f t="shared" si="37"/>
        <v>9623 : 농협중앙회</v>
      </c>
      <c r="K2365" s="81"/>
      <c r="L2365" s="81"/>
      <c r="M2365" s="81"/>
      <c r="N2365" s="81"/>
      <c r="O2365" s="81"/>
      <c r="P2365" s="81"/>
      <c r="Q2365" s="81"/>
      <c r="R2365" s="81"/>
      <c r="S2365" s="81"/>
    </row>
    <row r="2366" spans="1:19" s="68" customFormat="1">
      <c r="A2366" s="317" t="s">
        <v>7610</v>
      </c>
      <c r="B2366" s="123" t="s">
        <v>4769</v>
      </c>
      <c r="C2366" s="329">
        <v>9624</v>
      </c>
      <c r="D2366" s="330" t="s">
        <v>2705</v>
      </c>
      <c r="E2366" s="122" t="str">
        <f t="shared" si="37"/>
        <v>9624 : 수협중앙회</v>
      </c>
      <c r="K2366" s="81"/>
      <c r="L2366" s="81"/>
      <c r="M2366" s="81"/>
      <c r="N2366" s="81"/>
      <c r="O2366" s="81"/>
      <c r="P2366" s="81"/>
      <c r="Q2366" s="81"/>
      <c r="R2366" s="81"/>
      <c r="S2366" s="81"/>
    </row>
    <row r="2367" spans="1:19" s="68" customFormat="1">
      <c r="A2367" s="317" t="s">
        <v>7610</v>
      </c>
      <c r="B2367" s="123" t="s">
        <v>4769</v>
      </c>
      <c r="C2367" s="329">
        <v>9712</v>
      </c>
      <c r="D2367" s="329" t="s">
        <v>2704</v>
      </c>
      <c r="E2367" s="122" t="str">
        <f t="shared" si="37"/>
        <v>9712 : 비엔케이투자증권</v>
      </c>
      <c r="K2367" s="81"/>
      <c r="L2367" s="81"/>
      <c r="M2367" s="81"/>
      <c r="N2367" s="81"/>
      <c r="O2367" s="81"/>
      <c r="P2367" s="81"/>
      <c r="Q2367" s="81"/>
      <c r="R2367" s="81"/>
      <c r="S2367" s="81"/>
    </row>
    <row r="2368" spans="1:19" s="68" customFormat="1">
      <c r="A2368" s="317" t="s">
        <v>7610</v>
      </c>
      <c r="B2368" s="123" t="s">
        <v>4769</v>
      </c>
      <c r="C2368" s="329">
        <v>9721</v>
      </c>
      <c r="D2368" s="329" t="s">
        <v>2703</v>
      </c>
      <c r="E2368" s="122" t="str">
        <f t="shared" si="37"/>
        <v>9721 : 서울외국환중개</v>
      </c>
      <c r="K2368" s="81"/>
      <c r="L2368" s="81"/>
      <c r="M2368" s="81"/>
      <c r="N2368" s="81"/>
      <c r="O2368" s="81"/>
      <c r="P2368" s="81"/>
      <c r="Q2368" s="81"/>
      <c r="R2368" s="81"/>
      <c r="S2368" s="81"/>
    </row>
    <row r="2369" spans="1:19" s="68" customFormat="1">
      <c r="A2369" s="317" t="s">
        <v>7610</v>
      </c>
      <c r="B2369" s="123" t="s">
        <v>4769</v>
      </c>
      <c r="C2369" s="329">
        <v>9725</v>
      </c>
      <c r="D2369" s="329" t="s">
        <v>2702</v>
      </c>
      <c r="E2369" s="122" t="str">
        <f t="shared" si="37"/>
        <v>9725 : 코리아에셋투자증권</v>
      </c>
      <c r="K2369" s="81"/>
      <c r="L2369" s="81"/>
      <c r="M2369" s="81"/>
      <c r="N2369" s="81"/>
      <c r="O2369" s="81"/>
      <c r="P2369" s="81"/>
      <c r="Q2369" s="81"/>
      <c r="R2369" s="81"/>
      <c r="S2369" s="81"/>
    </row>
    <row r="2370" spans="1:19" s="68" customFormat="1">
      <c r="A2370" s="317" t="s">
        <v>7610</v>
      </c>
      <c r="B2370" s="123" t="s">
        <v>4769</v>
      </c>
      <c r="C2370" s="329">
        <v>9726</v>
      </c>
      <c r="D2370" s="329" t="s">
        <v>2701</v>
      </c>
      <c r="E2370" s="122" t="str">
        <f t="shared" si="37"/>
        <v>9726 : 이베스트투자증권</v>
      </c>
      <c r="K2370" s="81"/>
      <c r="L2370" s="81"/>
      <c r="M2370" s="81"/>
      <c r="N2370" s="81"/>
      <c r="O2370" s="81"/>
      <c r="P2370" s="81"/>
      <c r="Q2370" s="81"/>
      <c r="R2370" s="81"/>
      <c r="S2370" s="81"/>
    </row>
    <row r="2371" spans="1:19" s="68" customFormat="1">
      <c r="A2371" s="317" t="s">
        <v>7610</v>
      </c>
      <c r="B2371" s="123" t="s">
        <v>4769</v>
      </c>
      <c r="C2371" s="329">
        <v>9727</v>
      </c>
      <c r="D2371" s="329" t="s">
        <v>2700</v>
      </c>
      <c r="E2371" s="122" t="str">
        <f t="shared" si="37"/>
        <v>9727 : 리딩투자증권</v>
      </c>
      <c r="K2371" s="81"/>
      <c r="L2371" s="81"/>
      <c r="M2371" s="81"/>
      <c r="N2371" s="81"/>
      <c r="O2371" s="81"/>
      <c r="P2371" s="81"/>
      <c r="Q2371" s="81"/>
      <c r="R2371" s="81"/>
      <c r="S2371" s="81"/>
    </row>
    <row r="2372" spans="1:19" s="68" customFormat="1">
      <c r="A2372" s="317" t="s">
        <v>7610</v>
      </c>
      <c r="B2372" s="123" t="s">
        <v>4769</v>
      </c>
      <c r="C2372" s="329">
        <v>9733</v>
      </c>
      <c r="D2372" s="329" t="s">
        <v>2699</v>
      </c>
      <c r="E2372" s="122" t="str">
        <f t="shared" si="37"/>
        <v>9733 : KIDB채권중개</v>
      </c>
      <c r="K2372" s="81"/>
      <c r="L2372" s="81"/>
      <c r="M2372" s="81"/>
      <c r="N2372" s="81"/>
      <c r="O2372" s="81"/>
      <c r="P2372" s="81"/>
      <c r="Q2372" s="81"/>
      <c r="R2372" s="81"/>
      <c r="S2372" s="81"/>
    </row>
    <row r="2373" spans="1:19" s="68" customFormat="1">
      <c r="A2373" s="317" t="s">
        <v>7610</v>
      </c>
      <c r="B2373" s="123" t="s">
        <v>4769</v>
      </c>
      <c r="C2373" s="329">
        <v>9735</v>
      </c>
      <c r="D2373" s="329" t="s">
        <v>2698</v>
      </c>
      <c r="E2373" s="122" t="str">
        <f t="shared" si="37"/>
        <v>9735 : 신한생명보험</v>
      </c>
      <c r="K2373" s="81"/>
      <c r="L2373" s="81"/>
      <c r="M2373" s="81"/>
      <c r="N2373" s="81"/>
      <c r="O2373" s="81"/>
      <c r="P2373" s="81"/>
      <c r="Q2373" s="81"/>
      <c r="R2373" s="81"/>
      <c r="S2373" s="81"/>
    </row>
    <row r="2374" spans="1:19" s="68" customFormat="1">
      <c r="A2374" s="317" t="s">
        <v>7610</v>
      </c>
      <c r="B2374" s="123" t="s">
        <v>4769</v>
      </c>
      <c r="C2374" s="329">
        <v>9736</v>
      </c>
      <c r="D2374" s="329" t="s">
        <v>2697</v>
      </c>
      <c r="E2374" s="122" t="str">
        <f t="shared" si="37"/>
        <v>9736 : 스테이트스트리트은행</v>
      </c>
      <c r="K2374" s="81"/>
      <c r="L2374" s="81"/>
      <c r="M2374" s="81"/>
      <c r="N2374" s="81"/>
      <c r="O2374" s="81"/>
      <c r="P2374" s="81"/>
      <c r="Q2374" s="81"/>
      <c r="R2374" s="81"/>
      <c r="S2374" s="81"/>
    </row>
    <row r="2375" spans="1:19" s="68" customFormat="1">
      <c r="A2375" s="317" t="s">
        <v>7610</v>
      </c>
      <c r="B2375" s="123" t="s">
        <v>4769</v>
      </c>
      <c r="C2375" s="329">
        <v>9738</v>
      </c>
      <c r="D2375" s="329" t="s">
        <v>2696</v>
      </c>
      <c r="E2375" s="122" t="str">
        <f t="shared" si="37"/>
        <v>9738 : 멜라트은행</v>
      </c>
      <c r="K2375" s="81"/>
      <c r="L2375" s="81"/>
      <c r="M2375" s="81"/>
      <c r="N2375" s="81"/>
      <c r="O2375" s="81"/>
      <c r="P2375" s="81"/>
      <c r="Q2375" s="81"/>
      <c r="R2375" s="81"/>
      <c r="S2375" s="81"/>
    </row>
    <row r="2376" spans="1:19" s="68" customFormat="1">
      <c r="A2376" s="317" t="s">
        <v>7610</v>
      </c>
      <c r="B2376" s="123" t="s">
        <v>4769</v>
      </c>
      <c r="C2376" s="329">
        <v>9743</v>
      </c>
      <c r="D2376" s="329" t="s">
        <v>2695</v>
      </c>
      <c r="E2376" s="122" t="str">
        <f t="shared" si="37"/>
        <v>9743 : 케이프투자증권</v>
      </c>
      <c r="K2376" s="81"/>
      <c r="L2376" s="81"/>
      <c r="M2376" s="81"/>
      <c r="N2376" s="81"/>
      <c r="O2376" s="81"/>
      <c r="P2376" s="81"/>
      <c r="Q2376" s="81"/>
      <c r="R2376" s="81"/>
      <c r="S2376" s="81"/>
    </row>
    <row r="2377" spans="1:19" s="68" customFormat="1">
      <c r="A2377" s="317" t="s">
        <v>7610</v>
      </c>
      <c r="B2377" s="123" t="s">
        <v>4769</v>
      </c>
      <c r="C2377" s="329">
        <v>9744</v>
      </c>
      <c r="D2377" s="329" t="s">
        <v>2694</v>
      </c>
      <c r="E2377" s="122" t="str">
        <f t="shared" si="37"/>
        <v>9744 : 아이비케이투자증권</v>
      </c>
      <c r="K2377" s="81"/>
      <c r="L2377" s="81"/>
      <c r="M2377" s="81"/>
      <c r="N2377" s="81"/>
      <c r="O2377" s="81"/>
      <c r="P2377" s="81"/>
      <c r="Q2377" s="81"/>
      <c r="R2377" s="81"/>
      <c r="S2377" s="81"/>
    </row>
    <row r="2378" spans="1:19" s="68" customFormat="1">
      <c r="A2378" s="317" t="s">
        <v>7610</v>
      </c>
      <c r="B2378" s="123" t="s">
        <v>4769</v>
      </c>
      <c r="C2378" s="329">
        <v>9745</v>
      </c>
      <c r="D2378" s="329" t="s">
        <v>2693</v>
      </c>
      <c r="E2378" s="122" t="str">
        <f t="shared" si="37"/>
        <v>9745 : 케이티비투자증권</v>
      </c>
      <c r="K2378" s="81"/>
      <c r="L2378" s="81"/>
      <c r="M2378" s="81"/>
      <c r="N2378" s="81"/>
      <c r="O2378" s="81"/>
      <c r="P2378" s="81"/>
      <c r="Q2378" s="81"/>
      <c r="R2378" s="81"/>
      <c r="S2378" s="81"/>
    </row>
    <row r="2379" spans="1:19" s="68" customFormat="1">
      <c r="A2379" s="317" t="s">
        <v>7610</v>
      </c>
      <c r="B2379" s="123" t="s">
        <v>4769</v>
      </c>
      <c r="C2379" s="329">
        <v>9746</v>
      </c>
      <c r="D2379" s="329" t="s">
        <v>2692</v>
      </c>
      <c r="E2379" s="122" t="str">
        <f t="shared" si="37"/>
        <v>9746 : 디에스투자증권</v>
      </c>
      <c r="K2379" s="81"/>
      <c r="L2379" s="81"/>
      <c r="M2379" s="81"/>
      <c r="N2379" s="81"/>
      <c r="O2379" s="81"/>
      <c r="P2379" s="81"/>
      <c r="Q2379" s="81"/>
      <c r="R2379" s="81"/>
      <c r="S2379" s="81"/>
    </row>
    <row r="2380" spans="1:19" s="68" customFormat="1">
      <c r="A2380" s="317" t="s">
        <v>7610</v>
      </c>
      <c r="B2380" s="123" t="s">
        <v>4769</v>
      </c>
      <c r="C2380" s="329">
        <v>9749</v>
      </c>
      <c r="D2380" s="329" t="s">
        <v>2691</v>
      </c>
      <c r="E2380" s="122" t="str">
        <f t="shared" si="37"/>
        <v>9749 : 카카오페이증권</v>
      </c>
      <c r="K2380" s="81"/>
      <c r="L2380" s="81"/>
      <c r="M2380" s="81"/>
      <c r="N2380" s="81"/>
      <c r="O2380" s="81"/>
      <c r="P2380" s="81"/>
      <c r="Q2380" s="81"/>
      <c r="R2380" s="81"/>
      <c r="S2380" s="81"/>
    </row>
    <row r="2381" spans="1:19" s="68" customFormat="1">
      <c r="A2381" s="317" t="s">
        <v>7610</v>
      </c>
      <c r="B2381" s="123" t="s">
        <v>4769</v>
      </c>
      <c r="C2381" s="329">
        <v>9758</v>
      </c>
      <c r="D2381" s="329" t="s">
        <v>2690</v>
      </c>
      <c r="E2381" s="122" t="str">
        <f t="shared" si="37"/>
        <v>9758 : 다이와증권캐피탈마켓코리아</v>
      </c>
      <c r="K2381" s="81"/>
      <c r="L2381" s="81"/>
      <c r="M2381" s="81"/>
      <c r="N2381" s="81"/>
      <c r="O2381" s="81"/>
      <c r="P2381" s="81"/>
      <c r="Q2381" s="81"/>
      <c r="R2381" s="81"/>
      <c r="S2381" s="81"/>
    </row>
    <row r="2382" spans="1:19" s="68" customFormat="1">
      <c r="A2382" s="317" t="s">
        <v>7610</v>
      </c>
      <c r="B2382" s="123" t="s">
        <v>4769</v>
      </c>
      <c r="C2382" s="329">
        <v>9764</v>
      </c>
      <c r="D2382" s="330" t="s">
        <v>2689</v>
      </c>
      <c r="E2382" s="122" t="str">
        <f t="shared" si="37"/>
        <v>9764 : 케이알투자증권</v>
      </c>
      <c r="K2382" s="81"/>
      <c r="L2382" s="81"/>
      <c r="M2382" s="81"/>
      <c r="N2382" s="81"/>
      <c r="O2382" s="81"/>
      <c r="P2382" s="81"/>
      <c r="Q2382" s="81"/>
      <c r="R2382" s="81"/>
      <c r="S2382" s="81"/>
    </row>
    <row r="2383" spans="1:19" s="68" customFormat="1">
      <c r="A2383" s="317" t="s">
        <v>7610</v>
      </c>
      <c r="B2383" s="123" t="s">
        <v>4769</v>
      </c>
      <c r="C2383" s="329">
        <v>9765</v>
      </c>
      <c r="D2383" s="330" t="s">
        <v>2688</v>
      </c>
      <c r="E2383" s="122" t="str">
        <f t="shared" si="37"/>
        <v>9765 : 토스증권</v>
      </c>
      <c r="K2383" s="81"/>
      <c r="L2383" s="81"/>
      <c r="M2383" s="81"/>
      <c r="N2383" s="81"/>
      <c r="O2383" s="81"/>
      <c r="P2383" s="81"/>
      <c r="Q2383" s="81"/>
      <c r="R2383" s="81"/>
      <c r="S2383" s="81"/>
    </row>
    <row r="2384" spans="1:19" s="68" customFormat="1">
      <c r="A2384" s="317" t="s">
        <v>7610</v>
      </c>
      <c r="B2384" s="123" t="s">
        <v>4769</v>
      </c>
      <c r="C2384" s="329">
        <v>9781</v>
      </c>
      <c r="D2384" s="329" t="s">
        <v>2687</v>
      </c>
      <c r="E2384" s="122" t="str">
        <f t="shared" si="37"/>
        <v>9781 : 한국포스증권</v>
      </c>
      <c r="K2384" s="81"/>
      <c r="L2384" s="81"/>
      <c r="M2384" s="81"/>
      <c r="N2384" s="81"/>
      <c r="O2384" s="81"/>
      <c r="P2384" s="81"/>
      <c r="Q2384" s="81"/>
      <c r="R2384" s="81"/>
      <c r="S2384" s="81"/>
    </row>
    <row r="2385" spans="1:19" s="68" customFormat="1">
      <c r="A2385" s="317" t="s">
        <v>7610</v>
      </c>
      <c r="B2385" s="123" t="s">
        <v>4769</v>
      </c>
      <c r="C2385" s="329">
        <v>9801</v>
      </c>
      <c r="D2385" s="329" t="s">
        <v>2686</v>
      </c>
      <c r="E2385" s="122" t="str">
        <f t="shared" si="37"/>
        <v>9801 : 흥국증권</v>
      </c>
      <c r="K2385" s="81"/>
      <c r="L2385" s="81"/>
      <c r="M2385" s="81"/>
      <c r="N2385" s="81"/>
      <c r="O2385" s="81"/>
      <c r="P2385" s="81"/>
      <c r="Q2385" s="81"/>
      <c r="R2385" s="81"/>
      <c r="S2385" s="81"/>
    </row>
    <row r="2386" spans="1:19" s="68" customFormat="1">
      <c r="A2386" s="317" t="s">
        <v>7610</v>
      </c>
      <c r="B2386" s="123" t="s">
        <v>4769</v>
      </c>
      <c r="C2386" s="329">
        <v>9809</v>
      </c>
      <c r="D2386" s="329" t="s">
        <v>2685</v>
      </c>
      <c r="E2386" s="122" t="str">
        <f t="shared" si="37"/>
        <v>9809 : 한국자금중개</v>
      </c>
      <c r="K2386" s="81"/>
      <c r="L2386" s="81"/>
      <c r="M2386" s="81"/>
      <c r="N2386" s="81"/>
      <c r="O2386" s="81"/>
      <c r="P2386" s="81"/>
      <c r="Q2386" s="81"/>
      <c r="R2386" s="81"/>
      <c r="S2386" s="81"/>
    </row>
    <row r="2387" spans="1:19" s="68" customFormat="1">
      <c r="A2387" s="317" t="s">
        <v>7610</v>
      </c>
      <c r="B2387" s="123" t="s">
        <v>4769</v>
      </c>
      <c r="C2387" s="329">
        <v>9810</v>
      </c>
      <c r="D2387" s="329" t="s">
        <v>2684</v>
      </c>
      <c r="E2387" s="122" t="str">
        <f t="shared" si="37"/>
        <v>9810 : KIDB자금중개</v>
      </c>
      <c r="K2387" s="81"/>
      <c r="L2387" s="81"/>
      <c r="M2387" s="81"/>
      <c r="N2387" s="81"/>
      <c r="O2387" s="81"/>
      <c r="P2387" s="81"/>
      <c r="Q2387" s="81"/>
      <c r="R2387" s="81"/>
      <c r="S2387" s="81"/>
    </row>
    <row r="2388" spans="1:19" s="68" customFormat="1">
      <c r="A2388" s="317" t="s">
        <v>7610</v>
      </c>
      <c r="B2388" s="123" t="s">
        <v>4769</v>
      </c>
      <c r="C2388" s="329">
        <v>9811</v>
      </c>
      <c r="D2388" s="329" t="s">
        <v>2683</v>
      </c>
      <c r="E2388" s="122" t="str">
        <f t="shared" si="37"/>
        <v>9811 : 비지시캐피탈마켓외국환중개</v>
      </c>
      <c r="K2388" s="81"/>
      <c r="L2388" s="81"/>
      <c r="M2388" s="81"/>
      <c r="N2388" s="81"/>
      <c r="O2388" s="81"/>
      <c r="P2388" s="81"/>
      <c r="Q2388" s="81"/>
      <c r="R2388" s="81"/>
      <c r="S2388" s="81"/>
    </row>
    <row r="2389" spans="1:19" s="68" customFormat="1">
      <c r="A2389" s="317" t="s">
        <v>7610</v>
      </c>
      <c r="B2389" s="123" t="s">
        <v>4769</v>
      </c>
      <c r="C2389" s="329">
        <v>9812</v>
      </c>
      <c r="D2389" s="329" t="s">
        <v>2682</v>
      </c>
      <c r="E2389" s="122" t="str">
        <f t="shared" si="37"/>
        <v>9812 : GFI코리아외국환중개</v>
      </c>
      <c r="K2389" s="81"/>
      <c r="L2389" s="81"/>
      <c r="M2389" s="81"/>
      <c r="N2389" s="81"/>
      <c r="O2389" s="81"/>
      <c r="P2389" s="81"/>
      <c r="Q2389" s="81"/>
      <c r="R2389" s="81"/>
      <c r="S2389" s="81"/>
    </row>
    <row r="2390" spans="1:19" s="68" customFormat="1">
      <c r="A2390" s="317" t="s">
        <v>7610</v>
      </c>
      <c r="B2390" s="123" t="s">
        <v>4769</v>
      </c>
      <c r="C2390" s="329">
        <v>9824</v>
      </c>
      <c r="D2390" s="329" t="s">
        <v>2681</v>
      </c>
      <c r="E2390" s="122" t="str">
        <f t="shared" si="37"/>
        <v>9824 : 트래디션코리아외국환중개</v>
      </c>
      <c r="K2390" s="81"/>
      <c r="L2390" s="81"/>
      <c r="M2390" s="81"/>
      <c r="N2390" s="81"/>
      <c r="O2390" s="81"/>
      <c r="P2390" s="81"/>
      <c r="Q2390" s="81"/>
      <c r="R2390" s="81"/>
      <c r="S2390" s="81"/>
    </row>
    <row r="2391" spans="1:19" s="68" customFormat="1">
      <c r="A2391" s="317" t="s">
        <v>7610</v>
      </c>
      <c r="B2391" s="123" t="s">
        <v>4769</v>
      </c>
      <c r="C2391" s="329">
        <v>9828</v>
      </c>
      <c r="D2391" s="329" t="s">
        <v>2680</v>
      </c>
      <c r="E2391" s="122" t="str">
        <f t="shared" ref="E2391:E2454" si="38">_xlfn.TEXTJOIN(" : ",FALSE,C2391:D2391)</f>
        <v>9828 : 기업유동성지원기구</v>
      </c>
      <c r="K2391" s="81"/>
      <c r="L2391" s="81"/>
      <c r="M2391" s="81"/>
      <c r="N2391" s="81"/>
      <c r="O2391" s="81"/>
      <c r="P2391" s="81"/>
      <c r="Q2391" s="81"/>
      <c r="R2391" s="81"/>
      <c r="S2391" s="81"/>
    </row>
    <row r="2392" spans="1:19" s="68" customFormat="1">
      <c r="A2392" s="317" t="s">
        <v>7610</v>
      </c>
      <c r="B2392" s="123" t="s">
        <v>4769</v>
      </c>
      <c r="C2392" s="329">
        <v>9911</v>
      </c>
      <c r="D2392" s="329" t="s">
        <v>2679</v>
      </c>
      <c r="E2392" s="122" t="str">
        <f t="shared" si="38"/>
        <v>9911 : 삼성자산운용</v>
      </c>
      <c r="K2392" s="81"/>
      <c r="L2392" s="81"/>
      <c r="M2392" s="81"/>
      <c r="N2392" s="81"/>
      <c r="O2392" s="81"/>
      <c r="P2392" s="81"/>
      <c r="Q2392" s="81"/>
      <c r="R2392" s="81"/>
      <c r="S2392" s="81"/>
    </row>
    <row r="2393" spans="1:19" s="68" customFormat="1">
      <c r="A2393" s="317" t="s">
        <v>7610</v>
      </c>
      <c r="B2393" s="123" t="s">
        <v>4769</v>
      </c>
      <c r="C2393" s="329">
        <v>9938</v>
      </c>
      <c r="D2393" s="329" t="s">
        <v>2678</v>
      </c>
      <c r="E2393" s="122" t="str">
        <f t="shared" si="38"/>
        <v>9938 : 한국투신운용</v>
      </c>
      <c r="K2393" s="81"/>
      <c r="L2393" s="81"/>
      <c r="M2393" s="81"/>
      <c r="N2393" s="81"/>
      <c r="O2393" s="81"/>
      <c r="P2393" s="81"/>
      <c r="Q2393" s="81"/>
      <c r="R2393" s="81"/>
      <c r="S2393" s="81"/>
    </row>
    <row r="2394" spans="1:19" s="68" customFormat="1">
      <c r="A2394" s="317" t="s">
        <v>7610</v>
      </c>
      <c r="B2394" s="123" t="s">
        <v>4769</v>
      </c>
      <c r="C2394" s="340">
        <v>9956</v>
      </c>
      <c r="D2394" s="340" t="s">
        <v>2677</v>
      </c>
      <c r="E2394" s="122" t="str">
        <f t="shared" si="38"/>
        <v>9956 : 케이비자산운용(주)</v>
      </c>
      <c r="K2394" s="81"/>
      <c r="L2394" s="81"/>
      <c r="M2394" s="81"/>
      <c r="N2394" s="81"/>
      <c r="O2394" s="81"/>
      <c r="P2394" s="81"/>
      <c r="Q2394" s="81"/>
      <c r="R2394" s="81"/>
      <c r="S2394" s="81"/>
    </row>
    <row r="2395" spans="1:19" s="68" customFormat="1">
      <c r="A2395" s="315" t="s">
        <v>4615</v>
      </c>
      <c r="B2395" s="320" t="s">
        <v>4770</v>
      </c>
      <c r="C2395" s="330">
        <v>1010</v>
      </c>
      <c r="D2395" s="330" t="s">
        <v>2857</v>
      </c>
      <c r="E2395" s="339" t="str">
        <f t="shared" si="38"/>
        <v>1010 : 대리교환 교환승</v>
      </c>
      <c r="J2395" s="81"/>
      <c r="K2395" s="81"/>
      <c r="L2395" s="81"/>
      <c r="M2395" s="81"/>
      <c r="N2395" s="81"/>
      <c r="O2395" s="81"/>
      <c r="P2395" s="81"/>
      <c r="Q2395" s="81"/>
      <c r="R2395" s="81"/>
    </row>
    <row r="2396" spans="1:19" s="68" customFormat="1">
      <c r="A2396" s="315" t="s">
        <v>4615</v>
      </c>
      <c r="B2396" s="320" t="s">
        <v>4770</v>
      </c>
      <c r="C2396" s="330">
        <v>1020</v>
      </c>
      <c r="D2396" s="330" t="s">
        <v>2856</v>
      </c>
      <c r="E2396" s="339" t="str">
        <f t="shared" si="38"/>
        <v>1020 : 대리교환 교환부</v>
      </c>
      <c r="J2396" s="81"/>
      <c r="K2396" s="81"/>
      <c r="L2396" s="81"/>
      <c r="M2396" s="81"/>
      <c r="N2396" s="81"/>
      <c r="O2396" s="81"/>
      <c r="P2396" s="81"/>
      <c r="Q2396" s="81"/>
      <c r="R2396" s="81"/>
    </row>
    <row r="2397" spans="1:19" s="68" customFormat="1">
      <c r="A2397" s="315" t="s">
        <v>4615</v>
      </c>
      <c r="B2397" s="320" t="s">
        <v>4770</v>
      </c>
      <c r="C2397" s="330">
        <v>2110</v>
      </c>
      <c r="D2397" s="330" t="s">
        <v>2855</v>
      </c>
      <c r="E2397" s="339" t="str">
        <f t="shared" si="38"/>
        <v>2110 : 자기자금 콜론</v>
      </c>
      <c r="J2397" s="81"/>
      <c r="K2397" s="81"/>
      <c r="L2397" s="81"/>
      <c r="M2397" s="81"/>
      <c r="N2397" s="81"/>
      <c r="O2397" s="81"/>
      <c r="P2397" s="81"/>
      <c r="Q2397" s="81"/>
      <c r="R2397" s="81"/>
    </row>
    <row r="2398" spans="1:19" s="68" customFormat="1">
      <c r="A2398" s="315" t="s">
        <v>4615</v>
      </c>
      <c r="B2398" s="320" t="s">
        <v>4770</v>
      </c>
      <c r="C2398" s="330">
        <v>2120</v>
      </c>
      <c r="D2398" s="330" t="s">
        <v>2854</v>
      </c>
      <c r="E2398" s="339" t="str">
        <f t="shared" si="38"/>
        <v>2120 : 은행신탁부문의 콜론</v>
      </c>
      <c r="J2398" s="81"/>
      <c r="K2398" s="81"/>
      <c r="L2398" s="81"/>
      <c r="M2398" s="81"/>
      <c r="N2398" s="81"/>
      <c r="O2398" s="81"/>
      <c r="P2398" s="81"/>
      <c r="Q2398" s="81"/>
      <c r="R2398" s="81"/>
    </row>
    <row r="2399" spans="1:19" s="68" customFormat="1">
      <c r="A2399" s="315" t="s">
        <v>4615</v>
      </c>
      <c r="B2399" s="320" t="s">
        <v>4770</v>
      </c>
      <c r="C2399" s="330">
        <v>2130</v>
      </c>
      <c r="D2399" s="330" t="s">
        <v>2853</v>
      </c>
      <c r="E2399" s="339" t="str">
        <f t="shared" si="38"/>
        <v>2130 : 자산운용회사의 자금운용지시에 의한 콜론</v>
      </c>
      <c r="J2399" s="81"/>
      <c r="K2399" s="81"/>
      <c r="L2399" s="81"/>
      <c r="M2399" s="81"/>
      <c r="N2399" s="81"/>
      <c r="O2399" s="81"/>
      <c r="P2399" s="81"/>
      <c r="Q2399" s="81"/>
      <c r="R2399" s="81"/>
    </row>
    <row r="2400" spans="1:19" s="68" customFormat="1">
      <c r="A2400" s="315" t="s">
        <v>4615</v>
      </c>
      <c r="B2400" s="320" t="s">
        <v>4770</v>
      </c>
      <c r="C2400" s="330">
        <v>2140</v>
      </c>
      <c r="D2400" s="330" t="s">
        <v>2852</v>
      </c>
      <c r="E2400" s="339" t="str">
        <f t="shared" si="38"/>
        <v>2140 : 기타기관 의뢰 콜론</v>
      </c>
      <c r="J2400" s="81"/>
      <c r="K2400" s="81"/>
      <c r="L2400" s="81"/>
      <c r="M2400" s="81"/>
      <c r="N2400" s="81"/>
      <c r="O2400" s="81"/>
      <c r="P2400" s="81"/>
      <c r="Q2400" s="81"/>
      <c r="R2400" s="81"/>
    </row>
    <row r="2401" spans="1:18" s="68" customFormat="1">
      <c r="A2401" s="315" t="s">
        <v>4615</v>
      </c>
      <c r="B2401" s="320" t="s">
        <v>4770</v>
      </c>
      <c r="C2401" s="330">
        <v>2210</v>
      </c>
      <c r="D2401" s="330" t="s">
        <v>2851</v>
      </c>
      <c r="E2401" s="339" t="str">
        <f t="shared" si="38"/>
        <v>2210 : 타사(은행신탁부문등 제외)앞 콜머니상환</v>
      </c>
      <c r="J2401" s="81"/>
      <c r="K2401" s="81"/>
      <c r="L2401" s="81"/>
      <c r="M2401" s="81"/>
      <c r="N2401" s="81"/>
      <c r="O2401" s="81"/>
      <c r="P2401" s="81"/>
      <c r="Q2401" s="81"/>
      <c r="R2401" s="81"/>
    </row>
    <row r="2402" spans="1:18" s="68" customFormat="1">
      <c r="A2402" s="315" t="s">
        <v>4615</v>
      </c>
      <c r="B2402" s="320" t="s">
        <v>4770</v>
      </c>
      <c r="C2402" s="330">
        <v>2220</v>
      </c>
      <c r="D2402" s="330" t="s">
        <v>2850</v>
      </c>
      <c r="E2402" s="339" t="str">
        <f t="shared" si="38"/>
        <v>2220 : 은행신탁부문앞 콜머니상환</v>
      </c>
      <c r="J2402" s="81"/>
      <c r="K2402" s="81"/>
      <c r="L2402" s="81"/>
      <c r="M2402" s="81"/>
      <c r="N2402" s="81"/>
      <c r="O2402" s="81"/>
      <c r="P2402" s="81"/>
      <c r="Q2402" s="81"/>
      <c r="R2402" s="81"/>
    </row>
    <row r="2403" spans="1:18" s="68" customFormat="1">
      <c r="A2403" s="315" t="s">
        <v>4615</v>
      </c>
      <c r="B2403" s="320" t="s">
        <v>4770</v>
      </c>
      <c r="C2403" s="330">
        <v>2230</v>
      </c>
      <c r="D2403" s="330" t="s">
        <v>2849</v>
      </c>
      <c r="E2403" s="339" t="str">
        <f t="shared" si="38"/>
        <v>2230 : 자산운용회사앞 콜머니상환</v>
      </c>
      <c r="J2403" s="81"/>
      <c r="K2403" s="81"/>
      <c r="L2403" s="81"/>
      <c r="M2403" s="81"/>
      <c r="N2403" s="81"/>
      <c r="O2403" s="81"/>
      <c r="P2403" s="81"/>
      <c r="Q2403" s="81"/>
      <c r="R2403" s="81"/>
    </row>
    <row r="2404" spans="1:18" s="68" customFormat="1">
      <c r="A2404" s="315" t="s">
        <v>4615</v>
      </c>
      <c r="B2404" s="320" t="s">
        <v>4770</v>
      </c>
      <c r="C2404" s="330">
        <v>2240</v>
      </c>
      <c r="D2404" s="330" t="s">
        <v>2848</v>
      </c>
      <c r="E2404" s="339" t="str">
        <f t="shared" si="38"/>
        <v>2240 : 기타기관앞 콜머니상환</v>
      </c>
      <c r="J2404" s="81"/>
      <c r="K2404" s="81"/>
      <c r="L2404" s="81"/>
      <c r="M2404" s="81"/>
      <c r="N2404" s="81"/>
      <c r="O2404" s="81"/>
      <c r="P2404" s="81"/>
      <c r="Q2404" s="81"/>
      <c r="R2404" s="81"/>
    </row>
    <row r="2405" spans="1:18" s="68" customFormat="1">
      <c r="A2405" s="315" t="s">
        <v>4615</v>
      </c>
      <c r="B2405" s="320" t="s">
        <v>4770</v>
      </c>
      <c r="C2405" s="330">
        <v>3110</v>
      </c>
      <c r="D2405" s="330" t="s">
        <v>2847</v>
      </c>
      <c r="E2405" s="339" t="str">
        <f t="shared" si="38"/>
        <v>3110 : 자사의 장외국채매수대금</v>
      </c>
      <c r="J2405" s="81"/>
      <c r="K2405" s="81"/>
      <c r="L2405" s="81"/>
      <c r="M2405" s="81"/>
      <c r="N2405" s="81"/>
      <c r="O2405" s="81"/>
      <c r="P2405" s="81"/>
      <c r="Q2405" s="81"/>
      <c r="R2405" s="81"/>
    </row>
    <row r="2406" spans="1:18" s="68" customFormat="1">
      <c r="A2406" s="315" t="s">
        <v>4615</v>
      </c>
      <c r="B2406" s="320" t="s">
        <v>4770</v>
      </c>
      <c r="C2406" s="330">
        <v>3120</v>
      </c>
      <c r="D2406" s="330" t="s">
        <v>2846</v>
      </c>
      <c r="E2406" s="339" t="str">
        <f t="shared" si="38"/>
        <v>3120 : 자산운용회사의 장외국채매수대금</v>
      </c>
      <c r="J2406" s="81"/>
      <c r="K2406" s="81"/>
      <c r="L2406" s="81"/>
      <c r="M2406" s="81"/>
      <c r="N2406" s="81"/>
      <c r="O2406" s="81"/>
      <c r="P2406" s="81"/>
      <c r="Q2406" s="81"/>
      <c r="R2406" s="81"/>
    </row>
    <row r="2407" spans="1:18" s="68" customFormat="1">
      <c r="A2407" s="315" t="s">
        <v>4615</v>
      </c>
      <c r="B2407" s="320" t="s">
        <v>4770</v>
      </c>
      <c r="C2407" s="330">
        <v>3130</v>
      </c>
      <c r="D2407" s="330" t="s">
        <v>2845</v>
      </c>
      <c r="E2407" s="339" t="str">
        <f t="shared" si="38"/>
        <v>3130 : 기타기관의 장외국채매수대금</v>
      </c>
      <c r="J2407" s="81"/>
      <c r="K2407" s="81"/>
      <c r="L2407" s="81"/>
      <c r="M2407" s="81"/>
      <c r="N2407" s="81"/>
      <c r="O2407" s="81"/>
      <c r="P2407" s="81"/>
      <c r="Q2407" s="81"/>
      <c r="R2407" s="81"/>
    </row>
    <row r="2408" spans="1:18" s="68" customFormat="1">
      <c r="A2408" s="315" t="s">
        <v>4615</v>
      </c>
      <c r="B2408" s="320" t="s">
        <v>4770</v>
      </c>
      <c r="C2408" s="330">
        <v>3140</v>
      </c>
      <c r="D2408" s="330" t="s">
        <v>2844</v>
      </c>
      <c r="E2408" s="339" t="str">
        <f t="shared" si="38"/>
        <v>3140 : 자사의 장내국채매수대금</v>
      </c>
      <c r="J2408" s="81"/>
      <c r="K2408" s="81"/>
      <c r="L2408" s="81"/>
      <c r="M2408" s="81"/>
      <c r="N2408" s="81"/>
      <c r="O2408" s="81"/>
      <c r="P2408" s="81"/>
      <c r="Q2408" s="81"/>
      <c r="R2408" s="81"/>
    </row>
    <row r="2409" spans="1:18" s="68" customFormat="1">
      <c r="A2409" s="315" t="s">
        <v>4615</v>
      </c>
      <c r="B2409" s="320" t="s">
        <v>4770</v>
      </c>
      <c r="C2409" s="330">
        <v>3150</v>
      </c>
      <c r="D2409" s="330" t="s">
        <v>2843</v>
      </c>
      <c r="E2409" s="339" t="str">
        <f t="shared" si="38"/>
        <v>3150 : 자산운용회사의 장내국채매수대금</v>
      </c>
      <c r="J2409" s="81"/>
      <c r="K2409" s="81"/>
      <c r="L2409" s="81"/>
      <c r="M2409" s="81"/>
      <c r="N2409" s="81"/>
      <c r="O2409" s="81"/>
      <c r="P2409" s="81"/>
      <c r="Q2409" s="81"/>
      <c r="R2409" s="81"/>
    </row>
    <row r="2410" spans="1:18" s="68" customFormat="1">
      <c r="A2410" s="315" t="s">
        <v>4615</v>
      </c>
      <c r="B2410" s="320" t="s">
        <v>4770</v>
      </c>
      <c r="C2410" s="330">
        <v>3160</v>
      </c>
      <c r="D2410" s="330" t="s">
        <v>2842</v>
      </c>
      <c r="E2410" s="339" t="str">
        <f t="shared" si="38"/>
        <v>3160 : 기타기관의 장내국채매수대금</v>
      </c>
      <c r="J2410" s="81"/>
      <c r="K2410" s="81"/>
      <c r="L2410" s="81"/>
      <c r="M2410" s="81"/>
      <c r="N2410" s="81"/>
      <c r="O2410" s="81"/>
      <c r="P2410" s="81"/>
      <c r="Q2410" s="81"/>
      <c r="R2410" s="81"/>
    </row>
    <row r="2411" spans="1:18" s="68" customFormat="1">
      <c r="A2411" s="315" t="s">
        <v>4615</v>
      </c>
      <c r="B2411" s="320" t="s">
        <v>4770</v>
      </c>
      <c r="C2411" s="330">
        <v>3210</v>
      </c>
      <c r="D2411" s="330" t="s">
        <v>2841</v>
      </c>
      <c r="E2411" s="339" t="str">
        <f t="shared" si="38"/>
        <v>3210 : 자사의 기타채권매수대금</v>
      </c>
      <c r="J2411" s="81"/>
      <c r="K2411" s="81"/>
      <c r="L2411" s="81"/>
      <c r="M2411" s="81"/>
      <c r="N2411" s="81"/>
      <c r="O2411" s="81"/>
      <c r="P2411" s="81"/>
      <c r="Q2411" s="81"/>
      <c r="R2411" s="81"/>
    </row>
    <row r="2412" spans="1:18" s="68" customFormat="1">
      <c r="A2412" s="315" t="s">
        <v>4615</v>
      </c>
      <c r="B2412" s="320" t="s">
        <v>4770</v>
      </c>
      <c r="C2412" s="330">
        <v>3220</v>
      </c>
      <c r="D2412" s="330" t="s">
        <v>2840</v>
      </c>
      <c r="E2412" s="339" t="str">
        <f t="shared" si="38"/>
        <v>3220 : 자산운용회사의 기타채권매수대금</v>
      </c>
      <c r="J2412" s="81"/>
      <c r="K2412" s="81"/>
      <c r="L2412" s="81"/>
      <c r="M2412" s="81"/>
      <c r="N2412" s="81"/>
      <c r="O2412" s="81"/>
      <c r="P2412" s="81"/>
      <c r="Q2412" s="81"/>
      <c r="R2412" s="81"/>
    </row>
    <row r="2413" spans="1:18" s="68" customFormat="1">
      <c r="A2413" s="315" t="s">
        <v>4615</v>
      </c>
      <c r="B2413" s="320" t="s">
        <v>4770</v>
      </c>
      <c r="C2413" s="330">
        <v>3230</v>
      </c>
      <c r="D2413" s="330" t="s">
        <v>2839</v>
      </c>
      <c r="E2413" s="339" t="str">
        <f t="shared" si="38"/>
        <v>3230 : 기타기관의 기타채권매수대금</v>
      </c>
      <c r="J2413" s="81"/>
      <c r="K2413" s="81"/>
      <c r="L2413" s="81"/>
      <c r="M2413" s="81"/>
      <c r="N2413" s="81"/>
      <c r="O2413" s="81"/>
      <c r="P2413" s="81"/>
      <c r="Q2413" s="81"/>
      <c r="R2413" s="81"/>
    </row>
    <row r="2414" spans="1:18" s="68" customFormat="1">
      <c r="A2414" s="315" t="s">
        <v>4615</v>
      </c>
      <c r="B2414" s="320" t="s">
        <v>4770</v>
      </c>
      <c r="C2414" s="330">
        <v>3310</v>
      </c>
      <c r="D2414" s="330" t="s">
        <v>2838</v>
      </c>
      <c r="E2414" s="339" t="str">
        <f t="shared" si="38"/>
        <v>3310 : 자사의 주식매수대금</v>
      </c>
      <c r="J2414" s="81"/>
      <c r="K2414" s="81"/>
      <c r="L2414" s="81"/>
      <c r="M2414" s="81"/>
      <c r="N2414" s="81"/>
      <c r="O2414" s="81"/>
      <c r="P2414" s="81"/>
      <c r="Q2414" s="81"/>
      <c r="R2414" s="81"/>
    </row>
    <row r="2415" spans="1:18" s="68" customFormat="1">
      <c r="A2415" s="315" t="s">
        <v>4615</v>
      </c>
      <c r="B2415" s="320" t="s">
        <v>4770</v>
      </c>
      <c r="C2415" s="330">
        <v>3320</v>
      </c>
      <c r="D2415" s="330" t="s">
        <v>2837</v>
      </c>
      <c r="E2415" s="339" t="str">
        <f t="shared" si="38"/>
        <v>3320 : 자산운용회사의 주식매수대금</v>
      </c>
      <c r="J2415" s="81"/>
      <c r="K2415" s="81"/>
      <c r="L2415" s="81"/>
      <c r="M2415" s="81"/>
      <c r="N2415" s="81"/>
      <c r="O2415" s="81"/>
      <c r="P2415" s="81"/>
      <c r="Q2415" s="81"/>
      <c r="R2415" s="81"/>
    </row>
    <row r="2416" spans="1:18" s="68" customFormat="1">
      <c r="A2416" s="315" t="s">
        <v>4615</v>
      </c>
      <c r="B2416" s="320" t="s">
        <v>4770</v>
      </c>
      <c r="C2416" s="330">
        <v>3330</v>
      </c>
      <c r="D2416" s="330" t="s">
        <v>2836</v>
      </c>
      <c r="E2416" s="339" t="str">
        <f t="shared" si="38"/>
        <v>3330 : 기타기관의 주식매수대금</v>
      </c>
      <c r="J2416" s="81"/>
      <c r="K2416" s="81"/>
      <c r="L2416" s="81"/>
      <c r="M2416" s="81"/>
      <c r="N2416" s="81"/>
      <c r="O2416" s="81"/>
      <c r="P2416" s="81"/>
      <c r="Q2416" s="81"/>
      <c r="R2416" s="81"/>
    </row>
    <row r="2417" spans="1:18" s="68" customFormat="1">
      <c r="A2417" s="315" t="s">
        <v>4615</v>
      </c>
      <c r="B2417" s="320" t="s">
        <v>4770</v>
      </c>
      <c r="C2417" s="330">
        <v>3410</v>
      </c>
      <c r="D2417" s="330" t="s">
        <v>2835</v>
      </c>
      <c r="E2417" s="339" t="str">
        <f t="shared" si="38"/>
        <v>3410 : 자사의 집합투자증권 설정환매상환관련 자금</v>
      </c>
      <c r="J2417" s="81"/>
      <c r="K2417" s="81"/>
      <c r="L2417" s="81"/>
      <c r="M2417" s="81"/>
      <c r="N2417" s="81"/>
      <c r="O2417" s="81"/>
      <c r="P2417" s="81"/>
      <c r="Q2417" s="81"/>
      <c r="R2417" s="81"/>
    </row>
    <row r="2418" spans="1:18" s="68" customFormat="1">
      <c r="A2418" s="315" t="s">
        <v>4615</v>
      </c>
      <c r="B2418" s="320" t="s">
        <v>4770</v>
      </c>
      <c r="C2418" s="330">
        <v>3420</v>
      </c>
      <c r="D2418" s="330" t="s">
        <v>2834</v>
      </c>
      <c r="E2418" s="339" t="str">
        <f t="shared" si="38"/>
        <v>3420 : 자산운용회사의 집합투자증권 설정환매상환자금</v>
      </c>
      <c r="J2418" s="81"/>
      <c r="K2418" s="81"/>
      <c r="L2418" s="81"/>
      <c r="M2418" s="81"/>
      <c r="N2418" s="81"/>
      <c r="O2418" s="81"/>
      <c r="P2418" s="81"/>
      <c r="Q2418" s="81"/>
      <c r="R2418" s="81"/>
    </row>
    <row r="2419" spans="1:18" s="68" customFormat="1">
      <c r="A2419" s="315" t="s">
        <v>4615</v>
      </c>
      <c r="B2419" s="320" t="s">
        <v>4770</v>
      </c>
      <c r="C2419" s="330">
        <v>3430</v>
      </c>
      <c r="D2419" s="330" t="s">
        <v>2833</v>
      </c>
      <c r="E2419" s="339" t="str">
        <f t="shared" si="38"/>
        <v>3430 : 기타기관 수익증권 관련자금</v>
      </c>
      <c r="J2419" s="81"/>
      <c r="K2419" s="81"/>
      <c r="L2419" s="81"/>
      <c r="M2419" s="81"/>
      <c r="N2419" s="81"/>
      <c r="O2419" s="81"/>
      <c r="P2419" s="81"/>
      <c r="Q2419" s="81"/>
      <c r="R2419" s="81"/>
    </row>
    <row r="2420" spans="1:18" s="68" customFormat="1">
      <c r="A2420" s="315" t="s">
        <v>4615</v>
      </c>
      <c r="B2420" s="320" t="s">
        <v>4770</v>
      </c>
      <c r="C2420" s="330">
        <v>3510</v>
      </c>
      <c r="D2420" s="330" t="s">
        <v>2832</v>
      </c>
      <c r="E2420" s="339" t="str">
        <f t="shared" si="38"/>
        <v>3510 : 장외REPO매매대금 자금이체</v>
      </c>
      <c r="J2420" s="81"/>
      <c r="K2420" s="81"/>
      <c r="L2420" s="81"/>
      <c r="M2420" s="81"/>
      <c r="N2420" s="81"/>
      <c r="O2420" s="81"/>
      <c r="P2420" s="81"/>
      <c r="Q2420" s="81"/>
      <c r="R2420" s="81"/>
    </row>
    <row r="2421" spans="1:18" s="68" customFormat="1">
      <c r="A2421" s="315" t="s">
        <v>4615</v>
      </c>
      <c r="B2421" s="320" t="s">
        <v>4770</v>
      </c>
      <c r="C2421" s="330">
        <v>3520</v>
      </c>
      <c r="D2421" s="330" t="s">
        <v>2831</v>
      </c>
      <c r="E2421" s="339" t="str">
        <f t="shared" si="38"/>
        <v>3520 : 장내REPO매매대금 자금이체</v>
      </c>
      <c r="J2421" s="81"/>
      <c r="K2421" s="81"/>
      <c r="L2421" s="81"/>
      <c r="M2421" s="81"/>
      <c r="N2421" s="81"/>
      <c r="O2421" s="81"/>
      <c r="P2421" s="81"/>
      <c r="Q2421" s="81"/>
      <c r="R2421" s="81"/>
    </row>
    <row r="2422" spans="1:18" s="68" customFormat="1">
      <c r="A2422" s="315" t="s">
        <v>4615</v>
      </c>
      <c r="B2422" s="320" t="s">
        <v>4770</v>
      </c>
      <c r="C2422" s="330">
        <v>3610</v>
      </c>
      <c r="D2422" s="330" t="s">
        <v>2830</v>
      </c>
      <c r="E2422" s="339" t="str">
        <f t="shared" si="38"/>
        <v>3610 : 국채및통안채 원리금지급을 위한 자금이체</v>
      </c>
      <c r="J2422" s="81"/>
      <c r="K2422" s="81"/>
      <c r="L2422" s="81"/>
      <c r="M2422" s="81"/>
      <c r="N2422" s="81"/>
      <c r="O2422" s="81"/>
      <c r="P2422" s="81"/>
      <c r="Q2422" s="81"/>
      <c r="R2422" s="81"/>
    </row>
    <row r="2423" spans="1:18" s="68" customFormat="1">
      <c r="A2423" s="315" t="s">
        <v>4615</v>
      </c>
      <c r="B2423" s="320" t="s">
        <v>4770</v>
      </c>
      <c r="C2423" s="330">
        <v>3620</v>
      </c>
      <c r="D2423" s="330" t="s">
        <v>2829</v>
      </c>
      <c r="E2423" s="339" t="str">
        <f t="shared" si="38"/>
        <v>3620 : 기타채권 원리금지급을 위한 자금이체</v>
      </c>
      <c r="J2423" s="81"/>
      <c r="K2423" s="81"/>
      <c r="L2423" s="81"/>
      <c r="M2423" s="81"/>
      <c r="N2423" s="81"/>
      <c r="O2423" s="81"/>
      <c r="P2423" s="81"/>
      <c r="Q2423" s="81"/>
      <c r="R2423" s="81"/>
    </row>
    <row r="2424" spans="1:18" s="68" customFormat="1">
      <c r="A2424" s="315" t="s">
        <v>4615</v>
      </c>
      <c r="B2424" s="320" t="s">
        <v>4770</v>
      </c>
      <c r="C2424" s="330">
        <v>3710</v>
      </c>
      <c r="D2424" s="330" t="s">
        <v>2828</v>
      </c>
      <c r="E2424" s="339" t="str">
        <f t="shared" si="38"/>
        <v>3710 : 연쇄결제대금 자금이체</v>
      </c>
      <c r="J2424" s="81"/>
      <c r="K2424" s="81"/>
      <c r="L2424" s="81"/>
      <c r="M2424" s="81"/>
      <c r="N2424" s="81"/>
      <c r="O2424" s="81"/>
      <c r="P2424" s="81"/>
      <c r="Q2424" s="81"/>
      <c r="R2424" s="81"/>
    </row>
    <row r="2425" spans="1:18" s="68" customFormat="1">
      <c r="A2425" s="315" t="s">
        <v>4615</v>
      </c>
      <c r="B2425" s="320" t="s">
        <v>4770</v>
      </c>
      <c r="C2425" s="330">
        <v>4110</v>
      </c>
      <c r="D2425" s="330" t="s">
        <v>2827</v>
      </c>
      <c r="E2425" s="339" t="str">
        <f t="shared" si="38"/>
        <v>4110 : 외환거래대금</v>
      </c>
      <c r="J2425" s="81"/>
      <c r="K2425" s="81"/>
      <c r="L2425" s="81"/>
      <c r="M2425" s="81"/>
      <c r="N2425" s="81"/>
      <c r="O2425" s="81"/>
      <c r="P2425" s="81"/>
      <c r="Q2425" s="81"/>
      <c r="R2425" s="81"/>
    </row>
    <row r="2426" spans="1:18" s="68" customFormat="1">
      <c r="A2426" s="315" t="s">
        <v>4615</v>
      </c>
      <c r="B2426" s="320" t="s">
        <v>4770</v>
      </c>
      <c r="C2426" s="330">
        <v>4120</v>
      </c>
      <c r="D2426" s="330" t="s">
        <v>2826</v>
      </c>
      <c r="E2426" s="339" t="str">
        <f t="shared" si="38"/>
        <v>4120 : 타기관 외환거래대금</v>
      </c>
      <c r="J2426" s="81"/>
      <c r="K2426" s="81"/>
      <c r="L2426" s="81"/>
      <c r="M2426" s="81"/>
      <c r="N2426" s="81"/>
      <c r="O2426" s="81"/>
      <c r="P2426" s="81"/>
      <c r="Q2426" s="81"/>
      <c r="R2426" s="81"/>
    </row>
    <row r="2427" spans="1:18" s="68" customFormat="1">
      <c r="A2427" s="315" t="s">
        <v>4615</v>
      </c>
      <c r="B2427" s="320" t="s">
        <v>4770</v>
      </c>
      <c r="C2427" s="330">
        <v>5110</v>
      </c>
      <c r="D2427" s="330" t="s">
        <v>2825</v>
      </c>
      <c r="E2427" s="339" t="str">
        <f t="shared" si="38"/>
        <v>5110 : 對 금융기관 대출금</v>
      </c>
      <c r="J2427" s="81"/>
      <c r="K2427" s="81"/>
      <c r="L2427" s="81"/>
      <c r="M2427" s="81"/>
      <c r="N2427" s="81"/>
      <c r="O2427" s="81"/>
      <c r="P2427" s="81"/>
      <c r="Q2427" s="81"/>
      <c r="R2427" s="81"/>
    </row>
    <row r="2428" spans="1:18" s="68" customFormat="1">
      <c r="A2428" s="315" t="s">
        <v>4615</v>
      </c>
      <c r="B2428" s="320" t="s">
        <v>4770</v>
      </c>
      <c r="C2428" s="330">
        <v>5120</v>
      </c>
      <c r="D2428" s="330" t="s">
        <v>2824</v>
      </c>
      <c r="E2428" s="339" t="str">
        <f t="shared" si="38"/>
        <v>5120 : 對 고객 대출금</v>
      </c>
      <c r="J2428" s="81"/>
      <c r="K2428" s="81"/>
      <c r="L2428" s="81"/>
      <c r="M2428" s="81"/>
      <c r="N2428" s="81"/>
      <c r="O2428" s="81"/>
      <c r="P2428" s="81"/>
      <c r="Q2428" s="81"/>
      <c r="R2428" s="81"/>
    </row>
    <row r="2429" spans="1:18" s="68" customFormat="1">
      <c r="A2429" s="315" t="s">
        <v>4615</v>
      </c>
      <c r="B2429" s="320" t="s">
        <v>4770</v>
      </c>
      <c r="C2429" s="330">
        <v>5210</v>
      </c>
      <c r="D2429" s="330" t="s">
        <v>2823</v>
      </c>
      <c r="E2429" s="339" t="str">
        <f t="shared" si="38"/>
        <v>5210 : 對 금융기관 차입금 상환</v>
      </c>
      <c r="J2429" s="81"/>
      <c r="K2429" s="81"/>
      <c r="L2429" s="81"/>
      <c r="M2429" s="81"/>
      <c r="N2429" s="81"/>
      <c r="O2429" s="81"/>
      <c r="P2429" s="81"/>
      <c r="Q2429" s="81"/>
      <c r="R2429" s="81"/>
    </row>
    <row r="2430" spans="1:18" s="68" customFormat="1">
      <c r="A2430" s="315" t="s">
        <v>4615</v>
      </c>
      <c r="B2430" s="320" t="s">
        <v>4770</v>
      </c>
      <c r="C2430" s="330">
        <v>5220</v>
      </c>
      <c r="D2430" s="330" t="s">
        <v>2822</v>
      </c>
      <c r="E2430" s="339" t="str">
        <f t="shared" si="38"/>
        <v>5220 : 타기관(고객)의 차입금상환</v>
      </c>
      <c r="J2430" s="81"/>
      <c r="K2430" s="81"/>
      <c r="L2430" s="81"/>
      <c r="M2430" s="81"/>
      <c r="N2430" s="81"/>
      <c r="O2430" s="81"/>
      <c r="P2430" s="81"/>
      <c r="Q2430" s="81"/>
      <c r="R2430" s="81"/>
    </row>
    <row r="2431" spans="1:18" s="68" customFormat="1">
      <c r="A2431" s="315" t="s">
        <v>4615</v>
      </c>
      <c r="B2431" s="320" t="s">
        <v>4770</v>
      </c>
      <c r="C2431" s="330">
        <v>5310</v>
      </c>
      <c r="D2431" s="330" t="s">
        <v>2821</v>
      </c>
      <c r="E2431" s="339" t="str">
        <f t="shared" si="38"/>
        <v>5310 : 어음.당좌수표 등 결제대전</v>
      </c>
      <c r="J2431" s="81"/>
      <c r="K2431" s="81"/>
      <c r="L2431" s="81"/>
      <c r="M2431" s="81"/>
      <c r="N2431" s="81"/>
      <c r="O2431" s="81"/>
      <c r="P2431" s="81"/>
      <c r="Q2431" s="81"/>
      <c r="R2431" s="81"/>
    </row>
    <row r="2432" spans="1:18" s="68" customFormat="1">
      <c r="A2432" s="315" t="s">
        <v>4615</v>
      </c>
      <c r="B2432" s="320" t="s">
        <v>4770</v>
      </c>
      <c r="C2432" s="330">
        <v>5320</v>
      </c>
      <c r="D2432" s="330" t="s">
        <v>2820</v>
      </c>
      <c r="E2432" s="339" t="str">
        <f t="shared" si="38"/>
        <v>5320 : 기타 자기계좌 입금자금</v>
      </c>
      <c r="J2432" s="81"/>
      <c r="K2432" s="81"/>
      <c r="L2432" s="81"/>
      <c r="M2432" s="81"/>
      <c r="N2432" s="81"/>
      <c r="O2432" s="81"/>
      <c r="P2432" s="81"/>
      <c r="Q2432" s="81"/>
      <c r="R2432" s="81"/>
    </row>
    <row r="2433" spans="1:19" s="68" customFormat="1">
      <c r="A2433" s="315" t="s">
        <v>4615</v>
      </c>
      <c r="B2433" s="320" t="s">
        <v>4770</v>
      </c>
      <c r="C2433" s="330">
        <v>5400</v>
      </c>
      <c r="D2433" s="330" t="s">
        <v>2819</v>
      </c>
      <c r="E2433" s="339" t="str">
        <f t="shared" si="38"/>
        <v>5400 : 거래고객의 자금이체 의뢰분</v>
      </c>
      <c r="J2433" s="81"/>
      <c r="K2433" s="81"/>
      <c r="L2433" s="81"/>
      <c r="M2433" s="81"/>
      <c r="N2433" s="81"/>
      <c r="O2433" s="81"/>
      <c r="P2433" s="81"/>
      <c r="Q2433" s="81"/>
      <c r="R2433" s="81"/>
    </row>
    <row r="2434" spans="1:19" s="68" customFormat="1">
      <c r="A2434" s="315" t="s">
        <v>4615</v>
      </c>
      <c r="B2434" s="320" t="s">
        <v>4770</v>
      </c>
      <c r="C2434" s="330">
        <v>5420</v>
      </c>
      <c r="D2434" s="330" t="s">
        <v>2818</v>
      </c>
      <c r="E2434" s="339" t="str">
        <f t="shared" si="38"/>
        <v>5420 : 거래고객의 이체의뢰자금</v>
      </c>
      <c r="J2434" s="81"/>
      <c r="K2434" s="81"/>
      <c r="L2434" s="81"/>
      <c r="M2434" s="81"/>
      <c r="N2434" s="81"/>
      <c r="O2434" s="81"/>
      <c r="P2434" s="81"/>
      <c r="Q2434" s="81"/>
      <c r="R2434" s="81"/>
    </row>
    <row r="2435" spans="1:19" s="68" customFormat="1">
      <c r="A2435" s="315" t="s">
        <v>4615</v>
      </c>
      <c r="B2435" s="320" t="s">
        <v>4770</v>
      </c>
      <c r="C2435" s="330">
        <v>5430</v>
      </c>
      <c r="D2435" s="330" t="s">
        <v>2817</v>
      </c>
      <c r="E2435" s="339" t="str">
        <f t="shared" si="38"/>
        <v>5430 : 거래고객의 반환이체의뢰자금</v>
      </c>
      <c r="J2435" s="81"/>
      <c r="K2435" s="81"/>
      <c r="L2435" s="81"/>
      <c r="M2435" s="81"/>
      <c r="N2435" s="81"/>
      <c r="O2435" s="81"/>
      <c r="P2435" s="81"/>
      <c r="Q2435" s="81"/>
      <c r="R2435" s="81"/>
    </row>
    <row r="2436" spans="1:19" s="68" customFormat="1">
      <c r="A2436" s="315" t="s">
        <v>4615</v>
      </c>
      <c r="B2436" s="320" t="s">
        <v>4770</v>
      </c>
      <c r="C2436" s="330">
        <v>5500</v>
      </c>
      <c r="D2436" s="330" t="s">
        <v>2816</v>
      </c>
      <c r="E2436" s="339" t="str">
        <f t="shared" si="38"/>
        <v>5500 : 자행(사)본지점간 자금이체</v>
      </c>
      <c r="J2436" s="81"/>
      <c r="K2436" s="81"/>
      <c r="L2436" s="81"/>
      <c r="M2436" s="81"/>
      <c r="N2436" s="81"/>
      <c r="O2436" s="81"/>
      <c r="P2436" s="81"/>
      <c r="Q2436" s="81"/>
      <c r="R2436" s="81"/>
    </row>
    <row r="2437" spans="1:19" s="68" customFormat="1">
      <c r="A2437" s="315" t="s">
        <v>4615</v>
      </c>
      <c r="B2437" s="320" t="s">
        <v>4770</v>
      </c>
      <c r="C2437" s="330">
        <v>5610</v>
      </c>
      <c r="D2437" s="330" t="s">
        <v>2815</v>
      </c>
      <c r="E2437" s="339" t="str">
        <f t="shared" si="38"/>
        <v>5610 : 예수금 등 예치를 위한 자금이체</v>
      </c>
      <c r="J2437" s="81"/>
      <c r="K2437" s="81"/>
      <c r="L2437" s="81"/>
      <c r="M2437" s="81"/>
      <c r="N2437" s="81"/>
      <c r="O2437" s="81"/>
      <c r="P2437" s="81"/>
      <c r="Q2437" s="81"/>
      <c r="R2437" s="81"/>
    </row>
    <row r="2438" spans="1:19" s="68" customFormat="1">
      <c r="A2438" s="315" t="s">
        <v>4615</v>
      </c>
      <c r="B2438" s="320" t="s">
        <v>4770</v>
      </c>
      <c r="C2438" s="330">
        <v>5620</v>
      </c>
      <c r="D2438" s="330" t="s">
        <v>2814</v>
      </c>
      <c r="E2438" s="339" t="str">
        <f t="shared" si="38"/>
        <v>5620 : 예수금 등 인출을 위한 자금이체</v>
      </c>
      <c r="J2438" s="81"/>
      <c r="K2438" s="81"/>
      <c r="L2438" s="81"/>
      <c r="M2438" s="81"/>
      <c r="N2438" s="81"/>
      <c r="O2438" s="81"/>
      <c r="P2438" s="81"/>
      <c r="Q2438" s="81"/>
      <c r="R2438" s="81"/>
    </row>
    <row r="2439" spans="1:19" s="68" customFormat="1">
      <c r="A2439" s="315" t="s">
        <v>4615</v>
      </c>
      <c r="B2439" s="320" t="s">
        <v>4770</v>
      </c>
      <c r="C2439" s="330">
        <v>5710</v>
      </c>
      <c r="D2439" s="330" t="s">
        <v>2813</v>
      </c>
      <c r="E2439" s="339" t="str">
        <f t="shared" si="38"/>
        <v>5710 : 원화파생금융상품 거래대금 지급</v>
      </c>
      <c r="J2439" s="81"/>
      <c r="K2439" s="81"/>
      <c r="L2439" s="81"/>
      <c r="M2439" s="81"/>
      <c r="N2439" s="81"/>
      <c r="O2439" s="81"/>
      <c r="P2439" s="81"/>
      <c r="Q2439" s="81"/>
      <c r="R2439" s="81"/>
    </row>
    <row r="2440" spans="1:19" s="68" customFormat="1">
      <c r="A2440" s="315" t="s">
        <v>4615</v>
      </c>
      <c r="B2440" s="123" t="s">
        <v>4770</v>
      </c>
      <c r="C2440" s="330">
        <v>5900</v>
      </c>
      <c r="D2440" s="330" t="s">
        <v>2812</v>
      </c>
      <c r="E2440" s="339" t="str">
        <f t="shared" si="38"/>
        <v>5900 : 해당코드가 없는 자금이체</v>
      </c>
      <c r="J2440" s="81"/>
      <c r="K2440" s="81"/>
      <c r="L2440" s="81"/>
      <c r="M2440" s="81"/>
      <c r="N2440" s="81"/>
      <c r="O2440" s="81"/>
      <c r="P2440" s="81"/>
      <c r="Q2440" s="81"/>
      <c r="R2440" s="81"/>
    </row>
    <row r="2441" spans="1:19" s="64" customFormat="1">
      <c r="A2441" s="315" t="s">
        <v>4614</v>
      </c>
      <c r="B2441" s="123" t="s">
        <v>4808</v>
      </c>
      <c r="C2441" s="341">
        <v>10</v>
      </c>
      <c r="D2441" s="341" t="s">
        <v>2877</v>
      </c>
      <c r="E2441" s="339" t="str">
        <f t="shared" si="38"/>
        <v>10 : 채권장외거래결제</v>
      </c>
      <c r="K2441" s="65"/>
      <c r="L2441" s="65"/>
      <c r="M2441" s="65"/>
      <c r="N2441" s="65"/>
      <c r="O2441" s="65"/>
      <c r="P2441" s="65"/>
      <c r="Q2441" s="65"/>
      <c r="R2441" s="65"/>
      <c r="S2441" s="65"/>
    </row>
    <row r="2442" spans="1:19" s="64" customFormat="1">
      <c r="A2442" s="315" t="s">
        <v>4614</v>
      </c>
      <c r="B2442" s="123" t="s">
        <v>4808</v>
      </c>
      <c r="C2442" s="341">
        <v>11</v>
      </c>
      <c r="D2442" s="341" t="s">
        <v>2864</v>
      </c>
      <c r="E2442" s="339" t="str">
        <f t="shared" si="38"/>
        <v>11 : 양도성예금증서매매</v>
      </c>
      <c r="K2442" s="65"/>
      <c r="L2442" s="65"/>
      <c r="M2442" s="65"/>
      <c r="N2442" s="65"/>
      <c r="O2442" s="65"/>
      <c r="P2442" s="65"/>
      <c r="Q2442" s="65"/>
      <c r="R2442" s="65"/>
      <c r="S2442" s="65"/>
    </row>
    <row r="2443" spans="1:19" s="64" customFormat="1">
      <c r="A2443" s="315" t="s">
        <v>4614</v>
      </c>
      <c r="B2443" s="123" t="s">
        <v>4808</v>
      </c>
      <c r="C2443" s="341">
        <v>12</v>
      </c>
      <c r="D2443" s="341" t="s">
        <v>2876</v>
      </c>
      <c r="E2443" s="339" t="str">
        <f t="shared" si="38"/>
        <v>12 : 어음매매거래결제</v>
      </c>
      <c r="K2443" s="65"/>
      <c r="L2443" s="65"/>
      <c r="M2443" s="65"/>
      <c r="N2443" s="65"/>
      <c r="O2443" s="65"/>
      <c r="P2443" s="65"/>
      <c r="Q2443" s="65"/>
      <c r="R2443" s="65"/>
      <c r="S2443" s="65"/>
    </row>
    <row r="2444" spans="1:19" s="64" customFormat="1">
      <c r="A2444" s="315" t="s">
        <v>4614</v>
      </c>
      <c r="B2444" s="123" t="s">
        <v>4808</v>
      </c>
      <c r="C2444" s="341">
        <v>13</v>
      </c>
      <c r="D2444" s="341" t="s">
        <v>2875</v>
      </c>
      <c r="E2444" s="339" t="str">
        <f t="shared" si="38"/>
        <v>13 : 장내국채결제대금</v>
      </c>
      <c r="K2444" s="65"/>
      <c r="L2444" s="65"/>
      <c r="M2444" s="65"/>
      <c r="N2444" s="65"/>
      <c r="O2444" s="65"/>
      <c r="P2444" s="65"/>
      <c r="Q2444" s="65"/>
      <c r="R2444" s="65"/>
      <c r="S2444" s="65"/>
    </row>
    <row r="2445" spans="1:19" s="64" customFormat="1">
      <c r="A2445" s="315" t="s">
        <v>4614</v>
      </c>
      <c r="B2445" s="123" t="s">
        <v>4808</v>
      </c>
      <c r="C2445" s="341">
        <v>20</v>
      </c>
      <c r="D2445" s="341" t="s">
        <v>2874</v>
      </c>
      <c r="E2445" s="339" t="str">
        <f t="shared" si="38"/>
        <v>20 : 기관간RP거래결제</v>
      </c>
      <c r="K2445" s="65"/>
      <c r="L2445" s="65"/>
      <c r="M2445" s="65"/>
      <c r="N2445" s="65"/>
      <c r="O2445" s="65"/>
      <c r="P2445" s="65"/>
      <c r="Q2445" s="65"/>
      <c r="R2445" s="65"/>
      <c r="S2445" s="65"/>
    </row>
    <row r="2446" spans="1:19" s="64" customFormat="1">
      <c r="A2446" s="315" t="s">
        <v>4614</v>
      </c>
      <c r="B2446" s="123" t="s">
        <v>4808</v>
      </c>
      <c r="C2446" s="341">
        <v>21</v>
      </c>
      <c r="D2446" s="341" t="s">
        <v>2873</v>
      </c>
      <c r="E2446" s="339" t="str">
        <f t="shared" si="38"/>
        <v>21 : 한국은행R/P매매(개시)</v>
      </c>
      <c r="K2446" s="65"/>
      <c r="L2446" s="65"/>
      <c r="M2446" s="65"/>
      <c r="N2446" s="65"/>
      <c r="O2446" s="65"/>
      <c r="P2446" s="65"/>
      <c r="Q2446" s="65"/>
      <c r="R2446" s="65"/>
      <c r="S2446" s="65"/>
    </row>
    <row r="2447" spans="1:19" s="64" customFormat="1">
      <c r="A2447" s="315" t="s">
        <v>4614</v>
      </c>
      <c r="B2447" s="123" t="s">
        <v>4808</v>
      </c>
      <c r="C2447" s="341">
        <v>22</v>
      </c>
      <c r="D2447" s="341" t="s">
        <v>2872</v>
      </c>
      <c r="E2447" s="339" t="str">
        <f t="shared" si="38"/>
        <v>22 : 한국은행R/P중도환매</v>
      </c>
      <c r="K2447" s="65"/>
      <c r="L2447" s="65"/>
      <c r="M2447" s="65"/>
      <c r="N2447" s="65"/>
      <c r="O2447" s="65"/>
      <c r="P2447" s="65"/>
      <c r="Q2447" s="65"/>
      <c r="R2447" s="65"/>
      <c r="S2447" s="65"/>
    </row>
    <row r="2448" spans="1:19" s="64" customFormat="1">
      <c r="A2448" s="315" t="s">
        <v>4614</v>
      </c>
      <c r="B2448" s="123" t="s">
        <v>4808</v>
      </c>
      <c r="C2448" s="341">
        <v>23</v>
      </c>
      <c r="D2448" s="341" t="s">
        <v>2871</v>
      </c>
      <c r="E2448" s="339" t="str">
        <f t="shared" si="38"/>
        <v>23 : 한국은행R/P통지환매</v>
      </c>
      <c r="K2448" s="65"/>
      <c r="L2448" s="65"/>
      <c r="M2448" s="65"/>
      <c r="N2448" s="65"/>
      <c r="O2448" s="65"/>
      <c r="P2448" s="65"/>
      <c r="Q2448" s="65"/>
      <c r="R2448" s="65"/>
      <c r="S2448" s="65"/>
    </row>
    <row r="2449" spans="1:19" s="64" customFormat="1">
      <c r="A2449" s="315" t="s">
        <v>4614</v>
      </c>
      <c r="B2449" s="123" t="s">
        <v>4808</v>
      </c>
      <c r="C2449" s="341">
        <v>24</v>
      </c>
      <c r="D2449" s="341" t="s">
        <v>2870</v>
      </c>
      <c r="E2449" s="339" t="str">
        <f t="shared" si="38"/>
        <v>24 : 한국은행R/P만기환매</v>
      </c>
      <c r="K2449" s="65"/>
      <c r="L2449" s="65"/>
      <c r="M2449" s="65"/>
      <c r="N2449" s="65"/>
      <c r="O2449" s="65"/>
      <c r="P2449" s="65"/>
      <c r="Q2449" s="65"/>
      <c r="R2449" s="65"/>
      <c r="S2449" s="65"/>
    </row>
    <row r="2450" spans="1:19" s="64" customFormat="1">
      <c r="A2450" s="315" t="s">
        <v>4614</v>
      </c>
      <c r="B2450" s="123" t="s">
        <v>4808</v>
      </c>
      <c r="C2450" s="341">
        <v>30</v>
      </c>
      <c r="D2450" s="341" t="s">
        <v>2869</v>
      </c>
      <c r="E2450" s="339" t="str">
        <f t="shared" si="38"/>
        <v>30 : 주식매매거래결제</v>
      </c>
      <c r="K2450" s="65"/>
      <c r="L2450" s="65"/>
      <c r="M2450" s="65"/>
      <c r="N2450" s="65"/>
      <c r="O2450" s="65"/>
      <c r="P2450" s="65"/>
      <c r="Q2450" s="65"/>
      <c r="R2450" s="65"/>
      <c r="S2450" s="65"/>
    </row>
    <row r="2451" spans="1:19" s="64" customFormat="1">
      <c r="A2451" s="315" t="s">
        <v>4614</v>
      </c>
      <c r="B2451" s="123" t="s">
        <v>4808</v>
      </c>
      <c r="C2451" s="341">
        <v>40</v>
      </c>
      <c r="D2451" s="341" t="s">
        <v>2868</v>
      </c>
      <c r="E2451" s="339" t="str">
        <f t="shared" si="38"/>
        <v>40 : 간접투자증권매매(신법펀드)</v>
      </c>
      <c r="K2451" s="65"/>
      <c r="L2451" s="65"/>
      <c r="M2451" s="65"/>
      <c r="N2451" s="65"/>
      <c r="O2451" s="65"/>
      <c r="P2451" s="65"/>
      <c r="Q2451" s="65"/>
      <c r="R2451" s="65"/>
      <c r="S2451" s="65"/>
    </row>
    <row r="2452" spans="1:19" s="64" customFormat="1">
      <c r="A2452" s="315" t="s">
        <v>4614</v>
      </c>
      <c r="B2452" s="123" t="s">
        <v>4808</v>
      </c>
      <c r="C2452" s="341">
        <v>41</v>
      </c>
      <c r="D2452" s="341" t="s">
        <v>2867</v>
      </c>
      <c r="E2452" s="339" t="str">
        <f t="shared" si="38"/>
        <v>41 : 간접투자증권상환금</v>
      </c>
      <c r="K2452" s="65"/>
      <c r="L2452" s="65"/>
      <c r="M2452" s="65"/>
      <c r="N2452" s="65"/>
      <c r="O2452" s="65"/>
      <c r="P2452" s="65"/>
      <c r="Q2452" s="65"/>
      <c r="R2452" s="65"/>
      <c r="S2452" s="65"/>
    </row>
    <row r="2453" spans="1:19" s="64" customFormat="1">
      <c r="A2453" s="315" t="s">
        <v>4614</v>
      </c>
      <c r="B2453" s="123" t="s">
        <v>4808</v>
      </c>
      <c r="C2453" s="341">
        <v>42</v>
      </c>
      <c r="D2453" s="341" t="s">
        <v>2866</v>
      </c>
      <c r="E2453" s="339" t="str">
        <f t="shared" si="38"/>
        <v>42 : 간접투자증권매매(구법펀드)</v>
      </c>
      <c r="K2453" s="65"/>
      <c r="L2453" s="65"/>
      <c r="M2453" s="65"/>
      <c r="N2453" s="65"/>
      <c r="O2453" s="65"/>
      <c r="P2453" s="65"/>
      <c r="Q2453" s="65"/>
      <c r="R2453" s="65"/>
      <c r="S2453" s="65"/>
    </row>
    <row r="2454" spans="1:19" s="64" customFormat="1">
      <c r="A2454" s="315" t="s">
        <v>4614</v>
      </c>
      <c r="B2454" s="123" t="s">
        <v>4808</v>
      </c>
      <c r="C2454" s="341">
        <v>51</v>
      </c>
      <c r="D2454" s="341" t="s">
        <v>2865</v>
      </c>
      <c r="E2454" s="339" t="str">
        <f t="shared" si="38"/>
        <v>51 : 은행채발행거래결제</v>
      </c>
      <c r="K2454" s="65"/>
      <c r="L2454" s="65"/>
      <c r="M2454" s="65"/>
      <c r="N2454" s="65"/>
      <c r="O2454" s="65"/>
      <c r="P2454" s="65"/>
      <c r="Q2454" s="65"/>
      <c r="R2454" s="65"/>
      <c r="S2454" s="65"/>
    </row>
    <row r="2455" spans="1:19" s="64" customFormat="1">
      <c r="A2455" s="315" t="s">
        <v>4614</v>
      </c>
      <c r="B2455" s="123" t="s">
        <v>4808</v>
      </c>
      <c r="C2455" s="341">
        <v>52</v>
      </c>
      <c r="D2455" s="341" t="s">
        <v>2864</v>
      </c>
      <c r="E2455" s="339" t="str">
        <f t="shared" ref="E2455:E2517" si="39">_xlfn.TEXTJOIN(" : ",FALSE,C2455:D2455)</f>
        <v>52 : 양도성예금증서매매</v>
      </c>
      <c r="K2455" s="65"/>
      <c r="L2455" s="65"/>
      <c r="M2455" s="65"/>
      <c r="N2455" s="65"/>
      <c r="O2455" s="65"/>
      <c r="P2455" s="65"/>
      <c r="Q2455" s="65"/>
      <c r="R2455" s="65"/>
      <c r="S2455" s="65"/>
    </row>
    <row r="2456" spans="1:19" s="64" customFormat="1">
      <c r="A2456" s="315" t="s">
        <v>4614</v>
      </c>
      <c r="B2456" s="123" t="s">
        <v>4808</v>
      </c>
      <c r="C2456" s="341">
        <v>60</v>
      </c>
      <c r="D2456" s="341" t="s">
        <v>2863</v>
      </c>
      <c r="E2456" s="339" t="str">
        <f t="shared" si="39"/>
        <v>60 : 담보콜거래</v>
      </c>
      <c r="K2456" s="65"/>
      <c r="L2456" s="65"/>
      <c r="M2456" s="65"/>
      <c r="N2456" s="65"/>
      <c r="O2456" s="65"/>
      <c r="P2456" s="65"/>
      <c r="Q2456" s="65"/>
      <c r="R2456" s="65"/>
      <c r="S2456" s="65"/>
    </row>
    <row r="2457" spans="1:19" s="64" customFormat="1">
      <c r="A2457" s="315" t="s">
        <v>4614</v>
      </c>
      <c r="B2457" s="123" t="s">
        <v>4808</v>
      </c>
      <c r="C2457" s="341">
        <v>71</v>
      </c>
      <c r="D2457" s="341" t="s">
        <v>2862</v>
      </c>
      <c r="E2457" s="339" t="str">
        <f t="shared" si="39"/>
        <v>71 : 전자단기사채발행</v>
      </c>
      <c r="K2457" s="65"/>
      <c r="L2457" s="65"/>
      <c r="M2457" s="65"/>
      <c r="N2457" s="65"/>
      <c r="O2457" s="65"/>
      <c r="P2457" s="65"/>
      <c r="Q2457" s="65"/>
      <c r="R2457" s="65"/>
      <c r="S2457" s="65"/>
    </row>
    <row r="2458" spans="1:19" s="64" customFormat="1">
      <c r="A2458" s="315" t="s">
        <v>4614</v>
      </c>
      <c r="B2458" s="123" t="s">
        <v>4808</v>
      </c>
      <c r="C2458" s="341">
        <v>72</v>
      </c>
      <c r="D2458" s="341" t="s">
        <v>2861</v>
      </c>
      <c r="E2458" s="339" t="str">
        <f t="shared" si="39"/>
        <v>72 : 전자단기사채매매</v>
      </c>
      <c r="K2458" s="65"/>
      <c r="L2458" s="65"/>
      <c r="M2458" s="65"/>
      <c r="N2458" s="65"/>
      <c r="O2458" s="65"/>
      <c r="P2458" s="65"/>
      <c r="Q2458" s="65"/>
      <c r="R2458" s="65"/>
      <c r="S2458" s="65"/>
    </row>
    <row r="2459" spans="1:19" s="64" customFormat="1">
      <c r="A2459" s="315" t="s">
        <v>4614</v>
      </c>
      <c r="B2459" s="123" t="s">
        <v>4808</v>
      </c>
      <c r="C2459" s="341">
        <v>73</v>
      </c>
      <c r="D2459" s="341" t="s">
        <v>2860</v>
      </c>
      <c r="E2459" s="339" t="str">
        <f t="shared" si="39"/>
        <v>73 : 전자단기사채상환</v>
      </c>
      <c r="K2459" s="65"/>
      <c r="L2459" s="65"/>
      <c r="M2459" s="65"/>
      <c r="N2459" s="65"/>
      <c r="O2459" s="65"/>
      <c r="P2459" s="65"/>
      <c r="Q2459" s="65"/>
      <c r="R2459" s="65"/>
      <c r="S2459" s="65"/>
    </row>
    <row r="2460" spans="1:19" s="64" customFormat="1">
      <c r="A2460" s="315" t="s">
        <v>4785</v>
      </c>
      <c r="B2460" s="123" t="s">
        <v>4772</v>
      </c>
      <c r="C2460" s="330" t="s">
        <v>4758</v>
      </c>
      <c r="D2460" s="341" t="s">
        <v>4786</v>
      </c>
      <c r="E2460" s="339" t="str">
        <f t="shared" si="39"/>
        <v>00 : 정상</v>
      </c>
      <c r="K2460" s="65"/>
      <c r="L2460" s="65"/>
      <c r="M2460" s="65"/>
      <c r="N2460" s="65"/>
      <c r="O2460" s="65"/>
      <c r="P2460" s="65"/>
      <c r="Q2460" s="65"/>
      <c r="R2460" s="65"/>
      <c r="S2460" s="65"/>
    </row>
    <row r="2461" spans="1:19" s="64" customFormat="1">
      <c r="A2461" s="315" t="s">
        <v>4785</v>
      </c>
      <c r="B2461" s="123" t="s">
        <v>4772</v>
      </c>
      <c r="C2461" s="330" t="s">
        <v>2926</v>
      </c>
      <c r="D2461" s="341" t="s">
        <v>2925</v>
      </c>
      <c r="E2461" s="339" t="str">
        <f t="shared" si="39"/>
        <v>01 : 당좌예금(결제전용) 잔액부족</v>
      </c>
      <c r="K2461" s="65"/>
      <c r="L2461" s="65"/>
      <c r="M2461" s="65"/>
      <c r="N2461" s="65"/>
      <c r="O2461" s="65"/>
      <c r="P2461" s="65"/>
      <c r="Q2461" s="65"/>
      <c r="R2461" s="65"/>
      <c r="S2461" s="65"/>
    </row>
    <row r="2462" spans="1:19" s="64" customFormat="1">
      <c r="A2462" s="315" t="s">
        <v>4785</v>
      </c>
      <c r="B2462" s="123" t="s">
        <v>4772</v>
      </c>
      <c r="C2462" s="330" t="s">
        <v>2924</v>
      </c>
      <c r="D2462" s="341" t="s">
        <v>2923</v>
      </c>
      <c r="E2462" s="339" t="str">
        <f t="shared" si="39"/>
        <v>02 : 선순위대기</v>
      </c>
      <c r="K2462" s="65"/>
      <c r="L2462" s="65"/>
      <c r="M2462" s="65"/>
      <c r="N2462" s="65"/>
      <c r="O2462" s="65"/>
      <c r="P2462" s="65"/>
      <c r="Q2462" s="65"/>
      <c r="R2462" s="65"/>
      <c r="S2462" s="65"/>
    </row>
    <row r="2463" spans="1:19" s="64" customFormat="1">
      <c r="A2463" s="315" t="s">
        <v>4785</v>
      </c>
      <c r="B2463" s="123" t="s">
        <v>4772</v>
      </c>
      <c r="C2463" s="330" t="s">
        <v>2922</v>
      </c>
      <c r="D2463" s="341" t="s">
        <v>2921</v>
      </c>
      <c r="E2463" s="339" t="str">
        <f t="shared" si="39"/>
        <v>03 : 차액결제전 예상당좌예금잔액 부족</v>
      </c>
      <c r="K2463" s="65"/>
      <c r="L2463" s="65"/>
      <c r="M2463" s="65"/>
      <c r="N2463" s="65"/>
      <c r="O2463" s="65"/>
      <c r="P2463" s="65"/>
      <c r="Q2463" s="65"/>
      <c r="R2463" s="65"/>
      <c r="S2463" s="65"/>
    </row>
    <row r="2464" spans="1:19" s="64" customFormat="1">
      <c r="A2464" s="315" t="s">
        <v>4785</v>
      </c>
      <c r="B2464" s="123" t="s">
        <v>4772</v>
      </c>
      <c r="C2464" s="330" t="s">
        <v>2920</v>
      </c>
      <c r="D2464" s="341" t="s">
        <v>2919</v>
      </c>
      <c r="E2464" s="339" t="str">
        <f t="shared" si="39"/>
        <v>04 : 대기결제처리 실패</v>
      </c>
      <c r="K2464" s="65"/>
      <c r="L2464" s="65"/>
      <c r="M2464" s="65"/>
      <c r="N2464" s="65"/>
      <c r="O2464" s="65"/>
      <c r="P2464" s="65"/>
      <c r="Q2464" s="65"/>
      <c r="R2464" s="65"/>
      <c r="S2464" s="65"/>
    </row>
    <row r="2465" spans="1:19" s="64" customFormat="1">
      <c r="A2465" s="315" t="s">
        <v>4785</v>
      </c>
      <c r="B2465" s="123" t="s">
        <v>4772</v>
      </c>
      <c r="C2465" s="330" t="s">
        <v>2918</v>
      </c>
      <c r="D2465" s="341" t="s">
        <v>2917</v>
      </c>
      <c r="E2465" s="339" t="str">
        <f t="shared" si="39"/>
        <v>11 : 이체기관 유동성 유출(선순위대기)</v>
      </c>
      <c r="K2465" s="65"/>
      <c r="L2465" s="65"/>
      <c r="M2465" s="65"/>
      <c r="N2465" s="65"/>
      <c r="O2465" s="65"/>
      <c r="P2465" s="65"/>
      <c r="Q2465" s="65"/>
      <c r="R2465" s="65"/>
      <c r="S2465" s="65"/>
    </row>
    <row r="2466" spans="1:19" s="64" customFormat="1">
      <c r="A2466" s="315" t="s">
        <v>4785</v>
      </c>
      <c r="B2466" s="123" t="s">
        <v>4772</v>
      </c>
      <c r="C2466" s="330" t="s">
        <v>2916</v>
      </c>
      <c r="D2466" s="341" t="s">
        <v>2915</v>
      </c>
      <c r="E2466" s="339" t="str">
        <f t="shared" si="39"/>
        <v>12 : 이체기관 당좌예금(결제전용)잔액 부족</v>
      </c>
      <c r="K2466" s="65"/>
      <c r="L2466" s="65"/>
      <c r="M2466" s="65"/>
      <c r="N2466" s="65"/>
      <c r="O2466" s="65"/>
      <c r="P2466" s="65"/>
      <c r="Q2466" s="65"/>
      <c r="R2466" s="65"/>
      <c r="S2466" s="65"/>
    </row>
    <row r="2467" spans="1:19" s="64" customFormat="1">
      <c r="A2467" s="315" t="s">
        <v>4785</v>
      </c>
      <c r="B2467" s="123" t="s">
        <v>4772</v>
      </c>
      <c r="C2467" s="330" t="s">
        <v>2914</v>
      </c>
      <c r="D2467" s="341" t="s">
        <v>2913</v>
      </c>
      <c r="E2467" s="339" t="str">
        <f t="shared" si="39"/>
        <v>13 : 이체기관 차액결제전 예상당좌예금잔액 부족</v>
      </c>
      <c r="K2467" s="65"/>
      <c r="L2467" s="65"/>
      <c r="M2467" s="65"/>
      <c r="N2467" s="65"/>
      <c r="O2467" s="65"/>
      <c r="P2467" s="65"/>
      <c r="Q2467" s="65"/>
      <c r="R2467" s="65"/>
      <c r="S2467" s="65"/>
    </row>
    <row r="2468" spans="1:19" s="64" customFormat="1">
      <c r="A2468" s="315" t="s">
        <v>4785</v>
      </c>
      <c r="B2468" s="123" t="s">
        <v>4772</v>
      </c>
      <c r="C2468" s="330" t="s">
        <v>2912</v>
      </c>
      <c r="D2468" s="341" t="s">
        <v>2911</v>
      </c>
      <c r="E2468" s="339" t="str">
        <f t="shared" si="39"/>
        <v>14 : 이체기관 양자간순지급한도 부족</v>
      </c>
      <c r="K2468" s="65"/>
      <c r="L2468" s="65"/>
      <c r="M2468" s="65"/>
      <c r="N2468" s="65"/>
      <c r="O2468" s="65"/>
      <c r="P2468" s="65"/>
      <c r="Q2468" s="65"/>
      <c r="R2468" s="65"/>
      <c r="S2468" s="65"/>
    </row>
    <row r="2469" spans="1:19" s="64" customFormat="1">
      <c r="A2469" s="315" t="s">
        <v>4785</v>
      </c>
      <c r="B2469" s="123" t="s">
        <v>4772</v>
      </c>
      <c r="C2469" s="330" t="s">
        <v>2910</v>
      </c>
      <c r="D2469" s="341" t="s">
        <v>2909</v>
      </c>
      <c r="E2469" s="339" t="str">
        <f t="shared" si="39"/>
        <v>15 : 이체기관 총순지급한도 부족</v>
      </c>
      <c r="K2469" s="65"/>
      <c r="L2469" s="65"/>
      <c r="M2469" s="65"/>
      <c r="N2469" s="65"/>
      <c r="O2469" s="65"/>
      <c r="P2469" s="65"/>
      <c r="Q2469" s="65"/>
      <c r="R2469" s="65"/>
      <c r="S2469" s="65"/>
    </row>
    <row r="2470" spans="1:19" s="64" customFormat="1">
      <c r="A2470" s="315" t="s">
        <v>4785</v>
      </c>
      <c r="B2470" s="123" t="s">
        <v>4772</v>
      </c>
      <c r="C2470" s="330" t="s">
        <v>2908</v>
      </c>
      <c r="D2470" s="341" t="s">
        <v>2907</v>
      </c>
      <c r="E2470" s="339" t="str">
        <f t="shared" si="39"/>
        <v>19 : 이체기관 한도변경 실패</v>
      </c>
      <c r="K2470" s="65"/>
      <c r="L2470" s="65"/>
      <c r="M2470" s="65"/>
      <c r="N2470" s="65"/>
      <c r="O2470" s="65"/>
      <c r="P2470" s="65"/>
      <c r="Q2470" s="65"/>
      <c r="R2470" s="65"/>
      <c r="S2470" s="65"/>
    </row>
    <row r="2471" spans="1:19" s="64" customFormat="1">
      <c r="A2471" s="315" t="s">
        <v>4785</v>
      </c>
      <c r="B2471" s="123" t="s">
        <v>4772</v>
      </c>
      <c r="C2471" s="330" t="s">
        <v>2906</v>
      </c>
      <c r="D2471" s="341" t="s">
        <v>2905</v>
      </c>
      <c r="E2471" s="339" t="str">
        <f t="shared" si="39"/>
        <v>21 : 수취기관 유동성 유출(선순위대기)</v>
      </c>
      <c r="K2471" s="65"/>
      <c r="L2471" s="65"/>
      <c r="M2471" s="65"/>
      <c r="N2471" s="65"/>
      <c r="O2471" s="65"/>
      <c r="P2471" s="65"/>
      <c r="Q2471" s="65"/>
      <c r="R2471" s="65"/>
      <c r="S2471" s="65"/>
    </row>
    <row r="2472" spans="1:19" s="64" customFormat="1">
      <c r="A2472" s="315" t="s">
        <v>4785</v>
      </c>
      <c r="B2472" s="123" t="s">
        <v>4772</v>
      </c>
      <c r="C2472" s="330" t="s">
        <v>2904</v>
      </c>
      <c r="D2472" s="341" t="s">
        <v>2903</v>
      </c>
      <c r="E2472" s="339" t="str">
        <f t="shared" si="39"/>
        <v>22 : 수취기관 당좌예금(결제전용)잔액 부족</v>
      </c>
      <c r="K2472" s="65"/>
      <c r="L2472" s="65"/>
      <c r="M2472" s="65"/>
      <c r="N2472" s="65"/>
      <c r="O2472" s="65"/>
      <c r="P2472" s="65"/>
      <c r="Q2472" s="65"/>
      <c r="R2472" s="65"/>
      <c r="S2472" s="65"/>
    </row>
    <row r="2473" spans="1:19" s="64" customFormat="1">
      <c r="A2473" s="315" t="s">
        <v>4785</v>
      </c>
      <c r="B2473" s="123" t="s">
        <v>4772</v>
      </c>
      <c r="C2473" s="330" t="s">
        <v>2902</v>
      </c>
      <c r="D2473" s="341" t="s">
        <v>2901</v>
      </c>
      <c r="E2473" s="339" t="str">
        <f t="shared" si="39"/>
        <v>23 : 수취기관 차액결제전 예상당좌예금잔액 부족</v>
      </c>
      <c r="K2473" s="65"/>
      <c r="L2473" s="65"/>
      <c r="M2473" s="65"/>
      <c r="N2473" s="65"/>
      <c r="O2473" s="65"/>
      <c r="P2473" s="65"/>
      <c r="Q2473" s="65"/>
      <c r="R2473" s="65"/>
      <c r="S2473" s="65"/>
    </row>
    <row r="2474" spans="1:19" s="64" customFormat="1">
      <c r="A2474" s="315" t="s">
        <v>4785</v>
      </c>
      <c r="B2474" s="123" t="s">
        <v>4772</v>
      </c>
      <c r="C2474" s="330" t="s">
        <v>2900</v>
      </c>
      <c r="D2474" s="341" t="s">
        <v>2899</v>
      </c>
      <c r="E2474" s="339" t="str">
        <f t="shared" si="39"/>
        <v>24 : 수취기관 양자간순지급한도 부족</v>
      </c>
      <c r="K2474" s="65"/>
      <c r="L2474" s="65"/>
      <c r="M2474" s="65"/>
      <c r="N2474" s="65"/>
      <c r="O2474" s="65"/>
      <c r="P2474" s="65"/>
      <c r="Q2474" s="65"/>
      <c r="R2474" s="65"/>
      <c r="S2474" s="65"/>
    </row>
    <row r="2475" spans="1:19" s="64" customFormat="1">
      <c r="A2475" s="315" t="s">
        <v>4785</v>
      </c>
      <c r="B2475" s="123" t="s">
        <v>4772</v>
      </c>
      <c r="C2475" s="330" t="s">
        <v>2898</v>
      </c>
      <c r="D2475" s="341" t="s">
        <v>2897</v>
      </c>
      <c r="E2475" s="339" t="str">
        <f t="shared" si="39"/>
        <v>25 : 수취기관 총순지급한도 부족</v>
      </c>
      <c r="K2475" s="65"/>
      <c r="L2475" s="65"/>
      <c r="M2475" s="65"/>
      <c r="N2475" s="65"/>
      <c r="O2475" s="65"/>
      <c r="P2475" s="65"/>
      <c r="Q2475" s="65"/>
      <c r="R2475" s="65"/>
      <c r="S2475" s="65"/>
    </row>
    <row r="2476" spans="1:19" s="64" customFormat="1">
      <c r="A2476" s="315" t="s">
        <v>4785</v>
      </c>
      <c r="B2476" s="123" t="s">
        <v>4772</v>
      </c>
      <c r="C2476" s="330" t="s">
        <v>2896</v>
      </c>
      <c r="D2476" s="341" t="s">
        <v>2895</v>
      </c>
      <c r="E2476" s="339" t="str">
        <f t="shared" si="39"/>
        <v>29 : 수취기관 한도변경 실패</v>
      </c>
      <c r="K2476" s="65"/>
      <c r="L2476" s="65"/>
      <c r="M2476" s="65"/>
      <c r="N2476" s="65"/>
      <c r="O2476" s="65"/>
      <c r="P2476" s="65"/>
      <c r="Q2476" s="65"/>
      <c r="R2476" s="65"/>
      <c r="S2476" s="65"/>
    </row>
    <row r="2477" spans="1:19" s="64" customFormat="1">
      <c r="A2477" s="315" t="s">
        <v>4785</v>
      </c>
      <c r="B2477" s="123" t="s">
        <v>4772</v>
      </c>
      <c r="C2477" s="330" t="s">
        <v>2894</v>
      </c>
      <c r="D2477" s="341" t="s">
        <v>2893</v>
      </c>
      <c r="E2477" s="339" t="str">
        <f t="shared" si="39"/>
        <v>32 : 다자간동시처리 당좌예금(결제전용)잔액부족</v>
      </c>
      <c r="K2477" s="65"/>
      <c r="L2477" s="65"/>
      <c r="M2477" s="65"/>
      <c r="N2477" s="65"/>
      <c r="O2477" s="65"/>
      <c r="P2477" s="65"/>
      <c r="Q2477" s="65"/>
      <c r="R2477" s="65"/>
      <c r="S2477" s="65"/>
    </row>
    <row r="2478" spans="1:19" s="64" customFormat="1">
      <c r="A2478" s="315" t="s">
        <v>4785</v>
      </c>
      <c r="B2478" s="123" t="s">
        <v>4772</v>
      </c>
      <c r="C2478" s="330" t="s">
        <v>2892</v>
      </c>
      <c r="D2478" s="341" t="s">
        <v>2891</v>
      </c>
      <c r="E2478" s="339" t="str">
        <f t="shared" si="39"/>
        <v>33 : 다자간동시처리 차액결제전 예상당좌잔액부족</v>
      </c>
      <c r="K2478" s="65"/>
      <c r="L2478" s="65"/>
      <c r="M2478" s="65"/>
      <c r="N2478" s="65"/>
      <c r="O2478" s="65"/>
      <c r="P2478" s="65"/>
      <c r="Q2478" s="65"/>
      <c r="R2478" s="65"/>
      <c r="S2478" s="65"/>
    </row>
    <row r="2479" spans="1:19" s="64" customFormat="1">
      <c r="A2479" s="315" t="s">
        <v>4785</v>
      </c>
      <c r="B2479" s="123" t="s">
        <v>4772</v>
      </c>
      <c r="C2479" s="330" t="s">
        <v>2890</v>
      </c>
      <c r="D2479" s="341" t="s">
        <v>2889</v>
      </c>
      <c r="E2479" s="339" t="str">
        <f t="shared" si="39"/>
        <v>34 : 다자간동시처리 양자간순지급한도 부족</v>
      </c>
      <c r="K2479" s="65"/>
      <c r="L2479" s="65"/>
      <c r="M2479" s="65"/>
      <c r="N2479" s="65"/>
      <c r="O2479" s="65"/>
      <c r="P2479" s="65"/>
      <c r="Q2479" s="65"/>
      <c r="R2479" s="65"/>
      <c r="S2479" s="65"/>
    </row>
    <row r="2480" spans="1:19" s="64" customFormat="1">
      <c r="A2480" s="315" t="s">
        <v>4785</v>
      </c>
      <c r="B2480" s="123" t="s">
        <v>4772</v>
      </c>
      <c r="C2480" s="330" t="s">
        <v>2888</v>
      </c>
      <c r="D2480" s="341" t="s">
        <v>2887</v>
      </c>
      <c r="E2480" s="339" t="str">
        <f t="shared" si="39"/>
        <v>35 : 다자간동시처리 총순지급한도 부족</v>
      </c>
      <c r="K2480" s="65"/>
      <c r="L2480" s="65"/>
      <c r="M2480" s="65"/>
      <c r="N2480" s="65"/>
      <c r="O2480" s="65"/>
      <c r="P2480" s="65"/>
      <c r="Q2480" s="65"/>
      <c r="R2480" s="65"/>
      <c r="S2480" s="65"/>
    </row>
    <row r="2481" spans="1:19" s="64" customFormat="1">
      <c r="A2481" s="315" t="s">
        <v>4785</v>
      </c>
      <c r="B2481" s="123" t="s">
        <v>4772</v>
      </c>
      <c r="C2481" s="330" t="s">
        <v>2886</v>
      </c>
      <c r="D2481" s="341" t="s">
        <v>2885</v>
      </c>
      <c r="E2481" s="339" t="str">
        <f t="shared" si="39"/>
        <v>36 : 다자간동시처리 대상 없음</v>
      </c>
      <c r="K2481" s="65"/>
      <c r="L2481" s="65"/>
      <c r="M2481" s="65"/>
      <c r="N2481" s="65"/>
      <c r="O2481" s="65"/>
      <c r="P2481" s="65"/>
      <c r="Q2481" s="65"/>
      <c r="R2481" s="65"/>
      <c r="S2481" s="65"/>
    </row>
    <row r="2482" spans="1:19" s="64" customFormat="1">
      <c r="A2482" s="315" t="s">
        <v>4785</v>
      </c>
      <c r="B2482" s="123" t="s">
        <v>4772</v>
      </c>
      <c r="C2482" s="330" t="s">
        <v>2884</v>
      </c>
      <c r="D2482" s="341" t="s">
        <v>2883</v>
      </c>
      <c r="E2482" s="339" t="str">
        <f t="shared" si="39"/>
        <v>37 : 다자간동시처리 불가</v>
      </c>
      <c r="K2482" s="65"/>
      <c r="L2482" s="65"/>
      <c r="M2482" s="65"/>
      <c r="N2482" s="65"/>
      <c r="O2482" s="65"/>
      <c r="P2482" s="65"/>
      <c r="Q2482" s="65"/>
      <c r="R2482" s="65"/>
      <c r="S2482" s="65"/>
    </row>
    <row r="2483" spans="1:19" s="64" customFormat="1">
      <c r="A2483" s="315" t="s">
        <v>4785</v>
      </c>
      <c r="B2483" s="123" t="s">
        <v>4772</v>
      </c>
      <c r="C2483" s="330" t="s">
        <v>2882</v>
      </c>
      <c r="D2483" s="341" t="s">
        <v>2881</v>
      </c>
      <c r="E2483" s="339" t="str">
        <f t="shared" si="39"/>
        <v>38 : 다자간동시처리 회계처리 실패</v>
      </c>
      <c r="K2483" s="65"/>
      <c r="L2483" s="65"/>
      <c r="M2483" s="65"/>
      <c r="N2483" s="65"/>
      <c r="O2483" s="65"/>
      <c r="P2483" s="65"/>
      <c r="Q2483" s="65"/>
      <c r="R2483" s="65"/>
      <c r="S2483" s="65"/>
    </row>
    <row r="2484" spans="1:19" s="64" customFormat="1">
      <c r="A2484" s="315" t="s">
        <v>4785</v>
      </c>
      <c r="B2484" s="123" t="s">
        <v>4772</v>
      </c>
      <c r="C2484" s="341">
        <v>39</v>
      </c>
      <c r="D2484" s="329" t="s">
        <v>2880</v>
      </c>
      <c r="E2484" s="339" t="str">
        <f t="shared" si="39"/>
        <v>39 : 보통지급지시에 따른 대기</v>
      </c>
      <c r="K2484" s="65"/>
      <c r="L2484" s="65"/>
      <c r="M2484" s="65"/>
      <c r="N2484" s="65"/>
      <c r="O2484" s="65"/>
      <c r="P2484" s="65"/>
      <c r="Q2484" s="65"/>
      <c r="R2484" s="65"/>
      <c r="S2484" s="65"/>
    </row>
    <row r="2485" spans="1:19" s="64" customFormat="1">
      <c r="A2485" s="315" t="s">
        <v>441</v>
      </c>
      <c r="B2485" s="320" t="s">
        <v>4773</v>
      </c>
      <c r="C2485" s="342" t="s">
        <v>3104</v>
      </c>
      <c r="D2485" s="343" t="s">
        <v>3103</v>
      </c>
      <c r="E2485" s="339" t="str">
        <f t="shared" si="39"/>
        <v>A2 : 콜체결(할인)</v>
      </c>
      <c r="K2485" s="65"/>
      <c r="L2485" s="65"/>
      <c r="M2485" s="65"/>
      <c r="N2485" s="65"/>
      <c r="O2485" s="65"/>
      <c r="P2485" s="65"/>
      <c r="Q2485" s="65"/>
      <c r="R2485" s="65"/>
      <c r="S2485" s="65"/>
    </row>
    <row r="2486" spans="1:19" s="64" customFormat="1">
      <c r="A2486" s="315" t="s">
        <v>441</v>
      </c>
      <c r="B2486" s="320" t="s">
        <v>4773</v>
      </c>
      <c r="C2486" s="342" t="s">
        <v>3102</v>
      </c>
      <c r="D2486" s="343" t="s">
        <v>3101</v>
      </c>
      <c r="E2486" s="339" t="str">
        <f t="shared" si="39"/>
        <v>A3 : 콜상환(할인)</v>
      </c>
      <c r="K2486" s="65"/>
      <c r="L2486" s="65"/>
      <c r="M2486" s="65"/>
      <c r="N2486" s="65"/>
      <c r="O2486" s="65"/>
      <c r="P2486" s="65"/>
      <c r="Q2486" s="65"/>
      <c r="R2486" s="65"/>
      <c r="S2486" s="65"/>
    </row>
    <row r="2487" spans="1:19" s="64" customFormat="1">
      <c r="A2487" s="315" t="s">
        <v>441</v>
      </c>
      <c r="B2487" s="320" t="s">
        <v>4773</v>
      </c>
      <c r="C2487" s="342" t="s">
        <v>3100</v>
      </c>
      <c r="D2487" s="343" t="s">
        <v>3099</v>
      </c>
      <c r="E2487" s="339" t="str">
        <f t="shared" si="39"/>
        <v>A4 : 증권대금이체(할인)</v>
      </c>
      <c r="K2487" s="65"/>
      <c r="L2487" s="65"/>
      <c r="M2487" s="65"/>
      <c r="N2487" s="65"/>
      <c r="O2487" s="65"/>
      <c r="P2487" s="65"/>
      <c r="Q2487" s="65"/>
      <c r="R2487" s="65"/>
      <c r="S2487" s="65"/>
    </row>
    <row r="2488" spans="1:19" s="64" customFormat="1">
      <c r="A2488" s="315" t="s">
        <v>441</v>
      </c>
      <c r="B2488" s="320" t="s">
        <v>4773</v>
      </c>
      <c r="C2488" s="342" t="s">
        <v>3098</v>
      </c>
      <c r="D2488" s="343" t="s">
        <v>3097</v>
      </c>
      <c r="E2488" s="339" t="str">
        <f t="shared" si="39"/>
        <v>A5 : 외화자금이체(할인)</v>
      </c>
      <c r="K2488" s="65"/>
      <c r="L2488" s="65"/>
      <c r="M2488" s="65"/>
      <c r="N2488" s="65"/>
      <c r="O2488" s="65"/>
      <c r="P2488" s="65"/>
      <c r="Q2488" s="65"/>
      <c r="R2488" s="65"/>
      <c r="S2488" s="65"/>
    </row>
    <row r="2489" spans="1:19" s="64" customFormat="1">
      <c r="A2489" s="315" t="s">
        <v>441</v>
      </c>
      <c r="B2489" s="320" t="s">
        <v>4773</v>
      </c>
      <c r="C2489" s="342" t="s">
        <v>3096</v>
      </c>
      <c r="D2489" s="343" t="s">
        <v>3095</v>
      </c>
      <c r="E2489" s="339" t="str">
        <f t="shared" si="39"/>
        <v>A6 : 국공채부기등록(할인)</v>
      </c>
      <c r="K2489" s="65"/>
      <c r="L2489" s="65"/>
      <c r="M2489" s="65"/>
      <c r="N2489" s="65"/>
      <c r="O2489" s="65"/>
      <c r="P2489" s="65"/>
      <c r="Q2489" s="65"/>
      <c r="R2489" s="65"/>
      <c r="S2489" s="65"/>
    </row>
    <row r="2490" spans="1:19" s="64" customFormat="1">
      <c r="A2490" s="315" t="s">
        <v>441</v>
      </c>
      <c r="B2490" s="320" t="s">
        <v>4773</v>
      </c>
      <c r="C2490" s="342" t="s">
        <v>3094</v>
      </c>
      <c r="D2490" s="343" t="s">
        <v>3093</v>
      </c>
      <c r="E2490" s="339" t="str">
        <f t="shared" si="39"/>
        <v>A7 : 국공채양수도(할인)</v>
      </c>
      <c r="K2490" s="65"/>
      <c r="L2490" s="65"/>
      <c r="M2490" s="65"/>
      <c r="N2490" s="65"/>
      <c r="O2490" s="65"/>
      <c r="P2490" s="65"/>
      <c r="Q2490" s="65"/>
      <c r="R2490" s="65"/>
      <c r="S2490" s="65"/>
    </row>
    <row r="2491" spans="1:19" s="64" customFormat="1">
      <c r="A2491" s="315" t="s">
        <v>441</v>
      </c>
      <c r="B2491" s="320" t="s">
        <v>4773</v>
      </c>
      <c r="C2491" s="342" t="s">
        <v>3092</v>
      </c>
      <c r="D2491" s="343" t="s">
        <v>3091</v>
      </c>
      <c r="E2491" s="339" t="str">
        <f t="shared" si="39"/>
        <v>A8 : 국공채양수도대금이체승인(할인)</v>
      </c>
      <c r="K2491" s="65"/>
      <c r="L2491" s="65"/>
      <c r="M2491" s="65"/>
      <c r="N2491" s="65"/>
      <c r="O2491" s="65"/>
      <c r="P2491" s="65"/>
      <c r="Q2491" s="65"/>
      <c r="R2491" s="65"/>
      <c r="S2491" s="65"/>
    </row>
    <row r="2492" spans="1:19" s="64" customFormat="1">
      <c r="A2492" s="315" t="s">
        <v>441</v>
      </c>
      <c r="B2492" s="320" t="s">
        <v>4773</v>
      </c>
      <c r="C2492" s="342" t="s">
        <v>3090</v>
      </c>
      <c r="D2492" s="343" t="s">
        <v>3089</v>
      </c>
      <c r="E2492" s="339" t="str">
        <f t="shared" si="39"/>
        <v>A9 : PAY-IN(할인)</v>
      </c>
      <c r="K2492" s="65"/>
      <c r="L2492" s="65"/>
      <c r="M2492" s="65"/>
      <c r="N2492" s="65"/>
      <c r="O2492" s="65"/>
      <c r="P2492" s="65"/>
      <c r="Q2492" s="65"/>
      <c r="R2492" s="65"/>
      <c r="S2492" s="65"/>
    </row>
    <row r="2493" spans="1:19" s="64" customFormat="1">
      <c r="A2493" s="315" t="s">
        <v>441</v>
      </c>
      <c r="B2493" s="320" t="s">
        <v>4773</v>
      </c>
      <c r="C2493" s="342" t="s">
        <v>3088</v>
      </c>
      <c r="D2493" s="343" t="s">
        <v>3087</v>
      </c>
      <c r="E2493" s="339" t="str">
        <f t="shared" si="39"/>
        <v>AA : 자금조정예금이체(할인)</v>
      </c>
      <c r="K2493" s="65"/>
      <c r="L2493" s="65"/>
      <c r="M2493" s="65"/>
      <c r="N2493" s="65"/>
      <c r="O2493" s="65"/>
      <c r="P2493" s="65"/>
      <c r="Q2493" s="65"/>
      <c r="R2493" s="65"/>
      <c r="S2493" s="65"/>
    </row>
    <row r="2494" spans="1:19" s="64" customFormat="1">
      <c r="A2494" s="315" t="s">
        <v>441</v>
      </c>
      <c r="B2494" s="320" t="s">
        <v>4773</v>
      </c>
      <c r="C2494" s="342" t="s">
        <v>3086</v>
      </c>
      <c r="D2494" s="343" t="s">
        <v>3085</v>
      </c>
      <c r="E2494" s="339" t="str">
        <f t="shared" si="39"/>
        <v>AB : 증권커스터디(할인)</v>
      </c>
      <c r="K2494" s="65"/>
      <c r="L2494" s="65"/>
      <c r="M2494" s="65"/>
      <c r="N2494" s="65"/>
      <c r="O2494" s="65"/>
      <c r="P2494" s="65"/>
      <c r="Q2494" s="65"/>
      <c r="R2494" s="65"/>
      <c r="S2494" s="65"/>
    </row>
    <row r="2495" spans="1:19" s="64" customFormat="1">
      <c r="A2495" s="315" t="s">
        <v>441</v>
      </c>
      <c r="B2495" s="320" t="s">
        <v>4773</v>
      </c>
      <c r="C2495" s="344" t="s">
        <v>3084</v>
      </c>
      <c r="D2495" s="344" t="s">
        <v>3083</v>
      </c>
      <c r="E2495" s="339" t="str">
        <f t="shared" si="39"/>
        <v>AC : 참가기관 간 일반자금이체(할인)</v>
      </c>
      <c r="K2495" s="65"/>
      <c r="L2495" s="65"/>
      <c r="M2495" s="65"/>
      <c r="N2495" s="65"/>
      <c r="O2495" s="65"/>
      <c r="P2495" s="65"/>
      <c r="Q2495" s="65"/>
      <c r="R2495" s="65"/>
      <c r="S2495" s="65"/>
    </row>
    <row r="2496" spans="1:19" s="64" customFormat="1">
      <c r="A2496" s="315" t="s">
        <v>441</v>
      </c>
      <c r="B2496" s="320" t="s">
        <v>4773</v>
      </c>
      <c r="C2496" s="344" t="s">
        <v>3082</v>
      </c>
      <c r="D2496" s="344" t="s">
        <v>3081</v>
      </c>
      <c r="E2496" s="339" t="str">
        <f t="shared" si="39"/>
        <v>AD : 수취인지정자금이체(할인)</v>
      </c>
      <c r="K2496" s="65"/>
      <c r="L2496" s="65"/>
      <c r="M2496" s="65"/>
      <c r="N2496" s="65"/>
      <c r="O2496" s="65"/>
      <c r="P2496" s="65"/>
      <c r="Q2496" s="65"/>
      <c r="R2496" s="65"/>
      <c r="S2496" s="65"/>
    </row>
    <row r="2497" spans="1:19" s="64" customFormat="1">
      <c r="A2497" s="315" t="s">
        <v>441</v>
      </c>
      <c r="B2497" s="320" t="s">
        <v>4773</v>
      </c>
      <c r="C2497" s="344" t="s">
        <v>3080</v>
      </c>
      <c r="D2497" s="344" t="s">
        <v>3079</v>
      </c>
      <c r="E2497" s="339" t="str">
        <f t="shared" si="39"/>
        <v>AE : 본지점간 자금이체(할인)</v>
      </c>
      <c r="K2497" s="65"/>
      <c r="L2497" s="65"/>
      <c r="M2497" s="65"/>
      <c r="N2497" s="65"/>
      <c r="O2497" s="65"/>
      <c r="P2497" s="65"/>
      <c r="Q2497" s="65"/>
      <c r="R2497" s="65"/>
      <c r="S2497" s="65"/>
    </row>
    <row r="2498" spans="1:19" s="64" customFormat="1">
      <c r="A2498" s="315" t="s">
        <v>441</v>
      </c>
      <c r="B2498" s="320" t="s">
        <v>4773</v>
      </c>
      <c r="C2498" s="344" t="s">
        <v>3078</v>
      </c>
      <c r="D2498" s="344" t="s">
        <v>3077</v>
      </c>
      <c r="E2498" s="339" t="str">
        <f t="shared" si="39"/>
        <v>AF : 금융결제국 내 당좌예금계좌간 자금이체(할인)</v>
      </c>
      <c r="K2498" s="65"/>
      <c r="L2498" s="65"/>
      <c r="M2498" s="65"/>
      <c r="N2498" s="65"/>
      <c r="O2498" s="65"/>
      <c r="P2498" s="65"/>
      <c r="Q2498" s="65"/>
      <c r="R2498" s="65"/>
      <c r="S2498" s="65"/>
    </row>
    <row r="2499" spans="1:19" s="64" customFormat="1">
      <c r="A2499" s="315" t="s">
        <v>441</v>
      </c>
      <c r="B2499" s="320" t="s">
        <v>4773</v>
      </c>
      <c r="C2499" s="344" t="s">
        <v>3058</v>
      </c>
      <c r="D2499" s="344" t="s">
        <v>3057</v>
      </c>
      <c r="E2499" s="339" t="str">
        <f t="shared" si="39"/>
        <v>AG : 연계결제(할인)</v>
      </c>
      <c r="K2499" s="65"/>
      <c r="L2499" s="65"/>
      <c r="M2499" s="65"/>
      <c r="N2499" s="65"/>
      <c r="O2499" s="65"/>
      <c r="P2499" s="65"/>
      <c r="Q2499" s="65"/>
      <c r="R2499" s="65"/>
      <c r="S2499" s="65"/>
    </row>
    <row r="2500" spans="1:19" s="64" customFormat="1">
      <c r="A2500" s="315" t="s">
        <v>441</v>
      </c>
      <c r="B2500" s="320" t="s">
        <v>4773</v>
      </c>
      <c r="C2500" s="344" t="s">
        <v>3076</v>
      </c>
      <c r="D2500" s="256" t="s">
        <v>3075</v>
      </c>
      <c r="E2500" s="339" t="str">
        <f t="shared" si="39"/>
        <v>AH : PAY-OUT(할인)</v>
      </c>
      <c r="K2500" s="65"/>
      <c r="L2500" s="65"/>
      <c r="M2500" s="65"/>
      <c r="N2500" s="65"/>
      <c r="O2500" s="65"/>
      <c r="P2500" s="65"/>
      <c r="Q2500" s="65"/>
      <c r="R2500" s="65"/>
      <c r="S2500" s="65"/>
    </row>
    <row r="2501" spans="1:19" s="64" customFormat="1">
      <c r="A2501" s="315" t="s">
        <v>441</v>
      </c>
      <c r="B2501" s="320" t="s">
        <v>4773</v>
      </c>
      <c r="C2501" s="343" t="s">
        <v>3074</v>
      </c>
      <c r="D2501" s="343" t="s">
        <v>3073</v>
      </c>
      <c r="E2501" s="339" t="str">
        <f t="shared" si="39"/>
        <v>AI : 콜반환(할인)</v>
      </c>
      <c r="K2501" s="65"/>
      <c r="L2501" s="65"/>
      <c r="M2501" s="65"/>
      <c r="N2501" s="65"/>
      <c r="O2501" s="65"/>
      <c r="P2501" s="65"/>
      <c r="Q2501" s="65"/>
      <c r="R2501" s="65"/>
      <c r="S2501" s="65"/>
    </row>
    <row r="2502" spans="1:19" s="64" customFormat="1">
      <c r="A2502" s="315" t="s">
        <v>441</v>
      </c>
      <c r="B2502" s="320" t="s">
        <v>4773</v>
      </c>
      <c r="C2502" s="343" t="s">
        <v>3072</v>
      </c>
      <c r="D2502" s="343" t="s">
        <v>3071</v>
      </c>
      <c r="E2502" s="339" t="str">
        <f t="shared" si="39"/>
        <v>B4 : 증권대금이체(서면이체)</v>
      </c>
      <c r="K2502" s="65"/>
      <c r="L2502" s="65"/>
      <c r="M2502" s="65"/>
      <c r="N2502" s="65"/>
      <c r="O2502" s="65"/>
      <c r="P2502" s="65"/>
      <c r="Q2502" s="65"/>
      <c r="R2502" s="65"/>
      <c r="S2502" s="65"/>
    </row>
    <row r="2503" spans="1:19" s="64" customFormat="1">
      <c r="A2503" s="315" t="s">
        <v>441</v>
      </c>
      <c r="B2503" s="320" t="s">
        <v>4773</v>
      </c>
      <c r="C2503" s="343" t="s">
        <v>3070</v>
      </c>
      <c r="D2503" s="343" t="s">
        <v>3069</v>
      </c>
      <c r="E2503" s="339" t="str">
        <f t="shared" si="39"/>
        <v>B9 : PAY-IN(서면이체)</v>
      </c>
      <c r="K2503" s="65"/>
      <c r="L2503" s="65"/>
      <c r="M2503" s="65"/>
      <c r="N2503" s="65"/>
      <c r="O2503" s="65"/>
      <c r="P2503" s="65"/>
      <c r="Q2503" s="65"/>
      <c r="R2503" s="65"/>
      <c r="S2503" s="65"/>
    </row>
    <row r="2504" spans="1:19" s="64" customFormat="1">
      <c r="A2504" s="315" t="s">
        <v>441</v>
      </c>
      <c r="B2504" s="320" t="s">
        <v>4773</v>
      </c>
      <c r="C2504" s="343" t="s">
        <v>3068</v>
      </c>
      <c r="D2504" s="343" t="s">
        <v>3067</v>
      </c>
      <c r="E2504" s="339" t="str">
        <f t="shared" si="39"/>
        <v>BA : 자금조정예금(서면이체)</v>
      </c>
      <c r="K2504" s="65"/>
      <c r="L2504" s="65"/>
      <c r="M2504" s="65"/>
      <c r="N2504" s="65"/>
      <c r="O2504" s="65"/>
      <c r="P2504" s="65"/>
      <c r="Q2504" s="65"/>
      <c r="R2504" s="65"/>
      <c r="S2504" s="65"/>
    </row>
    <row r="2505" spans="1:19" s="64" customFormat="1">
      <c r="A2505" s="315" t="s">
        <v>441</v>
      </c>
      <c r="B2505" s="320" t="s">
        <v>4773</v>
      </c>
      <c r="C2505" s="344" t="s">
        <v>3066</v>
      </c>
      <c r="D2505" s="344" t="s">
        <v>3065</v>
      </c>
      <c r="E2505" s="339" t="str">
        <f t="shared" si="39"/>
        <v>BC : 참가기관 간 일반자금이체(서면)</v>
      </c>
      <c r="K2505" s="65"/>
      <c r="L2505" s="65"/>
      <c r="M2505" s="65"/>
      <c r="N2505" s="65"/>
      <c r="O2505" s="65"/>
      <c r="P2505" s="65"/>
      <c r="Q2505" s="65"/>
      <c r="R2505" s="65"/>
      <c r="S2505" s="65"/>
    </row>
    <row r="2506" spans="1:19" s="64" customFormat="1">
      <c r="A2506" s="315" t="s">
        <v>441</v>
      </c>
      <c r="B2506" s="320" t="s">
        <v>4773</v>
      </c>
      <c r="C2506" s="344" t="s">
        <v>3064</v>
      </c>
      <c r="D2506" s="344" t="s">
        <v>3063</v>
      </c>
      <c r="E2506" s="339" t="str">
        <f t="shared" si="39"/>
        <v>BD : 수취인지정자금이체(서면)</v>
      </c>
      <c r="K2506" s="65"/>
      <c r="L2506" s="65"/>
      <c r="M2506" s="65"/>
      <c r="N2506" s="65"/>
      <c r="O2506" s="65"/>
      <c r="P2506" s="65"/>
      <c r="Q2506" s="65"/>
      <c r="R2506" s="65"/>
      <c r="S2506" s="65"/>
    </row>
    <row r="2507" spans="1:19" s="64" customFormat="1">
      <c r="A2507" s="315" t="s">
        <v>441</v>
      </c>
      <c r="B2507" s="320" t="s">
        <v>4773</v>
      </c>
      <c r="C2507" s="344" t="s">
        <v>3062</v>
      </c>
      <c r="D2507" s="344" t="s">
        <v>3061</v>
      </c>
      <c r="E2507" s="339" t="str">
        <f t="shared" si="39"/>
        <v>BE : 본지점간 자금이체(서면)</v>
      </c>
      <c r="K2507" s="65"/>
      <c r="L2507" s="65"/>
      <c r="M2507" s="65"/>
      <c r="N2507" s="65"/>
      <c r="O2507" s="65"/>
      <c r="P2507" s="65"/>
      <c r="Q2507" s="65"/>
      <c r="R2507" s="65"/>
      <c r="S2507" s="65"/>
    </row>
    <row r="2508" spans="1:19" s="64" customFormat="1">
      <c r="A2508" s="315" t="s">
        <v>441</v>
      </c>
      <c r="B2508" s="320" t="s">
        <v>4773</v>
      </c>
      <c r="C2508" s="344" t="s">
        <v>3060</v>
      </c>
      <c r="D2508" s="344" t="s">
        <v>3059</v>
      </c>
      <c r="E2508" s="339" t="str">
        <f t="shared" si="39"/>
        <v>BF : 금융결제국 내 당좌예금계좌간 자금이체(서면)</v>
      </c>
      <c r="K2508" s="65"/>
      <c r="L2508" s="65"/>
      <c r="M2508" s="65"/>
      <c r="N2508" s="65"/>
      <c r="O2508" s="65"/>
      <c r="P2508" s="65"/>
      <c r="Q2508" s="65"/>
      <c r="R2508" s="65"/>
      <c r="S2508" s="65"/>
    </row>
    <row r="2509" spans="1:19" s="64" customFormat="1">
      <c r="A2509" s="315" t="s">
        <v>441</v>
      </c>
      <c r="B2509" s="320" t="s">
        <v>4773</v>
      </c>
      <c r="C2509" s="344" t="s">
        <v>3050</v>
      </c>
      <c r="D2509" s="344" t="s">
        <v>3049</v>
      </c>
      <c r="E2509" s="339" t="str">
        <f t="shared" si="39"/>
        <v>BG : 연계결제(서면)</v>
      </c>
      <c r="K2509" s="65"/>
      <c r="L2509" s="65"/>
      <c r="M2509" s="65"/>
      <c r="N2509" s="65"/>
      <c r="O2509" s="65"/>
      <c r="P2509" s="65"/>
      <c r="Q2509" s="65"/>
      <c r="R2509" s="65"/>
      <c r="S2509" s="65"/>
    </row>
    <row r="2510" spans="1:19" s="64" customFormat="1">
      <c r="A2510" s="315" t="s">
        <v>441</v>
      </c>
      <c r="B2510" s="320" t="s">
        <v>4773</v>
      </c>
      <c r="C2510" s="344" t="s">
        <v>3056</v>
      </c>
      <c r="D2510" s="256" t="s">
        <v>3055</v>
      </c>
      <c r="E2510" s="339" t="str">
        <f t="shared" si="39"/>
        <v>BH : PAY-OUT(서면)</v>
      </c>
      <c r="K2510" s="65"/>
      <c r="L2510" s="65"/>
      <c r="M2510" s="65"/>
      <c r="N2510" s="65"/>
      <c r="O2510" s="65"/>
      <c r="P2510" s="65"/>
      <c r="Q2510" s="65"/>
      <c r="R2510" s="65"/>
      <c r="S2510" s="65"/>
    </row>
    <row r="2511" spans="1:19" s="64" customFormat="1">
      <c r="A2511" s="315" t="s">
        <v>441</v>
      </c>
      <c r="B2511" s="320" t="s">
        <v>4773</v>
      </c>
      <c r="C2511" s="343" t="s">
        <v>3054</v>
      </c>
      <c r="D2511" s="343" t="s">
        <v>3053</v>
      </c>
      <c r="E2511" s="339" t="str">
        <f t="shared" si="39"/>
        <v>BI : 콜반환(서면이체)</v>
      </c>
      <c r="K2511" s="65"/>
      <c r="L2511" s="65"/>
      <c r="M2511" s="65"/>
      <c r="N2511" s="65"/>
      <c r="O2511" s="65"/>
      <c r="P2511" s="65"/>
      <c r="Q2511" s="65"/>
      <c r="R2511" s="65"/>
      <c r="S2511" s="65"/>
    </row>
    <row r="2512" spans="1:19" s="64" customFormat="1">
      <c r="A2512" s="315" t="s">
        <v>441</v>
      </c>
      <c r="B2512" s="320" t="s">
        <v>4773</v>
      </c>
      <c r="C2512" s="343" t="s">
        <v>3052</v>
      </c>
      <c r="D2512" s="343" t="s">
        <v>3051</v>
      </c>
      <c r="E2512" s="339" t="str">
        <f t="shared" si="39"/>
        <v>C2 : 콜체결(취소)</v>
      </c>
      <c r="K2512" s="65"/>
      <c r="L2512" s="65"/>
      <c r="M2512" s="65"/>
      <c r="N2512" s="65"/>
      <c r="O2512" s="65"/>
      <c r="P2512" s="65"/>
      <c r="Q2512" s="65"/>
      <c r="R2512" s="65"/>
      <c r="S2512" s="65"/>
    </row>
    <row r="2513" spans="1:19" s="64" customFormat="1">
      <c r="A2513" s="315" t="s">
        <v>441</v>
      </c>
      <c r="B2513" s="320" t="s">
        <v>4773</v>
      </c>
      <c r="C2513" s="343" t="s">
        <v>3048</v>
      </c>
      <c r="D2513" s="343" t="s">
        <v>3047</v>
      </c>
      <c r="E2513" s="339" t="str">
        <f t="shared" si="39"/>
        <v>C3 : 콜상환(취소)</v>
      </c>
      <c r="K2513" s="65"/>
      <c r="L2513" s="65"/>
      <c r="M2513" s="65"/>
      <c r="N2513" s="65"/>
      <c r="O2513" s="65"/>
      <c r="P2513" s="65"/>
      <c r="Q2513" s="65"/>
      <c r="R2513" s="65"/>
      <c r="S2513" s="65"/>
    </row>
    <row r="2514" spans="1:19" s="64" customFormat="1">
      <c r="A2514" s="315" t="s">
        <v>441</v>
      </c>
      <c r="B2514" s="320" t="s">
        <v>4773</v>
      </c>
      <c r="C2514" s="343" t="s">
        <v>3046</v>
      </c>
      <c r="D2514" s="343" t="s">
        <v>3045</v>
      </c>
      <c r="E2514" s="339" t="str">
        <f t="shared" si="39"/>
        <v>C4 : 증권대금이체(취소)</v>
      </c>
      <c r="K2514" s="65"/>
      <c r="L2514" s="65"/>
      <c r="M2514" s="65"/>
      <c r="N2514" s="65"/>
      <c r="O2514" s="65"/>
      <c r="P2514" s="65"/>
      <c r="Q2514" s="65"/>
      <c r="R2514" s="65"/>
      <c r="S2514" s="65"/>
    </row>
    <row r="2515" spans="1:19" s="64" customFormat="1">
      <c r="A2515" s="315" t="s">
        <v>441</v>
      </c>
      <c r="B2515" s="320" t="s">
        <v>4773</v>
      </c>
      <c r="C2515" s="343" t="s">
        <v>3044</v>
      </c>
      <c r="D2515" s="343" t="s">
        <v>3043</v>
      </c>
      <c r="E2515" s="339" t="str">
        <f t="shared" si="39"/>
        <v>C5 : 외화자금이체(취소)</v>
      </c>
      <c r="K2515" s="65"/>
      <c r="L2515" s="65"/>
      <c r="M2515" s="65"/>
      <c r="N2515" s="65"/>
      <c r="O2515" s="65"/>
      <c r="P2515" s="65"/>
      <c r="Q2515" s="65"/>
      <c r="R2515" s="65"/>
      <c r="S2515" s="65"/>
    </row>
    <row r="2516" spans="1:19" s="64" customFormat="1">
      <c r="A2516" s="315" t="s">
        <v>441</v>
      </c>
      <c r="B2516" s="320" t="s">
        <v>4773</v>
      </c>
      <c r="C2516" s="343" t="s">
        <v>3042</v>
      </c>
      <c r="D2516" s="343" t="s">
        <v>3041</v>
      </c>
      <c r="E2516" s="339" t="str">
        <f t="shared" si="39"/>
        <v>C7 : 국공채양수도(취소)</v>
      </c>
      <c r="K2516" s="65"/>
      <c r="L2516" s="65"/>
      <c r="M2516" s="65"/>
      <c r="N2516" s="65"/>
      <c r="O2516" s="65"/>
      <c r="P2516" s="65"/>
      <c r="Q2516" s="65"/>
      <c r="R2516" s="65"/>
      <c r="S2516" s="65"/>
    </row>
    <row r="2517" spans="1:19" s="64" customFormat="1">
      <c r="A2517" s="315" t="s">
        <v>441</v>
      </c>
      <c r="B2517" s="320" t="s">
        <v>4773</v>
      </c>
      <c r="C2517" s="343" t="s">
        <v>3040</v>
      </c>
      <c r="D2517" s="343" t="s">
        <v>3039</v>
      </c>
      <c r="E2517" s="339" t="str">
        <f t="shared" si="39"/>
        <v>C8 : 국공채양수도대금이체승인(취소)</v>
      </c>
      <c r="K2517" s="65"/>
      <c r="L2517" s="65"/>
      <c r="M2517" s="65"/>
      <c r="N2517" s="65"/>
      <c r="O2517" s="65"/>
      <c r="P2517" s="65"/>
      <c r="Q2517" s="65"/>
      <c r="R2517" s="65"/>
      <c r="S2517" s="65"/>
    </row>
    <row r="2518" spans="1:19" s="64" customFormat="1">
      <c r="A2518" s="315" t="s">
        <v>441</v>
      </c>
      <c r="B2518" s="320" t="s">
        <v>4773</v>
      </c>
      <c r="C2518" s="343" t="s">
        <v>3038</v>
      </c>
      <c r="D2518" s="343" t="s">
        <v>3037</v>
      </c>
      <c r="E2518" s="339" t="str">
        <f t="shared" ref="E2518:E2581" si="40">_xlfn.TEXTJOIN(" : ",FALSE,C2518:D2518)</f>
        <v>C9 : PAY-IN(취소)</v>
      </c>
      <c r="K2518" s="65"/>
      <c r="L2518" s="65"/>
      <c r="M2518" s="65"/>
      <c r="N2518" s="65"/>
      <c r="O2518" s="65"/>
      <c r="P2518" s="65"/>
      <c r="Q2518" s="65"/>
      <c r="R2518" s="65"/>
      <c r="S2518" s="65"/>
    </row>
    <row r="2519" spans="1:19" s="64" customFormat="1">
      <c r="A2519" s="315" t="s">
        <v>441</v>
      </c>
      <c r="B2519" s="320" t="s">
        <v>4773</v>
      </c>
      <c r="C2519" s="343" t="s">
        <v>3036</v>
      </c>
      <c r="D2519" s="343" t="s">
        <v>3035</v>
      </c>
      <c r="E2519" s="339" t="str">
        <f t="shared" si="40"/>
        <v>CB : 증권커스터디(취소)</v>
      </c>
      <c r="K2519" s="65"/>
      <c r="L2519" s="65"/>
      <c r="M2519" s="65"/>
      <c r="N2519" s="65"/>
      <c r="O2519" s="65"/>
      <c r="P2519" s="65"/>
      <c r="Q2519" s="65"/>
      <c r="R2519" s="65"/>
      <c r="S2519" s="65"/>
    </row>
    <row r="2520" spans="1:19" s="64" customFormat="1">
      <c r="A2520" s="315" t="s">
        <v>441</v>
      </c>
      <c r="B2520" s="320" t="s">
        <v>4773</v>
      </c>
      <c r="C2520" s="344" t="s">
        <v>3034</v>
      </c>
      <c r="D2520" s="344" t="s">
        <v>3033</v>
      </c>
      <c r="E2520" s="339" t="str">
        <f t="shared" si="40"/>
        <v>CC : 참가기관 간 일반자금이체(취소(기본))</v>
      </c>
      <c r="K2520" s="65"/>
      <c r="L2520" s="65"/>
      <c r="M2520" s="65"/>
      <c r="N2520" s="65"/>
      <c r="O2520" s="65"/>
      <c r="P2520" s="65"/>
      <c r="Q2520" s="65"/>
      <c r="R2520" s="65"/>
      <c r="S2520" s="65"/>
    </row>
    <row r="2521" spans="1:19" s="64" customFormat="1">
      <c r="A2521" s="315" t="s">
        <v>441</v>
      </c>
      <c r="B2521" s="320" t="s">
        <v>4773</v>
      </c>
      <c r="C2521" s="344" t="s">
        <v>3032</v>
      </c>
      <c r="D2521" s="344" t="s">
        <v>3031</v>
      </c>
      <c r="E2521" s="339" t="str">
        <f t="shared" si="40"/>
        <v>CD : 수취인지정자금이체(취소(기본))</v>
      </c>
      <c r="K2521" s="65"/>
      <c r="L2521" s="65"/>
      <c r="M2521" s="65"/>
      <c r="N2521" s="65"/>
      <c r="O2521" s="65"/>
      <c r="P2521" s="65"/>
      <c r="Q2521" s="65"/>
      <c r="R2521" s="65"/>
      <c r="S2521" s="65"/>
    </row>
    <row r="2522" spans="1:19" s="64" customFormat="1">
      <c r="A2522" s="315" t="s">
        <v>441</v>
      </c>
      <c r="B2522" s="320" t="s">
        <v>4773</v>
      </c>
      <c r="C2522" s="344" t="s">
        <v>3030</v>
      </c>
      <c r="D2522" s="344" t="s">
        <v>3029</v>
      </c>
      <c r="E2522" s="339" t="str">
        <f t="shared" si="40"/>
        <v>CE : 본지점간 자금이체(취소(기본))</v>
      </c>
      <c r="K2522" s="65"/>
      <c r="L2522" s="65"/>
      <c r="M2522" s="65"/>
      <c r="N2522" s="65"/>
      <c r="O2522" s="65"/>
      <c r="P2522" s="65"/>
      <c r="Q2522" s="65"/>
      <c r="R2522" s="65"/>
      <c r="S2522" s="65"/>
    </row>
    <row r="2523" spans="1:19" s="64" customFormat="1">
      <c r="A2523" s="315" t="s">
        <v>441</v>
      </c>
      <c r="B2523" s="320" t="s">
        <v>4773</v>
      </c>
      <c r="C2523" s="344" t="s">
        <v>3028</v>
      </c>
      <c r="D2523" s="344" t="s">
        <v>3027</v>
      </c>
      <c r="E2523" s="339" t="str">
        <f t="shared" si="40"/>
        <v>CF : 금융결제국 내 당좌예금계좌간 자금이체(취소(기본))</v>
      </c>
      <c r="K2523" s="65"/>
      <c r="L2523" s="65"/>
      <c r="M2523" s="65"/>
      <c r="N2523" s="65"/>
      <c r="O2523" s="65"/>
      <c r="P2523" s="65"/>
      <c r="Q2523" s="65"/>
      <c r="R2523" s="65"/>
      <c r="S2523" s="65"/>
    </row>
    <row r="2524" spans="1:19" s="64" customFormat="1">
      <c r="A2524" s="315" t="s">
        <v>441</v>
      </c>
      <c r="B2524" s="320" t="s">
        <v>4773</v>
      </c>
      <c r="C2524" s="344" t="s">
        <v>3026</v>
      </c>
      <c r="D2524" s="344" t="s">
        <v>3025</v>
      </c>
      <c r="E2524" s="339" t="str">
        <f t="shared" si="40"/>
        <v>CG : 연계결제(취소(기본))</v>
      </c>
      <c r="K2524" s="65"/>
      <c r="L2524" s="65"/>
      <c r="M2524" s="65"/>
      <c r="N2524" s="65"/>
      <c r="O2524" s="65"/>
      <c r="P2524" s="65"/>
      <c r="Q2524" s="65"/>
      <c r="R2524" s="65"/>
      <c r="S2524" s="65"/>
    </row>
    <row r="2525" spans="1:19" s="64" customFormat="1">
      <c r="A2525" s="315" t="s">
        <v>441</v>
      </c>
      <c r="B2525" s="320" t="s">
        <v>4773</v>
      </c>
      <c r="C2525" s="343" t="s">
        <v>3024</v>
      </c>
      <c r="D2525" s="343" t="s">
        <v>3023</v>
      </c>
      <c r="E2525" s="339" t="str">
        <f t="shared" si="40"/>
        <v>CI : 콜반환(취소)</v>
      </c>
      <c r="K2525" s="65"/>
      <c r="L2525" s="65"/>
      <c r="M2525" s="65"/>
      <c r="N2525" s="65"/>
      <c r="O2525" s="65"/>
      <c r="P2525" s="65"/>
      <c r="Q2525" s="65"/>
      <c r="R2525" s="65"/>
      <c r="S2525" s="65"/>
    </row>
    <row r="2526" spans="1:19" s="64" customFormat="1">
      <c r="A2526" s="315" t="s">
        <v>441</v>
      </c>
      <c r="B2526" s="320" t="s">
        <v>4773</v>
      </c>
      <c r="C2526" s="343" t="s">
        <v>3022</v>
      </c>
      <c r="D2526" s="343" t="s">
        <v>3021</v>
      </c>
      <c r="E2526" s="339" t="str">
        <f t="shared" si="40"/>
        <v>D2 : 콜체결(취소할증)</v>
      </c>
      <c r="K2526" s="65"/>
      <c r="L2526" s="65"/>
      <c r="M2526" s="65"/>
      <c r="N2526" s="65"/>
      <c r="O2526" s="65"/>
      <c r="P2526" s="65"/>
      <c r="Q2526" s="65"/>
      <c r="R2526" s="65"/>
      <c r="S2526" s="65"/>
    </row>
    <row r="2527" spans="1:19" s="64" customFormat="1">
      <c r="A2527" s="315" t="s">
        <v>441</v>
      </c>
      <c r="B2527" s="320" t="s">
        <v>4773</v>
      </c>
      <c r="C2527" s="343" t="s">
        <v>3020</v>
      </c>
      <c r="D2527" s="343" t="s">
        <v>3019</v>
      </c>
      <c r="E2527" s="339" t="str">
        <f t="shared" si="40"/>
        <v>D3 : 콜상환(취소할증)</v>
      </c>
      <c r="K2527" s="65"/>
      <c r="L2527" s="65"/>
      <c r="M2527" s="65"/>
      <c r="N2527" s="65"/>
      <c r="O2527" s="65"/>
      <c r="P2527" s="65"/>
      <c r="Q2527" s="65"/>
      <c r="R2527" s="65"/>
      <c r="S2527" s="65"/>
    </row>
    <row r="2528" spans="1:19" s="64" customFormat="1">
      <c r="A2528" s="315" t="s">
        <v>441</v>
      </c>
      <c r="B2528" s="320" t="s">
        <v>4773</v>
      </c>
      <c r="C2528" s="343" t="s">
        <v>3018</v>
      </c>
      <c r="D2528" s="343" t="s">
        <v>3017</v>
      </c>
      <c r="E2528" s="339" t="str">
        <f t="shared" si="40"/>
        <v>D4 : 증권대금이체(취소할증)</v>
      </c>
      <c r="K2528" s="65"/>
      <c r="L2528" s="65"/>
      <c r="M2528" s="65"/>
      <c r="N2528" s="65"/>
      <c r="O2528" s="65"/>
      <c r="P2528" s="65"/>
      <c r="Q2528" s="65"/>
      <c r="R2528" s="65"/>
      <c r="S2528" s="65"/>
    </row>
    <row r="2529" spans="1:19" s="64" customFormat="1">
      <c r="A2529" s="315" t="s">
        <v>441</v>
      </c>
      <c r="B2529" s="320" t="s">
        <v>4773</v>
      </c>
      <c r="C2529" s="343" t="s">
        <v>3016</v>
      </c>
      <c r="D2529" s="343" t="s">
        <v>3015</v>
      </c>
      <c r="E2529" s="339" t="str">
        <f t="shared" si="40"/>
        <v>D5 : 외화자금이체(취소할증)</v>
      </c>
      <c r="K2529" s="65"/>
      <c r="L2529" s="65"/>
      <c r="M2529" s="65"/>
      <c r="N2529" s="65"/>
      <c r="O2529" s="65"/>
      <c r="P2529" s="65"/>
      <c r="Q2529" s="65"/>
      <c r="R2529" s="65"/>
      <c r="S2529" s="65"/>
    </row>
    <row r="2530" spans="1:19" s="64" customFormat="1">
      <c r="A2530" s="315" t="s">
        <v>441</v>
      </c>
      <c r="B2530" s="320" t="s">
        <v>4773</v>
      </c>
      <c r="C2530" s="343" t="s">
        <v>3014</v>
      </c>
      <c r="D2530" s="343" t="s">
        <v>3013</v>
      </c>
      <c r="E2530" s="339" t="str">
        <f t="shared" si="40"/>
        <v>D7 : 국공채양수도(취소할증)</v>
      </c>
      <c r="K2530" s="65"/>
      <c r="L2530" s="65"/>
      <c r="M2530" s="65"/>
      <c r="N2530" s="65"/>
      <c r="O2530" s="65"/>
      <c r="P2530" s="65"/>
      <c r="Q2530" s="65"/>
      <c r="R2530" s="65"/>
      <c r="S2530" s="65"/>
    </row>
    <row r="2531" spans="1:19" s="64" customFormat="1">
      <c r="A2531" s="315" t="s">
        <v>441</v>
      </c>
      <c r="B2531" s="320" t="s">
        <v>4773</v>
      </c>
      <c r="C2531" s="343" t="s">
        <v>3012</v>
      </c>
      <c r="D2531" s="343" t="s">
        <v>3011</v>
      </c>
      <c r="E2531" s="339" t="str">
        <f t="shared" si="40"/>
        <v>D8 : 국공채양수도대금이체승인(취소할증)</v>
      </c>
      <c r="K2531" s="65"/>
      <c r="L2531" s="65"/>
      <c r="M2531" s="65"/>
      <c r="N2531" s="65"/>
      <c r="O2531" s="65"/>
      <c r="P2531" s="65"/>
      <c r="Q2531" s="65"/>
      <c r="R2531" s="65"/>
      <c r="S2531" s="65"/>
    </row>
    <row r="2532" spans="1:19" s="64" customFormat="1">
      <c r="A2532" s="315" t="s">
        <v>441</v>
      </c>
      <c r="B2532" s="320" t="s">
        <v>4773</v>
      </c>
      <c r="C2532" s="343" t="s">
        <v>3010</v>
      </c>
      <c r="D2532" s="343" t="s">
        <v>3009</v>
      </c>
      <c r="E2532" s="339" t="str">
        <f t="shared" si="40"/>
        <v>D9 : PAY-IN(취소할증)</v>
      </c>
      <c r="K2532" s="65"/>
      <c r="L2532" s="65"/>
      <c r="M2532" s="65"/>
      <c r="N2532" s="65"/>
      <c r="O2532" s="65"/>
      <c r="P2532" s="65"/>
      <c r="Q2532" s="65"/>
      <c r="R2532" s="65"/>
      <c r="S2532" s="65"/>
    </row>
    <row r="2533" spans="1:19" s="64" customFormat="1">
      <c r="A2533" s="315" t="s">
        <v>441</v>
      </c>
      <c r="B2533" s="320" t="s">
        <v>4773</v>
      </c>
      <c r="C2533" s="343" t="s">
        <v>3008</v>
      </c>
      <c r="D2533" s="343" t="s">
        <v>3007</v>
      </c>
      <c r="E2533" s="339" t="str">
        <f t="shared" si="40"/>
        <v>DB : 증권커스터디(취소할증)</v>
      </c>
      <c r="K2533" s="65"/>
      <c r="L2533" s="65"/>
      <c r="M2533" s="65"/>
      <c r="N2533" s="65"/>
      <c r="O2533" s="65"/>
      <c r="P2533" s="65"/>
      <c r="Q2533" s="65"/>
      <c r="R2533" s="65"/>
      <c r="S2533" s="65"/>
    </row>
    <row r="2534" spans="1:19" s="64" customFormat="1">
      <c r="A2534" s="315" t="s">
        <v>441</v>
      </c>
      <c r="B2534" s="320" t="s">
        <v>4773</v>
      </c>
      <c r="C2534" s="344" t="s">
        <v>3006</v>
      </c>
      <c r="D2534" s="344" t="s">
        <v>3005</v>
      </c>
      <c r="E2534" s="339" t="str">
        <f t="shared" si="40"/>
        <v>DC : 참가기관 간 일반자금이체(취소(할증))</v>
      </c>
      <c r="K2534" s="65"/>
      <c r="L2534" s="65"/>
      <c r="M2534" s="65"/>
      <c r="N2534" s="65"/>
      <c r="O2534" s="65"/>
      <c r="P2534" s="65"/>
      <c r="Q2534" s="65"/>
      <c r="R2534" s="65"/>
      <c r="S2534" s="65"/>
    </row>
    <row r="2535" spans="1:19" s="64" customFormat="1">
      <c r="A2535" s="315" t="s">
        <v>441</v>
      </c>
      <c r="B2535" s="320" t="s">
        <v>4773</v>
      </c>
      <c r="C2535" s="344" t="s">
        <v>3004</v>
      </c>
      <c r="D2535" s="344" t="s">
        <v>3003</v>
      </c>
      <c r="E2535" s="339" t="str">
        <f t="shared" si="40"/>
        <v>DD : 수취인지정자금이체(취소(할증))</v>
      </c>
      <c r="K2535" s="65"/>
      <c r="L2535" s="65"/>
      <c r="M2535" s="65"/>
      <c r="N2535" s="65"/>
      <c r="O2535" s="65"/>
      <c r="P2535" s="65"/>
      <c r="Q2535" s="65"/>
      <c r="R2535" s="65"/>
      <c r="S2535" s="65"/>
    </row>
    <row r="2536" spans="1:19" s="64" customFormat="1">
      <c r="A2536" s="315" t="s">
        <v>441</v>
      </c>
      <c r="B2536" s="320" t="s">
        <v>4773</v>
      </c>
      <c r="C2536" s="344" t="s">
        <v>3002</v>
      </c>
      <c r="D2536" s="344" t="s">
        <v>3001</v>
      </c>
      <c r="E2536" s="339" t="str">
        <f t="shared" si="40"/>
        <v>DE : 본지점간 자금이체(취소(할증))</v>
      </c>
      <c r="K2536" s="65"/>
      <c r="L2536" s="65"/>
      <c r="M2536" s="65"/>
      <c r="N2536" s="65"/>
      <c r="O2536" s="65"/>
      <c r="P2536" s="65"/>
      <c r="Q2536" s="65"/>
      <c r="R2536" s="65"/>
      <c r="S2536" s="65"/>
    </row>
    <row r="2537" spans="1:19" s="64" customFormat="1">
      <c r="A2537" s="315" t="s">
        <v>441</v>
      </c>
      <c r="B2537" s="320" t="s">
        <v>4773</v>
      </c>
      <c r="C2537" s="344" t="s">
        <v>3000</v>
      </c>
      <c r="D2537" s="344" t="s">
        <v>2999</v>
      </c>
      <c r="E2537" s="339" t="str">
        <f t="shared" si="40"/>
        <v>DF : 금융결제국 내 당좌예금계좌간 자금이체(취소(할증))</v>
      </c>
      <c r="K2537" s="65"/>
      <c r="L2537" s="65"/>
      <c r="M2537" s="65"/>
      <c r="N2537" s="65"/>
      <c r="O2537" s="65"/>
      <c r="P2537" s="65"/>
      <c r="Q2537" s="65"/>
      <c r="R2537" s="65"/>
      <c r="S2537" s="65"/>
    </row>
    <row r="2538" spans="1:19" s="64" customFormat="1">
      <c r="A2538" s="315" t="s">
        <v>441</v>
      </c>
      <c r="B2538" s="320" t="s">
        <v>4773</v>
      </c>
      <c r="C2538" s="344" t="s">
        <v>2998</v>
      </c>
      <c r="D2538" s="344" t="s">
        <v>2997</v>
      </c>
      <c r="E2538" s="339" t="str">
        <f t="shared" si="40"/>
        <v>DG : 연계결제(취소(할증))</v>
      </c>
      <c r="K2538" s="65"/>
      <c r="L2538" s="65"/>
      <c r="M2538" s="65"/>
      <c r="N2538" s="65"/>
      <c r="O2538" s="65"/>
      <c r="P2538" s="65"/>
      <c r="Q2538" s="65"/>
      <c r="R2538" s="65"/>
      <c r="S2538" s="65"/>
    </row>
    <row r="2539" spans="1:19" s="64" customFormat="1">
      <c r="A2539" s="315" t="s">
        <v>441</v>
      </c>
      <c r="B2539" s="320" t="s">
        <v>4773</v>
      </c>
      <c r="C2539" s="344" t="s">
        <v>2996</v>
      </c>
      <c r="D2539" s="256" t="s">
        <v>2995</v>
      </c>
      <c r="E2539" s="339" t="str">
        <f t="shared" si="40"/>
        <v>DI : 콜반환(취소할증)</v>
      </c>
      <c r="K2539" s="65"/>
      <c r="L2539" s="65"/>
      <c r="M2539" s="65"/>
      <c r="N2539" s="65"/>
      <c r="O2539" s="65"/>
      <c r="P2539" s="65"/>
      <c r="Q2539" s="65"/>
      <c r="R2539" s="65"/>
      <c r="S2539" s="65"/>
    </row>
    <row r="2540" spans="1:19" s="64" customFormat="1">
      <c r="A2540" s="315" t="s">
        <v>441</v>
      </c>
      <c r="B2540" s="320" t="s">
        <v>4773</v>
      </c>
      <c r="C2540" s="343" t="s">
        <v>2994</v>
      </c>
      <c r="D2540" s="343" t="s">
        <v>2993</v>
      </c>
      <c r="E2540" s="339" t="str">
        <f t="shared" si="40"/>
        <v>E2 : 콜체결(할증)</v>
      </c>
      <c r="K2540" s="65"/>
      <c r="L2540" s="65"/>
      <c r="M2540" s="65"/>
      <c r="N2540" s="65"/>
      <c r="O2540" s="65"/>
      <c r="P2540" s="65"/>
      <c r="Q2540" s="65"/>
      <c r="R2540" s="65"/>
      <c r="S2540" s="65"/>
    </row>
    <row r="2541" spans="1:19" s="64" customFormat="1">
      <c r="A2541" s="315" t="s">
        <v>441</v>
      </c>
      <c r="B2541" s="320" t="s">
        <v>4773</v>
      </c>
      <c r="C2541" s="343" t="s">
        <v>2992</v>
      </c>
      <c r="D2541" s="343" t="s">
        <v>2991</v>
      </c>
      <c r="E2541" s="339" t="str">
        <f t="shared" si="40"/>
        <v>E3 : 콜상환(할증)</v>
      </c>
      <c r="K2541" s="65"/>
      <c r="L2541" s="65"/>
      <c r="M2541" s="65"/>
      <c r="N2541" s="65"/>
      <c r="O2541" s="65"/>
      <c r="P2541" s="65"/>
      <c r="Q2541" s="65"/>
      <c r="R2541" s="65"/>
      <c r="S2541" s="65"/>
    </row>
    <row r="2542" spans="1:19" s="64" customFormat="1">
      <c r="A2542" s="315" t="s">
        <v>441</v>
      </c>
      <c r="B2542" s="320" t="s">
        <v>4773</v>
      </c>
      <c r="C2542" s="343" t="s">
        <v>2990</v>
      </c>
      <c r="D2542" s="343" t="s">
        <v>2989</v>
      </c>
      <c r="E2542" s="339" t="str">
        <f t="shared" si="40"/>
        <v>E4 : 증권대금이체(할증)</v>
      </c>
      <c r="K2542" s="65"/>
      <c r="L2542" s="65"/>
      <c r="M2542" s="65"/>
      <c r="N2542" s="65"/>
      <c r="O2542" s="65"/>
      <c r="P2542" s="65"/>
      <c r="Q2542" s="65"/>
      <c r="R2542" s="65"/>
      <c r="S2542" s="65"/>
    </row>
    <row r="2543" spans="1:19" s="64" customFormat="1">
      <c r="A2543" s="315" t="s">
        <v>441</v>
      </c>
      <c r="B2543" s="320" t="s">
        <v>4773</v>
      </c>
      <c r="C2543" s="343" t="s">
        <v>2988</v>
      </c>
      <c r="D2543" s="343" t="s">
        <v>2987</v>
      </c>
      <c r="E2543" s="339" t="str">
        <f t="shared" si="40"/>
        <v>E5 : 외화자금이체(할증)</v>
      </c>
      <c r="K2543" s="65"/>
      <c r="L2543" s="65"/>
      <c r="M2543" s="65"/>
      <c r="N2543" s="65"/>
      <c r="O2543" s="65"/>
      <c r="P2543" s="65"/>
      <c r="Q2543" s="65"/>
      <c r="R2543" s="65"/>
      <c r="S2543" s="65"/>
    </row>
    <row r="2544" spans="1:19" s="64" customFormat="1">
      <c r="A2544" s="315" t="s">
        <v>441</v>
      </c>
      <c r="B2544" s="320" t="s">
        <v>4773</v>
      </c>
      <c r="C2544" s="343" t="s">
        <v>2986</v>
      </c>
      <c r="D2544" s="343" t="s">
        <v>2985</v>
      </c>
      <c r="E2544" s="339" t="str">
        <f t="shared" si="40"/>
        <v>E6 : 국공채부기등록(할증)</v>
      </c>
      <c r="K2544" s="65"/>
      <c r="L2544" s="65"/>
      <c r="M2544" s="65"/>
      <c r="N2544" s="65"/>
      <c r="O2544" s="65"/>
      <c r="P2544" s="65"/>
      <c r="Q2544" s="65"/>
      <c r="R2544" s="65"/>
      <c r="S2544" s="65"/>
    </row>
    <row r="2545" spans="1:19" s="64" customFormat="1">
      <c r="A2545" s="315" t="s">
        <v>441</v>
      </c>
      <c r="B2545" s="320" t="s">
        <v>4773</v>
      </c>
      <c r="C2545" s="343" t="s">
        <v>2984</v>
      </c>
      <c r="D2545" s="343" t="s">
        <v>2983</v>
      </c>
      <c r="E2545" s="339" t="str">
        <f t="shared" si="40"/>
        <v>E7 : 국공채양수도(할증)</v>
      </c>
      <c r="K2545" s="65"/>
      <c r="L2545" s="65"/>
      <c r="M2545" s="65"/>
      <c r="N2545" s="65"/>
      <c r="O2545" s="65"/>
      <c r="P2545" s="65"/>
      <c r="Q2545" s="65"/>
      <c r="R2545" s="65"/>
      <c r="S2545" s="65"/>
    </row>
    <row r="2546" spans="1:19" s="64" customFormat="1">
      <c r="A2546" s="315" t="s">
        <v>441</v>
      </c>
      <c r="B2546" s="320" t="s">
        <v>4773</v>
      </c>
      <c r="C2546" s="343" t="s">
        <v>2982</v>
      </c>
      <c r="D2546" s="343" t="s">
        <v>2981</v>
      </c>
      <c r="E2546" s="339" t="str">
        <f t="shared" si="40"/>
        <v>E8 : 국공채양수도대금이체승인(할증)</v>
      </c>
      <c r="K2546" s="65"/>
      <c r="L2546" s="65"/>
      <c r="M2546" s="65"/>
      <c r="N2546" s="65"/>
      <c r="O2546" s="65"/>
      <c r="P2546" s="65"/>
      <c r="Q2546" s="65"/>
      <c r="R2546" s="65"/>
      <c r="S2546" s="65"/>
    </row>
    <row r="2547" spans="1:19" s="64" customFormat="1">
      <c r="A2547" s="315" t="s">
        <v>441</v>
      </c>
      <c r="B2547" s="320" t="s">
        <v>4773</v>
      </c>
      <c r="C2547" s="343" t="s">
        <v>2980</v>
      </c>
      <c r="D2547" s="343" t="s">
        <v>2979</v>
      </c>
      <c r="E2547" s="339" t="str">
        <f t="shared" si="40"/>
        <v>EA : 자금조정예금이체(할증)</v>
      </c>
      <c r="K2547" s="65"/>
      <c r="L2547" s="65"/>
      <c r="M2547" s="65"/>
      <c r="N2547" s="65"/>
      <c r="O2547" s="65"/>
      <c r="P2547" s="65"/>
      <c r="Q2547" s="65"/>
      <c r="R2547" s="65"/>
      <c r="S2547" s="65"/>
    </row>
    <row r="2548" spans="1:19" s="64" customFormat="1">
      <c r="A2548" s="315" t="s">
        <v>441</v>
      </c>
      <c r="B2548" s="320" t="s">
        <v>4773</v>
      </c>
      <c r="C2548" s="343" t="s">
        <v>2978</v>
      </c>
      <c r="D2548" s="343" t="s">
        <v>2977</v>
      </c>
      <c r="E2548" s="339" t="str">
        <f t="shared" si="40"/>
        <v>EB : 증권커스터디(할증)</v>
      </c>
      <c r="K2548" s="65"/>
      <c r="L2548" s="65"/>
      <c r="M2548" s="65"/>
      <c r="N2548" s="65"/>
      <c r="O2548" s="65"/>
      <c r="P2548" s="65"/>
      <c r="Q2548" s="65"/>
      <c r="R2548" s="65"/>
      <c r="S2548" s="65"/>
    </row>
    <row r="2549" spans="1:19" s="64" customFormat="1">
      <c r="A2549" s="315" t="s">
        <v>441</v>
      </c>
      <c r="B2549" s="320" t="s">
        <v>4773</v>
      </c>
      <c r="C2549" s="344" t="s">
        <v>2976</v>
      </c>
      <c r="D2549" s="344" t="s">
        <v>2975</v>
      </c>
      <c r="E2549" s="339" t="str">
        <f t="shared" si="40"/>
        <v>EC : 참가기관 간 일반자금이체(할증)</v>
      </c>
      <c r="K2549" s="65"/>
      <c r="L2549" s="65"/>
      <c r="M2549" s="65"/>
      <c r="N2549" s="65"/>
      <c r="O2549" s="65"/>
      <c r="P2549" s="65"/>
      <c r="Q2549" s="65"/>
      <c r="R2549" s="65"/>
      <c r="S2549" s="65"/>
    </row>
    <row r="2550" spans="1:19" s="64" customFormat="1">
      <c r="A2550" s="315" t="s">
        <v>441</v>
      </c>
      <c r="B2550" s="320" t="s">
        <v>4773</v>
      </c>
      <c r="C2550" s="344" t="s">
        <v>2974</v>
      </c>
      <c r="D2550" s="344" t="s">
        <v>2973</v>
      </c>
      <c r="E2550" s="339" t="str">
        <f t="shared" si="40"/>
        <v>ED : 수취인지정자금이체(할증)</v>
      </c>
      <c r="K2550" s="65"/>
      <c r="L2550" s="65"/>
      <c r="M2550" s="65"/>
      <c r="N2550" s="65"/>
      <c r="O2550" s="65"/>
      <c r="P2550" s="65"/>
      <c r="Q2550" s="65"/>
      <c r="R2550" s="65"/>
      <c r="S2550" s="65"/>
    </row>
    <row r="2551" spans="1:19" s="64" customFormat="1">
      <c r="A2551" s="315" t="s">
        <v>441</v>
      </c>
      <c r="B2551" s="320" t="s">
        <v>4773</v>
      </c>
      <c r="C2551" s="344" t="s">
        <v>2972</v>
      </c>
      <c r="D2551" s="344" t="s">
        <v>2971</v>
      </c>
      <c r="E2551" s="339" t="str">
        <f t="shared" si="40"/>
        <v>EE : 본지점간 자금이체(할증)</v>
      </c>
      <c r="K2551" s="65"/>
      <c r="L2551" s="65"/>
      <c r="M2551" s="65"/>
      <c r="N2551" s="65"/>
      <c r="O2551" s="65"/>
      <c r="P2551" s="65"/>
      <c r="Q2551" s="65"/>
      <c r="R2551" s="65"/>
      <c r="S2551" s="65"/>
    </row>
    <row r="2552" spans="1:19" s="64" customFormat="1">
      <c r="A2552" s="315" t="s">
        <v>441</v>
      </c>
      <c r="B2552" s="320" t="s">
        <v>4773</v>
      </c>
      <c r="C2552" s="344" t="s">
        <v>2970</v>
      </c>
      <c r="D2552" s="344" t="s">
        <v>2969</v>
      </c>
      <c r="E2552" s="339" t="str">
        <f t="shared" si="40"/>
        <v>EF : 금융결제국 내 당좌예금계좌간 자금이체(할증)</v>
      </c>
      <c r="K2552" s="65"/>
      <c r="L2552" s="65"/>
      <c r="M2552" s="65"/>
      <c r="N2552" s="65"/>
      <c r="O2552" s="65"/>
      <c r="P2552" s="65"/>
      <c r="Q2552" s="65"/>
      <c r="R2552" s="65"/>
      <c r="S2552" s="65"/>
    </row>
    <row r="2553" spans="1:19" s="64" customFormat="1">
      <c r="A2553" s="315" t="s">
        <v>441</v>
      </c>
      <c r="B2553" s="320" t="s">
        <v>4773</v>
      </c>
      <c r="C2553" s="344" t="s">
        <v>2968</v>
      </c>
      <c r="D2553" s="344" t="s">
        <v>2967</v>
      </c>
      <c r="E2553" s="339" t="str">
        <f t="shared" si="40"/>
        <v>EG : 연계결제(할증)</v>
      </c>
      <c r="K2553" s="65"/>
      <c r="L2553" s="65"/>
      <c r="M2553" s="65"/>
      <c r="N2553" s="65"/>
      <c r="O2553" s="65"/>
      <c r="P2553" s="65"/>
      <c r="Q2553" s="65"/>
      <c r="R2553" s="65"/>
      <c r="S2553" s="65"/>
    </row>
    <row r="2554" spans="1:19" s="64" customFormat="1">
      <c r="A2554" s="315" t="s">
        <v>441</v>
      </c>
      <c r="B2554" s="320" t="s">
        <v>4773</v>
      </c>
      <c r="C2554" s="344" t="s">
        <v>2966</v>
      </c>
      <c r="D2554" s="344" t="s">
        <v>2965</v>
      </c>
      <c r="E2554" s="339" t="str">
        <f t="shared" si="40"/>
        <v>EI : 콜반환(할증)</v>
      </c>
      <c r="K2554" s="65"/>
      <c r="L2554" s="65"/>
      <c r="M2554" s="65"/>
      <c r="N2554" s="65"/>
      <c r="O2554" s="65"/>
      <c r="P2554" s="65"/>
      <c r="Q2554" s="65"/>
      <c r="R2554" s="65"/>
      <c r="S2554" s="65"/>
    </row>
    <row r="2555" spans="1:19" s="64" customFormat="1">
      <c r="A2555" s="315" t="s">
        <v>441</v>
      </c>
      <c r="B2555" s="320" t="s">
        <v>4773</v>
      </c>
      <c r="C2555" s="343" t="s">
        <v>2964</v>
      </c>
      <c r="D2555" s="343" t="s">
        <v>2963</v>
      </c>
      <c r="E2555" s="339" t="str">
        <f t="shared" si="40"/>
        <v>P2 : 콜체결(기본)</v>
      </c>
      <c r="K2555" s="65"/>
      <c r="L2555" s="65"/>
      <c r="M2555" s="65"/>
      <c r="N2555" s="65"/>
      <c r="O2555" s="65"/>
      <c r="P2555" s="65"/>
      <c r="Q2555" s="65"/>
      <c r="R2555" s="65"/>
      <c r="S2555" s="65"/>
    </row>
    <row r="2556" spans="1:19" s="64" customFormat="1">
      <c r="A2556" s="315" t="s">
        <v>441</v>
      </c>
      <c r="B2556" s="320" t="s">
        <v>4773</v>
      </c>
      <c r="C2556" s="343" t="s">
        <v>2962</v>
      </c>
      <c r="D2556" s="343" t="s">
        <v>2961</v>
      </c>
      <c r="E2556" s="339" t="str">
        <f t="shared" si="40"/>
        <v>P3 : 콜상환(기본)</v>
      </c>
      <c r="K2556" s="65"/>
      <c r="L2556" s="65"/>
      <c r="M2556" s="65"/>
      <c r="N2556" s="65"/>
      <c r="O2556" s="65"/>
      <c r="P2556" s="65"/>
      <c r="Q2556" s="65"/>
      <c r="R2556" s="65"/>
      <c r="S2556" s="65"/>
    </row>
    <row r="2557" spans="1:19" s="64" customFormat="1">
      <c r="A2557" s="315" t="s">
        <v>441</v>
      </c>
      <c r="B2557" s="320" t="s">
        <v>4773</v>
      </c>
      <c r="C2557" s="343" t="s">
        <v>2960</v>
      </c>
      <c r="D2557" s="343" t="s">
        <v>2959</v>
      </c>
      <c r="E2557" s="339" t="str">
        <f t="shared" si="40"/>
        <v>P4 : 증권대금이체(기본)</v>
      </c>
      <c r="K2557" s="65"/>
      <c r="L2557" s="65"/>
      <c r="M2557" s="65"/>
      <c r="N2557" s="65"/>
      <c r="O2557" s="65"/>
      <c r="P2557" s="65"/>
      <c r="Q2557" s="65"/>
      <c r="R2557" s="65"/>
      <c r="S2557" s="65"/>
    </row>
    <row r="2558" spans="1:19" s="64" customFormat="1">
      <c r="A2558" s="315" t="s">
        <v>441</v>
      </c>
      <c r="B2558" s="320" t="s">
        <v>4773</v>
      </c>
      <c r="C2558" s="343" t="s">
        <v>2958</v>
      </c>
      <c r="D2558" s="343" t="s">
        <v>2957</v>
      </c>
      <c r="E2558" s="339" t="str">
        <f t="shared" si="40"/>
        <v>P5 : 외화자금이체(기본)</v>
      </c>
      <c r="K2558" s="65"/>
      <c r="L2558" s="65"/>
      <c r="M2558" s="65"/>
      <c r="N2558" s="65"/>
      <c r="O2558" s="65"/>
      <c r="P2558" s="65"/>
      <c r="Q2558" s="65"/>
      <c r="R2558" s="65"/>
      <c r="S2558" s="65"/>
    </row>
    <row r="2559" spans="1:19" s="64" customFormat="1">
      <c r="A2559" s="315" t="s">
        <v>441</v>
      </c>
      <c r="B2559" s="320" t="s">
        <v>4773</v>
      </c>
      <c r="C2559" s="343" t="s">
        <v>2956</v>
      </c>
      <c r="D2559" s="343" t="s">
        <v>2955</v>
      </c>
      <c r="E2559" s="339" t="str">
        <f t="shared" si="40"/>
        <v>P6 : 국공채부기등록(기본)</v>
      </c>
      <c r="K2559" s="65"/>
      <c r="L2559" s="65"/>
      <c r="M2559" s="65"/>
      <c r="N2559" s="65"/>
      <c r="O2559" s="65"/>
      <c r="P2559" s="65"/>
      <c r="Q2559" s="65"/>
      <c r="R2559" s="65"/>
      <c r="S2559" s="65"/>
    </row>
    <row r="2560" spans="1:19" s="64" customFormat="1">
      <c r="A2560" s="315" t="s">
        <v>441</v>
      </c>
      <c r="B2560" s="320" t="s">
        <v>4773</v>
      </c>
      <c r="C2560" s="343" t="s">
        <v>2954</v>
      </c>
      <c r="D2560" s="343" t="s">
        <v>2953</v>
      </c>
      <c r="E2560" s="339" t="str">
        <f t="shared" si="40"/>
        <v>P7 : 국공채양수도(기본)</v>
      </c>
      <c r="K2560" s="65"/>
      <c r="L2560" s="65"/>
      <c r="M2560" s="65"/>
      <c r="N2560" s="65"/>
      <c r="O2560" s="65"/>
      <c r="P2560" s="65"/>
      <c r="Q2560" s="65"/>
      <c r="R2560" s="65"/>
      <c r="S2560" s="65"/>
    </row>
    <row r="2561" spans="1:19" s="64" customFormat="1">
      <c r="A2561" s="315" t="s">
        <v>441</v>
      </c>
      <c r="B2561" s="123" t="s">
        <v>4773</v>
      </c>
      <c r="C2561" s="343" t="s">
        <v>2952</v>
      </c>
      <c r="D2561" s="343" t="s">
        <v>2951</v>
      </c>
      <c r="E2561" s="339" t="str">
        <f t="shared" si="40"/>
        <v>P8 : 국공채양수도대금이체승인(기본)</v>
      </c>
      <c r="K2561" s="65"/>
      <c r="L2561" s="65"/>
      <c r="M2561" s="65"/>
      <c r="N2561" s="65"/>
      <c r="O2561" s="65"/>
      <c r="P2561" s="65"/>
      <c r="Q2561" s="65"/>
      <c r="R2561" s="65"/>
      <c r="S2561" s="65"/>
    </row>
    <row r="2562" spans="1:19" s="64" customFormat="1">
      <c r="A2562" s="315" t="s">
        <v>441</v>
      </c>
      <c r="B2562" s="123" t="s">
        <v>4773</v>
      </c>
      <c r="C2562" s="343" t="s">
        <v>2950</v>
      </c>
      <c r="D2562" s="343" t="s">
        <v>2949</v>
      </c>
      <c r="E2562" s="339" t="str">
        <f t="shared" si="40"/>
        <v>P9 : PAY-IN(기본)</v>
      </c>
      <c r="K2562" s="65"/>
      <c r="L2562" s="65"/>
      <c r="M2562" s="65"/>
      <c r="N2562" s="65"/>
      <c r="O2562" s="65"/>
      <c r="P2562" s="65"/>
      <c r="Q2562" s="65"/>
      <c r="R2562" s="65"/>
      <c r="S2562" s="65"/>
    </row>
    <row r="2563" spans="1:19" s="64" customFormat="1">
      <c r="A2563" s="315" t="s">
        <v>441</v>
      </c>
      <c r="B2563" s="123" t="s">
        <v>4773</v>
      </c>
      <c r="C2563" s="343" t="s">
        <v>2948</v>
      </c>
      <c r="D2563" s="343" t="s">
        <v>2947</v>
      </c>
      <c r="E2563" s="339" t="str">
        <f t="shared" si="40"/>
        <v>PA : 자금조정예금이체(기본)</v>
      </c>
      <c r="K2563" s="65"/>
      <c r="L2563" s="65"/>
      <c r="M2563" s="65"/>
      <c r="N2563" s="65"/>
      <c r="O2563" s="65"/>
      <c r="P2563" s="65"/>
      <c r="Q2563" s="65"/>
      <c r="R2563" s="65"/>
      <c r="S2563" s="65"/>
    </row>
    <row r="2564" spans="1:19" s="64" customFormat="1">
      <c r="A2564" s="315" t="s">
        <v>441</v>
      </c>
      <c r="B2564" s="123" t="s">
        <v>4773</v>
      </c>
      <c r="C2564" s="343" t="s">
        <v>2946</v>
      </c>
      <c r="D2564" s="343" t="s">
        <v>2945</v>
      </c>
      <c r="E2564" s="339" t="str">
        <f t="shared" si="40"/>
        <v>PB : 증권커스터디(기본)</v>
      </c>
      <c r="K2564" s="65"/>
      <c r="L2564" s="65"/>
      <c r="M2564" s="65"/>
      <c r="N2564" s="65"/>
      <c r="O2564" s="65"/>
      <c r="P2564" s="65"/>
      <c r="Q2564" s="65"/>
      <c r="R2564" s="65"/>
      <c r="S2564" s="65"/>
    </row>
    <row r="2565" spans="1:19" s="64" customFormat="1">
      <c r="A2565" s="315" t="s">
        <v>441</v>
      </c>
      <c r="B2565" s="123" t="s">
        <v>4773</v>
      </c>
      <c r="C2565" s="344" t="s">
        <v>2944</v>
      </c>
      <c r="D2565" s="344" t="s">
        <v>2943</v>
      </c>
      <c r="E2565" s="339" t="str">
        <f t="shared" si="40"/>
        <v>PC : 참가기관 간 일반자금이체(기본)</v>
      </c>
      <c r="K2565" s="65"/>
      <c r="L2565" s="65"/>
      <c r="M2565" s="65"/>
      <c r="N2565" s="65"/>
      <c r="O2565" s="65"/>
      <c r="P2565" s="65"/>
      <c r="Q2565" s="65"/>
      <c r="R2565" s="65"/>
      <c r="S2565" s="65"/>
    </row>
    <row r="2566" spans="1:19" s="64" customFormat="1">
      <c r="A2566" s="315" t="s">
        <v>441</v>
      </c>
      <c r="B2566" s="123" t="s">
        <v>4773</v>
      </c>
      <c r="C2566" s="344" t="s">
        <v>2942</v>
      </c>
      <c r="D2566" s="344" t="s">
        <v>2941</v>
      </c>
      <c r="E2566" s="339" t="str">
        <f t="shared" si="40"/>
        <v>PD : 수취인지정자금이체(기본)</v>
      </c>
      <c r="K2566" s="65"/>
      <c r="L2566" s="65"/>
      <c r="M2566" s="65"/>
      <c r="N2566" s="65"/>
      <c r="O2566" s="65"/>
      <c r="P2566" s="65"/>
      <c r="Q2566" s="65"/>
      <c r="R2566" s="65"/>
      <c r="S2566" s="65"/>
    </row>
    <row r="2567" spans="1:19" s="64" customFormat="1">
      <c r="A2567" s="315" t="s">
        <v>441</v>
      </c>
      <c r="B2567" s="123" t="s">
        <v>4773</v>
      </c>
      <c r="C2567" s="344" t="s">
        <v>2940</v>
      </c>
      <c r="D2567" s="344" t="s">
        <v>2939</v>
      </c>
      <c r="E2567" s="339" t="str">
        <f t="shared" si="40"/>
        <v>PE : 본지점간 자금이체(기본)</v>
      </c>
      <c r="K2567" s="65"/>
      <c r="L2567" s="65"/>
      <c r="M2567" s="65"/>
      <c r="N2567" s="65"/>
      <c r="O2567" s="65"/>
      <c r="P2567" s="65"/>
      <c r="Q2567" s="65"/>
      <c r="R2567" s="65"/>
      <c r="S2567" s="65"/>
    </row>
    <row r="2568" spans="1:19" s="64" customFormat="1">
      <c r="A2568" s="315" t="s">
        <v>441</v>
      </c>
      <c r="B2568" s="123" t="s">
        <v>4773</v>
      </c>
      <c r="C2568" s="344" t="s">
        <v>2938</v>
      </c>
      <c r="D2568" s="344" t="s">
        <v>2937</v>
      </c>
      <c r="E2568" s="339" t="str">
        <f t="shared" si="40"/>
        <v>PF : 금융결제국 내 당좌예금계좌간 자금이체(기본)</v>
      </c>
      <c r="K2568" s="65"/>
      <c r="L2568" s="65"/>
      <c r="M2568" s="65"/>
      <c r="N2568" s="65"/>
      <c r="O2568" s="65"/>
      <c r="P2568" s="65"/>
      <c r="Q2568" s="65"/>
      <c r="R2568" s="65"/>
      <c r="S2568" s="65"/>
    </row>
    <row r="2569" spans="1:19" s="64" customFormat="1">
      <c r="A2569" s="315" t="s">
        <v>441</v>
      </c>
      <c r="B2569" s="123" t="s">
        <v>4773</v>
      </c>
      <c r="C2569" s="344" t="s">
        <v>2936</v>
      </c>
      <c r="D2569" s="344" t="s">
        <v>2935</v>
      </c>
      <c r="E2569" s="339" t="str">
        <f t="shared" si="40"/>
        <v>PG : 연계결제(기본)</v>
      </c>
      <c r="K2569" s="65"/>
      <c r="L2569" s="65"/>
      <c r="M2569" s="65"/>
      <c r="N2569" s="65"/>
      <c r="O2569" s="65"/>
      <c r="P2569" s="65"/>
      <c r="Q2569" s="65"/>
      <c r="R2569" s="65"/>
      <c r="S2569" s="65"/>
    </row>
    <row r="2570" spans="1:19" s="64" customFormat="1">
      <c r="A2570" s="315" t="s">
        <v>441</v>
      </c>
      <c r="B2570" s="123" t="s">
        <v>4773</v>
      </c>
      <c r="C2570" s="344" t="s">
        <v>2934</v>
      </c>
      <c r="D2570" s="256" t="s">
        <v>2933</v>
      </c>
      <c r="E2570" s="339" t="str">
        <f t="shared" si="40"/>
        <v>PH : PAY-OUT(기본)</v>
      </c>
      <c r="K2570" s="65"/>
      <c r="L2570" s="65"/>
      <c r="M2570" s="65"/>
      <c r="N2570" s="65"/>
      <c r="O2570" s="65"/>
      <c r="P2570" s="65"/>
      <c r="Q2570" s="65"/>
      <c r="R2570" s="65"/>
      <c r="S2570" s="65"/>
    </row>
    <row r="2571" spans="1:19" s="64" customFormat="1">
      <c r="A2571" s="315" t="s">
        <v>441</v>
      </c>
      <c r="B2571" s="123" t="s">
        <v>4773</v>
      </c>
      <c r="C2571" s="344" t="s">
        <v>2932</v>
      </c>
      <c r="D2571" s="344" t="s">
        <v>2931</v>
      </c>
      <c r="E2571" s="339" t="str">
        <f t="shared" si="40"/>
        <v>PI : 콜반환(기본)</v>
      </c>
      <c r="K2571" s="65"/>
      <c r="L2571" s="65"/>
      <c r="M2571" s="65"/>
      <c r="N2571" s="65"/>
      <c r="O2571" s="65"/>
      <c r="P2571" s="65"/>
      <c r="Q2571" s="65"/>
      <c r="R2571" s="65"/>
      <c r="S2571" s="65"/>
    </row>
    <row r="2572" spans="1:19" s="64" customFormat="1">
      <c r="A2572" s="315" t="s">
        <v>441</v>
      </c>
      <c r="B2572" s="123" t="s">
        <v>4773</v>
      </c>
      <c r="C2572" s="343" t="s">
        <v>2930</v>
      </c>
      <c r="D2572" s="343" t="s">
        <v>2929</v>
      </c>
      <c r="E2572" s="339" t="str">
        <f t="shared" si="40"/>
        <v>WF : 월정액수수료</v>
      </c>
      <c r="K2572" s="65"/>
      <c r="L2572" s="65"/>
      <c r="M2572" s="65"/>
      <c r="N2572" s="65"/>
      <c r="O2572" s="65"/>
      <c r="P2572" s="65"/>
      <c r="Q2572" s="65"/>
      <c r="R2572" s="65"/>
      <c r="S2572" s="65"/>
    </row>
    <row r="2573" spans="1:19" s="64" customFormat="1">
      <c r="A2573" s="316" t="s">
        <v>439</v>
      </c>
      <c r="B2573" s="123" t="s">
        <v>5072</v>
      </c>
      <c r="C2573" s="256" t="s">
        <v>4604</v>
      </c>
      <c r="D2573" s="256" t="s">
        <v>4603</v>
      </c>
      <c r="E2573" s="339" t="str">
        <f t="shared" si="40"/>
        <v>AC010097 : 정사부족금일괄출금(수신)</v>
      </c>
      <c r="K2573" s="65"/>
      <c r="L2573" s="65"/>
      <c r="M2573" s="65"/>
      <c r="N2573" s="65"/>
      <c r="O2573" s="65"/>
      <c r="P2573" s="65"/>
      <c r="Q2573" s="65"/>
      <c r="R2573" s="65"/>
      <c r="S2573" s="65"/>
    </row>
    <row r="2574" spans="1:19" s="64" customFormat="1">
      <c r="A2574" s="316" t="s">
        <v>439</v>
      </c>
      <c r="B2574" s="123" t="s">
        <v>5072</v>
      </c>
      <c r="C2574" s="256" t="s">
        <v>4602</v>
      </c>
      <c r="D2574" s="256" t="s">
        <v>4601</v>
      </c>
      <c r="E2574" s="339" t="str">
        <f t="shared" si="40"/>
        <v>AC010098 : 계정이체</v>
      </c>
      <c r="K2574" s="65"/>
      <c r="L2574" s="65"/>
      <c r="M2574" s="65"/>
      <c r="N2574" s="65"/>
      <c r="O2574" s="65"/>
      <c r="P2574" s="65"/>
      <c r="Q2574" s="65"/>
      <c r="R2574" s="65"/>
      <c r="S2574" s="65"/>
    </row>
    <row r="2575" spans="1:19" s="64" customFormat="1">
      <c r="A2575" s="316" t="s">
        <v>439</v>
      </c>
      <c r="B2575" s="123" t="s">
        <v>5072</v>
      </c>
      <c r="C2575" s="256" t="s">
        <v>4600</v>
      </c>
      <c r="D2575" s="256" t="s">
        <v>4599</v>
      </c>
      <c r="E2575" s="339" t="str">
        <f t="shared" si="40"/>
        <v>AC010099 : 통상전표</v>
      </c>
      <c r="K2575" s="65"/>
      <c r="L2575" s="65"/>
      <c r="M2575" s="65"/>
      <c r="N2575" s="65"/>
      <c r="O2575" s="65"/>
      <c r="P2575" s="65"/>
      <c r="Q2575" s="65"/>
      <c r="R2575" s="65"/>
      <c r="S2575" s="65"/>
    </row>
    <row r="2576" spans="1:19" s="64" customFormat="1">
      <c r="A2576" s="316" t="s">
        <v>439</v>
      </c>
      <c r="B2576" s="123" t="s">
        <v>5072</v>
      </c>
      <c r="C2576" s="256" t="s">
        <v>4598</v>
      </c>
      <c r="D2576" s="256" t="s">
        <v>4597</v>
      </c>
      <c r="E2576" s="339" t="str">
        <f t="shared" si="40"/>
        <v>AC021000 : 현금입출금정산환거래</v>
      </c>
      <c r="K2576" s="65"/>
      <c r="L2576" s="65"/>
      <c r="M2576" s="65"/>
      <c r="N2576" s="65"/>
      <c r="O2576" s="65"/>
      <c r="P2576" s="65"/>
      <c r="Q2576" s="65"/>
      <c r="R2576" s="65"/>
      <c r="S2576" s="65"/>
    </row>
    <row r="2577" spans="1:19" s="64" customFormat="1">
      <c r="A2577" s="316" t="s">
        <v>439</v>
      </c>
      <c r="B2577" s="123" t="s">
        <v>5072</v>
      </c>
      <c r="C2577" s="256" t="s">
        <v>4596</v>
      </c>
      <c r="D2577" s="256" t="s">
        <v>4595</v>
      </c>
      <c r="E2577" s="339" t="str">
        <f t="shared" si="40"/>
        <v>AC022000 : 금결국정사과부족처리</v>
      </c>
      <c r="K2577" s="65"/>
      <c r="L2577" s="65"/>
      <c r="M2577" s="65"/>
      <c r="N2577" s="65"/>
      <c r="O2577" s="65"/>
      <c r="P2577" s="65"/>
      <c r="Q2577" s="65"/>
      <c r="R2577" s="65"/>
      <c r="S2577" s="65"/>
    </row>
    <row r="2578" spans="1:19" s="64" customFormat="1">
      <c r="A2578" s="316" t="s">
        <v>439</v>
      </c>
      <c r="B2578" s="123" t="s">
        <v>5072</v>
      </c>
      <c r="C2578" s="256" t="s">
        <v>4594</v>
      </c>
      <c r="D2578" s="256" t="s">
        <v>4593</v>
      </c>
      <c r="E2578" s="339" t="str">
        <f t="shared" si="40"/>
        <v>AC030000 : 결산수정</v>
      </c>
      <c r="K2578" s="65"/>
      <c r="L2578" s="65"/>
      <c r="M2578" s="65"/>
      <c r="N2578" s="65"/>
      <c r="O2578" s="65"/>
      <c r="P2578" s="65"/>
      <c r="Q2578" s="65"/>
      <c r="R2578" s="65"/>
      <c r="S2578" s="65"/>
    </row>
    <row r="2579" spans="1:19" s="64" customFormat="1">
      <c r="A2579" s="316" t="s">
        <v>439</v>
      </c>
      <c r="B2579" s="123" t="s">
        <v>5072</v>
      </c>
      <c r="C2579" s="256" t="s">
        <v>4592</v>
      </c>
      <c r="D2579" s="256" t="s">
        <v>4591</v>
      </c>
      <c r="E2579" s="339" t="str">
        <f t="shared" si="40"/>
        <v>AC040000 : 결산 재수정</v>
      </c>
      <c r="K2579" s="65"/>
      <c r="L2579" s="65"/>
      <c r="M2579" s="65"/>
      <c r="N2579" s="65"/>
      <c r="O2579" s="65"/>
      <c r="P2579" s="65"/>
      <c r="Q2579" s="65"/>
      <c r="R2579" s="65"/>
      <c r="S2579" s="65"/>
    </row>
    <row r="2580" spans="1:19" s="64" customFormat="1">
      <c r="A2580" s="316" t="s">
        <v>439</v>
      </c>
      <c r="B2580" s="123" t="s">
        <v>5072</v>
      </c>
      <c r="C2580" s="256" t="s">
        <v>4590</v>
      </c>
      <c r="D2580" s="256" t="s">
        <v>4589</v>
      </c>
      <c r="E2580" s="339" t="str">
        <f t="shared" si="40"/>
        <v>AC050000 : 손익금이체</v>
      </c>
      <c r="K2580" s="65"/>
      <c r="L2580" s="65"/>
      <c r="M2580" s="65"/>
      <c r="N2580" s="65"/>
      <c r="O2580" s="65"/>
      <c r="P2580" s="65"/>
      <c r="Q2580" s="65"/>
      <c r="R2580" s="65"/>
      <c r="S2580" s="65"/>
    </row>
    <row r="2581" spans="1:19" s="64" customFormat="1">
      <c r="A2581" s="316" t="s">
        <v>439</v>
      </c>
      <c r="B2581" s="123" t="s">
        <v>5072</v>
      </c>
      <c r="C2581" s="256" t="s">
        <v>4588</v>
      </c>
      <c r="D2581" s="256" t="s">
        <v>4587</v>
      </c>
      <c r="E2581" s="339" t="str">
        <f t="shared" si="40"/>
        <v>AC060000 : 이익잉여금 처분</v>
      </c>
      <c r="K2581" s="65"/>
      <c r="L2581" s="65"/>
      <c r="M2581" s="65"/>
      <c r="N2581" s="65"/>
      <c r="O2581" s="65"/>
      <c r="P2581" s="65"/>
      <c r="Q2581" s="65"/>
      <c r="R2581" s="65"/>
      <c r="S2581" s="65"/>
    </row>
    <row r="2582" spans="1:19" s="64" customFormat="1">
      <c r="A2582" s="316" t="s">
        <v>439</v>
      </c>
      <c r="B2582" s="123" t="s">
        <v>5072</v>
      </c>
      <c r="C2582" s="256" t="s">
        <v>4586</v>
      </c>
      <c r="D2582" s="256" t="s">
        <v>4585</v>
      </c>
      <c r="E2582" s="339" t="str">
        <f t="shared" ref="E2582:E2645" si="41">_xlfn.TEXTJOIN(" : ",FALSE,C2582:D2582)</f>
        <v>AC070000 : 화폐각점대체</v>
      </c>
      <c r="K2582" s="65"/>
      <c r="L2582" s="65"/>
      <c r="M2582" s="65"/>
      <c r="N2582" s="65"/>
      <c r="O2582" s="65"/>
      <c r="P2582" s="65"/>
      <c r="Q2582" s="65"/>
      <c r="R2582" s="65"/>
      <c r="S2582" s="65"/>
    </row>
    <row r="2583" spans="1:19" s="64" customFormat="1">
      <c r="A2583" s="316" t="s">
        <v>439</v>
      </c>
      <c r="B2583" s="123" t="s">
        <v>5072</v>
      </c>
      <c r="C2583" s="256" t="s">
        <v>4584</v>
      </c>
      <c r="D2583" s="256" t="s">
        <v>4583</v>
      </c>
      <c r="E2583" s="339" t="str">
        <f t="shared" si="41"/>
        <v>AC080000 : 대지방환거래대체</v>
      </c>
      <c r="K2583" s="65"/>
      <c r="L2583" s="65"/>
      <c r="M2583" s="65"/>
      <c r="N2583" s="65"/>
      <c r="O2583" s="65"/>
      <c r="P2583" s="65"/>
      <c r="Q2583" s="65"/>
      <c r="R2583" s="65"/>
      <c r="S2583" s="65"/>
    </row>
    <row r="2584" spans="1:19" s="64" customFormat="1">
      <c r="A2584" s="316" t="s">
        <v>439</v>
      </c>
      <c r="B2584" s="123" t="s">
        <v>5072</v>
      </c>
      <c r="C2584" s="256" t="s">
        <v>4582</v>
      </c>
      <c r="D2584" s="256" t="s">
        <v>4581</v>
      </c>
      <c r="E2584" s="339" t="str">
        <f t="shared" si="41"/>
        <v>AC090000 : 미결환일괄결제</v>
      </c>
      <c r="K2584" s="65"/>
      <c r="L2584" s="65"/>
      <c r="M2584" s="65"/>
      <c r="N2584" s="65"/>
      <c r="O2584" s="65"/>
      <c r="P2584" s="65"/>
      <c r="Q2584" s="65"/>
      <c r="R2584" s="65"/>
      <c r="S2584" s="65"/>
    </row>
    <row r="2585" spans="1:19" s="64" customFormat="1">
      <c r="A2585" s="316" t="s">
        <v>439</v>
      </c>
      <c r="B2585" s="123" t="s">
        <v>5072</v>
      </c>
      <c r="C2585" s="256" t="s">
        <v>4580</v>
      </c>
      <c r="D2585" s="256" t="s">
        <v>4579</v>
      </c>
      <c r="E2585" s="339" t="str">
        <f t="shared" si="41"/>
        <v>AD010100 : 국내일반관리비집행</v>
      </c>
      <c r="K2585" s="65"/>
      <c r="L2585" s="65"/>
      <c r="M2585" s="65"/>
      <c r="N2585" s="65"/>
      <c r="O2585" s="65"/>
      <c r="P2585" s="65"/>
      <c r="Q2585" s="65"/>
      <c r="R2585" s="65"/>
      <c r="S2585" s="65"/>
    </row>
    <row r="2586" spans="1:19" s="64" customFormat="1">
      <c r="A2586" s="316" t="s">
        <v>439</v>
      </c>
      <c r="B2586" s="123" t="s">
        <v>5072</v>
      </c>
      <c r="C2586" s="256" t="s">
        <v>4578</v>
      </c>
      <c r="D2586" s="256" t="s">
        <v>4577</v>
      </c>
      <c r="E2586" s="339" t="str">
        <f t="shared" si="41"/>
        <v>AD010200 : 국내부서예산환입</v>
      </c>
      <c r="K2586" s="65"/>
      <c r="L2586" s="65"/>
      <c r="M2586" s="65"/>
      <c r="N2586" s="65"/>
      <c r="O2586" s="65"/>
      <c r="P2586" s="65"/>
      <c r="Q2586" s="65"/>
      <c r="R2586" s="65"/>
      <c r="S2586" s="65"/>
    </row>
    <row r="2587" spans="1:19" s="64" customFormat="1">
      <c r="A2587" s="316" t="s">
        <v>439</v>
      </c>
      <c r="B2587" s="123" t="s">
        <v>5072</v>
      </c>
      <c r="C2587" s="256" t="s">
        <v>4576</v>
      </c>
      <c r="D2587" s="256" t="s">
        <v>4575</v>
      </c>
      <c r="E2587" s="339" t="str">
        <f t="shared" si="41"/>
        <v>AD010300 : 국내부서비목정정</v>
      </c>
      <c r="K2587" s="65"/>
      <c r="L2587" s="65"/>
      <c r="M2587" s="65"/>
      <c r="N2587" s="65"/>
      <c r="O2587" s="65"/>
      <c r="P2587" s="65"/>
      <c r="Q2587" s="65"/>
      <c r="R2587" s="65"/>
      <c r="S2587" s="65"/>
    </row>
    <row r="2588" spans="1:19" s="64" customFormat="1">
      <c r="A2588" s="316" t="s">
        <v>439</v>
      </c>
      <c r="B2588" s="123" t="s">
        <v>5072</v>
      </c>
      <c r="C2588" s="256" t="s">
        <v>4574</v>
      </c>
      <c r="D2588" s="256" t="s">
        <v>4573</v>
      </c>
      <c r="E2588" s="339" t="str">
        <f t="shared" si="41"/>
        <v>AD010400 : 국내자본예산집행</v>
      </c>
      <c r="K2588" s="65"/>
      <c r="L2588" s="65"/>
      <c r="M2588" s="65"/>
      <c r="N2588" s="65"/>
      <c r="O2588" s="65"/>
      <c r="P2588" s="65"/>
      <c r="Q2588" s="65"/>
      <c r="R2588" s="65"/>
      <c r="S2588" s="65"/>
    </row>
    <row r="2589" spans="1:19" s="64" customFormat="1">
      <c r="A2589" s="316" t="s">
        <v>439</v>
      </c>
      <c r="B2589" s="123" t="s">
        <v>5072</v>
      </c>
      <c r="C2589" s="256" t="s">
        <v>4572</v>
      </c>
      <c r="D2589" s="256" t="s">
        <v>4571</v>
      </c>
      <c r="E2589" s="339" t="str">
        <f t="shared" si="41"/>
        <v>AD010600 : 국외일반관리비집행</v>
      </c>
      <c r="K2589" s="65"/>
      <c r="L2589" s="65"/>
      <c r="M2589" s="65"/>
      <c r="N2589" s="65"/>
      <c r="O2589" s="65"/>
      <c r="P2589" s="65"/>
      <c r="Q2589" s="65"/>
      <c r="R2589" s="65"/>
      <c r="S2589" s="65"/>
    </row>
    <row r="2590" spans="1:19" s="64" customFormat="1">
      <c r="A2590" s="316" t="s">
        <v>439</v>
      </c>
      <c r="B2590" s="123" t="s">
        <v>5072</v>
      </c>
      <c r="C2590" s="256" t="s">
        <v>4570</v>
      </c>
      <c r="D2590" s="256" t="s">
        <v>4569</v>
      </c>
      <c r="E2590" s="339" t="str">
        <f t="shared" si="41"/>
        <v>AD010700 : 국외자본예산집행</v>
      </c>
      <c r="K2590" s="65"/>
      <c r="L2590" s="65"/>
      <c r="M2590" s="65"/>
      <c r="N2590" s="65"/>
      <c r="O2590" s="65"/>
      <c r="P2590" s="65"/>
      <c r="Q2590" s="65"/>
      <c r="R2590" s="65"/>
      <c r="S2590" s="65"/>
    </row>
    <row r="2591" spans="1:19" s="64" customFormat="1">
      <c r="A2591" s="316" t="s">
        <v>439</v>
      </c>
      <c r="B2591" s="123" t="s">
        <v>5072</v>
      </c>
      <c r="C2591" s="256" t="s">
        <v>4568</v>
      </c>
      <c r="D2591" s="256" t="s">
        <v>4567</v>
      </c>
      <c r="E2591" s="339" t="str">
        <f t="shared" si="41"/>
        <v>AD010900 : 계좌출금방식수입및환입</v>
      </c>
      <c r="K2591" s="65"/>
      <c r="L2591" s="65"/>
      <c r="M2591" s="65"/>
      <c r="N2591" s="65"/>
      <c r="O2591" s="65"/>
      <c r="P2591" s="65"/>
      <c r="Q2591" s="65"/>
      <c r="R2591" s="65"/>
      <c r="S2591" s="65"/>
    </row>
    <row r="2592" spans="1:19" s="64" customFormat="1">
      <c r="A2592" s="316" t="s">
        <v>439</v>
      </c>
      <c r="B2592" s="123" t="s">
        <v>5072</v>
      </c>
      <c r="C2592" s="256" t="s">
        <v>4566</v>
      </c>
      <c r="D2592" s="256" t="s">
        <v>4565</v>
      </c>
      <c r="E2592" s="339" t="str">
        <f t="shared" si="41"/>
        <v>AD020000 : 국외사무소송금</v>
      </c>
      <c r="K2592" s="65"/>
      <c r="L2592" s="65"/>
      <c r="M2592" s="65"/>
      <c r="N2592" s="65"/>
      <c r="O2592" s="65"/>
      <c r="P2592" s="65"/>
      <c r="Q2592" s="65"/>
      <c r="R2592" s="65"/>
      <c r="S2592" s="65"/>
    </row>
    <row r="2593" spans="1:19" s="64" customFormat="1">
      <c r="A2593" s="316" t="s">
        <v>439</v>
      </c>
      <c r="B2593" s="123" t="s">
        <v>5072</v>
      </c>
      <c r="C2593" s="256" t="s">
        <v>4564</v>
      </c>
      <c r="D2593" s="256" t="s">
        <v>4563</v>
      </c>
      <c r="E2593" s="339" t="str">
        <f t="shared" si="41"/>
        <v>AD030000 : 신용카드대금결제</v>
      </c>
      <c r="K2593" s="65"/>
      <c r="L2593" s="65"/>
      <c r="M2593" s="65"/>
      <c r="N2593" s="65"/>
      <c r="O2593" s="65"/>
      <c r="P2593" s="65"/>
      <c r="Q2593" s="65"/>
      <c r="R2593" s="65"/>
      <c r="S2593" s="65"/>
    </row>
    <row r="2594" spans="1:19" s="64" customFormat="1">
      <c r="A2594" s="316" t="s">
        <v>439</v>
      </c>
      <c r="B2594" s="123" t="s">
        <v>5072</v>
      </c>
      <c r="C2594" s="256" t="s">
        <v>4562</v>
      </c>
      <c r="D2594" s="256" t="s">
        <v>4561</v>
      </c>
      <c r="E2594" s="339" t="str">
        <f t="shared" si="41"/>
        <v>AD210200 : 국제금융기구출연금</v>
      </c>
      <c r="K2594" s="65"/>
      <c r="L2594" s="65"/>
      <c r="M2594" s="65"/>
      <c r="N2594" s="65"/>
      <c r="O2594" s="65"/>
      <c r="P2594" s="65"/>
      <c r="Q2594" s="65"/>
      <c r="R2594" s="65"/>
      <c r="S2594" s="65"/>
    </row>
    <row r="2595" spans="1:19" s="64" customFormat="1">
      <c r="A2595" s="316" t="s">
        <v>439</v>
      </c>
      <c r="B2595" s="123" t="s">
        <v>5072</v>
      </c>
      <c r="C2595" s="256" t="s">
        <v>4560</v>
      </c>
      <c r="D2595" s="256" t="s">
        <v>4559</v>
      </c>
      <c r="E2595" s="339" t="str">
        <f t="shared" si="41"/>
        <v>AD999900 : 예산기타</v>
      </c>
      <c r="K2595" s="65"/>
      <c r="L2595" s="65"/>
      <c r="M2595" s="65"/>
      <c r="N2595" s="65"/>
      <c r="O2595" s="65"/>
      <c r="P2595" s="65"/>
      <c r="Q2595" s="65"/>
      <c r="R2595" s="65"/>
      <c r="S2595" s="65"/>
    </row>
    <row r="2596" spans="1:19" s="64" customFormat="1">
      <c r="A2596" s="316" t="s">
        <v>439</v>
      </c>
      <c r="B2596" s="123" t="s">
        <v>5072</v>
      </c>
      <c r="C2596" s="256" t="s">
        <v>4558</v>
      </c>
      <c r="D2596" s="256" t="s">
        <v>4557</v>
      </c>
      <c r="E2596" s="339" t="str">
        <f t="shared" si="41"/>
        <v>BI301010 : 일반지급</v>
      </c>
      <c r="K2596" s="65"/>
      <c r="L2596" s="65"/>
      <c r="M2596" s="65"/>
      <c r="N2596" s="65"/>
      <c r="O2596" s="65"/>
      <c r="P2596" s="65"/>
      <c r="Q2596" s="65"/>
      <c r="R2596" s="65"/>
      <c r="S2596" s="65"/>
    </row>
    <row r="2597" spans="1:19" s="64" customFormat="1">
      <c r="A2597" s="316" t="s">
        <v>439</v>
      </c>
      <c r="B2597" s="123" t="s">
        <v>5072</v>
      </c>
      <c r="C2597" s="256" t="s">
        <v>4556</v>
      </c>
      <c r="D2597" s="256" t="s">
        <v>4555</v>
      </c>
      <c r="E2597" s="339" t="str">
        <f t="shared" si="41"/>
        <v>BI301020 : 일반수납</v>
      </c>
      <c r="K2597" s="65"/>
      <c r="L2597" s="65"/>
      <c r="M2597" s="65"/>
      <c r="N2597" s="65"/>
      <c r="O2597" s="65"/>
      <c r="P2597" s="65"/>
      <c r="Q2597" s="65"/>
      <c r="R2597" s="65"/>
      <c r="S2597" s="65"/>
    </row>
    <row r="2598" spans="1:19" s="64" customFormat="1">
      <c r="A2598" s="316" t="s">
        <v>439</v>
      </c>
      <c r="B2598" s="123" t="s">
        <v>5072</v>
      </c>
      <c r="C2598" s="256" t="s">
        <v>4554</v>
      </c>
      <c r="D2598" s="256" t="s">
        <v>4553</v>
      </c>
      <c r="E2598" s="339" t="str">
        <f t="shared" si="41"/>
        <v>BI302010 : 금융기관지급</v>
      </c>
      <c r="K2598" s="65"/>
      <c r="L2598" s="65"/>
      <c r="M2598" s="65"/>
      <c r="N2598" s="65"/>
      <c r="O2598" s="65"/>
      <c r="P2598" s="65"/>
      <c r="Q2598" s="65"/>
      <c r="R2598" s="65"/>
      <c r="S2598" s="65"/>
    </row>
    <row r="2599" spans="1:19" s="64" customFormat="1">
      <c r="A2599" s="316" t="s">
        <v>439</v>
      </c>
      <c r="B2599" s="123" t="s">
        <v>5072</v>
      </c>
      <c r="C2599" s="256" t="s">
        <v>4552</v>
      </c>
      <c r="D2599" s="256" t="s">
        <v>4551</v>
      </c>
      <c r="E2599" s="339" t="str">
        <f t="shared" si="41"/>
        <v>BI302020 : 금융기관수납</v>
      </c>
      <c r="K2599" s="65"/>
      <c r="L2599" s="65"/>
      <c r="M2599" s="65"/>
      <c r="N2599" s="65"/>
      <c r="O2599" s="65"/>
      <c r="P2599" s="65"/>
      <c r="Q2599" s="65"/>
      <c r="R2599" s="65"/>
      <c r="S2599" s="65"/>
    </row>
    <row r="2600" spans="1:19" s="64" customFormat="1">
      <c r="A2600" s="316" t="s">
        <v>439</v>
      </c>
      <c r="B2600" s="123" t="s">
        <v>5072</v>
      </c>
      <c r="C2600" s="256" t="s">
        <v>4550</v>
      </c>
      <c r="D2600" s="256" t="s">
        <v>4549</v>
      </c>
      <c r="E2600" s="339" t="str">
        <f t="shared" si="41"/>
        <v>BI401010 : 출입고</v>
      </c>
      <c r="K2600" s="65"/>
      <c r="L2600" s="65"/>
      <c r="M2600" s="65"/>
      <c r="N2600" s="65"/>
      <c r="O2600" s="65"/>
      <c r="P2600" s="65"/>
      <c r="Q2600" s="65"/>
      <c r="R2600" s="65"/>
      <c r="S2600" s="65"/>
    </row>
    <row r="2601" spans="1:19" s="64" customFormat="1">
      <c r="A2601" s="316" t="s">
        <v>439</v>
      </c>
      <c r="B2601" s="123" t="s">
        <v>5072</v>
      </c>
      <c r="C2601" s="256" t="s">
        <v>4548</v>
      </c>
      <c r="D2601" s="256" t="s">
        <v>4547</v>
      </c>
      <c r="E2601" s="339" t="str">
        <f t="shared" si="41"/>
        <v>BI402010 : 소손소각</v>
      </c>
      <c r="K2601" s="65"/>
      <c r="L2601" s="65"/>
      <c r="M2601" s="65"/>
      <c r="N2601" s="65"/>
      <c r="O2601" s="65"/>
      <c r="P2601" s="65"/>
      <c r="Q2601" s="65"/>
      <c r="R2601" s="65"/>
      <c r="S2601" s="65"/>
    </row>
    <row r="2602" spans="1:19" s="64" customFormat="1">
      <c r="A2602" s="316" t="s">
        <v>439</v>
      </c>
      <c r="B2602" s="123" t="s">
        <v>5072</v>
      </c>
      <c r="C2602" s="256" t="s">
        <v>4546</v>
      </c>
      <c r="D2602" s="256" t="s">
        <v>4545</v>
      </c>
      <c r="E2602" s="339" t="str">
        <f t="shared" si="41"/>
        <v>BI403010 : 견양폐기</v>
      </c>
      <c r="K2602" s="65"/>
      <c r="L2602" s="65"/>
      <c r="M2602" s="65"/>
      <c r="N2602" s="65"/>
      <c r="O2602" s="65"/>
      <c r="P2602" s="65"/>
      <c r="Q2602" s="65"/>
      <c r="R2602" s="65"/>
      <c r="S2602" s="65"/>
    </row>
    <row r="2603" spans="1:19" s="64" customFormat="1">
      <c r="A2603" s="316" t="s">
        <v>439</v>
      </c>
      <c r="B2603" s="123" t="s">
        <v>5072</v>
      </c>
      <c r="C2603" s="256" t="s">
        <v>4544</v>
      </c>
      <c r="D2603" s="256" t="s">
        <v>4543</v>
      </c>
      <c r="E2603" s="339" t="str">
        <f t="shared" si="41"/>
        <v>BI404010 : 소손권교환</v>
      </c>
      <c r="K2603" s="65"/>
      <c r="L2603" s="65"/>
      <c r="M2603" s="65"/>
      <c r="N2603" s="65"/>
      <c r="O2603" s="65"/>
      <c r="P2603" s="65"/>
      <c r="Q2603" s="65"/>
      <c r="R2603" s="65"/>
      <c r="S2603" s="65"/>
    </row>
    <row r="2604" spans="1:19" s="64" customFormat="1">
      <c r="A2604" s="316" t="s">
        <v>439</v>
      </c>
      <c r="B2604" s="123" t="s">
        <v>5072</v>
      </c>
      <c r="C2604" s="256" t="s">
        <v>4542</v>
      </c>
      <c r="D2604" s="256" t="s">
        <v>4541</v>
      </c>
      <c r="E2604" s="339" t="str">
        <f t="shared" si="41"/>
        <v>BI405010 : 51호화폐상태변경</v>
      </c>
      <c r="K2604" s="65"/>
      <c r="L2604" s="65"/>
      <c r="M2604" s="65"/>
      <c r="N2604" s="65"/>
      <c r="O2604" s="65"/>
      <c r="P2604" s="65"/>
      <c r="Q2604" s="65"/>
      <c r="R2604" s="65"/>
      <c r="S2604" s="65"/>
    </row>
    <row r="2605" spans="1:19" s="64" customFormat="1">
      <c r="A2605" s="316" t="s">
        <v>439</v>
      </c>
      <c r="B2605" s="123" t="s">
        <v>5072</v>
      </c>
      <c r="C2605" s="256" t="s">
        <v>4540</v>
      </c>
      <c r="D2605" s="256" t="s">
        <v>4539</v>
      </c>
      <c r="E2605" s="339" t="str">
        <f t="shared" si="41"/>
        <v>BI501010 : 과간현송</v>
      </c>
      <c r="K2605" s="65"/>
      <c r="L2605" s="65"/>
      <c r="M2605" s="65"/>
      <c r="N2605" s="65"/>
      <c r="O2605" s="65"/>
      <c r="P2605" s="65"/>
      <c r="Q2605" s="65"/>
      <c r="R2605" s="65"/>
      <c r="S2605" s="65"/>
    </row>
    <row r="2606" spans="1:19" s="64" customFormat="1">
      <c r="A2606" s="316" t="s">
        <v>439</v>
      </c>
      <c r="B2606" s="123" t="s">
        <v>5072</v>
      </c>
      <c r="C2606" s="256" t="s">
        <v>4538</v>
      </c>
      <c r="D2606" s="256" t="s">
        <v>4537</v>
      </c>
      <c r="E2606" s="339" t="str">
        <f t="shared" si="41"/>
        <v>BI501020 : 과간현수</v>
      </c>
      <c r="K2606" s="65"/>
      <c r="L2606" s="65"/>
      <c r="M2606" s="65"/>
      <c r="N2606" s="65"/>
      <c r="O2606" s="65"/>
      <c r="P2606" s="65"/>
      <c r="Q2606" s="65"/>
      <c r="R2606" s="65"/>
      <c r="S2606" s="65"/>
    </row>
    <row r="2607" spans="1:19" s="64" customFormat="1">
      <c r="A2607" s="316" t="s">
        <v>439</v>
      </c>
      <c r="B2607" s="123" t="s">
        <v>5072</v>
      </c>
      <c r="C2607" s="256" t="s">
        <v>4536</v>
      </c>
      <c r="D2607" s="256" t="s">
        <v>4535</v>
      </c>
      <c r="E2607" s="339" t="str">
        <f t="shared" si="41"/>
        <v>BI502010 : 부서간현송</v>
      </c>
      <c r="K2607" s="65"/>
      <c r="L2607" s="65"/>
      <c r="M2607" s="65"/>
      <c r="N2607" s="65"/>
      <c r="O2607" s="65"/>
      <c r="P2607" s="65"/>
      <c r="Q2607" s="65"/>
      <c r="R2607" s="65"/>
      <c r="S2607" s="65"/>
    </row>
    <row r="2608" spans="1:19" s="64" customFormat="1">
      <c r="A2608" s="316" t="s">
        <v>439</v>
      </c>
      <c r="B2608" s="123" t="s">
        <v>5072</v>
      </c>
      <c r="C2608" s="256" t="s">
        <v>4534</v>
      </c>
      <c r="D2608" s="256" t="s">
        <v>4533</v>
      </c>
      <c r="E2608" s="339" t="str">
        <f t="shared" si="41"/>
        <v>BI502020 : 부서간현수</v>
      </c>
      <c r="K2608" s="65"/>
      <c r="L2608" s="65"/>
      <c r="M2608" s="65"/>
      <c r="N2608" s="65"/>
      <c r="O2608" s="65"/>
      <c r="P2608" s="65"/>
      <c r="Q2608" s="65"/>
      <c r="R2608" s="65"/>
      <c r="S2608" s="65"/>
    </row>
    <row r="2609" spans="1:19" s="64" customFormat="1">
      <c r="A2609" s="316" t="s">
        <v>439</v>
      </c>
      <c r="B2609" s="123" t="s">
        <v>5072</v>
      </c>
      <c r="C2609" s="256" t="s">
        <v>4532</v>
      </c>
      <c r="D2609" s="256" t="s">
        <v>4531</v>
      </c>
      <c r="E2609" s="339" t="str">
        <f t="shared" si="41"/>
        <v>BI503010 : 제조수납</v>
      </c>
      <c r="K2609" s="65"/>
      <c r="L2609" s="65"/>
      <c r="M2609" s="65"/>
      <c r="N2609" s="65"/>
      <c r="O2609" s="65"/>
      <c r="P2609" s="65"/>
      <c r="Q2609" s="65"/>
      <c r="R2609" s="65"/>
      <c r="S2609" s="65"/>
    </row>
    <row r="2610" spans="1:19" s="64" customFormat="1">
      <c r="A2610" s="316" t="s">
        <v>439</v>
      </c>
      <c r="B2610" s="123" t="s">
        <v>5072</v>
      </c>
      <c r="C2610" s="256" t="s">
        <v>4530</v>
      </c>
      <c r="D2610" s="256" t="s">
        <v>4529</v>
      </c>
      <c r="E2610" s="339" t="str">
        <f t="shared" si="41"/>
        <v>BI504010 : 소각현송</v>
      </c>
      <c r="K2610" s="65"/>
      <c r="L2610" s="65"/>
      <c r="M2610" s="65"/>
      <c r="N2610" s="65"/>
      <c r="O2610" s="65"/>
      <c r="P2610" s="65"/>
      <c r="Q2610" s="65"/>
      <c r="R2610" s="65"/>
      <c r="S2610" s="65"/>
    </row>
    <row r="2611" spans="1:19" s="64" customFormat="1">
      <c r="A2611" s="316" t="s">
        <v>439</v>
      </c>
      <c r="B2611" s="123" t="s">
        <v>5072</v>
      </c>
      <c r="C2611" s="256" t="s">
        <v>4528</v>
      </c>
      <c r="D2611" s="256" t="s">
        <v>4527</v>
      </c>
      <c r="E2611" s="339" t="str">
        <f t="shared" si="41"/>
        <v>BI504020 : 소각처리</v>
      </c>
      <c r="K2611" s="65"/>
      <c r="L2611" s="65"/>
      <c r="M2611" s="65"/>
      <c r="N2611" s="65"/>
      <c r="O2611" s="65"/>
      <c r="P2611" s="65"/>
      <c r="Q2611" s="65"/>
      <c r="R2611" s="65"/>
      <c r="S2611" s="65"/>
    </row>
    <row r="2612" spans="1:19" s="64" customFormat="1">
      <c r="A2612" s="316" t="s">
        <v>439</v>
      </c>
      <c r="B2612" s="123" t="s">
        <v>5072</v>
      </c>
      <c r="C2612" s="256" t="s">
        <v>4526</v>
      </c>
      <c r="D2612" s="256" t="s">
        <v>4525</v>
      </c>
      <c r="E2612" s="339" t="str">
        <f t="shared" si="41"/>
        <v>BI601010 : 정감사천공</v>
      </c>
      <c r="K2612" s="65"/>
      <c r="L2612" s="65"/>
      <c r="M2612" s="65"/>
      <c r="N2612" s="65"/>
      <c r="O2612" s="65"/>
      <c r="P2612" s="65"/>
      <c r="Q2612" s="65"/>
      <c r="R2612" s="65"/>
      <c r="S2612" s="65"/>
    </row>
    <row r="2613" spans="1:19" s="64" customFormat="1">
      <c r="A2613" s="316" t="s">
        <v>439</v>
      </c>
      <c r="B2613" s="123" t="s">
        <v>5072</v>
      </c>
      <c r="C2613" s="256" t="s">
        <v>4524</v>
      </c>
      <c r="D2613" s="256" t="s">
        <v>4523</v>
      </c>
      <c r="E2613" s="339" t="str">
        <f t="shared" si="41"/>
        <v>BI901051 : 지급계마감</v>
      </c>
      <c r="K2613" s="65"/>
      <c r="L2613" s="65"/>
      <c r="M2613" s="65"/>
      <c r="N2613" s="65"/>
      <c r="O2613" s="65"/>
      <c r="P2613" s="65"/>
      <c r="Q2613" s="65"/>
      <c r="R2613" s="65"/>
      <c r="S2613" s="65"/>
    </row>
    <row r="2614" spans="1:19" s="64" customFormat="1">
      <c r="A2614" s="316" t="s">
        <v>439</v>
      </c>
      <c r="B2614" s="123" t="s">
        <v>5072</v>
      </c>
      <c r="C2614" s="256" t="s">
        <v>4522</v>
      </c>
      <c r="D2614" s="256" t="s">
        <v>4521</v>
      </c>
      <c r="E2614" s="339" t="str">
        <f t="shared" si="41"/>
        <v>BI901052 : 수납계마감</v>
      </c>
      <c r="K2614" s="65"/>
      <c r="L2614" s="65"/>
      <c r="M2614" s="65"/>
      <c r="N2614" s="65"/>
      <c r="O2614" s="65"/>
      <c r="P2614" s="65"/>
      <c r="Q2614" s="65"/>
      <c r="R2614" s="65"/>
      <c r="S2614" s="65"/>
    </row>
    <row r="2615" spans="1:19" s="64" customFormat="1">
      <c r="A2615" s="316" t="s">
        <v>439</v>
      </c>
      <c r="B2615" s="123" t="s">
        <v>5072</v>
      </c>
      <c r="C2615" s="256" t="s">
        <v>4520</v>
      </c>
      <c r="D2615" s="256" t="s">
        <v>4519</v>
      </c>
      <c r="E2615" s="339" t="str">
        <f t="shared" si="41"/>
        <v>BI901053 : 교환계마감</v>
      </c>
      <c r="K2615" s="65"/>
      <c r="L2615" s="65"/>
      <c r="M2615" s="65"/>
      <c r="N2615" s="65"/>
      <c r="O2615" s="65"/>
      <c r="P2615" s="65"/>
      <c r="Q2615" s="65"/>
      <c r="R2615" s="65"/>
      <c r="S2615" s="65"/>
    </row>
    <row r="2616" spans="1:19" s="64" customFormat="1">
      <c r="A2616" s="316" t="s">
        <v>439</v>
      </c>
      <c r="B2616" s="123" t="s">
        <v>5072</v>
      </c>
      <c r="C2616" s="256" t="s">
        <v>4518</v>
      </c>
      <c r="D2616" s="256" t="s">
        <v>4517</v>
      </c>
      <c r="E2616" s="339" t="str">
        <f t="shared" si="41"/>
        <v>CS011000 : 자금 지급 지시(CS)</v>
      </c>
      <c r="K2616" s="65"/>
      <c r="L2616" s="65"/>
      <c r="M2616" s="65"/>
      <c r="N2616" s="65"/>
      <c r="O2616" s="65"/>
      <c r="P2616" s="65"/>
      <c r="Q2616" s="65"/>
      <c r="R2616" s="65"/>
      <c r="S2616" s="65"/>
    </row>
    <row r="2617" spans="1:19" s="64" customFormat="1">
      <c r="A2617" s="316" t="s">
        <v>439</v>
      </c>
      <c r="B2617" s="123" t="s">
        <v>5072</v>
      </c>
      <c r="C2617" s="256" t="s">
        <v>4516</v>
      </c>
      <c r="D2617" s="256" t="s">
        <v>4515</v>
      </c>
      <c r="E2617" s="339" t="str">
        <f t="shared" si="41"/>
        <v>CS011100 : 자금지급지시(CS)-국제국앞환취결</v>
      </c>
      <c r="K2617" s="65"/>
      <c r="L2617" s="65"/>
      <c r="M2617" s="65"/>
      <c r="N2617" s="65"/>
      <c r="O2617" s="65"/>
      <c r="P2617" s="65"/>
      <c r="Q2617" s="65"/>
      <c r="R2617" s="65"/>
      <c r="S2617" s="65"/>
    </row>
    <row r="2618" spans="1:19" s="64" customFormat="1">
      <c r="A2618" s="316" t="s">
        <v>439</v>
      </c>
      <c r="B2618" s="123" t="s">
        <v>5072</v>
      </c>
      <c r="C2618" s="256" t="s">
        <v>4514</v>
      </c>
      <c r="D2618" s="256" t="s">
        <v>4513</v>
      </c>
      <c r="E2618" s="339" t="str">
        <f t="shared" si="41"/>
        <v>CS011200 : 자금 반환</v>
      </c>
      <c r="K2618" s="65"/>
      <c r="L2618" s="65"/>
      <c r="M2618" s="65"/>
      <c r="N2618" s="65"/>
      <c r="O2618" s="65"/>
      <c r="P2618" s="65"/>
      <c r="Q2618" s="65"/>
      <c r="R2618" s="65"/>
      <c r="S2618" s="65"/>
    </row>
    <row r="2619" spans="1:19" s="64" customFormat="1">
      <c r="A2619" s="316" t="s">
        <v>439</v>
      </c>
      <c r="B2619" s="123" t="s">
        <v>5072</v>
      </c>
      <c r="C2619" s="256" t="s">
        <v>4512</v>
      </c>
      <c r="D2619" s="256" t="s">
        <v>4511</v>
      </c>
      <c r="E2619" s="339" t="str">
        <f t="shared" si="41"/>
        <v>CS012100 : 한은금융망-자금이체(CS)</v>
      </c>
      <c r="K2619" s="65"/>
      <c r="L2619" s="65"/>
      <c r="M2619" s="65"/>
      <c r="N2619" s="65"/>
      <c r="O2619" s="65"/>
      <c r="P2619" s="65"/>
      <c r="Q2619" s="65"/>
      <c r="R2619" s="65"/>
      <c r="S2619" s="65"/>
    </row>
    <row r="2620" spans="1:19" s="64" customFormat="1">
      <c r="A2620" s="316" t="s">
        <v>439</v>
      </c>
      <c r="B2620" s="123" t="s">
        <v>5072</v>
      </c>
      <c r="C2620" s="256" t="s">
        <v>4510</v>
      </c>
      <c r="D2620" s="256" t="s">
        <v>4509</v>
      </c>
      <c r="E2620" s="339" t="str">
        <f t="shared" si="41"/>
        <v>CS012200 : 미결제환 결제(CS)</v>
      </c>
      <c r="K2620" s="65"/>
      <c r="L2620" s="65"/>
      <c r="M2620" s="65"/>
      <c r="N2620" s="65"/>
      <c r="O2620" s="65"/>
      <c r="P2620" s="65"/>
      <c r="Q2620" s="65"/>
      <c r="R2620" s="65"/>
      <c r="S2620" s="65"/>
    </row>
    <row r="2621" spans="1:19" s="64" customFormat="1">
      <c r="A2621" s="316" t="s">
        <v>439</v>
      </c>
      <c r="B2621" s="123" t="s">
        <v>5072</v>
      </c>
      <c r="C2621" s="256" t="s">
        <v>4508</v>
      </c>
      <c r="D2621" s="256" t="s">
        <v>4507</v>
      </c>
      <c r="E2621" s="339" t="str">
        <f t="shared" si="41"/>
        <v>CS012300 : 미결제환 자금반환(CS)</v>
      </c>
      <c r="K2621" s="65"/>
      <c r="L2621" s="65"/>
      <c r="M2621" s="65"/>
      <c r="N2621" s="65"/>
      <c r="O2621" s="65"/>
      <c r="P2621" s="65"/>
      <c r="Q2621" s="65"/>
      <c r="R2621" s="65"/>
      <c r="S2621" s="65"/>
    </row>
    <row r="2622" spans="1:19" s="64" customFormat="1">
      <c r="A2622" s="316" t="s">
        <v>439</v>
      </c>
      <c r="B2622" s="123" t="s">
        <v>5072</v>
      </c>
      <c r="C2622" s="256" t="s">
        <v>4506</v>
      </c>
      <c r="D2622" s="256" t="s">
        <v>4505</v>
      </c>
      <c r="E2622" s="339" t="str">
        <f t="shared" si="41"/>
        <v>CS013100 : DVP-증권매수(CS)</v>
      </c>
      <c r="K2622" s="65"/>
      <c r="L2622" s="65"/>
      <c r="M2622" s="65"/>
      <c r="N2622" s="65"/>
      <c r="O2622" s="65"/>
      <c r="P2622" s="65"/>
      <c r="Q2622" s="65"/>
      <c r="R2622" s="65"/>
      <c r="S2622" s="65"/>
    </row>
    <row r="2623" spans="1:19" s="64" customFormat="1">
      <c r="A2623" s="316" t="s">
        <v>439</v>
      </c>
      <c r="B2623" s="123" t="s">
        <v>5072</v>
      </c>
      <c r="C2623" s="256" t="s">
        <v>4504</v>
      </c>
      <c r="D2623" s="256" t="s">
        <v>4503</v>
      </c>
      <c r="E2623" s="339" t="str">
        <f t="shared" si="41"/>
        <v>CS013200 : DVP-증권매도(CS)</v>
      </c>
      <c r="K2623" s="65"/>
      <c r="L2623" s="65"/>
      <c r="M2623" s="65"/>
      <c r="N2623" s="65"/>
      <c r="O2623" s="65"/>
      <c r="P2623" s="65"/>
      <c r="Q2623" s="65"/>
      <c r="R2623" s="65"/>
      <c r="S2623" s="65"/>
    </row>
    <row r="2624" spans="1:19" s="64" customFormat="1">
      <c r="A2624" s="316" t="s">
        <v>439</v>
      </c>
      <c r="B2624" s="123" t="s">
        <v>5072</v>
      </c>
      <c r="C2624" s="256" t="s">
        <v>4502</v>
      </c>
      <c r="D2624" s="256" t="s">
        <v>4501</v>
      </c>
      <c r="E2624" s="339" t="str">
        <f t="shared" si="41"/>
        <v>CS013500 : 분리결제-증권매수(CS)</v>
      </c>
      <c r="K2624" s="65"/>
      <c r="L2624" s="65"/>
      <c r="M2624" s="65"/>
      <c r="N2624" s="65"/>
      <c r="O2624" s="65"/>
      <c r="P2624" s="65"/>
      <c r="Q2624" s="65"/>
      <c r="R2624" s="65"/>
      <c r="S2624" s="65"/>
    </row>
    <row r="2625" spans="1:19" s="64" customFormat="1">
      <c r="A2625" s="316" t="s">
        <v>439</v>
      </c>
      <c r="B2625" s="123" t="s">
        <v>5072</v>
      </c>
      <c r="C2625" s="256" t="s">
        <v>4500</v>
      </c>
      <c r="D2625" s="256" t="s">
        <v>4499</v>
      </c>
      <c r="E2625" s="339" t="str">
        <f t="shared" si="41"/>
        <v>CS013600 : 분리결제-증권매도(CS)</v>
      </c>
      <c r="K2625" s="65"/>
      <c r="L2625" s="65"/>
      <c r="M2625" s="65"/>
      <c r="N2625" s="65"/>
      <c r="O2625" s="65"/>
      <c r="P2625" s="65"/>
      <c r="Q2625" s="65"/>
      <c r="R2625" s="65"/>
      <c r="S2625" s="65"/>
    </row>
    <row r="2626" spans="1:19" s="64" customFormat="1">
      <c r="A2626" s="316" t="s">
        <v>439</v>
      </c>
      <c r="B2626" s="123" t="s">
        <v>5072</v>
      </c>
      <c r="C2626" s="256" t="s">
        <v>4498</v>
      </c>
      <c r="D2626" s="256" t="s">
        <v>4497</v>
      </c>
      <c r="E2626" s="339" t="str">
        <f t="shared" si="41"/>
        <v>CS014000 : 이자수령(CS)</v>
      </c>
      <c r="K2626" s="65"/>
      <c r="L2626" s="65"/>
      <c r="M2626" s="65"/>
      <c r="N2626" s="65"/>
      <c r="O2626" s="65"/>
      <c r="P2626" s="65"/>
      <c r="Q2626" s="65"/>
      <c r="R2626" s="65"/>
      <c r="S2626" s="65"/>
    </row>
    <row r="2627" spans="1:19" s="64" customFormat="1">
      <c r="A2627" s="316" t="s">
        <v>439</v>
      </c>
      <c r="B2627" s="123" t="s">
        <v>5072</v>
      </c>
      <c r="C2627" s="256" t="s">
        <v>4496</v>
      </c>
      <c r="D2627" s="256" t="s">
        <v>4495</v>
      </c>
      <c r="E2627" s="339" t="str">
        <f t="shared" si="41"/>
        <v>CS015100 : 원리금수령(CS)-이표채</v>
      </c>
      <c r="K2627" s="65"/>
      <c r="L2627" s="65"/>
      <c r="M2627" s="65"/>
      <c r="N2627" s="65"/>
      <c r="O2627" s="65"/>
      <c r="P2627" s="65"/>
      <c r="Q2627" s="65"/>
      <c r="R2627" s="65"/>
      <c r="S2627" s="65"/>
    </row>
    <row r="2628" spans="1:19" s="64" customFormat="1">
      <c r="A2628" s="316" t="s">
        <v>439</v>
      </c>
      <c r="B2628" s="123" t="s">
        <v>5072</v>
      </c>
      <c r="C2628" s="256" t="s">
        <v>4494</v>
      </c>
      <c r="D2628" s="256" t="s">
        <v>4493</v>
      </c>
      <c r="E2628" s="339" t="str">
        <f t="shared" si="41"/>
        <v>CS015200 : 원리금수령(CS)-할인채</v>
      </c>
      <c r="K2628" s="65"/>
      <c r="L2628" s="65"/>
      <c r="M2628" s="65"/>
      <c r="N2628" s="65"/>
      <c r="O2628" s="65"/>
      <c r="P2628" s="65"/>
      <c r="Q2628" s="65"/>
      <c r="R2628" s="65"/>
      <c r="S2628" s="65"/>
    </row>
    <row r="2629" spans="1:19" s="64" customFormat="1">
      <c r="A2629" s="316" t="s">
        <v>439</v>
      </c>
      <c r="B2629" s="123" t="s">
        <v>5072</v>
      </c>
      <c r="C2629" s="256" t="s">
        <v>4492</v>
      </c>
      <c r="D2629" s="256" t="s">
        <v>4491</v>
      </c>
      <c r="E2629" s="339" t="str">
        <f t="shared" si="41"/>
        <v>CS016100 : CS수수료차기-당행분(CS)</v>
      </c>
      <c r="K2629" s="65"/>
      <c r="L2629" s="65"/>
      <c r="M2629" s="65"/>
      <c r="N2629" s="65"/>
      <c r="O2629" s="65"/>
      <c r="P2629" s="65"/>
      <c r="Q2629" s="65"/>
      <c r="R2629" s="65"/>
      <c r="S2629" s="65"/>
    </row>
    <row r="2630" spans="1:19" s="64" customFormat="1">
      <c r="A2630" s="316" t="s">
        <v>439</v>
      </c>
      <c r="B2630" s="123" t="s">
        <v>5072</v>
      </c>
      <c r="C2630" s="256" t="s">
        <v>4490</v>
      </c>
      <c r="D2630" s="256" t="s">
        <v>4489</v>
      </c>
      <c r="E2630" s="339" t="str">
        <f t="shared" si="41"/>
        <v>CS016200 : CS수수료차기-예탁원수수료(CS)</v>
      </c>
      <c r="K2630" s="65"/>
      <c r="L2630" s="65"/>
      <c r="M2630" s="65"/>
      <c r="N2630" s="65"/>
      <c r="O2630" s="65"/>
      <c r="P2630" s="65"/>
      <c r="Q2630" s="65"/>
      <c r="R2630" s="65"/>
      <c r="S2630" s="65"/>
    </row>
    <row r="2631" spans="1:19" s="64" customFormat="1">
      <c r="A2631" s="316" t="s">
        <v>439</v>
      </c>
      <c r="B2631" s="123" t="s">
        <v>5072</v>
      </c>
      <c r="C2631" s="256" t="s">
        <v>4488</v>
      </c>
      <c r="D2631" s="256" t="s">
        <v>4487</v>
      </c>
      <c r="E2631" s="339" t="str">
        <f t="shared" si="41"/>
        <v>CS017100 : 최대당좌잔액 초과분이체(CS)</v>
      </c>
      <c r="K2631" s="65"/>
      <c r="L2631" s="65"/>
      <c r="M2631" s="65"/>
      <c r="N2631" s="65"/>
      <c r="O2631" s="65"/>
      <c r="P2631" s="65"/>
      <c r="Q2631" s="65"/>
      <c r="R2631" s="65"/>
      <c r="S2631" s="65"/>
    </row>
    <row r="2632" spans="1:19" s="64" customFormat="1">
      <c r="A2632" s="316" t="s">
        <v>439</v>
      </c>
      <c r="B2632" s="123" t="s">
        <v>5072</v>
      </c>
      <c r="C2632" s="256" t="s">
        <v>4486</v>
      </c>
      <c r="D2632" s="256" t="s">
        <v>4485</v>
      </c>
      <c r="E2632" s="339" t="str">
        <f t="shared" si="41"/>
        <v>DP011100 : 당좌예금입금</v>
      </c>
      <c r="K2632" s="65"/>
      <c r="L2632" s="65"/>
      <c r="M2632" s="65"/>
      <c r="N2632" s="65"/>
      <c r="O2632" s="65"/>
      <c r="P2632" s="65"/>
      <c r="Q2632" s="65"/>
      <c r="R2632" s="65"/>
      <c r="S2632" s="65"/>
    </row>
    <row r="2633" spans="1:19" s="64" customFormat="1">
      <c r="A2633" s="316" t="s">
        <v>439</v>
      </c>
      <c r="B2633" s="123" t="s">
        <v>5072</v>
      </c>
      <c r="C2633" s="256" t="s">
        <v>4484</v>
      </c>
      <c r="D2633" s="256" t="s">
        <v>4483</v>
      </c>
      <c r="E2633" s="339" t="str">
        <f t="shared" si="41"/>
        <v>DP011200 : 출납현금입금</v>
      </c>
      <c r="K2633" s="65"/>
      <c r="L2633" s="65"/>
      <c r="M2633" s="65"/>
      <c r="N2633" s="65"/>
      <c r="O2633" s="65"/>
      <c r="P2633" s="65"/>
      <c r="Q2633" s="65"/>
      <c r="R2633" s="65"/>
      <c r="S2633" s="65"/>
    </row>
    <row r="2634" spans="1:19" s="64" customFormat="1">
      <c r="A2634" s="316" t="s">
        <v>439</v>
      </c>
      <c r="B2634" s="123" t="s">
        <v>5072</v>
      </c>
      <c r="C2634" s="256" t="s">
        <v>4482</v>
      </c>
      <c r="D2634" s="256" t="s">
        <v>4481</v>
      </c>
      <c r="E2634" s="339" t="str">
        <f t="shared" si="41"/>
        <v>DP012100 : 현금출금(당행)</v>
      </c>
      <c r="K2634" s="65"/>
      <c r="L2634" s="65"/>
      <c r="M2634" s="65"/>
      <c r="N2634" s="65"/>
      <c r="O2634" s="65"/>
      <c r="P2634" s="65"/>
      <c r="Q2634" s="65"/>
      <c r="R2634" s="65"/>
      <c r="S2634" s="65"/>
    </row>
    <row r="2635" spans="1:19" s="64" customFormat="1">
      <c r="A2635" s="316" t="s">
        <v>439</v>
      </c>
      <c r="B2635" s="123" t="s">
        <v>5072</v>
      </c>
      <c r="C2635" s="256" t="s">
        <v>4480</v>
      </c>
      <c r="D2635" s="256" t="s">
        <v>4479</v>
      </c>
      <c r="E2635" s="339" t="str">
        <f t="shared" si="41"/>
        <v>DP012199 : 현금출금(WIRE)</v>
      </c>
      <c r="K2635" s="65"/>
      <c r="L2635" s="65"/>
      <c r="M2635" s="65"/>
      <c r="N2635" s="65"/>
      <c r="O2635" s="65"/>
      <c r="P2635" s="65"/>
      <c r="Q2635" s="65"/>
      <c r="R2635" s="65"/>
      <c r="S2635" s="65"/>
    </row>
    <row r="2636" spans="1:19" s="64" customFormat="1">
      <c r="A2636" s="316" t="s">
        <v>439</v>
      </c>
      <c r="B2636" s="123" t="s">
        <v>5072</v>
      </c>
      <c r="C2636" s="256" t="s">
        <v>4478</v>
      </c>
      <c r="D2636" s="256" t="s">
        <v>3694</v>
      </c>
      <c r="E2636" s="339" t="str">
        <f t="shared" si="41"/>
        <v>DP020000 : 자금이체(당행)</v>
      </c>
      <c r="K2636" s="65"/>
      <c r="L2636" s="65"/>
      <c r="M2636" s="65"/>
      <c r="N2636" s="65"/>
      <c r="O2636" s="65"/>
      <c r="P2636" s="65"/>
      <c r="Q2636" s="65"/>
      <c r="R2636" s="65"/>
      <c r="S2636" s="65"/>
    </row>
    <row r="2637" spans="1:19" s="64" customFormat="1">
      <c r="A2637" s="316" t="s">
        <v>439</v>
      </c>
      <c r="B2637" s="123" t="s">
        <v>5072</v>
      </c>
      <c r="C2637" s="256" t="s">
        <v>4477</v>
      </c>
      <c r="D2637" s="256" t="s">
        <v>3692</v>
      </c>
      <c r="E2637" s="339" t="str">
        <f t="shared" si="41"/>
        <v>DP020011 : 자금이체(혼-총액)</v>
      </c>
      <c r="K2637" s="65"/>
      <c r="L2637" s="65"/>
      <c r="M2637" s="65"/>
      <c r="N2637" s="65"/>
      <c r="O2637" s="65"/>
      <c r="P2637" s="65"/>
      <c r="Q2637" s="65"/>
      <c r="R2637" s="65"/>
      <c r="S2637" s="65"/>
    </row>
    <row r="2638" spans="1:19" s="64" customFormat="1">
      <c r="A2638" s="316" t="s">
        <v>439</v>
      </c>
      <c r="B2638" s="123" t="s">
        <v>5072</v>
      </c>
      <c r="C2638" s="256" t="s">
        <v>4476</v>
      </c>
      <c r="D2638" s="256" t="s">
        <v>3690</v>
      </c>
      <c r="E2638" s="339" t="str">
        <f t="shared" si="41"/>
        <v>DP020012 : 자금이체(혼-장내주식거래)</v>
      </c>
      <c r="K2638" s="65"/>
      <c r="L2638" s="65"/>
      <c r="M2638" s="65"/>
      <c r="N2638" s="65"/>
      <c r="O2638" s="65"/>
      <c r="P2638" s="65"/>
      <c r="Q2638" s="65"/>
      <c r="R2638" s="65"/>
      <c r="S2638" s="65"/>
    </row>
    <row r="2639" spans="1:19" s="64" customFormat="1">
      <c r="A2639" s="316" t="s">
        <v>439</v>
      </c>
      <c r="B2639" s="123" t="s">
        <v>5072</v>
      </c>
      <c r="C2639" s="256" t="s">
        <v>4475</v>
      </c>
      <c r="D2639" s="256" t="s">
        <v>3688</v>
      </c>
      <c r="E2639" s="339" t="str">
        <f t="shared" si="41"/>
        <v>DP020013 : 자금이체(혼-주식기관결제)</v>
      </c>
      <c r="K2639" s="65"/>
      <c r="L2639" s="65"/>
      <c r="M2639" s="65"/>
      <c r="N2639" s="65"/>
      <c r="O2639" s="65"/>
      <c r="P2639" s="65"/>
      <c r="Q2639" s="65"/>
      <c r="R2639" s="65"/>
      <c r="S2639" s="65"/>
    </row>
    <row r="2640" spans="1:19" s="64" customFormat="1">
      <c r="A2640" s="316" t="s">
        <v>439</v>
      </c>
      <c r="B2640" s="123" t="s">
        <v>5072</v>
      </c>
      <c r="C2640" s="256" t="s">
        <v>4474</v>
      </c>
      <c r="D2640" s="256" t="s">
        <v>3686</v>
      </c>
      <c r="E2640" s="339" t="str">
        <f t="shared" si="41"/>
        <v>DP020055 : 자금이체(양자간)</v>
      </c>
      <c r="K2640" s="65"/>
      <c r="L2640" s="65"/>
      <c r="M2640" s="65"/>
      <c r="N2640" s="65"/>
      <c r="O2640" s="65"/>
      <c r="P2640" s="65"/>
      <c r="Q2640" s="65"/>
      <c r="R2640" s="65"/>
      <c r="S2640" s="65"/>
    </row>
    <row r="2641" spans="1:19" s="64" customFormat="1">
      <c r="A2641" s="316" t="s">
        <v>439</v>
      </c>
      <c r="B2641" s="123" t="s">
        <v>5072</v>
      </c>
      <c r="C2641" s="256" t="s">
        <v>4473</v>
      </c>
      <c r="D2641" s="256" t="s">
        <v>3684</v>
      </c>
      <c r="E2641" s="339" t="str">
        <f t="shared" si="41"/>
        <v>DP020066 : 자금이체(다자간)</v>
      </c>
      <c r="K2641" s="65"/>
      <c r="L2641" s="65"/>
      <c r="M2641" s="65"/>
      <c r="N2641" s="65"/>
      <c r="O2641" s="65"/>
      <c r="P2641" s="65"/>
      <c r="Q2641" s="65"/>
      <c r="R2641" s="65"/>
      <c r="S2641" s="65"/>
    </row>
    <row r="2642" spans="1:19" s="64" customFormat="1">
      <c r="A2642" s="316" t="s">
        <v>439</v>
      </c>
      <c r="B2642" s="123" t="s">
        <v>5072</v>
      </c>
      <c r="C2642" s="256" t="s">
        <v>4472</v>
      </c>
      <c r="D2642" s="256" t="s">
        <v>4471</v>
      </c>
      <c r="E2642" s="339" t="str">
        <f t="shared" si="41"/>
        <v>DP020077 : 예약가능확인</v>
      </c>
      <c r="K2642" s="65"/>
      <c r="L2642" s="65"/>
      <c r="M2642" s="65"/>
      <c r="N2642" s="65"/>
      <c r="O2642" s="65"/>
      <c r="P2642" s="65"/>
      <c r="Q2642" s="65"/>
      <c r="R2642" s="65"/>
      <c r="S2642" s="65"/>
    </row>
    <row r="2643" spans="1:19" s="64" customFormat="1">
      <c r="A2643" s="316" t="s">
        <v>439</v>
      </c>
      <c r="B2643" s="123" t="s">
        <v>5072</v>
      </c>
      <c r="C2643" s="256" t="s">
        <v>4470</v>
      </c>
      <c r="D2643" s="256" t="s">
        <v>3680</v>
      </c>
      <c r="E2643" s="339" t="str">
        <f t="shared" si="41"/>
        <v>DP020088 : 자금이체(최적화대기결제)</v>
      </c>
      <c r="K2643" s="65"/>
      <c r="L2643" s="65"/>
      <c r="M2643" s="65"/>
      <c r="N2643" s="65"/>
      <c r="O2643" s="65"/>
      <c r="P2643" s="65"/>
      <c r="Q2643" s="65"/>
      <c r="R2643" s="65"/>
      <c r="S2643" s="65"/>
    </row>
    <row r="2644" spans="1:19" s="64" customFormat="1">
      <c r="A2644" s="316" t="s">
        <v>439</v>
      </c>
      <c r="B2644" s="123" t="s">
        <v>5072</v>
      </c>
      <c r="C2644" s="256" t="s">
        <v>4469</v>
      </c>
      <c r="D2644" s="256" t="s">
        <v>3678</v>
      </c>
      <c r="E2644" s="339" t="str">
        <f t="shared" si="41"/>
        <v>DP020099 : 자금이체(WIRE)</v>
      </c>
      <c r="K2644" s="65"/>
      <c r="L2644" s="65"/>
      <c r="M2644" s="65"/>
      <c r="N2644" s="65"/>
      <c r="O2644" s="65"/>
      <c r="P2644" s="65"/>
      <c r="Q2644" s="65"/>
      <c r="R2644" s="65"/>
      <c r="S2644" s="65"/>
    </row>
    <row r="2645" spans="1:19" s="64" customFormat="1">
      <c r="A2645" s="316" t="s">
        <v>439</v>
      </c>
      <c r="B2645" s="123" t="s">
        <v>5072</v>
      </c>
      <c r="C2645" s="256" t="s">
        <v>4468</v>
      </c>
      <c r="D2645" s="256" t="s">
        <v>3676</v>
      </c>
      <c r="E2645" s="339" t="str">
        <f t="shared" si="41"/>
        <v>DP030011 : 콜체결(혼-총액)</v>
      </c>
      <c r="K2645" s="65"/>
      <c r="L2645" s="65"/>
      <c r="M2645" s="65"/>
      <c r="N2645" s="65"/>
      <c r="O2645" s="65"/>
      <c r="P2645" s="65"/>
      <c r="Q2645" s="65"/>
      <c r="R2645" s="65"/>
      <c r="S2645" s="65"/>
    </row>
    <row r="2646" spans="1:19" s="64" customFormat="1">
      <c r="A2646" s="316" t="s">
        <v>439</v>
      </c>
      <c r="B2646" s="123" t="s">
        <v>5072</v>
      </c>
      <c r="C2646" s="256" t="s">
        <v>4467</v>
      </c>
      <c r="D2646" s="256" t="s">
        <v>3674</v>
      </c>
      <c r="E2646" s="339" t="str">
        <f t="shared" ref="E2646:E2709" si="42">_xlfn.TEXTJOIN(" : ",FALSE,C2646:D2646)</f>
        <v>DP030012 : 콜반환(혼-총액)</v>
      </c>
      <c r="K2646" s="65"/>
      <c r="L2646" s="65"/>
      <c r="M2646" s="65"/>
      <c r="N2646" s="65"/>
      <c r="O2646" s="65"/>
      <c r="P2646" s="65"/>
      <c r="Q2646" s="65"/>
      <c r="R2646" s="65"/>
      <c r="S2646" s="65"/>
    </row>
    <row r="2647" spans="1:19" s="64" customFormat="1">
      <c r="A2647" s="316" t="s">
        <v>439</v>
      </c>
      <c r="B2647" s="123" t="s">
        <v>5072</v>
      </c>
      <c r="C2647" s="256" t="s">
        <v>4466</v>
      </c>
      <c r="D2647" s="256" t="s">
        <v>3672</v>
      </c>
      <c r="E2647" s="339" t="str">
        <f t="shared" si="42"/>
        <v>DP030055 : 콜체결(양자간)</v>
      </c>
      <c r="K2647" s="65"/>
      <c r="L2647" s="65"/>
      <c r="M2647" s="65"/>
      <c r="N2647" s="65"/>
      <c r="O2647" s="65"/>
      <c r="P2647" s="65"/>
      <c r="Q2647" s="65"/>
      <c r="R2647" s="65"/>
      <c r="S2647" s="65"/>
    </row>
    <row r="2648" spans="1:19" s="64" customFormat="1">
      <c r="A2648" s="316" t="s">
        <v>439</v>
      </c>
      <c r="B2648" s="123" t="s">
        <v>5072</v>
      </c>
      <c r="C2648" s="256" t="s">
        <v>4465</v>
      </c>
      <c r="D2648" s="256" t="s">
        <v>4464</v>
      </c>
      <c r="E2648" s="339" t="str">
        <f t="shared" si="42"/>
        <v>DP030056 : 콜반환(양자간)</v>
      </c>
      <c r="K2648" s="65"/>
      <c r="L2648" s="65"/>
      <c r="M2648" s="65"/>
      <c r="N2648" s="65"/>
      <c r="O2648" s="65"/>
      <c r="P2648" s="65"/>
      <c r="Q2648" s="65"/>
      <c r="R2648" s="65"/>
      <c r="S2648" s="65"/>
    </row>
    <row r="2649" spans="1:19" s="64" customFormat="1">
      <c r="A2649" s="316" t="s">
        <v>439</v>
      </c>
      <c r="B2649" s="123" t="s">
        <v>5072</v>
      </c>
      <c r="C2649" s="256" t="s">
        <v>4463</v>
      </c>
      <c r="D2649" s="256" t="s">
        <v>3670</v>
      </c>
      <c r="E2649" s="339" t="str">
        <f t="shared" si="42"/>
        <v>DP030066 : 콜체결(다자간)</v>
      </c>
      <c r="K2649" s="65"/>
      <c r="L2649" s="65"/>
      <c r="M2649" s="65"/>
      <c r="N2649" s="65"/>
      <c r="O2649" s="65"/>
      <c r="P2649" s="65"/>
      <c r="Q2649" s="65"/>
      <c r="R2649" s="65"/>
      <c r="S2649" s="65"/>
    </row>
    <row r="2650" spans="1:19" s="64" customFormat="1">
      <c r="A2650" s="316" t="s">
        <v>439</v>
      </c>
      <c r="B2650" s="123" t="s">
        <v>5072</v>
      </c>
      <c r="C2650" s="256" t="s">
        <v>4462</v>
      </c>
      <c r="D2650" s="256" t="s">
        <v>3668</v>
      </c>
      <c r="E2650" s="339" t="str">
        <f t="shared" si="42"/>
        <v>DP030067 : 콜반환(다자간)</v>
      </c>
      <c r="K2650" s="65"/>
      <c r="L2650" s="65"/>
      <c r="M2650" s="65"/>
      <c r="N2650" s="65"/>
      <c r="O2650" s="65"/>
      <c r="P2650" s="65"/>
      <c r="Q2650" s="65"/>
      <c r="R2650" s="65"/>
      <c r="S2650" s="65"/>
    </row>
    <row r="2651" spans="1:19" s="64" customFormat="1">
      <c r="A2651" s="316" t="s">
        <v>439</v>
      </c>
      <c r="B2651" s="123" t="s">
        <v>5072</v>
      </c>
      <c r="C2651" s="256" t="s">
        <v>4461</v>
      </c>
      <c r="D2651" s="256" t="s">
        <v>4460</v>
      </c>
      <c r="E2651" s="339" t="str">
        <f t="shared" si="42"/>
        <v>DP030088 : 콜체결(최적화대기결제)</v>
      </c>
      <c r="K2651" s="65"/>
      <c r="L2651" s="65"/>
      <c r="M2651" s="65"/>
      <c r="N2651" s="65"/>
      <c r="O2651" s="65"/>
      <c r="P2651" s="65"/>
      <c r="Q2651" s="65"/>
      <c r="R2651" s="65"/>
      <c r="S2651" s="65"/>
    </row>
    <row r="2652" spans="1:19" s="64" customFormat="1">
      <c r="A2652" s="316" t="s">
        <v>439</v>
      </c>
      <c r="B2652" s="123" t="s">
        <v>5072</v>
      </c>
      <c r="C2652" s="256" t="s">
        <v>4459</v>
      </c>
      <c r="D2652" s="256" t="s">
        <v>4458</v>
      </c>
      <c r="E2652" s="339" t="str">
        <f t="shared" si="42"/>
        <v>DP030099 : 콜체결</v>
      </c>
      <c r="K2652" s="65"/>
      <c r="L2652" s="65"/>
      <c r="M2652" s="65"/>
      <c r="N2652" s="65"/>
      <c r="O2652" s="65"/>
      <c r="P2652" s="65"/>
      <c r="Q2652" s="65"/>
      <c r="R2652" s="65"/>
      <c r="S2652" s="65"/>
    </row>
    <row r="2653" spans="1:19" s="64" customFormat="1">
      <c r="A2653" s="316" t="s">
        <v>439</v>
      </c>
      <c r="B2653" s="123" t="s">
        <v>5072</v>
      </c>
      <c r="C2653" s="256" t="s">
        <v>4457</v>
      </c>
      <c r="D2653" s="256" t="s">
        <v>3666</v>
      </c>
      <c r="E2653" s="339" t="str">
        <f t="shared" si="42"/>
        <v>DP040011 : 콜상환(혼-총액)</v>
      </c>
      <c r="K2653" s="65"/>
      <c r="L2653" s="65"/>
      <c r="M2653" s="65"/>
      <c r="N2653" s="65"/>
      <c r="O2653" s="65"/>
      <c r="P2653" s="65"/>
      <c r="Q2653" s="65"/>
      <c r="R2653" s="65"/>
      <c r="S2653" s="65"/>
    </row>
    <row r="2654" spans="1:19" s="64" customFormat="1">
      <c r="A2654" s="316" t="s">
        <v>439</v>
      </c>
      <c r="B2654" s="123" t="s">
        <v>5072</v>
      </c>
      <c r="C2654" s="256" t="s">
        <v>4456</v>
      </c>
      <c r="D2654" s="256" t="s">
        <v>3664</v>
      </c>
      <c r="E2654" s="339" t="str">
        <f t="shared" si="42"/>
        <v>DP040044 : 콜연결상환</v>
      </c>
      <c r="K2654" s="65"/>
      <c r="L2654" s="65"/>
      <c r="M2654" s="65"/>
      <c r="N2654" s="65"/>
      <c r="O2654" s="65"/>
      <c r="P2654" s="65"/>
      <c r="Q2654" s="65"/>
      <c r="R2654" s="65"/>
      <c r="S2654" s="65"/>
    </row>
    <row r="2655" spans="1:19" s="64" customFormat="1">
      <c r="A2655" s="316" t="s">
        <v>439</v>
      </c>
      <c r="B2655" s="123" t="s">
        <v>5072</v>
      </c>
      <c r="C2655" s="256" t="s">
        <v>4455</v>
      </c>
      <c r="D2655" s="256" t="s">
        <v>3662</v>
      </c>
      <c r="E2655" s="339" t="str">
        <f t="shared" si="42"/>
        <v>DP040055 : 콜상환(양자간)</v>
      </c>
      <c r="K2655" s="65"/>
      <c r="L2655" s="65"/>
      <c r="M2655" s="65"/>
      <c r="N2655" s="65"/>
      <c r="O2655" s="65"/>
      <c r="P2655" s="65"/>
      <c r="Q2655" s="65"/>
      <c r="R2655" s="65"/>
      <c r="S2655" s="65"/>
    </row>
    <row r="2656" spans="1:19" s="64" customFormat="1">
      <c r="A2656" s="316" t="s">
        <v>439</v>
      </c>
      <c r="B2656" s="123" t="s">
        <v>5072</v>
      </c>
      <c r="C2656" s="256" t="s">
        <v>4454</v>
      </c>
      <c r="D2656" s="256" t="s">
        <v>3660</v>
      </c>
      <c r="E2656" s="339" t="str">
        <f t="shared" si="42"/>
        <v>DP040066 : 콜상환(다자간)</v>
      </c>
      <c r="K2656" s="65"/>
      <c r="L2656" s="65"/>
      <c r="M2656" s="65"/>
      <c r="N2656" s="65"/>
      <c r="O2656" s="65"/>
      <c r="P2656" s="65"/>
      <c r="Q2656" s="65"/>
      <c r="R2656" s="65"/>
      <c r="S2656" s="65"/>
    </row>
    <row r="2657" spans="1:19" s="64" customFormat="1">
      <c r="A2657" s="316" t="s">
        <v>439</v>
      </c>
      <c r="B2657" s="123" t="s">
        <v>5072</v>
      </c>
      <c r="C2657" s="256" t="s">
        <v>4453</v>
      </c>
      <c r="D2657" s="256" t="s">
        <v>4452</v>
      </c>
      <c r="E2657" s="339" t="str">
        <f t="shared" si="42"/>
        <v>DP040088 : 콜상환(최적화대기결제)</v>
      </c>
      <c r="K2657" s="65"/>
      <c r="L2657" s="65"/>
      <c r="M2657" s="65"/>
      <c r="N2657" s="65"/>
      <c r="O2657" s="65"/>
      <c r="P2657" s="65"/>
      <c r="Q2657" s="65"/>
      <c r="R2657" s="65"/>
      <c r="S2657" s="65"/>
    </row>
    <row r="2658" spans="1:19" s="64" customFormat="1">
      <c r="A2658" s="316" t="s">
        <v>439</v>
      </c>
      <c r="B2658" s="123" t="s">
        <v>5072</v>
      </c>
      <c r="C2658" s="256" t="s">
        <v>4451</v>
      </c>
      <c r="D2658" s="256" t="s">
        <v>4422</v>
      </c>
      <c r="E2658" s="339" t="str">
        <f t="shared" si="42"/>
        <v>DP040099 : 콜상환</v>
      </c>
      <c r="K2658" s="65"/>
      <c r="L2658" s="65"/>
      <c r="M2658" s="65"/>
      <c r="N2658" s="65"/>
      <c r="O2658" s="65"/>
      <c r="P2658" s="65"/>
      <c r="Q2658" s="65"/>
      <c r="R2658" s="65"/>
      <c r="S2658" s="65"/>
    </row>
    <row r="2659" spans="1:19" s="64" customFormat="1">
      <c r="A2659" s="316" t="s">
        <v>439</v>
      </c>
      <c r="B2659" s="123" t="s">
        <v>5072</v>
      </c>
      <c r="C2659" s="256" t="s">
        <v>4450</v>
      </c>
      <c r="D2659" s="256" t="s">
        <v>4449</v>
      </c>
      <c r="E2659" s="339" t="str">
        <f t="shared" si="42"/>
        <v>DP050000 : 차액관련일중대출</v>
      </c>
      <c r="K2659" s="65"/>
      <c r="L2659" s="65"/>
      <c r="M2659" s="65"/>
      <c r="N2659" s="65"/>
      <c r="O2659" s="65"/>
      <c r="P2659" s="65"/>
      <c r="Q2659" s="65"/>
      <c r="R2659" s="65"/>
      <c r="S2659" s="65"/>
    </row>
    <row r="2660" spans="1:19" s="64" customFormat="1">
      <c r="A2660" s="316" t="s">
        <v>439</v>
      </c>
      <c r="B2660" s="123" t="s">
        <v>5072</v>
      </c>
      <c r="C2660" s="256" t="s">
        <v>4448</v>
      </c>
      <c r="D2660" s="256" t="s">
        <v>3658</v>
      </c>
      <c r="E2660" s="339" t="str">
        <f t="shared" si="42"/>
        <v>DP050100 : CD공동망</v>
      </c>
      <c r="K2660" s="65"/>
      <c r="L2660" s="65"/>
      <c r="M2660" s="65"/>
      <c r="N2660" s="65"/>
      <c r="O2660" s="65"/>
      <c r="P2660" s="65"/>
      <c r="Q2660" s="65"/>
      <c r="R2660" s="65"/>
      <c r="S2660" s="65"/>
    </row>
    <row r="2661" spans="1:19" s="64" customFormat="1">
      <c r="A2661" s="316" t="s">
        <v>439</v>
      </c>
      <c r="B2661" s="123" t="s">
        <v>5072</v>
      </c>
      <c r="C2661" s="256" t="s">
        <v>5071</v>
      </c>
      <c r="D2661" s="256" t="s">
        <v>3656</v>
      </c>
      <c r="E2661" s="339" t="str">
        <f t="shared" si="42"/>
        <v>DP050200 : 은행지로</v>
      </c>
      <c r="K2661" s="65"/>
      <c r="L2661" s="65"/>
      <c r="M2661" s="65"/>
      <c r="N2661" s="65"/>
      <c r="O2661" s="65"/>
      <c r="P2661" s="65"/>
      <c r="Q2661" s="65"/>
      <c r="R2661" s="65"/>
      <c r="S2661" s="65"/>
    </row>
    <row r="2662" spans="1:19" s="64" customFormat="1">
      <c r="A2662" s="316" t="s">
        <v>439</v>
      </c>
      <c r="B2662" s="123" t="s">
        <v>5072</v>
      </c>
      <c r="C2662" s="256" t="s">
        <v>4447</v>
      </c>
      <c r="D2662" s="256" t="s">
        <v>3654</v>
      </c>
      <c r="E2662" s="339" t="str">
        <f t="shared" si="42"/>
        <v>DP050300 : 타행환공동망</v>
      </c>
      <c r="K2662" s="65"/>
      <c r="L2662" s="65"/>
      <c r="M2662" s="65"/>
      <c r="N2662" s="65"/>
      <c r="O2662" s="65"/>
      <c r="P2662" s="65"/>
      <c r="Q2662" s="65"/>
      <c r="R2662" s="65"/>
      <c r="S2662" s="65"/>
    </row>
    <row r="2663" spans="1:19" s="64" customFormat="1">
      <c r="A2663" s="316" t="s">
        <v>439</v>
      </c>
      <c r="B2663" s="123" t="s">
        <v>5072</v>
      </c>
      <c r="C2663" s="256" t="s">
        <v>4446</v>
      </c>
      <c r="D2663" s="256" t="s">
        <v>3652</v>
      </c>
      <c r="E2663" s="339" t="str">
        <f t="shared" si="42"/>
        <v>DP050400 : 직불카드공동망</v>
      </c>
      <c r="K2663" s="65"/>
      <c r="L2663" s="65"/>
      <c r="M2663" s="65"/>
      <c r="N2663" s="65"/>
      <c r="O2663" s="65"/>
      <c r="P2663" s="65"/>
      <c r="Q2663" s="65"/>
      <c r="R2663" s="65"/>
      <c r="S2663" s="65"/>
    </row>
    <row r="2664" spans="1:19" s="64" customFormat="1">
      <c r="A2664" s="316" t="s">
        <v>439</v>
      </c>
      <c r="B2664" s="123" t="s">
        <v>5072</v>
      </c>
      <c r="C2664" s="256" t="s">
        <v>4445</v>
      </c>
      <c r="D2664" s="256" t="s">
        <v>3650</v>
      </c>
      <c r="E2664" s="339" t="str">
        <f t="shared" si="42"/>
        <v>DP050500 : CMS공동망</v>
      </c>
      <c r="K2664" s="65"/>
      <c r="L2664" s="65"/>
      <c r="M2664" s="65"/>
      <c r="N2664" s="65"/>
      <c r="O2664" s="65"/>
      <c r="P2664" s="65"/>
      <c r="Q2664" s="65"/>
      <c r="R2664" s="65"/>
      <c r="S2664" s="65"/>
    </row>
    <row r="2665" spans="1:19" s="64" customFormat="1">
      <c r="A2665" s="316" t="s">
        <v>439</v>
      </c>
      <c r="B2665" s="123" t="s">
        <v>5072</v>
      </c>
      <c r="C2665" s="256" t="s">
        <v>4444</v>
      </c>
      <c r="D2665" s="256" t="s">
        <v>3648</v>
      </c>
      <c r="E2665" s="339" t="str">
        <f t="shared" si="42"/>
        <v>DP050600 : 지방은행공동망</v>
      </c>
      <c r="K2665" s="65"/>
      <c r="L2665" s="65"/>
      <c r="M2665" s="65"/>
      <c r="N2665" s="65"/>
      <c r="O2665" s="65"/>
      <c r="P2665" s="65"/>
      <c r="Q2665" s="65"/>
      <c r="R2665" s="65"/>
      <c r="S2665" s="65"/>
    </row>
    <row r="2666" spans="1:19" s="64" customFormat="1">
      <c r="A2666" s="316" t="s">
        <v>439</v>
      </c>
      <c r="B2666" s="123" t="s">
        <v>5072</v>
      </c>
      <c r="C2666" s="256" t="s">
        <v>4443</v>
      </c>
      <c r="D2666" s="256" t="s">
        <v>4442</v>
      </c>
      <c r="E2666" s="339" t="str">
        <f t="shared" si="42"/>
        <v>DP050700 : 공동분담(오전)</v>
      </c>
      <c r="K2666" s="65"/>
      <c r="L2666" s="65"/>
      <c r="M2666" s="65"/>
      <c r="N2666" s="65"/>
      <c r="O2666" s="65"/>
      <c r="P2666" s="65"/>
      <c r="Q2666" s="65"/>
      <c r="R2666" s="65"/>
      <c r="S2666" s="65"/>
    </row>
    <row r="2667" spans="1:19" s="64" customFormat="1">
      <c r="A2667" s="316" t="s">
        <v>439</v>
      </c>
      <c r="B2667" s="123" t="s">
        <v>5072</v>
      </c>
      <c r="C2667" s="256" t="s">
        <v>4441</v>
      </c>
      <c r="D2667" s="256" t="s">
        <v>3646</v>
      </c>
      <c r="E2667" s="339" t="str">
        <f t="shared" si="42"/>
        <v>DP050800 : 전자화폐공동망</v>
      </c>
      <c r="K2667" s="65"/>
      <c r="L2667" s="65"/>
      <c r="M2667" s="65"/>
      <c r="N2667" s="65"/>
      <c r="O2667" s="65"/>
      <c r="P2667" s="65"/>
      <c r="Q2667" s="65"/>
      <c r="R2667" s="65"/>
      <c r="S2667" s="65"/>
    </row>
    <row r="2668" spans="1:19" s="64" customFormat="1">
      <c r="A2668" s="316" t="s">
        <v>439</v>
      </c>
      <c r="B2668" s="123" t="s">
        <v>5072</v>
      </c>
      <c r="C2668" s="256" t="s">
        <v>4440</v>
      </c>
      <c r="D2668" s="256" t="s">
        <v>3644</v>
      </c>
      <c r="E2668" s="339" t="str">
        <f t="shared" si="42"/>
        <v>DP050900 : B2C전자상거래</v>
      </c>
      <c r="K2668" s="65"/>
      <c r="L2668" s="65"/>
      <c r="M2668" s="65"/>
      <c r="N2668" s="65"/>
      <c r="O2668" s="65"/>
      <c r="P2668" s="65"/>
      <c r="Q2668" s="65"/>
      <c r="R2668" s="65"/>
      <c r="S2668" s="65"/>
    </row>
    <row r="2669" spans="1:19" s="64" customFormat="1">
      <c r="A2669" s="316" t="s">
        <v>439</v>
      </c>
      <c r="B2669" s="123" t="s">
        <v>5072</v>
      </c>
      <c r="C2669" s="256" t="s">
        <v>4439</v>
      </c>
      <c r="D2669" s="256" t="s">
        <v>3642</v>
      </c>
      <c r="E2669" s="339" t="str">
        <f t="shared" si="42"/>
        <v>DP051000 : 전자금융공동망</v>
      </c>
      <c r="K2669" s="65"/>
      <c r="L2669" s="65"/>
      <c r="M2669" s="65"/>
      <c r="N2669" s="65"/>
      <c r="O2669" s="65"/>
      <c r="P2669" s="65"/>
      <c r="Q2669" s="65"/>
      <c r="R2669" s="65"/>
      <c r="S2669" s="65"/>
    </row>
    <row r="2670" spans="1:19" s="64" customFormat="1">
      <c r="A2670" s="316" t="s">
        <v>439</v>
      </c>
      <c r="B2670" s="123" t="s">
        <v>5072</v>
      </c>
      <c r="C2670" s="256" t="s">
        <v>4438</v>
      </c>
      <c r="D2670" s="256" t="s">
        <v>3640</v>
      </c>
      <c r="E2670" s="339" t="str">
        <f t="shared" si="42"/>
        <v>DP051100 : B2B전자상거래</v>
      </c>
      <c r="K2670" s="65"/>
      <c r="L2670" s="65"/>
      <c r="M2670" s="65"/>
      <c r="N2670" s="65"/>
      <c r="O2670" s="65"/>
      <c r="P2670" s="65"/>
      <c r="Q2670" s="65"/>
      <c r="R2670" s="65"/>
      <c r="S2670" s="65"/>
    </row>
    <row r="2671" spans="1:19" s="64" customFormat="1">
      <c r="A2671" s="316" t="s">
        <v>439</v>
      </c>
      <c r="B2671" s="123" t="s">
        <v>5072</v>
      </c>
      <c r="C2671" s="256" t="s">
        <v>4437</v>
      </c>
      <c r="D2671" s="256" t="s">
        <v>3638</v>
      </c>
      <c r="E2671" s="339" t="str">
        <f t="shared" si="42"/>
        <v>DP051200 : 자기앞수표정보교환</v>
      </c>
      <c r="K2671" s="65"/>
      <c r="L2671" s="65"/>
      <c r="M2671" s="65"/>
      <c r="N2671" s="65"/>
      <c r="O2671" s="65"/>
      <c r="P2671" s="65"/>
      <c r="Q2671" s="65"/>
      <c r="R2671" s="65"/>
      <c r="S2671" s="65"/>
    </row>
    <row r="2672" spans="1:19" s="64" customFormat="1">
      <c r="A2672" s="316" t="s">
        <v>439</v>
      </c>
      <c r="B2672" s="123" t="s">
        <v>5072</v>
      </c>
      <c r="C2672" s="256" t="s">
        <v>4436</v>
      </c>
      <c r="D2672" s="256" t="s">
        <v>3636</v>
      </c>
      <c r="E2672" s="339" t="str">
        <f t="shared" si="42"/>
        <v>DP051300 : 전자어음</v>
      </c>
      <c r="K2672" s="65"/>
      <c r="L2672" s="65"/>
      <c r="M2672" s="65"/>
      <c r="N2672" s="65"/>
      <c r="O2672" s="65"/>
      <c r="P2672" s="65"/>
      <c r="Q2672" s="65"/>
      <c r="R2672" s="65"/>
      <c r="S2672" s="65"/>
    </row>
    <row r="2673" spans="1:19" s="64" customFormat="1">
      <c r="A2673" s="316" t="s">
        <v>439</v>
      </c>
      <c r="B2673" s="123" t="s">
        <v>5072</v>
      </c>
      <c r="C2673" s="256" t="s">
        <v>4435</v>
      </c>
      <c r="D2673" s="256" t="s">
        <v>3634</v>
      </c>
      <c r="E2673" s="339" t="str">
        <f t="shared" si="42"/>
        <v>DP051400 : 전자정보교환자기앞수표</v>
      </c>
      <c r="K2673" s="65"/>
      <c r="L2673" s="65"/>
      <c r="M2673" s="65"/>
      <c r="N2673" s="65"/>
      <c r="O2673" s="65"/>
      <c r="P2673" s="65"/>
      <c r="Q2673" s="65"/>
      <c r="R2673" s="65"/>
      <c r="S2673" s="65"/>
    </row>
    <row r="2674" spans="1:19" s="64" customFormat="1">
      <c r="A2674" s="316" t="s">
        <v>439</v>
      </c>
      <c r="B2674" s="123" t="s">
        <v>5072</v>
      </c>
      <c r="C2674" s="256" t="s">
        <v>4434</v>
      </c>
      <c r="D2674" s="256" t="s">
        <v>3632</v>
      </c>
      <c r="E2674" s="339" t="str">
        <f t="shared" si="42"/>
        <v>DP051500 : 전자정보교환어음</v>
      </c>
      <c r="K2674" s="65"/>
      <c r="L2674" s="65"/>
      <c r="M2674" s="65"/>
      <c r="N2674" s="65"/>
      <c r="O2674" s="65"/>
      <c r="P2674" s="65"/>
      <c r="Q2674" s="65"/>
      <c r="R2674" s="65"/>
      <c r="S2674" s="65"/>
    </row>
    <row r="2675" spans="1:19" s="64" customFormat="1">
      <c r="A2675" s="316" t="s">
        <v>439</v>
      </c>
      <c r="B2675" s="123" t="s">
        <v>5072</v>
      </c>
      <c r="C2675" s="256" t="s">
        <v>4433</v>
      </c>
      <c r="D2675" s="256" t="s">
        <v>3630</v>
      </c>
      <c r="E2675" s="339" t="str">
        <f t="shared" si="42"/>
        <v>DP051600 : 어음교환(오전)</v>
      </c>
      <c r="K2675" s="65"/>
      <c r="L2675" s="65"/>
      <c r="M2675" s="65"/>
      <c r="N2675" s="65"/>
      <c r="O2675" s="65"/>
      <c r="P2675" s="65"/>
      <c r="Q2675" s="65"/>
      <c r="R2675" s="65"/>
      <c r="S2675" s="65"/>
    </row>
    <row r="2676" spans="1:19" s="64" customFormat="1">
      <c r="A2676" s="316" t="s">
        <v>439</v>
      </c>
      <c r="B2676" s="123" t="s">
        <v>5072</v>
      </c>
      <c r="C2676" s="256" t="s">
        <v>4432</v>
      </c>
      <c r="D2676" s="256" t="s">
        <v>3628</v>
      </c>
      <c r="E2676" s="339" t="str">
        <f t="shared" si="42"/>
        <v>DP051700 : 국가간ATM공동망</v>
      </c>
      <c r="K2676" s="65"/>
      <c r="L2676" s="65"/>
      <c r="M2676" s="65"/>
      <c r="N2676" s="65"/>
      <c r="O2676" s="65"/>
      <c r="P2676" s="65"/>
      <c r="Q2676" s="65"/>
      <c r="R2676" s="65"/>
      <c r="S2676" s="65"/>
    </row>
    <row r="2677" spans="1:19" s="64" customFormat="1">
      <c r="A2677" s="316" t="s">
        <v>439</v>
      </c>
      <c r="B2677" s="123" t="s">
        <v>5072</v>
      </c>
      <c r="C2677" s="256" t="s">
        <v>4431</v>
      </c>
      <c r="D2677" s="256" t="s">
        <v>4430</v>
      </c>
      <c r="E2677" s="339" t="str">
        <f t="shared" si="42"/>
        <v>DP052100 : 어음교환(오후)</v>
      </c>
      <c r="K2677" s="65"/>
      <c r="L2677" s="65"/>
      <c r="M2677" s="65"/>
      <c r="N2677" s="65"/>
      <c r="O2677" s="65"/>
      <c r="P2677" s="65"/>
      <c r="Q2677" s="65"/>
      <c r="R2677" s="65"/>
      <c r="S2677" s="65"/>
    </row>
    <row r="2678" spans="1:19" s="64" customFormat="1">
      <c r="A2678" s="316" t="s">
        <v>439</v>
      </c>
      <c r="B2678" s="123" t="s">
        <v>5072</v>
      </c>
      <c r="C2678" s="256" t="s">
        <v>4429</v>
      </c>
      <c r="D2678" s="256" t="s">
        <v>4428</v>
      </c>
      <c r="E2678" s="339" t="str">
        <f t="shared" si="42"/>
        <v>DP052200 : 자기앞수표자금조정</v>
      </c>
      <c r="K2678" s="65"/>
      <c r="L2678" s="65"/>
      <c r="M2678" s="65"/>
      <c r="N2678" s="65"/>
      <c r="O2678" s="65"/>
      <c r="P2678" s="65"/>
      <c r="Q2678" s="65"/>
      <c r="R2678" s="65"/>
      <c r="S2678" s="65"/>
    </row>
    <row r="2679" spans="1:19" s="64" customFormat="1">
      <c r="A2679" s="316" t="s">
        <v>439</v>
      </c>
      <c r="B2679" s="123" t="s">
        <v>5072</v>
      </c>
      <c r="C2679" s="256" t="s">
        <v>4427</v>
      </c>
      <c r="D2679" s="256" t="s">
        <v>4426</v>
      </c>
      <c r="E2679" s="339" t="str">
        <f t="shared" si="42"/>
        <v>DP052300 : 공동분담(오후)</v>
      </c>
      <c r="K2679" s="65"/>
      <c r="L2679" s="65"/>
      <c r="M2679" s="65"/>
      <c r="N2679" s="65"/>
      <c r="O2679" s="65"/>
      <c r="P2679" s="65"/>
      <c r="Q2679" s="65"/>
      <c r="R2679" s="65"/>
      <c r="S2679" s="65"/>
    </row>
    <row r="2680" spans="1:19" s="64" customFormat="1">
      <c r="A2680" s="316" t="s">
        <v>439</v>
      </c>
      <c r="B2680" s="123" t="s">
        <v>5072</v>
      </c>
      <c r="C2680" s="256" t="s">
        <v>4425</v>
      </c>
      <c r="D2680" s="256" t="s">
        <v>4424</v>
      </c>
      <c r="E2680" s="339" t="str">
        <f t="shared" si="42"/>
        <v>DP052400 : 오후반일물콜체결</v>
      </c>
      <c r="K2680" s="65"/>
      <c r="L2680" s="65"/>
      <c r="M2680" s="65"/>
      <c r="N2680" s="65"/>
      <c r="O2680" s="65"/>
      <c r="P2680" s="65"/>
      <c r="Q2680" s="65"/>
      <c r="R2680" s="65"/>
      <c r="S2680" s="65"/>
    </row>
    <row r="2681" spans="1:19" s="64" customFormat="1">
      <c r="A2681" s="316" t="s">
        <v>439</v>
      </c>
      <c r="B2681" s="123" t="s">
        <v>5072</v>
      </c>
      <c r="C2681" s="256" t="s">
        <v>4423</v>
      </c>
      <c r="D2681" s="256" t="s">
        <v>4422</v>
      </c>
      <c r="E2681" s="339" t="str">
        <f t="shared" si="42"/>
        <v>DP052500 : 콜상환</v>
      </c>
      <c r="K2681" s="65"/>
      <c r="L2681" s="65"/>
      <c r="M2681" s="65"/>
      <c r="N2681" s="65"/>
      <c r="O2681" s="65"/>
      <c r="P2681" s="65"/>
      <c r="Q2681" s="65"/>
      <c r="R2681" s="65"/>
      <c r="S2681" s="65"/>
    </row>
    <row r="2682" spans="1:19" s="64" customFormat="1">
      <c r="A2682" s="316" t="s">
        <v>439</v>
      </c>
      <c r="B2682" s="123" t="s">
        <v>5072</v>
      </c>
      <c r="C2682" s="256" t="s">
        <v>4421</v>
      </c>
      <c r="D2682" s="256" t="s">
        <v>4420</v>
      </c>
      <c r="E2682" s="339" t="str">
        <f t="shared" si="42"/>
        <v>DP052600 : 예약자금이체결제</v>
      </c>
      <c r="K2682" s="65"/>
      <c r="L2682" s="65"/>
      <c r="M2682" s="65"/>
      <c r="N2682" s="65"/>
      <c r="O2682" s="65"/>
      <c r="P2682" s="65"/>
      <c r="Q2682" s="65"/>
      <c r="R2682" s="65"/>
      <c r="S2682" s="65"/>
    </row>
    <row r="2683" spans="1:19" s="64" customFormat="1">
      <c r="A2683" s="316" t="s">
        <v>439</v>
      </c>
      <c r="B2683" s="123" t="s">
        <v>5072</v>
      </c>
      <c r="C2683" s="256" t="s">
        <v>4419</v>
      </c>
      <c r="D2683" s="256" t="s">
        <v>4418</v>
      </c>
      <c r="E2683" s="339" t="str">
        <f t="shared" si="42"/>
        <v>DP053000 : 차액결제취소</v>
      </c>
      <c r="K2683" s="65"/>
      <c r="L2683" s="65"/>
      <c r="M2683" s="65"/>
      <c r="N2683" s="65"/>
      <c r="O2683" s="65"/>
      <c r="P2683" s="65"/>
      <c r="Q2683" s="65"/>
      <c r="R2683" s="65"/>
      <c r="S2683" s="65"/>
    </row>
    <row r="2684" spans="1:19" s="64" customFormat="1">
      <c r="A2684" s="316" t="s">
        <v>439</v>
      </c>
      <c r="B2684" s="123" t="s">
        <v>5072</v>
      </c>
      <c r="C2684" s="256" t="s">
        <v>4417</v>
      </c>
      <c r="D2684" s="256" t="s">
        <v>4416</v>
      </c>
      <c r="E2684" s="339" t="str">
        <f t="shared" si="42"/>
        <v>DP061000 : 원화수수료차기</v>
      </c>
      <c r="K2684" s="65"/>
      <c r="L2684" s="65"/>
      <c r="M2684" s="65"/>
      <c r="N2684" s="65"/>
      <c r="O2684" s="65"/>
      <c r="P2684" s="65"/>
      <c r="Q2684" s="65"/>
      <c r="R2684" s="65"/>
      <c r="S2684" s="65"/>
    </row>
    <row r="2685" spans="1:19" s="64" customFormat="1">
      <c r="A2685" s="316" t="s">
        <v>439</v>
      </c>
      <c r="B2685" s="123" t="s">
        <v>5072</v>
      </c>
      <c r="C2685" s="256" t="s">
        <v>4415</v>
      </c>
      <c r="D2685" s="256" t="s">
        <v>4118</v>
      </c>
      <c r="E2685" s="339" t="str">
        <f t="shared" si="42"/>
        <v>DP062000 : 외화수수료차기</v>
      </c>
      <c r="K2685" s="65"/>
      <c r="L2685" s="65"/>
      <c r="M2685" s="65"/>
      <c r="N2685" s="65"/>
      <c r="O2685" s="65"/>
      <c r="P2685" s="65"/>
      <c r="Q2685" s="65"/>
      <c r="R2685" s="65"/>
      <c r="S2685" s="65"/>
    </row>
    <row r="2686" spans="1:19" s="64" customFormat="1">
      <c r="A2686" s="316" t="s">
        <v>439</v>
      </c>
      <c r="B2686" s="123" t="s">
        <v>5072</v>
      </c>
      <c r="C2686" s="256" t="s">
        <v>4414</v>
      </c>
      <c r="D2686" s="256" t="s">
        <v>4413</v>
      </c>
      <c r="E2686" s="339" t="str">
        <f t="shared" si="42"/>
        <v>DP063000 : 국공채수수료차기</v>
      </c>
      <c r="K2686" s="65"/>
      <c r="L2686" s="65"/>
      <c r="M2686" s="65"/>
      <c r="N2686" s="65"/>
      <c r="O2686" s="65"/>
      <c r="P2686" s="65"/>
      <c r="Q2686" s="65"/>
      <c r="R2686" s="65"/>
      <c r="S2686" s="65"/>
    </row>
    <row r="2687" spans="1:19" s="64" customFormat="1">
      <c r="A2687" s="316" t="s">
        <v>439</v>
      </c>
      <c r="B2687" s="123" t="s">
        <v>5072</v>
      </c>
      <c r="C2687" s="256" t="s">
        <v>4412</v>
      </c>
      <c r="D2687" s="256" t="s">
        <v>4411</v>
      </c>
      <c r="E2687" s="339" t="str">
        <f t="shared" si="42"/>
        <v>DP070000 : 수취인지정보수정산</v>
      </c>
      <c r="K2687" s="65"/>
      <c r="L2687" s="65"/>
      <c r="M2687" s="65"/>
      <c r="N2687" s="65"/>
      <c r="O2687" s="65"/>
      <c r="P2687" s="65"/>
      <c r="Q2687" s="65"/>
      <c r="R2687" s="65"/>
      <c r="S2687" s="65"/>
    </row>
    <row r="2688" spans="1:19" s="64" customFormat="1">
      <c r="A2688" s="316" t="s">
        <v>439</v>
      </c>
      <c r="B2688" s="123" t="s">
        <v>5072</v>
      </c>
      <c r="C2688" s="256" t="s">
        <v>4410</v>
      </c>
      <c r="D2688" s="256" t="s">
        <v>4409</v>
      </c>
      <c r="E2688" s="339" t="str">
        <f t="shared" si="42"/>
        <v>DP081100 : 통화안정계정입금</v>
      </c>
      <c r="K2688" s="65"/>
      <c r="L2688" s="65"/>
      <c r="M2688" s="65"/>
      <c r="N2688" s="65"/>
      <c r="O2688" s="65"/>
      <c r="P2688" s="65"/>
      <c r="Q2688" s="65"/>
      <c r="R2688" s="65"/>
      <c r="S2688" s="65"/>
    </row>
    <row r="2689" spans="1:19" s="64" customFormat="1">
      <c r="A2689" s="316" t="s">
        <v>439</v>
      </c>
      <c r="B2689" s="123" t="s">
        <v>5072</v>
      </c>
      <c r="C2689" s="256" t="s">
        <v>4408</v>
      </c>
      <c r="D2689" s="256" t="s">
        <v>4407</v>
      </c>
      <c r="E2689" s="339" t="str">
        <f t="shared" si="42"/>
        <v>DP081200 : 통안을계정입금</v>
      </c>
      <c r="K2689" s="65"/>
      <c r="L2689" s="65"/>
      <c r="M2689" s="65"/>
      <c r="N2689" s="65"/>
      <c r="O2689" s="65"/>
      <c r="P2689" s="65"/>
      <c r="Q2689" s="65"/>
      <c r="R2689" s="65"/>
      <c r="S2689" s="65"/>
    </row>
    <row r="2690" spans="1:19" s="64" customFormat="1">
      <c r="A2690" s="316" t="s">
        <v>439</v>
      </c>
      <c r="B2690" s="123" t="s">
        <v>5072</v>
      </c>
      <c r="C2690" s="256" t="s">
        <v>4406</v>
      </c>
      <c r="D2690" s="256" t="s">
        <v>4405</v>
      </c>
      <c r="E2690" s="339" t="str">
        <f t="shared" si="42"/>
        <v>DP082100 : 통화안정계정출금</v>
      </c>
      <c r="K2690" s="65"/>
      <c r="L2690" s="65"/>
      <c r="M2690" s="65"/>
      <c r="N2690" s="65"/>
      <c r="O2690" s="65"/>
      <c r="P2690" s="65"/>
      <c r="Q2690" s="65"/>
      <c r="R2690" s="65"/>
      <c r="S2690" s="65"/>
    </row>
    <row r="2691" spans="1:19" s="64" customFormat="1">
      <c r="A2691" s="316" t="s">
        <v>439</v>
      </c>
      <c r="B2691" s="123" t="s">
        <v>5072</v>
      </c>
      <c r="C2691" s="256" t="s">
        <v>4404</v>
      </c>
      <c r="D2691" s="256" t="s">
        <v>4403</v>
      </c>
      <c r="E2691" s="339" t="str">
        <f t="shared" si="42"/>
        <v>DP082200 : 통안을계정출금</v>
      </c>
      <c r="K2691" s="65"/>
      <c r="L2691" s="65"/>
      <c r="M2691" s="65"/>
      <c r="N2691" s="65"/>
      <c r="O2691" s="65"/>
      <c r="P2691" s="65"/>
      <c r="Q2691" s="65"/>
      <c r="R2691" s="65"/>
      <c r="S2691" s="65"/>
    </row>
    <row r="2692" spans="1:19" s="64" customFormat="1">
      <c r="A2692" s="316" t="s">
        <v>439</v>
      </c>
      <c r="B2692" s="123" t="s">
        <v>5072</v>
      </c>
      <c r="C2692" s="256" t="s">
        <v>4402</v>
      </c>
      <c r="D2692" s="256" t="s">
        <v>4401</v>
      </c>
      <c r="E2692" s="339" t="str">
        <f t="shared" si="42"/>
        <v>DP083000 : 통안계정이자지급</v>
      </c>
      <c r="K2692" s="65"/>
      <c r="L2692" s="65"/>
      <c r="M2692" s="65"/>
      <c r="N2692" s="65"/>
      <c r="O2692" s="65"/>
      <c r="P2692" s="65"/>
      <c r="Q2692" s="65"/>
      <c r="R2692" s="65"/>
      <c r="S2692" s="65"/>
    </row>
    <row r="2693" spans="1:19" s="64" customFormat="1">
      <c r="A2693" s="316" t="s">
        <v>439</v>
      </c>
      <c r="B2693" s="123" t="s">
        <v>5072</v>
      </c>
      <c r="C2693" s="256" t="s">
        <v>4400</v>
      </c>
      <c r="D2693" s="256" t="s">
        <v>4399</v>
      </c>
      <c r="E2693" s="339" t="str">
        <f t="shared" si="42"/>
        <v>DP091100 : 자기앞수표발행</v>
      </c>
      <c r="K2693" s="65"/>
      <c r="L2693" s="65"/>
      <c r="M2693" s="65"/>
      <c r="N2693" s="65"/>
      <c r="O2693" s="65"/>
      <c r="P2693" s="65"/>
      <c r="Q2693" s="65"/>
      <c r="R2693" s="65"/>
      <c r="S2693" s="65"/>
    </row>
    <row r="2694" spans="1:19" s="64" customFormat="1">
      <c r="A2694" s="316" t="s">
        <v>439</v>
      </c>
      <c r="B2694" s="123" t="s">
        <v>5072</v>
      </c>
      <c r="C2694" s="256" t="s">
        <v>4398</v>
      </c>
      <c r="D2694" s="256" t="s">
        <v>4397</v>
      </c>
      <c r="E2694" s="339" t="str">
        <f t="shared" si="42"/>
        <v>DP092100 : 자기앞수표결제</v>
      </c>
      <c r="K2694" s="65"/>
      <c r="L2694" s="65"/>
      <c r="M2694" s="65"/>
      <c r="N2694" s="65"/>
      <c r="O2694" s="65"/>
      <c r="P2694" s="65"/>
      <c r="Q2694" s="65"/>
      <c r="R2694" s="65"/>
      <c r="S2694" s="65"/>
    </row>
    <row r="2695" spans="1:19" s="64" customFormat="1">
      <c r="A2695" s="316" t="s">
        <v>439</v>
      </c>
      <c r="B2695" s="123" t="s">
        <v>5072</v>
      </c>
      <c r="C2695" s="256" t="s">
        <v>4396</v>
      </c>
      <c r="D2695" s="256" t="s">
        <v>4395</v>
      </c>
      <c r="E2695" s="339" t="str">
        <f t="shared" si="42"/>
        <v>DP092200 : 자기앞수표타소대급결제</v>
      </c>
      <c r="K2695" s="65"/>
      <c r="L2695" s="65"/>
      <c r="M2695" s="65"/>
      <c r="N2695" s="65"/>
      <c r="O2695" s="65"/>
      <c r="P2695" s="65"/>
      <c r="Q2695" s="65"/>
      <c r="R2695" s="65"/>
      <c r="S2695" s="65"/>
    </row>
    <row r="2696" spans="1:19" s="64" customFormat="1">
      <c r="A2696" s="316" t="s">
        <v>439</v>
      </c>
      <c r="B2696" s="123" t="s">
        <v>5072</v>
      </c>
      <c r="C2696" s="256" t="s">
        <v>4394</v>
      </c>
      <c r="D2696" s="256" t="s">
        <v>4393</v>
      </c>
      <c r="E2696" s="339" t="str">
        <f t="shared" si="42"/>
        <v>DP100000 : 당좌예금차기</v>
      </c>
      <c r="K2696" s="65"/>
      <c r="L2696" s="65"/>
      <c r="M2696" s="65"/>
      <c r="N2696" s="65"/>
      <c r="O2696" s="65"/>
      <c r="P2696" s="65"/>
      <c r="Q2696" s="65"/>
      <c r="R2696" s="65"/>
      <c r="S2696" s="65"/>
    </row>
    <row r="2697" spans="1:19" s="64" customFormat="1">
      <c r="A2697" s="316" t="s">
        <v>439</v>
      </c>
      <c r="B2697" s="123" t="s">
        <v>5072</v>
      </c>
      <c r="C2697" s="256" t="s">
        <v>4392</v>
      </c>
      <c r="D2697" s="256" t="s">
        <v>4391</v>
      </c>
      <c r="E2697" s="339" t="str">
        <f t="shared" si="42"/>
        <v>DP100099 : 당좌예금차기(WIRE)</v>
      </c>
      <c r="K2697" s="65"/>
      <c r="L2697" s="65"/>
      <c r="M2697" s="65"/>
      <c r="N2697" s="65"/>
      <c r="O2697" s="65"/>
      <c r="P2697" s="65"/>
      <c r="Q2697" s="65"/>
      <c r="R2697" s="65"/>
      <c r="S2697" s="65"/>
    </row>
    <row r="2698" spans="1:19" s="64" customFormat="1">
      <c r="A2698" s="316" t="s">
        <v>439</v>
      </c>
      <c r="B2698" s="123" t="s">
        <v>5072</v>
      </c>
      <c r="C2698" s="256" t="s">
        <v>4390</v>
      </c>
      <c r="D2698" s="256" t="s">
        <v>3624</v>
      </c>
      <c r="E2698" s="339" t="str">
        <f t="shared" si="42"/>
        <v>DP111000 : CLS(PAY-IN) 입력</v>
      </c>
      <c r="K2698" s="65"/>
      <c r="L2698" s="65"/>
      <c r="M2698" s="65"/>
      <c r="N2698" s="65"/>
      <c r="O2698" s="65"/>
      <c r="P2698" s="65"/>
      <c r="Q2698" s="65"/>
      <c r="R2698" s="65"/>
      <c r="S2698" s="65"/>
    </row>
    <row r="2699" spans="1:19" s="64" customFormat="1">
      <c r="A2699" s="316" t="s">
        <v>439</v>
      </c>
      <c r="B2699" s="123" t="s">
        <v>5072</v>
      </c>
      <c r="C2699" s="256" t="s">
        <v>4389</v>
      </c>
      <c r="D2699" s="256" t="s">
        <v>3622</v>
      </c>
      <c r="E2699" s="339" t="str">
        <f t="shared" si="42"/>
        <v>DP111099 : CLS(PAY-IN) 입력(WIRE)</v>
      </c>
      <c r="K2699" s="65"/>
      <c r="L2699" s="65"/>
      <c r="M2699" s="65"/>
      <c r="N2699" s="65"/>
      <c r="O2699" s="65"/>
      <c r="P2699" s="65"/>
      <c r="Q2699" s="65"/>
      <c r="R2699" s="65"/>
      <c r="S2699" s="65"/>
    </row>
    <row r="2700" spans="1:19" s="64" customFormat="1">
      <c r="A2700" s="316" t="s">
        <v>439</v>
      </c>
      <c r="B2700" s="123" t="s">
        <v>5072</v>
      </c>
      <c r="C2700" s="256" t="s">
        <v>4388</v>
      </c>
      <c r="D2700" s="256" t="s">
        <v>3620</v>
      </c>
      <c r="E2700" s="339" t="str">
        <f t="shared" si="42"/>
        <v>DP112099 : CLS(PAY-OUT) 입력(CLS)</v>
      </c>
      <c r="K2700" s="65"/>
      <c r="L2700" s="65"/>
      <c r="M2700" s="65"/>
      <c r="N2700" s="65"/>
      <c r="O2700" s="65"/>
      <c r="P2700" s="65"/>
      <c r="Q2700" s="65"/>
      <c r="R2700" s="65"/>
      <c r="S2700" s="65"/>
    </row>
    <row r="2701" spans="1:19" s="64" customFormat="1">
      <c r="A2701" s="316" t="s">
        <v>439</v>
      </c>
      <c r="B2701" s="123" t="s">
        <v>5072</v>
      </c>
      <c r="C2701" s="256" t="s">
        <v>4387</v>
      </c>
      <c r="D2701" s="256" t="s">
        <v>4386</v>
      </c>
      <c r="E2701" s="339" t="str">
        <f t="shared" si="42"/>
        <v>DP113000 : SWIFT망이용수수료 가지급처리</v>
      </c>
      <c r="K2701" s="65"/>
      <c r="L2701" s="65"/>
      <c r="M2701" s="65"/>
      <c r="N2701" s="65"/>
      <c r="O2701" s="65"/>
      <c r="P2701" s="65"/>
      <c r="Q2701" s="65"/>
      <c r="R2701" s="65"/>
      <c r="S2701" s="65"/>
    </row>
    <row r="2702" spans="1:19" s="64" customFormat="1">
      <c r="A2702" s="316" t="s">
        <v>439</v>
      </c>
      <c r="B2702" s="123" t="s">
        <v>5072</v>
      </c>
      <c r="C2702" s="256" t="s">
        <v>4385</v>
      </c>
      <c r="D2702" s="256" t="s">
        <v>3618</v>
      </c>
      <c r="E2702" s="339" t="str">
        <f t="shared" si="42"/>
        <v>DP120011 : 증권대금이체(혼-총액)</v>
      </c>
      <c r="K2702" s="65"/>
      <c r="L2702" s="65"/>
      <c r="M2702" s="65"/>
      <c r="N2702" s="65"/>
      <c r="O2702" s="65"/>
      <c r="P2702" s="65"/>
      <c r="Q2702" s="65"/>
      <c r="R2702" s="65"/>
      <c r="S2702" s="65"/>
    </row>
    <row r="2703" spans="1:19" s="64" customFormat="1">
      <c r="A2703" s="316" t="s">
        <v>439</v>
      </c>
      <c r="B2703" s="123" t="s">
        <v>5072</v>
      </c>
      <c r="C2703" s="256" t="s">
        <v>4384</v>
      </c>
      <c r="D2703" s="256" t="s">
        <v>3616</v>
      </c>
      <c r="E2703" s="339" t="str">
        <f t="shared" si="42"/>
        <v>DP120012 : 일중RP 결제준비금 확보</v>
      </c>
      <c r="K2703" s="65"/>
      <c r="L2703" s="65"/>
      <c r="M2703" s="65"/>
      <c r="N2703" s="65"/>
      <c r="O2703" s="65"/>
      <c r="P2703" s="65"/>
      <c r="Q2703" s="65"/>
      <c r="R2703" s="65"/>
      <c r="S2703" s="65"/>
    </row>
    <row r="2704" spans="1:19" s="64" customFormat="1">
      <c r="A2704" s="316" t="s">
        <v>439</v>
      </c>
      <c r="B2704" s="123" t="s">
        <v>5072</v>
      </c>
      <c r="C2704" s="256" t="s">
        <v>4383</v>
      </c>
      <c r="D2704" s="256" t="s">
        <v>4382</v>
      </c>
      <c r="E2704" s="339" t="str">
        <f t="shared" si="42"/>
        <v>DP120013 : 일중RP 결제준비금 상환</v>
      </c>
      <c r="K2704" s="65"/>
      <c r="L2704" s="65"/>
      <c r="M2704" s="65"/>
      <c r="N2704" s="65"/>
      <c r="O2704" s="65"/>
      <c r="P2704" s="65"/>
      <c r="Q2704" s="65"/>
      <c r="R2704" s="65"/>
      <c r="S2704" s="65"/>
    </row>
    <row r="2705" spans="1:19" s="64" customFormat="1">
      <c r="A2705" s="316" t="s">
        <v>439</v>
      </c>
      <c r="B2705" s="123" t="s">
        <v>5072</v>
      </c>
      <c r="C2705" s="256" t="s">
        <v>4381</v>
      </c>
      <c r="D2705" s="256" t="s">
        <v>3614</v>
      </c>
      <c r="E2705" s="339" t="str">
        <f t="shared" si="42"/>
        <v>DP120014 : 일중RP 결제유동성 공급</v>
      </c>
      <c r="K2705" s="65"/>
      <c r="L2705" s="65"/>
      <c r="M2705" s="65"/>
      <c r="N2705" s="65"/>
      <c r="O2705" s="65"/>
      <c r="P2705" s="65"/>
      <c r="Q2705" s="65"/>
      <c r="R2705" s="65"/>
      <c r="S2705" s="65"/>
    </row>
    <row r="2706" spans="1:19" s="64" customFormat="1">
      <c r="A2706" s="316" t="s">
        <v>439</v>
      </c>
      <c r="B2706" s="123" t="s">
        <v>5072</v>
      </c>
      <c r="C2706" s="256" t="s">
        <v>4380</v>
      </c>
      <c r="D2706" s="256" t="s">
        <v>3612</v>
      </c>
      <c r="E2706" s="339" t="str">
        <f t="shared" si="42"/>
        <v>DP120015 : 일중RP 결제유동성 상환</v>
      </c>
      <c r="K2706" s="65"/>
      <c r="L2706" s="65"/>
      <c r="M2706" s="65"/>
      <c r="N2706" s="65"/>
      <c r="O2706" s="65"/>
      <c r="P2706" s="65"/>
      <c r="Q2706" s="65"/>
      <c r="R2706" s="65"/>
      <c r="S2706" s="65"/>
    </row>
    <row r="2707" spans="1:19" s="64" customFormat="1">
      <c r="A2707" s="316" t="s">
        <v>439</v>
      </c>
      <c r="B2707" s="123" t="s">
        <v>5072</v>
      </c>
      <c r="C2707" s="256" t="s">
        <v>4379</v>
      </c>
      <c r="D2707" s="256" t="s">
        <v>3610</v>
      </c>
      <c r="E2707" s="339" t="str">
        <f t="shared" si="42"/>
        <v>DP120016 : 증권대금이체(전자단기사채상환)</v>
      </c>
      <c r="K2707" s="65"/>
      <c r="L2707" s="65"/>
      <c r="M2707" s="65"/>
      <c r="N2707" s="65"/>
      <c r="O2707" s="65"/>
      <c r="P2707" s="65"/>
      <c r="Q2707" s="65"/>
      <c r="R2707" s="65"/>
      <c r="S2707" s="65"/>
    </row>
    <row r="2708" spans="1:19" s="64" customFormat="1">
      <c r="A2708" s="316" t="s">
        <v>439</v>
      </c>
      <c r="B2708" s="123" t="s">
        <v>5072</v>
      </c>
      <c r="C2708" s="256" t="s">
        <v>4378</v>
      </c>
      <c r="D2708" s="256" t="s">
        <v>4377</v>
      </c>
      <c r="E2708" s="339" t="str">
        <f t="shared" si="42"/>
        <v>DP120100 : 증권결제대금입금</v>
      </c>
      <c r="K2708" s="65"/>
      <c r="L2708" s="65"/>
      <c r="M2708" s="65"/>
      <c r="N2708" s="65"/>
      <c r="O2708" s="65"/>
      <c r="P2708" s="65"/>
      <c r="Q2708" s="65"/>
      <c r="R2708" s="65"/>
      <c r="S2708" s="65"/>
    </row>
    <row r="2709" spans="1:19" s="64" customFormat="1">
      <c r="A2709" s="316" t="s">
        <v>439</v>
      </c>
      <c r="B2709" s="123" t="s">
        <v>5072</v>
      </c>
      <c r="C2709" s="256" t="s">
        <v>4376</v>
      </c>
      <c r="D2709" s="256" t="s">
        <v>4375</v>
      </c>
      <c r="E2709" s="339" t="str">
        <f t="shared" si="42"/>
        <v>DP120199 : 증권결제대금입금(WIRE)</v>
      </c>
      <c r="K2709" s="65"/>
      <c r="L2709" s="65"/>
      <c r="M2709" s="65"/>
      <c r="N2709" s="65"/>
      <c r="O2709" s="65"/>
      <c r="P2709" s="65"/>
      <c r="Q2709" s="65"/>
      <c r="R2709" s="65"/>
      <c r="S2709" s="65"/>
    </row>
    <row r="2710" spans="1:19" s="64" customFormat="1">
      <c r="A2710" s="316" t="s">
        <v>439</v>
      </c>
      <c r="B2710" s="123" t="s">
        <v>5072</v>
      </c>
      <c r="C2710" s="256" t="s">
        <v>4374</v>
      </c>
      <c r="D2710" s="256" t="s">
        <v>3604</v>
      </c>
      <c r="E2710" s="339" t="str">
        <f t="shared" ref="E2710:E2773" si="43">_xlfn.TEXTJOIN(" : ",FALSE,C2710:D2710)</f>
        <v>DP120299 : 증권결제매도자앞이체(WIRE</v>
      </c>
      <c r="K2710" s="65"/>
      <c r="L2710" s="65"/>
      <c r="M2710" s="65"/>
      <c r="N2710" s="65"/>
      <c r="O2710" s="65"/>
      <c r="P2710" s="65"/>
      <c r="Q2710" s="65"/>
      <c r="R2710" s="65"/>
      <c r="S2710" s="65"/>
    </row>
    <row r="2711" spans="1:19" s="64" customFormat="1">
      <c r="A2711" s="316" t="s">
        <v>439</v>
      </c>
      <c r="B2711" s="123" t="s">
        <v>5072</v>
      </c>
      <c r="C2711" s="256" t="s">
        <v>4373</v>
      </c>
      <c r="D2711" s="256" t="s">
        <v>4372</v>
      </c>
      <c r="E2711" s="339" t="str">
        <f t="shared" si="43"/>
        <v>DP130000 : 자금조정예금이체(당행)</v>
      </c>
      <c r="K2711" s="65"/>
      <c r="L2711" s="65"/>
      <c r="M2711" s="65"/>
      <c r="N2711" s="65"/>
      <c r="O2711" s="65"/>
      <c r="P2711" s="65"/>
      <c r="Q2711" s="65"/>
      <c r="R2711" s="65"/>
      <c r="S2711" s="65"/>
    </row>
    <row r="2712" spans="1:19" s="64" customFormat="1">
      <c r="A2712" s="316" t="s">
        <v>439</v>
      </c>
      <c r="B2712" s="123" t="s">
        <v>5072</v>
      </c>
      <c r="C2712" s="256" t="s">
        <v>4371</v>
      </c>
      <c r="D2712" s="256" t="s">
        <v>4370</v>
      </c>
      <c r="E2712" s="339" t="str">
        <f t="shared" si="43"/>
        <v>DP130099 : 자금조정예금이체(WIRE)</v>
      </c>
      <c r="K2712" s="65"/>
      <c r="L2712" s="65"/>
      <c r="M2712" s="65"/>
      <c r="N2712" s="65"/>
      <c r="O2712" s="65"/>
      <c r="P2712" s="65"/>
      <c r="Q2712" s="65"/>
      <c r="R2712" s="65"/>
      <c r="S2712" s="65"/>
    </row>
    <row r="2713" spans="1:19" s="64" customFormat="1">
      <c r="A2713" s="316" t="s">
        <v>439</v>
      </c>
      <c r="B2713" s="123" t="s">
        <v>5072</v>
      </c>
      <c r="C2713" s="256" t="s">
        <v>4369</v>
      </c>
      <c r="D2713" s="256" t="s">
        <v>4368</v>
      </c>
      <c r="E2713" s="339" t="str">
        <f t="shared" si="43"/>
        <v>DP131000 : 자금조정예금상환</v>
      </c>
      <c r="K2713" s="65"/>
      <c r="L2713" s="65"/>
      <c r="M2713" s="65"/>
      <c r="N2713" s="65"/>
      <c r="O2713" s="65"/>
      <c r="P2713" s="65"/>
      <c r="Q2713" s="65"/>
      <c r="R2713" s="65"/>
      <c r="S2713" s="65"/>
    </row>
    <row r="2714" spans="1:19" s="64" customFormat="1">
      <c r="A2714" s="316" t="s">
        <v>439</v>
      </c>
      <c r="B2714" s="123" t="s">
        <v>5072</v>
      </c>
      <c r="C2714" s="256" t="s">
        <v>4367</v>
      </c>
      <c r="D2714" s="256" t="s">
        <v>4366</v>
      </c>
      <c r="E2714" s="339" t="str">
        <f t="shared" si="43"/>
        <v>DP140000 : 이체-거액앞(당행)</v>
      </c>
      <c r="K2714" s="65"/>
      <c r="L2714" s="65"/>
      <c r="M2714" s="65"/>
      <c r="N2714" s="65"/>
      <c r="O2714" s="65"/>
      <c r="P2714" s="65"/>
      <c r="Q2714" s="65"/>
      <c r="R2714" s="65"/>
      <c r="S2714" s="65"/>
    </row>
    <row r="2715" spans="1:19" s="64" customFormat="1">
      <c r="A2715" s="316" t="s">
        <v>439</v>
      </c>
      <c r="B2715" s="123" t="s">
        <v>5072</v>
      </c>
      <c r="C2715" s="256" t="s">
        <v>4365</v>
      </c>
      <c r="D2715" s="256" t="s">
        <v>3602</v>
      </c>
      <c r="E2715" s="339" t="str">
        <f t="shared" si="43"/>
        <v>DP140011 : 계좌간(결제-&gt;당좌)</v>
      </c>
      <c r="K2715" s="65"/>
      <c r="L2715" s="65"/>
      <c r="M2715" s="65"/>
      <c r="N2715" s="65"/>
      <c r="O2715" s="65"/>
      <c r="P2715" s="65"/>
      <c r="Q2715" s="65"/>
      <c r="R2715" s="65"/>
      <c r="S2715" s="65"/>
    </row>
    <row r="2716" spans="1:19" s="64" customFormat="1">
      <c r="A2716" s="316" t="s">
        <v>439</v>
      </c>
      <c r="B2716" s="123" t="s">
        <v>5072</v>
      </c>
      <c r="C2716" s="256" t="s">
        <v>4364</v>
      </c>
      <c r="D2716" s="256" t="s">
        <v>4363</v>
      </c>
      <c r="E2716" s="339" t="str">
        <f t="shared" si="43"/>
        <v>DP140099 : 이체-거액앞(WIRE)</v>
      </c>
      <c r="K2716" s="65"/>
      <c r="L2716" s="65"/>
      <c r="M2716" s="65"/>
      <c r="N2716" s="65"/>
      <c r="O2716" s="65"/>
      <c r="P2716" s="65"/>
      <c r="Q2716" s="65"/>
      <c r="R2716" s="65"/>
      <c r="S2716" s="65"/>
    </row>
    <row r="2717" spans="1:19" s="64" customFormat="1">
      <c r="A2717" s="316" t="s">
        <v>439</v>
      </c>
      <c r="B2717" s="123" t="s">
        <v>5072</v>
      </c>
      <c r="C2717" s="256" t="s">
        <v>4362</v>
      </c>
      <c r="D2717" s="256" t="s">
        <v>4361</v>
      </c>
      <c r="E2717" s="339" t="str">
        <f t="shared" si="43"/>
        <v>DP151000 : 통신회선사용료차기(한은망서버)</v>
      </c>
      <c r="K2717" s="65"/>
      <c r="L2717" s="65"/>
      <c r="M2717" s="65"/>
      <c r="N2717" s="65"/>
      <c r="O2717" s="65"/>
      <c r="P2717" s="65"/>
      <c r="Q2717" s="65"/>
      <c r="R2717" s="65"/>
      <c r="S2717" s="65"/>
    </row>
    <row r="2718" spans="1:19" s="64" customFormat="1">
      <c r="A2718" s="316" t="s">
        <v>439</v>
      </c>
      <c r="B2718" s="123" t="s">
        <v>5072</v>
      </c>
      <c r="C2718" s="256" t="s">
        <v>4360</v>
      </c>
      <c r="D2718" s="256" t="s">
        <v>3600</v>
      </c>
      <c r="E2718" s="339" t="str">
        <f t="shared" si="43"/>
        <v>DP160011 : 연계결제(혼-총액)</v>
      </c>
      <c r="K2718" s="65"/>
      <c r="L2718" s="65"/>
      <c r="M2718" s="65"/>
      <c r="N2718" s="65"/>
      <c r="O2718" s="65"/>
      <c r="P2718" s="65"/>
      <c r="Q2718" s="65"/>
      <c r="R2718" s="65"/>
      <c r="S2718" s="65"/>
    </row>
    <row r="2719" spans="1:19" s="64" customFormat="1">
      <c r="A2719" s="316" t="s">
        <v>439</v>
      </c>
      <c r="B2719" s="123" t="s">
        <v>5072</v>
      </c>
      <c r="C2719" s="256" t="s">
        <v>4359</v>
      </c>
      <c r="D2719" s="256" t="s">
        <v>4358</v>
      </c>
      <c r="E2719" s="339" t="str">
        <f t="shared" si="43"/>
        <v>DP880000 : 최적화관련 일중대출</v>
      </c>
      <c r="K2719" s="65"/>
      <c r="L2719" s="65"/>
      <c r="M2719" s="65"/>
      <c r="N2719" s="65"/>
      <c r="O2719" s="65"/>
      <c r="P2719" s="65"/>
      <c r="Q2719" s="65"/>
      <c r="R2719" s="65"/>
      <c r="S2719" s="65"/>
    </row>
    <row r="2720" spans="1:19" s="64" customFormat="1">
      <c r="A2720" s="316" t="s">
        <v>439</v>
      </c>
      <c r="B2720" s="123" t="s">
        <v>5072</v>
      </c>
      <c r="C2720" s="256" t="s">
        <v>4357</v>
      </c>
      <c r="D2720" s="256" t="s">
        <v>4356</v>
      </c>
      <c r="E2720" s="339" t="str">
        <f t="shared" si="43"/>
        <v>DP991100 : 당좌수표책대금징수</v>
      </c>
      <c r="K2720" s="65"/>
      <c r="L2720" s="65"/>
      <c r="M2720" s="65"/>
      <c r="N2720" s="65"/>
      <c r="O2720" s="65"/>
      <c r="P2720" s="65"/>
      <c r="Q2720" s="65"/>
      <c r="R2720" s="65"/>
      <c r="S2720" s="65"/>
    </row>
    <row r="2721" spans="1:19" s="64" customFormat="1">
      <c r="A2721" s="316" t="s">
        <v>439</v>
      </c>
      <c r="B2721" s="123" t="s">
        <v>5072</v>
      </c>
      <c r="C2721" s="256" t="s">
        <v>4355</v>
      </c>
      <c r="D2721" s="256" t="s">
        <v>4354</v>
      </c>
      <c r="E2721" s="339" t="str">
        <f t="shared" si="43"/>
        <v>EG100001 : 국투예탁이자일괄기일결제</v>
      </c>
      <c r="K2721" s="65"/>
      <c r="L2721" s="65"/>
      <c r="M2721" s="65"/>
      <c r="N2721" s="65"/>
      <c r="O2721" s="65"/>
      <c r="P2721" s="65"/>
      <c r="Q2721" s="65"/>
      <c r="R2721" s="65"/>
      <c r="S2721" s="65"/>
    </row>
    <row r="2722" spans="1:19" s="64" customFormat="1">
      <c r="A2722" s="316" t="s">
        <v>439</v>
      </c>
      <c r="B2722" s="123" t="s">
        <v>5072</v>
      </c>
      <c r="C2722" s="256" t="s">
        <v>4353</v>
      </c>
      <c r="D2722" s="256" t="s">
        <v>4352</v>
      </c>
      <c r="E2722" s="339" t="str">
        <f t="shared" si="43"/>
        <v>EG100002 : 국투예탁이자건별결제</v>
      </c>
      <c r="K2722" s="65"/>
      <c r="L2722" s="65"/>
      <c r="M2722" s="65"/>
      <c r="N2722" s="65"/>
      <c r="O2722" s="65"/>
      <c r="P2722" s="65"/>
      <c r="Q2722" s="65"/>
      <c r="R2722" s="65"/>
      <c r="S2722" s="65"/>
    </row>
    <row r="2723" spans="1:19" s="64" customFormat="1">
      <c r="A2723" s="316" t="s">
        <v>439</v>
      </c>
      <c r="B2723" s="123" t="s">
        <v>5072</v>
      </c>
      <c r="C2723" s="256" t="s">
        <v>4351</v>
      </c>
      <c r="D2723" s="256" t="s">
        <v>4350</v>
      </c>
      <c r="E2723" s="339" t="str">
        <f t="shared" si="43"/>
        <v>EG200001 : 국투대하이자기일결제</v>
      </c>
      <c r="K2723" s="65"/>
      <c r="L2723" s="65"/>
      <c r="M2723" s="65"/>
      <c r="N2723" s="65"/>
      <c r="O2723" s="65"/>
      <c r="P2723" s="65"/>
      <c r="Q2723" s="65"/>
      <c r="R2723" s="65"/>
      <c r="S2723" s="65"/>
    </row>
    <row r="2724" spans="1:19" s="64" customFormat="1">
      <c r="A2724" s="316" t="s">
        <v>439</v>
      </c>
      <c r="B2724" s="123" t="s">
        <v>5072</v>
      </c>
      <c r="C2724" s="256" t="s">
        <v>4349</v>
      </c>
      <c r="D2724" s="256" t="s">
        <v>4348</v>
      </c>
      <c r="E2724" s="339" t="str">
        <f t="shared" si="43"/>
        <v>EG200002 : 국투대하이자건별기일결제</v>
      </c>
      <c r="K2724" s="65"/>
      <c r="L2724" s="65"/>
      <c r="M2724" s="65"/>
      <c r="N2724" s="65"/>
      <c r="O2724" s="65"/>
      <c r="P2724" s="65"/>
      <c r="Q2724" s="65"/>
      <c r="R2724" s="65"/>
      <c r="S2724" s="65"/>
    </row>
    <row r="2725" spans="1:19" s="64" customFormat="1">
      <c r="A2725" s="316" t="s">
        <v>439</v>
      </c>
      <c r="B2725" s="123" t="s">
        <v>5072</v>
      </c>
      <c r="C2725" s="256" t="s">
        <v>4347</v>
      </c>
      <c r="D2725" s="256" t="s">
        <v>4346</v>
      </c>
      <c r="E2725" s="339" t="str">
        <f t="shared" si="43"/>
        <v>EG200003 : 국투국산기계구입자금이자결제</v>
      </c>
      <c r="K2725" s="65"/>
      <c r="L2725" s="65"/>
      <c r="M2725" s="65"/>
      <c r="N2725" s="65"/>
      <c r="O2725" s="65"/>
      <c r="P2725" s="65"/>
      <c r="Q2725" s="65"/>
      <c r="R2725" s="65"/>
      <c r="S2725" s="65"/>
    </row>
    <row r="2726" spans="1:19" s="64" customFormat="1">
      <c r="A2726" s="316" t="s">
        <v>439</v>
      </c>
      <c r="B2726" s="123" t="s">
        <v>5072</v>
      </c>
      <c r="C2726" s="256" t="s">
        <v>4345</v>
      </c>
      <c r="D2726" s="256" t="s">
        <v>4344</v>
      </c>
      <c r="E2726" s="339" t="str">
        <f t="shared" si="43"/>
        <v>EG200004 : 국투대하내입회수</v>
      </c>
      <c r="K2726" s="65"/>
      <c r="L2726" s="65"/>
      <c r="M2726" s="65"/>
      <c r="N2726" s="65"/>
      <c r="O2726" s="65"/>
      <c r="P2726" s="65"/>
      <c r="Q2726" s="65"/>
      <c r="R2726" s="65"/>
      <c r="S2726" s="65"/>
    </row>
    <row r="2727" spans="1:19" s="64" customFormat="1">
      <c r="A2727" s="316" t="s">
        <v>439</v>
      </c>
      <c r="B2727" s="123" t="s">
        <v>5072</v>
      </c>
      <c r="C2727" s="256" t="s">
        <v>4343</v>
      </c>
      <c r="D2727" s="256" t="s">
        <v>4342</v>
      </c>
      <c r="E2727" s="339" t="str">
        <f t="shared" si="43"/>
        <v>EG200005 : 국투연불자금이자내입회수</v>
      </c>
      <c r="K2727" s="65"/>
      <c r="L2727" s="65"/>
      <c r="M2727" s="65"/>
      <c r="N2727" s="65"/>
      <c r="O2727" s="65"/>
      <c r="P2727" s="65"/>
      <c r="Q2727" s="65"/>
      <c r="R2727" s="65"/>
      <c r="S2727" s="65"/>
    </row>
    <row r="2728" spans="1:19" s="64" customFormat="1">
      <c r="A2728" s="316" t="s">
        <v>439</v>
      </c>
      <c r="B2728" s="123" t="s">
        <v>5072</v>
      </c>
      <c r="C2728" s="256" t="s">
        <v>4341</v>
      </c>
      <c r="D2728" s="256" t="s">
        <v>4340</v>
      </c>
      <c r="E2728" s="339" t="str">
        <f t="shared" si="43"/>
        <v>EG200006 : 국투대하원금기일결제</v>
      </c>
      <c r="K2728" s="65"/>
      <c r="L2728" s="65"/>
      <c r="M2728" s="65"/>
      <c r="N2728" s="65"/>
      <c r="O2728" s="65"/>
      <c r="P2728" s="65"/>
      <c r="Q2728" s="65"/>
      <c r="R2728" s="65"/>
      <c r="S2728" s="65"/>
    </row>
    <row r="2729" spans="1:19" s="64" customFormat="1">
      <c r="A2729" s="316" t="s">
        <v>439</v>
      </c>
      <c r="B2729" s="123" t="s">
        <v>5072</v>
      </c>
      <c r="C2729" s="256" t="s">
        <v>4339</v>
      </c>
      <c r="D2729" s="256" t="s">
        <v>4338</v>
      </c>
      <c r="E2729" s="339" t="str">
        <f t="shared" si="43"/>
        <v>EG200007 : 국투대하원금건별기일결제</v>
      </c>
      <c r="K2729" s="65"/>
      <c r="L2729" s="65"/>
      <c r="M2729" s="65"/>
      <c r="N2729" s="65"/>
      <c r="O2729" s="65"/>
      <c r="P2729" s="65"/>
      <c r="Q2729" s="65"/>
      <c r="R2729" s="65"/>
      <c r="S2729" s="65"/>
    </row>
    <row r="2730" spans="1:19" s="64" customFormat="1">
      <c r="A2730" s="316" t="s">
        <v>439</v>
      </c>
      <c r="B2730" s="123" t="s">
        <v>5072</v>
      </c>
      <c r="C2730" s="256" t="s">
        <v>4337</v>
      </c>
      <c r="D2730" s="256" t="s">
        <v>4336</v>
      </c>
      <c r="E2730" s="339" t="str">
        <f t="shared" si="43"/>
        <v>EG300001 : 국투단기대여</v>
      </c>
      <c r="K2730" s="65"/>
      <c r="L2730" s="65"/>
      <c r="M2730" s="65"/>
      <c r="N2730" s="65"/>
      <c r="O2730" s="65"/>
      <c r="P2730" s="65"/>
      <c r="Q2730" s="65"/>
      <c r="R2730" s="65"/>
      <c r="S2730" s="65"/>
    </row>
    <row r="2731" spans="1:19" s="64" customFormat="1">
      <c r="A2731" s="316" t="s">
        <v>439</v>
      </c>
      <c r="B2731" s="123" t="s">
        <v>5072</v>
      </c>
      <c r="C2731" s="256" t="s">
        <v>4335</v>
      </c>
      <c r="D2731" s="256" t="s">
        <v>4334</v>
      </c>
      <c r="E2731" s="339" t="str">
        <f t="shared" si="43"/>
        <v>EG300002 : 국투단기대여결제</v>
      </c>
      <c r="K2731" s="65"/>
      <c r="L2731" s="65"/>
      <c r="M2731" s="65"/>
      <c r="N2731" s="65"/>
      <c r="O2731" s="65"/>
      <c r="P2731" s="65"/>
      <c r="Q2731" s="65"/>
      <c r="R2731" s="65"/>
      <c r="S2731" s="65"/>
    </row>
    <row r="2732" spans="1:19" s="64" customFormat="1">
      <c r="A2732" s="316" t="s">
        <v>439</v>
      </c>
      <c r="B2732" s="123" t="s">
        <v>5072</v>
      </c>
      <c r="C2732" s="256" t="s">
        <v>4333</v>
      </c>
      <c r="D2732" s="256" t="s">
        <v>4332</v>
      </c>
      <c r="E2732" s="339" t="str">
        <f t="shared" si="43"/>
        <v>FF000000 : 외평통상전표</v>
      </c>
      <c r="K2732" s="65"/>
      <c r="L2732" s="65"/>
      <c r="M2732" s="65"/>
      <c r="N2732" s="65"/>
      <c r="O2732" s="65"/>
      <c r="P2732" s="65"/>
      <c r="Q2732" s="65"/>
      <c r="R2732" s="65"/>
      <c r="S2732" s="65"/>
    </row>
    <row r="2733" spans="1:19" s="64" customFormat="1">
      <c r="A2733" s="316" t="s">
        <v>439</v>
      </c>
      <c r="B2733" s="123" t="s">
        <v>5072</v>
      </c>
      <c r="C2733" s="256" t="s">
        <v>4331</v>
      </c>
      <c r="D2733" s="256" t="s">
        <v>4330</v>
      </c>
      <c r="E2733" s="339" t="str">
        <f t="shared" si="43"/>
        <v>FF010400 : 이부채당일발행</v>
      </c>
      <c r="K2733" s="65"/>
      <c r="L2733" s="65"/>
      <c r="M2733" s="65"/>
      <c r="N2733" s="65"/>
      <c r="O2733" s="65"/>
      <c r="P2733" s="65"/>
      <c r="Q2733" s="65"/>
      <c r="R2733" s="65"/>
      <c r="S2733" s="65"/>
    </row>
    <row r="2734" spans="1:19" s="64" customFormat="1">
      <c r="A2734" s="316" t="s">
        <v>439</v>
      </c>
      <c r="B2734" s="123" t="s">
        <v>5072</v>
      </c>
      <c r="C2734" s="256" t="s">
        <v>4329</v>
      </c>
      <c r="D2734" s="256" t="s">
        <v>4328</v>
      </c>
      <c r="E2734" s="339" t="str">
        <f t="shared" si="43"/>
        <v>FF010500 : 할인채발행</v>
      </c>
      <c r="K2734" s="65"/>
      <c r="L2734" s="65"/>
      <c r="M2734" s="65"/>
      <c r="N2734" s="65"/>
      <c r="O2734" s="65"/>
      <c r="P2734" s="65"/>
      <c r="Q2734" s="65"/>
      <c r="R2734" s="65"/>
      <c r="S2734" s="65"/>
    </row>
    <row r="2735" spans="1:19" s="64" customFormat="1">
      <c r="A2735" s="316" t="s">
        <v>439</v>
      </c>
      <c r="B2735" s="123" t="s">
        <v>5072</v>
      </c>
      <c r="C2735" s="256" t="s">
        <v>4327</v>
      </c>
      <c r="D2735" s="256" t="s">
        <v>4326</v>
      </c>
      <c r="E2735" s="339" t="str">
        <f t="shared" si="43"/>
        <v>FF010600 : 이부채상환</v>
      </c>
      <c r="K2735" s="65"/>
      <c r="L2735" s="65"/>
      <c r="M2735" s="65"/>
      <c r="N2735" s="65"/>
      <c r="O2735" s="65"/>
      <c r="P2735" s="65"/>
      <c r="Q2735" s="65"/>
      <c r="R2735" s="65"/>
      <c r="S2735" s="65"/>
    </row>
    <row r="2736" spans="1:19" s="64" customFormat="1">
      <c r="A2736" s="316" t="s">
        <v>439</v>
      </c>
      <c r="B2736" s="123" t="s">
        <v>5072</v>
      </c>
      <c r="C2736" s="256" t="s">
        <v>4325</v>
      </c>
      <c r="D2736" s="256" t="s">
        <v>4324</v>
      </c>
      <c r="E2736" s="339" t="str">
        <f t="shared" si="43"/>
        <v>FF010700 : 할인채상환</v>
      </c>
      <c r="K2736" s="65"/>
      <c r="L2736" s="65"/>
      <c r="M2736" s="65"/>
      <c r="N2736" s="65"/>
      <c r="O2736" s="65"/>
      <c r="P2736" s="65"/>
      <c r="Q2736" s="65"/>
      <c r="R2736" s="65"/>
      <c r="S2736" s="65"/>
    </row>
    <row r="2737" spans="1:19" s="64" customFormat="1">
      <c r="A2737" s="316" t="s">
        <v>439</v>
      </c>
      <c r="B2737" s="123" t="s">
        <v>5072</v>
      </c>
      <c r="C2737" s="256" t="s">
        <v>4323</v>
      </c>
      <c r="D2737" s="256" t="s">
        <v>4322</v>
      </c>
      <c r="E2737" s="339" t="str">
        <f t="shared" si="43"/>
        <v>FF010800 : 외평채권국세환급</v>
      </c>
      <c r="K2737" s="65"/>
      <c r="L2737" s="65"/>
      <c r="M2737" s="65"/>
      <c r="N2737" s="65"/>
      <c r="O2737" s="65"/>
      <c r="P2737" s="65"/>
      <c r="Q2737" s="65"/>
      <c r="R2737" s="65"/>
      <c r="S2737" s="65"/>
    </row>
    <row r="2738" spans="1:19" s="64" customFormat="1">
      <c r="A2738" s="316" t="s">
        <v>439</v>
      </c>
      <c r="B2738" s="123" t="s">
        <v>5072</v>
      </c>
      <c r="C2738" s="256" t="s">
        <v>4321</v>
      </c>
      <c r="D2738" s="256" t="s">
        <v>4320</v>
      </c>
      <c r="E2738" s="339" t="str">
        <f t="shared" si="43"/>
        <v>FF020100 : 정부출연</v>
      </c>
      <c r="K2738" s="65"/>
      <c r="L2738" s="65"/>
      <c r="M2738" s="65"/>
      <c r="N2738" s="65"/>
      <c r="O2738" s="65"/>
      <c r="P2738" s="65"/>
      <c r="Q2738" s="65"/>
      <c r="R2738" s="65"/>
      <c r="S2738" s="65"/>
    </row>
    <row r="2739" spans="1:19" s="64" customFormat="1">
      <c r="A2739" s="316" t="s">
        <v>439</v>
      </c>
      <c r="B2739" s="123" t="s">
        <v>5072</v>
      </c>
      <c r="C2739" s="256" t="s">
        <v>4319</v>
      </c>
      <c r="D2739" s="256" t="s">
        <v>4318</v>
      </c>
      <c r="E2739" s="339" t="str">
        <f t="shared" si="43"/>
        <v>FF030100 : 외평외환단순매입</v>
      </c>
      <c r="K2739" s="65"/>
      <c r="L2739" s="65"/>
      <c r="M2739" s="65"/>
      <c r="N2739" s="65"/>
      <c r="O2739" s="65"/>
      <c r="P2739" s="65"/>
      <c r="Q2739" s="65"/>
      <c r="R2739" s="65"/>
      <c r="S2739" s="65"/>
    </row>
    <row r="2740" spans="1:19" s="64" customFormat="1">
      <c r="A2740" s="316" t="s">
        <v>439</v>
      </c>
      <c r="B2740" s="123" t="s">
        <v>5072</v>
      </c>
      <c r="C2740" s="256" t="s">
        <v>4317</v>
      </c>
      <c r="D2740" s="256" t="s">
        <v>4316</v>
      </c>
      <c r="E2740" s="339" t="str">
        <f t="shared" si="43"/>
        <v>FF030200 : 외평외환단순매각</v>
      </c>
      <c r="K2740" s="65"/>
      <c r="L2740" s="65"/>
      <c r="M2740" s="65"/>
      <c r="N2740" s="65"/>
      <c r="O2740" s="65"/>
      <c r="P2740" s="65"/>
      <c r="Q2740" s="65"/>
      <c r="R2740" s="65"/>
      <c r="S2740" s="65"/>
    </row>
    <row r="2741" spans="1:19" s="64" customFormat="1">
      <c r="A2741" s="316" t="s">
        <v>439</v>
      </c>
      <c r="B2741" s="123" t="s">
        <v>5072</v>
      </c>
      <c r="C2741" s="256" t="s">
        <v>4315</v>
      </c>
      <c r="D2741" s="256" t="s">
        <v>4314</v>
      </c>
      <c r="E2741" s="339" t="str">
        <f t="shared" si="43"/>
        <v>FF030300 : 외평외환스왑매각환매</v>
      </c>
      <c r="K2741" s="65"/>
      <c r="L2741" s="65"/>
      <c r="M2741" s="65"/>
      <c r="N2741" s="65"/>
      <c r="O2741" s="65"/>
      <c r="P2741" s="65"/>
      <c r="Q2741" s="65"/>
      <c r="R2741" s="65"/>
      <c r="S2741" s="65"/>
    </row>
    <row r="2742" spans="1:19" s="64" customFormat="1">
      <c r="A2742" s="316" t="s">
        <v>439</v>
      </c>
      <c r="B2742" s="123" t="s">
        <v>5072</v>
      </c>
      <c r="C2742" s="256" t="s">
        <v>4313</v>
      </c>
      <c r="D2742" s="256" t="s">
        <v>4312</v>
      </c>
      <c r="E2742" s="339" t="str">
        <f t="shared" si="43"/>
        <v>FF030400 : 외평외환스왑매각</v>
      </c>
      <c r="K2742" s="65"/>
      <c r="L2742" s="65"/>
      <c r="M2742" s="65"/>
      <c r="N2742" s="65"/>
      <c r="O2742" s="65"/>
      <c r="P2742" s="65"/>
      <c r="Q2742" s="65"/>
      <c r="R2742" s="65"/>
      <c r="S2742" s="65"/>
    </row>
    <row r="2743" spans="1:19" s="64" customFormat="1">
      <c r="A2743" s="316" t="s">
        <v>439</v>
      </c>
      <c r="B2743" s="123" t="s">
        <v>5072</v>
      </c>
      <c r="C2743" s="256" t="s">
        <v>4311</v>
      </c>
      <c r="D2743" s="256" t="s">
        <v>4310</v>
      </c>
      <c r="E2743" s="339" t="str">
        <f t="shared" si="43"/>
        <v>FF030500 : 외평외환스왑매입환매</v>
      </c>
      <c r="K2743" s="65"/>
      <c r="L2743" s="65"/>
      <c r="M2743" s="65"/>
      <c r="N2743" s="65"/>
      <c r="O2743" s="65"/>
      <c r="P2743" s="65"/>
      <c r="Q2743" s="65"/>
      <c r="R2743" s="65"/>
      <c r="S2743" s="65"/>
    </row>
    <row r="2744" spans="1:19" s="64" customFormat="1">
      <c r="A2744" s="316" t="s">
        <v>439</v>
      </c>
      <c r="B2744" s="123" t="s">
        <v>5072</v>
      </c>
      <c r="C2744" s="256" t="s">
        <v>4309</v>
      </c>
      <c r="D2744" s="256" t="s">
        <v>4308</v>
      </c>
      <c r="E2744" s="339" t="str">
        <f t="shared" si="43"/>
        <v>FF030600 : 외평외환스왑매입</v>
      </c>
      <c r="K2744" s="65"/>
      <c r="L2744" s="65"/>
      <c r="M2744" s="65"/>
      <c r="N2744" s="65"/>
      <c r="O2744" s="65"/>
      <c r="P2744" s="65"/>
      <c r="Q2744" s="65"/>
      <c r="R2744" s="65"/>
      <c r="S2744" s="65"/>
    </row>
    <row r="2745" spans="1:19" s="64" customFormat="1">
      <c r="A2745" s="316" t="s">
        <v>439</v>
      </c>
      <c r="B2745" s="123" t="s">
        <v>5072</v>
      </c>
      <c r="C2745" s="256" t="s">
        <v>4307</v>
      </c>
      <c r="D2745" s="256" t="s">
        <v>4306</v>
      </c>
      <c r="E2745" s="339" t="str">
        <f t="shared" si="43"/>
        <v>FF030700 : 통화스왑</v>
      </c>
      <c r="K2745" s="65"/>
      <c r="L2745" s="65"/>
      <c r="M2745" s="65"/>
      <c r="N2745" s="65"/>
      <c r="O2745" s="65"/>
      <c r="P2745" s="65"/>
      <c r="Q2745" s="65"/>
      <c r="R2745" s="65"/>
      <c r="S2745" s="65"/>
    </row>
    <row r="2746" spans="1:19" s="64" customFormat="1">
      <c r="A2746" s="316" t="s">
        <v>439</v>
      </c>
      <c r="B2746" s="123" t="s">
        <v>5072</v>
      </c>
      <c r="C2746" s="256" t="s">
        <v>4305</v>
      </c>
      <c r="D2746" s="256" t="s">
        <v>4304</v>
      </c>
      <c r="E2746" s="339" t="str">
        <f t="shared" si="43"/>
        <v>FF030800 : 통화스왑 상환</v>
      </c>
      <c r="K2746" s="65"/>
      <c r="L2746" s="65"/>
      <c r="M2746" s="65"/>
      <c r="N2746" s="65"/>
      <c r="O2746" s="65"/>
      <c r="P2746" s="65"/>
      <c r="Q2746" s="65"/>
      <c r="R2746" s="65"/>
      <c r="S2746" s="65"/>
    </row>
    <row r="2747" spans="1:19" s="64" customFormat="1">
      <c r="A2747" s="316" t="s">
        <v>439</v>
      </c>
      <c r="B2747" s="123" t="s">
        <v>5072</v>
      </c>
      <c r="C2747" s="256" t="s">
        <v>4303</v>
      </c>
      <c r="D2747" s="256" t="s">
        <v>4302</v>
      </c>
      <c r="E2747" s="339" t="str">
        <f t="shared" si="43"/>
        <v>FF030900 : 통화스왑 이자지급</v>
      </c>
      <c r="K2747" s="65"/>
      <c r="L2747" s="65"/>
      <c r="M2747" s="65"/>
      <c r="N2747" s="65"/>
      <c r="O2747" s="65"/>
      <c r="P2747" s="65"/>
      <c r="Q2747" s="65"/>
      <c r="R2747" s="65"/>
      <c r="S2747" s="65"/>
    </row>
    <row r="2748" spans="1:19" s="64" customFormat="1">
      <c r="A2748" s="316" t="s">
        <v>439</v>
      </c>
      <c r="B2748" s="123" t="s">
        <v>5072</v>
      </c>
      <c r="C2748" s="256" t="s">
        <v>4301</v>
      </c>
      <c r="D2748" s="256" t="s">
        <v>4300</v>
      </c>
      <c r="E2748" s="339" t="str">
        <f t="shared" si="43"/>
        <v>FF040100 : 외평정기예치예치</v>
      </c>
      <c r="K2748" s="65"/>
      <c r="L2748" s="65"/>
      <c r="M2748" s="65"/>
      <c r="N2748" s="65"/>
      <c r="O2748" s="65"/>
      <c r="P2748" s="65"/>
      <c r="Q2748" s="65"/>
      <c r="R2748" s="65"/>
      <c r="S2748" s="65"/>
    </row>
    <row r="2749" spans="1:19" s="64" customFormat="1">
      <c r="A2749" s="316" t="s">
        <v>439</v>
      </c>
      <c r="B2749" s="123" t="s">
        <v>5072</v>
      </c>
      <c r="C2749" s="256" t="s">
        <v>4299</v>
      </c>
      <c r="D2749" s="256" t="s">
        <v>4298</v>
      </c>
      <c r="E2749" s="339" t="str">
        <f t="shared" si="43"/>
        <v>FF040200 : 외평정기예치해지</v>
      </c>
      <c r="K2749" s="65"/>
      <c r="L2749" s="65"/>
      <c r="M2749" s="65"/>
      <c r="N2749" s="65"/>
      <c r="O2749" s="65"/>
      <c r="P2749" s="65"/>
      <c r="Q2749" s="65"/>
      <c r="R2749" s="65"/>
      <c r="S2749" s="65"/>
    </row>
    <row r="2750" spans="1:19" s="64" customFormat="1">
      <c r="A2750" s="316" t="s">
        <v>439</v>
      </c>
      <c r="B2750" s="123" t="s">
        <v>5072</v>
      </c>
      <c r="C2750" s="256" t="s">
        <v>4297</v>
      </c>
      <c r="D2750" s="256" t="s">
        <v>4296</v>
      </c>
      <c r="E2750" s="339" t="str">
        <f t="shared" si="43"/>
        <v>FF040300 : 외평국내통화스왑체결</v>
      </c>
      <c r="K2750" s="65"/>
      <c r="L2750" s="65"/>
      <c r="M2750" s="65"/>
      <c r="N2750" s="65"/>
      <c r="O2750" s="65"/>
      <c r="P2750" s="65"/>
      <c r="Q2750" s="65"/>
      <c r="R2750" s="65"/>
      <c r="S2750" s="65"/>
    </row>
    <row r="2751" spans="1:19" s="64" customFormat="1">
      <c r="A2751" s="316" t="s">
        <v>439</v>
      </c>
      <c r="B2751" s="123" t="s">
        <v>5072</v>
      </c>
      <c r="C2751" s="256" t="s">
        <v>4295</v>
      </c>
      <c r="D2751" s="256" t="s">
        <v>4294</v>
      </c>
      <c r="E2751" s="339" t="str">
        <f t="shared" si="43"/>
        <v>FF040400 : 외평국내통화스왑상환</v>
      </c>
      <c r="K2751" s="65"/>
      <c r="L2751" s="65"/>
      <c r="M2751" s="65"/>
      <c r="N2751" s="65"/>
      <c r="O2751" s="65"/>
      <c r="P2751" s="65"/>
      <c r="Q2751" s="65"/>
      <c r="R2751" s="65"/>
      <c r="S2751" s="65"/>
    </row>
    <row r="2752" spans="1:19" s="64" customFormat="1">
      <c r="A2752" s="316" t="s">
        <v>439</v>
      </c>
      <c r="B2752" s="123" t="s">
        <v>5072</v>
      </c>
      <c r="C2752" s="256" t="s">
        <v>4293</v>
      </c>
      <c r="D2752" s="256" t="s">
        <v>4292</v>
      </c>
      <c r="E2752" s="339" t="str">
        <f t="shared" si="43"/>
        <v>FF040500 : 외평국내통화스왑이자</v>
      </c>
      <c r="K2752" s="65"/>
      <c r="L2752" s="65"/>
      <c r="M2752" s="65"/>
      <c r="N2752" s="65"/>
      <c r="O2752" s="65"/>
      <c r="P2752" s="65"/>
      <c r="Q2752" s="65"/>
      <c r="R2752" s="65"/>
      <c r="S2752" s="65"/>
    </row>
    <row r="2753" spans="1:19" s="64" customFormat="1">
      <c r="A2753" s="316" t="s">
        <v>439</v>
      </c>
      <c r="B2753" s="123" t="s">
        <v>5072</v>
      </c>
      <c r="C2753" s="256" t="s">
        <v>4291</v>
      </c>
      <c r="D2753" s="256" t="s">
        <v>4290</v>
      </c>
      <c r="E2753" s="339" t="str">
        <f t="shared" si="43"/>
        <v>FF050100 : 외평O/N예치</v>
      </c>
      <c r="K2753" s="65"/>
      <c r="L2753" s="65"/>
      <c r="M2753" s="65"/>
      <c r="N2753" s="65"/>
      <c r="O2753" s="65"/>
      <c r="P2753" s="65"/>
      <c r="Q2753" s="65"/>
      <c r="R2753" s="65"/>
      <c r="S2753" s="65"/>
    </row>
    <row r="2754" spans="1:19" s="64" customFormat="1">
      <c r="A2754" s="316" t="s">
        <v>439</v>
      </c>
      <c r="B2754" s="123" t="s">
        <v>5072</v>
      </c>
      <c r="C2754" s="256" t="s">
        <v>4289</v>
      </c>
      <c r="D2754" s="256" t="s">
        <v>4288</v>
      </c>
      <c r="E2754" s="339" t="str">
        <f t="shared" si="43"/>
        <v>FF050200 : 외평O/N해지</v>
      </c>
      <c r="K2754" s="65"/>
      <c r="L2754" s="65"/>
      <c r="M2754" s="65"/>
      <c r="N2754" s="65"/>
      <c r="O2754" s="65"/>
      <c r="P2754" s="65"/>
      <c r="Q2754" s="65"/>
      <c r="R2754" s="65"/>
      <c r="S2754" s="65"/>
    </row>
    <row r="2755" spans="1:19" s="64" customFormat="1">
      <c r="A2755" s="316" t="s">
        <v>439</v>
      </c>
      <c r="B2755" s="123" t="s">
        <v>5072</v>
      </c>
      <c r="C2755" s="256" t="s">
        <v>4287</v>
      </c>
      <c r="D2755" s="256" t="s">
        <v>4286</v>
      </c>
      <c r="E2755" s="339" t="str">
        <f t="shared" si="43"/>
        <v>FF050300 : 외평O/N이자수취</v>
      </c>
      <c r="K2755" s="65"/>
      <c r="L2755" s="65"/>
      <c r="M2755" s="65"/>
      <c r="N2755" s="65"/>
      <c r="O2755" s="65"/>
      <c r="P2755" s="65"/>
      <c r="Q2755" s="65"/>
      <c r="R2755" s="65"/>
      <c r="S2755" s="65"/>
    </row>
    <row r="2756" spans="1:19" s="64" customFormat="1">
      <c r="A2756" s="316" t="s">
        <v>439</v>
      </c>
      <c r="B2756" s="123" t="s">
        <v>5072</v>
      </c>
      <c r="C2756" s="256" t="s">
        <v>4285</v>
      </c>
      <c r="D2756" s="256" t="s">
        <v>4284</v>
      </c>
      <c r="E2756" s="339" t="str">
        <f t="shared" si="43"/>
        <v>FF050400 : 외평금융기관예탁실시</v>
      </c>
      <c r="K2756" s="65"/>
      <c r="L2756" s="65"/>
      <c r="M2756" s="65"/>
      <c r="N2756" s="65"/>
      <c r="O2756" s="65"/>
      <c r="P2756" s="65"/>
      <c r="Q2756" s="65"/>
      <c r="R2756" s="65"/>
      <c r="S2756" s="65"/>
    </row>
    <row r="2757" spans="1:19" s="64" customFormat="1">
      <c r="A2757" s="316" t="s">
        <v>439</v>
      </c>
      <c r="B2757" s="123" t="s">
        <v>5072</v>
      </c>
      <c r="C2757" s="256" t="s">
        <v>4283</v>
      </c>
      <c r="D2757" s="256" t="s">
        <v>4282</v>
      </c>
      <c r="E2757" s="339" t="str">
        <f t="shared" si="43"/>
        <v>FF050500 : 외평금융기관예탁상환</v>
      </c>
      <c r="K2757" s="65"/>
      <c r="L2757" s="65"/>
      <c r="M2757" s="65"/>
      <c r="N2757" s="65"/>
      <c r="O2757" s="65"/>
      <c r="P2757" s="65"/>
      <c r="Q2757" s="65"/>
      <c r="R2757" s="65"/>
      <c r="S2757" s="65"/>
    </row>
    <row r="2758" spans="1:19" s="64" customFormat="1">
      <c r="A2758" s="316" t="s">
        <v>439</v>
      </c>
      <c r="B2758" s="123" t="s">
        <v>5072</v>
      </c>
      <c r="C2758" s="256" t="s">
        <v>4281</v>
      </c>
      <c r="D2758" s="256" t="s">
        <v>4280</v>
      </c>
      <c r="E2758" s="339" t="str">
        <f t="shared" si="43"/>
        <v>FF050600 : 외평위탁지급수수료</v>
      </c>
      <c r="K2758" s="65"/>
      <c r="L2758" s="65"/>
      <c r="M2758" s="65"/>
      <c r="N2758" s="65"/>
      <c r="O2758" s="65"/>
      <c r="P2758" s="65"/>
      <c r="Q2758" s="65"/>
      <c r="R2758" s="65"/>
      <c r="S2758" s="65"/>
    </row>
    <row r="2759" spans="1:19" s="64" customFormat="1">
      <c r="A2759" s="316" t="s">
        <v>439</v>
      </c>
      <c r="B2759" s="123" t="s">
        <v>5072</v>
      </c>
      <c r="C2759" s="256" t="s">
        <v>4279</v>
      </c>
      <c r="D2759" s="256" t="s">
        <v>4278</v>
      </c>
      <c r="E2759" s="339" t="str">
        <f t="shared" si="43"/>
        <v>FF050700 : 외평금융기관위탁실시</v>
      </c>
      <c r="K2759" s="65"/>
      <c r="L2759" s="65"/>
      <c r="M2759" s="65"/>
      <c r="N2759" s="65"/>
      <c r="O2759" s="65"/>
      <c r="P2759" s="65"/>
      <c r="Q2759" s="65"/>
      <c r="R2759" s="65"/>
      <c r="S2759" s="65"/>
    </row>
    <row r="2760" spans="1:19" s="64" customFormat="1">
      <c r="A2760" s="316" t="s">
        <v>439</v>
      </c>
      <c r="B2760" s="123" t="s">
        <v>5072</v>
      </c>
      <c r="C2760" s="256" t="s">
        <v>4277</v>
      </c>
      <c r="D2760" s="256" t="s">
        <v>4276</v>
      </c>
      <c r="E2760" s="339" t="str">
        <f t="shared" si="43"/>
        <v>FF050800 : 외평금융기관위탁상환</v>
      </c>
      <c r="K2760" s="65"/>
      <c r="L2760" s="65"/>
      <c r="M2760" s="65"/>
      <c r="N2760" s="65"/>
      <c r="O2760" s="65"/>
      <c r="P2760" s="65"/>
      <c r="Q2760" s="65"/>
      <c r="R2760" s="65"/>
      <c r="S2760" s="65"/>
    </row>
    <row r="2761" spans="1:19" s="64" customFormat="1">
      <c r="A2761" s="316" t="s">
        <v>439</v>
      </c>
      <c r="B2761" s="123" t="s">
        <v>5072</v>
      </c>
      <c r="C2761" s="256" t="s">
        <v>4275</v>
      </c>
      <c r="D2761" s="256" t="s">
        <v>4274</v>
      </c>
      <c r="E2761" s="339" t="str">
        <f t="shared" si="43"/>
        <v>FF050900 : 외평위탁선취이자</v>
      </c>
      <c r="K2761" s="65"/>
      <c r="L2761" s="65"/>
      <c r="M2761" s="65"/>
      <c r="N2761" s="65"/>
      <c r="O2761" s="65"/>
      <c r="P2761" s="65"/>
      <c r="Q2761" s="65"/>
      <c r="R2761" s="65"/>
      <c r="S2761" s="65"/>
    </row>
    <row r="2762" spans="1:19" s="64" customFormat="1">
      <c r="A2762" s="316" t="s">
        <v>439</v>
      </c>
      <c r="B2762" s="123" t="s">
        <v>5072</v>
      </c>
      <c r="C2762" s="256" t="s">
        <v>4273</v>
      </c>
      <c r="D2762" s="256" t="s">
        <v>4272</v>
      </c>
      <c r="E2762" s="339" t="str">
        <f t="shared" si="43"/>
        <v>FF060100 : 외평외화콜론실시</v>
      </c>
      <c r="K2762" s="65"/>
      <c r="L2762" s="65"/>
      <c r="M2762" s="65"/>
      <c r="N2762" s="65"/>
      <c r="O2762" s="65"/>
      <c r="P2762" s="65"/>
      <c r="Q2762" s="65"/>
      <c r="R2762" s="65"/>
      <c r="S2762" s="65"/>
    </row>
    <row r="2763" spans="1:19" s="64" customFormat="1">
      <c r="A2763" s="316" t="s">
        <v>439</v>
      </c>
      <c r="B2763" s="123" t="s">
        <v>5072</v>
      </c>
      <c r="C2763" s="256" t="s">
        <v>4271</v>
      </c>
      <c r="D2763" s="256" t="s">
        <v>4270</v>
      </c>
      <c r="E2763" s="339" t="str">
        <f t="shared" si="43"/>
        <v>FF060200 : 외평외화콜론회수</v>
      </c>
      <c r="K2763" s="65"/>
      <c r="L2763" s="65"/>
      <c r="M2763" s="65"/>
      <c r="N2763" s="65"/>
      <c r="O2763" s="65"/>
      <c r="P2763" s="65"/>
      <c r="Q2763" s="65"/>
      <c r="R2763" s="65"/>
      <c r="S2763" s="65"/>
    </row>
    <row r="2764" spans="1:19" s="64" customFormat="1">
      <c r="A2764" s="316" t="s">
        <v>439</v>
      </c>
      <c r="B2764" s="123" t="s">
        <v>5072</v>
      </c>
      <c r="C2764" s="256" t="s">
        <v>4269</v>
      </c>
      <c r="D2764" s="256" t="s">
        <v>4268</v>
      </c>
      <c r="E2764" s="339" t="str">
        <f t="shared" si="43"/>
        <v>FF070100 : 외평원화콜론실시</v>
      </c>
      <c r="K2764" s="65"/>
      <c r="L2764" s="65"/>
      <c r="M2764" s="65"/>
      <c r="N2764" s="65"/>
      <c r="O2764" s="65"/>
      <c r="P2764" s="65"/>
      <c r="Q2764" s="65"/>
      <c r="R2764" s="65"/>
      <c r="S2764" s="65"/>
    </row>
    <row r="2765" spans="1:19" s="64" customFormat="1">
      <c r="A2765" s="316" t="s">
        <v>439</v>
      </c>
      <c r="B2765" s="123" t="s">
        <v>5072</v>
      </c>
      <c r="C2765" s="256" t="s">
        <v>4267</v>
      </c>
      <c r="D2765" s="256" t="s">
        <v>4266</v>
      </c>
      <c r="E2765" s="339" t="str">
        <f t="shared" si="43"/>
        <v>FF070200 : 외평원화콜론회수</v>
      </c>
      <c r="K2765" s="65"/>
      <c r="L2765" s="65"/>
      <c r="M2765" s="65"/>
      <c r="N2765" s="65"/>
      <c r="O2765" s="65"/>
      <c r="P2765" s="65"/>
      <c r="Q2765" s="65"/>
      <c r="R2765" s="65"/>
      <c r="S2765" s="65"/>
    </row>
    <row r="2766" spans="1:19" s="64" customFormat="1">
      <c r="A2766" s="316" t="s">
        <v>439</v>
      </c>
      <c r="B2766" s="123" t="s">
        <v>5072</v>
      </c>
      <c r="C2766" s="256" t="s">
        <v>4265</v>
      </c>
      <c r="D2766" s="256" t="s">
        <v>4264</v>
      </c>
      <c r="E2766" s="339" t="str">
        <f t="shared" si="43"/>
        <v>FF080100 : 예산전금취결</v>
      </c>
      <c r="K2766" s="65"/>
      <c r="L2766" s="65"/>
      <c r="M2766" s="65"/>
      <c r="N2766" s="65"/>
      <c r="O2766" s="65"/>
      <c r="P2766" s="65"/>
      <c r="Q2766" s="65"/>
      <c r="R2766" s="65"/>
      <c r="S2766" s="65"/>
    </row>
    <row r="2767" spans="1:19" s="64" customFormat="1">
      <c r="A2767" s="316" t="s">
        <v>439</v>
      </c>
      <c r="B2767" s="123" t="s">
        <v>5072</v>
      </c>
      <c r="C2767" s="256" t="s">
        <v>4263</v>
      </c>
      <c r="D2767" s="256" t="s">
        <v>4262</v>
      </c>
      <c r="E2767" s="339" t="str">
        <f t="shared" si="43"/>
        <v>FF080200 : 예산역이체결제</v>
      </c>
      <c r="K2767" s="65"/>
      <c r="L2767" s="65"/>
      <c r="M2767" s="65"/>
      <c r="N2767" s="65"/>
      <c r="O2767" s="65"/>
      <c r="P2767" s="65"/>
      <c r="Q2767" s="65"/>
      <c r="R2767" s="65"/>
      <c r="S2767" s="65"/>
    </row>
    <row r="2768" spans="1:19" s="64" customFormat="1">
      <c r="A2768" s="316" t="s">
        <v>439</v>
      </c>
      <c r="B2768" s="123" t="s">
        <v>5072</v>
      </c>
      <c r="C2768" s="256" t="s">
        <v>4261</v>
      </c>
      <c r="D2768" s="256" t="s">
        <v>4260</v>
      </c>
      <c r="E2768" s="339" t="str">
        <f t="shared" si="43"/>
        <v>FF080300 : 채권발행비지급</v>
      </c>
      <c r="K2768" s="65"/>
      <c r="L2768" s="65"/>
      <c r="M2768" s="65"/>
      <c r="N2768" s="65"/>
      <c r="O2768" s="65"/>
      <c r="P2768" s="65"/>
      <c r="Q2768" s="65"/>
      <c r="R2768" s="65"/>
      <c r="S2768" s="65"/>
    </row>
    <row r="2769" spans="1:19" s="64" customFormat="1">
      <c r="A2769" s="316" t="s">
        <v>439</v>
      </c>
      <c r="B2769" s="123" t="s">
        <v>5072</v>
      </c>
      <c r="C2769" s="256" t="s">
        <v>4259</v>
      </c>
      <c r="D2769" s="256" t="s">
        <v>4258</v>
      </c>
      <c r="E2769" s="339" t="str">
        <f t="shared" si="43"/>
        <v>FF090100 : 외평외환평가익</v>
      </c>
      <c r="K2769" s="65"/>
      <c r="L2769" s="65"/>
      <c r="M2769" s="65"/>
      <c r="N2769" s="65"/>
      <c r="O2769" s="65"/>
      <c r="P2769" s="65"/>
      <c r="Q2769" s="65"/>
      <c r="R2769" s="65"/>
      <c r="S2769" s="65"/>
    </row>
    <row r="2770" spans="1:19" s="64" customFormat="1">
      <c r="A2770" s="316" t="s">
        <v>439</v>
      </c>
      <c r="B2770" s="123" t="s">
        <v>5072</v>
      </c>
      <c r="C2770" s="256" t="s">
        <v>4257</v>
      </c>
      <c r="D2770" s="256" t="s">
        <v>4256</v>
      </c>
      <c r="E2770" s="339" t="str">
        <f t="shared" si="43"/>
        <v>FF090200 : 외평외환평가손</v>
      </c>
      <c r="K2770" s="65"/>
      <c r="L2770" s="65"/>
      <c r="M2770" s="65"/>
      <c r="N2770" s="65"/>
      <c r="O2770" s="65"/>
      <c r="P2770" s="65"/>
      <c r="Q2770" s="65"/>
      <c r="R2770" s="65"/>
      <c r="S2770" s="65"/>
    </row>
    <row r="2771" spans="1:19" s="64" customFormat="1">
      <c r="A2771" s="316" t="s">
        <v>439</v>
      </c>
      <c r="B2771" s="123" t="s">
        <v>5072</v>
      </c>
      <c r="C2771" s="256" t="s">
        <v>4255</v>
      </c>
      <c r="D2771" s="256" t="s">
        <v>4254</v>
      </c>
      <c r="E2771" s="339" t="str">
        <f t="shared" si="43"/>
        <v>FF090500 : 외평파생상품평가익</v>
      </c>
      <c r="K2771" s="65"/>
      <c r="L2771" s="65"/>
      <c r="M2771" s="65"/>
      <c r="N2771" s="65"/>
      <c r="O2771" s="65"/>
      <c r="P2771" s="65"/>
      <c r="Q2771" s="65"/>
      <c r="R2771" s="65"/>
      <c r="S2771" s="65"/>
    </row>
    <row r="2772" spans="1:19" s="64" customFormat="1">
      <c r="A2772" s="316" t="s">
        <v>439</v>
      </c>
      <c r="B2772" s="123" t="s">
        <v>5072</v>
      </c>
      <c r="C2772" s="256" t="s">
        <v>4253</v>
      </c>
      <c r="D2772" s="256" t="s">
        <v>4252</v>
      </c>
      <c r="E2772" s="339" t="str">
        <f t="shared" si="43"/>
        <v>FF090600 : 외평파생상품평가손</v>
      </c>
      <c r="K2772" s="65"/>
      <c r="L2772" s="65"/>
      <c r="M2772" s="65"/>
      <c r="N2772" s="65"/>
      <c r="O2772" s="65"/>
      <c r="P2772" s="65"/>
      <c r="Q2772" s="65"/>
      <c r="R2772" s="65"/>
      <c r="S2772" s="65"/>
    </row>
    <row r="2773" spans="1:19" s="64" customFormat="1">
      <c r="A2773" s="316" t="s">
        <v>439</v>
      </c>
      <c r="B2773" s="123" t="s">
        <v>5072</v>
      </c>
      <c r="C2773" s="256" t="s">
        <v>4251</v>
      </c>
      <c r="D2773" s="256" t="s">
        <v>4250</v>
      </c>
      <c r="E2773" s="339" t="str">
        <f t="shared" si="43"/>
        <v>FF100100 : 외평기금보정</v>
      </c>
      <c r="K2773" s="65"/>
      <c r="L2773" s="65"/>
      <c r="M2773" s="65"/>
      <c r="N2773" s="65"/>
      <c r="O2773" s="65"/>
      <c r="P2773" s="65"/>
      <c r="Q2773" s="65"/>
      <c r="R2773" s="65"/>
      <c r="S2773" s="65"/>
    </row>
    <row r="2774" spans="1:19" s="64" customFormat="1">
      <c r="A2774" s="316" t="s">
        <v>439</v>
      </c>
      <c r="B2774" s="123" t="s">
        <v>5072</v>
      </c>
      <c r="C2774" s="256" t="s">
        <v>4249</v>
      </c>
      <c r="D2774" s="256" t="s">
        <v>4248</v>
      </c>
      <c r="E2774" s="339" t="str">
        <f t="shared" ref="E2774:E2837" si="44">_xlfn.TEXTJOIN(" : ",FALSE,C2774:D2774)</f>
        <v>FF100600 : 외평재수정분개</v>
      </c>
      <c r="K2774" s="65"/>
      <c r="L2774" s="65"/>
      <c r="M2774" s="65"/>
      <c r="N2774" s="65"/>
      <c r="O2774" s="65"/>
      <c r="P2774" s="65"/>
      <c r="Q2774" s="65"/>
      <c r="R2774" s="65"/>
      <c r="S2774" s="65"/>
    </row>
    <row r="2775" spans="1:19" s="64" customFormat="1">
      <c r="A2775" s="316" t="s">
        <v>439</v>
      </c>
      <c r="B2775" s="123" t="s">
        <v>5072</v>
      </c>
      <c r="C2775" s="256" t="s">
        <v>4247</v>
      </c>
      <c r="D2775" s="256" t="s">
        <v>4246</v>
      </c>
      <c r="E2775" s="339" t="str">
        <f t="shared" si="44"/>
        <v>FF110100 : 외평손익금이체</v>
      </c>
      <c r="K2775" s="65"/>
      <c r="L2775" s="65"/>
      <c r="M2775" s="65"/>
      <c r="N2775" s="65"/>
      <c r="O2775" s="65"/>
      <c r="P2775" s="65"/>
      <c r="Q2775" s="65"/>
      <c r="R2775" s="65"/>
      <c r="S2775" s="65"/>
    </row>
    <row r="2776" spans="1:19" s="64" customFormat="1">
      <c r="A2776" s="316" t="s">
        <v>439</v>
      </c>
      <c r="B2776" s="123" t="s">
        <v>5072</v>
      </c>
      <c r="C2776" s="256" t="s">
        <v>4245</v>
      </c>
      <c r="D2776" s="256" t="s">
        <v>4244</v>
      </c>
      <c r="E2776" s="339" t="str">
        <f t="shared" si="44"/>
        <v>FF120100 : 외평채발행-이표채</v>
      </c>
      <c r="K2776" s="65"/>
      <c r="L2776" s="65"/>
      <c r="M2776" s="65"/>
      <c r="N2776" s="65"/>
      <c r="O2776" s="65"/>
      <c r="P2776" s="65"/>
      <c r="Q2776" s="65"/>
      <c r="R2776" s="65"/>
      <c r="S2776" s="65"/>
    </row>
    <row r="2777" spans="1:19" s="64" customFormat="1">
      <c r="A2777" s="316" t="s">
        <v>439</v>
      </c>
      <c r="B2777" s="123" t="s">
        <v>5072</v>
      </c>
      <c r="C2777" s="256" t="s">
        <v>4243</v>
      </c>
      <c r="D2777" s="256" t="s">
        <v>4242</v>
      </c>
      <c r="E2777" s="339" t="str">
        <f t="shared" si="44"/>
        <v>FF120400 : 외평채이자-이표채</v>
      </c>
      <c r="K2777" s="65"/>
      <c r="L2777" s="65"/>
      <c r="M2777" s="65"/>
      <c r="N2777" s="65"/>
      <c r="O2777" s="65"/>
      <c r="P2777" s="65"/>
      <c r="Q2777" s="65"/>
      <c r="R2777" s="65"/>
      <c r="S2777" s="65"/>
    </row>
    <row r="2778" spans="1:19" s="64" customFormat="1">
      <c r="A2778" s="316" t="s">
        <v>439</v>
      </c>
      <c r="B2778" s="123" t="s">
        <v>5072</v>
      </c>
      <c r="C2778" s="256" t="s">
        <v>4241</v>
      </c>
      <c r="D2778" s="256" t="s">
        <v>4240</v>
      </c>
      <c r="E2778" s="339" t="str">
        <f t="shared" si="44"/>
        <v>FF120600 : 외평채발행차금</v>
      </c>
      <c r="K2778" s="65"/>
      <c r="L2778" s="65"/>
      <c r="M2778" s="65"/>
      <c r="N2778" s="65"/>
      <c r="O2778" s="65"/>
      <c r="P2778" s="65"/>
      <c r="Q2778" s="65"/>
      <c r="R2778" s="65"/>
      <c r="S2778" s="65"/>
    </row>
    <row r="2779" spans="1:19" s="64" customFormat="1">
      <c r="A2779" s="316" t="s">
        <v>439</v>
      </c>
      <c r="B2779" s="123" t="s">
        <v>5072</v>
      </c>
      <c r="C2779" s="256" t="s">
        <v>4239</v>
      </c>
      <c r="D2779" s="256" t="s">
        <v>4238</v>
      </c>
      <c r="E2779" s="339" t="str">
        <f t="shared" si="44"/>
        <v>FF120700 : 외평채상환-이표채</v>
      </c>
      <c r="K2779" s="65"/>
      <c r="L2779" s="65"/>
      <c r="M2779" s="65"/>
      <c r="N2779" s="65"/>
      <c r="O2779" s="65"/>
      <c r="P2779" s="65"/>
      <c r="Q2779" s="65"/>
      <c r="R2779" s="65"/>
      <c r="S2779" s="65"/>
    </row>
    <row r="2780" spans="1:19" s="64" customFormat="1">
      <c r="A2780" s="316" t="s">
        <v>439</v>
      </c>
      <c r="B2780" s="123" t="s">
        <v>5072</v>
      </c>
      <c r="C2780" s="256" t="s">
        <v>4237</v>
      </c>
      <c r="D2780" s="256" t="s">
        <v>4236</v>
      </c>
      <c r="E2780" s="339" t="str">
        <f t="shared" si="44"/>
        <v>FF120800 : 외평채선매출</v>
      </c>
      <c r="K2780" s="65"/>
      <c r="L2780" s="65"/>
      <c r="M2780" s="65"/>
      <c r="N2780" s="65"/>
      <c r="O2780" s="65"/>
      <c r="P2780" s="65"/>
      <c r="Q2780" s="65"/>
      <c r="R2780" s="65"/>
      <c r="S2780" s="65"/>
    </row>
    <row r="2781" spans="1:19" s="64" customFormat="1">
      <c r="A2781" s="316" t="s">
        <v>439</v>
      </c>
      <c r="B2781" s="123" t="s">
        <v>5072</v>
      </c>
      <c r="C2781" s="256" t="s">
        <v>4235</v>
      </c>
      <c r="D2781" s="256" t="s">
        <v>4234</v>
      </c>
      <c r="E2781" s="339" t="str">
        <f t="shared" si="44"/>
        <v>FF121100 : 외평채수수료</v>
      </c>
      <c r="K2781" s="65"/>
      <c r="L2781" s="65"/>
      <c r="M2781" s="65"/>
      <c r="N2781" s="65"/>
      <c r="O2781" s="65"/>
      <c r="P2781" s="65"/>
      <c r="Q2781" s="65"/>
      <c r="R2781" s="65"/>
      <c r="S2781" s="65"/>
    </row>
    <row r="2782" spans="1:19" s="64" customFormat="1">
      <c r="A2782" s="316" t="s">
        <v>439</v>
      </c>
      <c r="B2782" s="123" t="s">
        <v>5072</v>
      </c>
      <c r="C2782" s="256" t="s">
        <v>4233</v>
      </c>
      <c r="D2782" s="256" t="s">
        <v>4232</v>
      </c>
      <c r="E2782" s="339" t="str">
        <f t="shared" si="44"/>
        <v>FF121200 : 외평채발행</v>
      </c>
      <c r="K2782" s="65"/>
      <c r="L2782" s="65"/>
      <c r="M2782" s="65"/>
      <c r="N2782" s="65"/>
      <c r="O2782" s="65"/>
      <c r="P2782" s="65"/>
      <c r="Q2782" s="65"/>
      <c r="R2782" s="65"/>
      <c r="S2782" s="65"/>
    </row>
    <row r="2783" spans="1:19" s="64" customFormat="1">
      <c r="A2783" s="316" t="s">
        <v>439</v>
      </c>
      <c r="B2783" s="123" t="s">
        <v>5072</v>
      </c>
      <c r="C2783" s="256" t="s">
        <v>4231</v>
      </c>
      <c r="D2783" s="256" t="s">
        <v>4230</v>
      </c>
      <c r="E2783" s="339" t="str">
        <f t="shared" si="44"/>
        <v>FF121300 : 외평채상환</v>
      </c>
      <c r="K2783" s="65"/>
      <c r="L2783" s="65"/>
      <c r="M2783" s="65"/>
      <c r="N2783" s="65"/>
      <c r="O2783" s="65"/>
      <c r="P2783" s="65"/>
      <c r="Q2783" s="65"/>
      <c r="R2783" s="65"/>
      <c r="S2783" s="65"/>
    </row>
    <row r="2784" spans="1:19" s="64" customFormat="1">
      <c r="A2784" s="316" t="s">
        <v>439</v>
      </c>
      <c r="B2784" s="123" t="s">
        <v>5072</v>
      </c>
      <c r="C2784" s="256" t="s">
        <v>4229</v>
      </c>
      <c r="D2784" s="256" t="s">
        <v>4228</v>
      </c>
      <c r="E2784" s="339" t="str">
        <f t="shared" si="44"/>
        <v>FF121400 : 외평채발행차금수정</v>
      </c>
      <c r="K2784" s="65"/>
      <c r="L2784" s="65"/>
      <c r="M2784" s="65"/>
      <c r="N2784" s="65"/>
      <c r="O2784" s="65"/>
      <c r="P2784" s="65"/>
      <c r="Q2784" s="65"/>
      <c r="R2784" s="65"/>
      <c r="S2784" s="65"/>
    </row>
    <row r="2785" spans="1:19" s="64" customFormat="1">
      <c r="A2785" s="316" t="s">
        <v>439</v>
      </c>
      <c r="B2785" s="123" t="s">
        <v>5072</v>
      </c>
      <c r="C2785" s="256" t="s">
        <v>4227</v>
      </c>
      <c r="D2785" s="256" t="s">
        <v>4226</v>
      </c>
      <c r="E2785" s="339" t="str">
        <f t="shared" si="44"/>
        <v>FF130100 : 감채기금예수금</v>
      </c>
      <c r="K2785" s="65"/>
      <c r="L2785" s="65"/>
      <c r="M2785" s="65"/>
      <c r="N2785" s="65"/>
      <c r="O2785" s="65"/>
      <c r="P2785" s="65"/>
      <c r="Q2785" s="65"/>
      <c r="R2785" s="65"/>
      <c r="S2785" s="65"/>
    </row>
    <row r="2786" spans="1:19" s="64" customFormat="1">
      <c r="A2786" s="316" t="s">
        <v>439</v>
      </c>
      <c r="B2786" s="123" t="s">
        <v>5072</v>
      </c>
      <c r="C2786" s="256" t="s">
        <v>4225</v>
      </c>
      <c r="D2786" s="256" t="s">
        <v>4224</v>
      </c>
      <c r="E2786" s="339" t="str">
        <f t="shared" si="44"/>
        <v>FF130200 : 감채기금반환</v>
      </c>
      <c r="K2786" s="65"/>
      <c r="L2786" s="65"/>
      <c r="M2786" s="65"/>
      <c r="N2786" s="65"/>
      <c r="O2786" s="65"/>
      <c r="P2786" s="65"/>
      <c r="Q2786" s="65"/>
      <c r="R2786" s="65"/>
      <c r="S2786" s="65"/>
    </row>
    <row r="2787" spans="1:19" s="64" customFormat="1">
      <c r="A2787" s="316" t="s">
        <v>439</v>
      </c>
      <c r="B2787" s="123" t="s">
        <v>5072</v>
      </c>
      <c r="C2787" s="256" t="s">
        <v>4223</v>
      </c>
      <c r="D2787" s="256" t="s">
        <v>4222</v>
      </c>
      <c r="E2787" s="339" t="str">
        <f t="shared" si="44"/>
        <v>FF130300 : 감채기금이자</v>
      </c>
      <c r="K2787" s="65"/>
      <c r="L2787" s="65"/>
      <c r="M2787" s="65"/>
      <c r="N2787" s="65"/>
      <c r="O2787" s="65"/>
      <c r="P2787" s="65"/>
      <c r="Q2787" s="65"/>
      <c r="R2787" s="65"/>
      <c r="S2787" s="65"/>
    </row>
    <row r="2788" spans="1:19" s="64" customFormat="1">
      <c r="A2788" s="316" t="s">
        <v>439</v>
      </c>
      <c r="B2788" s="123" t="s">
        <v>5072</v>
      </c>
      <c r="C2788" s="256" t="s">
        <v>4221</v>
      </c>
      <c r="D2788" s="256" t="s">
        <v>4220</v>
      </c>
      <c r="E2788" s="339" t="str">
        <f t="shared" si="44"/>
        <v>FF140100 : 외평유가증권매입</v>
      </c>
      <c r="K2788" s="65"/>
      <c r="L2788" s="65"/>
      <c r="M2788" s="65"/>
      <c r="N2788" s="65"/>
      <c r="O2788" s="65"/>
      <c r="P2788" s="65"/>
      <c r="Q2788" s="65"/>
      <c r="R2788" s="65"/>
      <c r="S2788" s="65"/>
    </row>
    <row r="2789" spans="1:19" s="64" customFormat="1">
      <c r="A2789" s="316" t="s">
        <v>439</v>
      </c>
      <c r="B2789" s="123" t="s">
        <v>5072</v>
      </c>
      <c r="C2789" s="256" t="s">
        <v>4219</v>
      </c>
      <c r="D2789" s="256" t="s">
        <v>4218</v>
      </c>
      <c r="E2789" s="339" t="str">
        <f t="shared" si="44"/>
        <v>FF140200 : 외평유가증권상환</v>
      </c>
      <c r="K2789" s="65"/>
      <c r="L2789" s="65"/>
      <c r="M2789" s="65"/>
      <c r="N2789" s="65"/>
      <c r="O2789" s="65"/>
      <c r="P2789" s="65"/>
      <c r="Q2789" s="65"/>
      <c r="R2789" s="65"/>
      <c r="S2789" s="65"/>
    </row>
    <row r="2790" spans="1:19" s="64" customFormat="1">
      <c r="A2790" s="316" t="s">
        <v>439</v>
      </c>
      <c r="B2790" s="123" t="s">
        <v>5072</v>
      </c>
      <c r="C2790" s="256" t="s">
        <v>4217</v>
      </c>
      <c r="D2790" s="256" t="s">
        <v>4216</v>
      </c>
      <c r="E2790" s="339" t="str">
        <f t="shared" si="44"/>
        <v>FF140300 : 외평유가증권매각</v>
      </c>
      <c r="K2790" s="65"/>
      <c r="L2790" s="65"/>
      <c r="M2790" s="65"/>
      <c r="N2790" s="65"/>
      <c r="O2790" s="65"/>
      <c r="P2790" s="65"/>
      <c r="Q2790" s="65"/>
      <c r="R2790" s="65"/>
      <c r="S2790" s="65"/>
    </row>
    <row r="2791" spans="1:19" s="64" customFormat="1">
      <c r="A2791" s="316" t="s">
        <v>439</v>
      </c>
      <c r="B2791" s="123" t="s">
        <v>5072</v>
      </c>
      <c r="C2791" s="256" t="s">
        <v>4215</v>
      </c>
      <c r="D2791" s="256" t="s">
        <v>4214</v>
      </c>
      <c r="E2791" s="339" t="str">
        <f t="shared" si="44"/>
        <v>FF140400 : 외평유가증권이자</v>
      </c>
      <c r="K2791" s="65"/>
      <c r="L2791" s="65"/>
      <c r="M2791" s="65"/>
      <c r="N2791" s="65"/>
      <c r="O2791" s="65"/>
      <c r="P2791" s="65"/>
      <c r="Q2791" s="65"/>
      <c r="R2791" s="65"/>
      <c r="S2791" s="65"/>
    </row>
    <row r="2792" spans="1:19" s="64" customFormat="1">
      <c r="A2792" s="316" t="s">
        <v>439</v>
      </c>
      <c r="B2792" s="123" t="s">
        <v>5072</v>
      </c>
      <c r="C2792" s="256" t="s">
        <v>4213</v>
      </c>
      <c r="D2792" s="256" t="s">
        <v>4212</v>
      </c>
      <c r="E2792" s="339" t="str">
        <f t="shared" si="44"/>
        <v>FF150000 : NDF 차액정산</v>
      </c>
      <c r="K2792" s="65"/>
      <c r="L2792" s="65"/>
      <c r="M2792" s="65"/>
      <c r="N2792" s="65"/>
      <c r="O2792" s="65"/>
      <c r="P2792" s="65"/>
      <c r="Q2792" s="65"/>
      <c r="R2792" s="65"/>
      <c r="S2792" s="65"/>
    </row>
    <row r="2793" spans="1:19" s="64" customFormat="1">
      <c r="A2793" s="316" t="s">
        <v>439</v>
      </c>
      <c r="B2793" s="123" t="s">
        <v>5072</v>
      </c>
      <c r="C2793" s="256" t="s">
        <v>4211</v>
      </c>
      <c r="D2793" s="256" t="s">
        <v>4210</v>
      </c>
      <c r="E2793" s="339" t="str">
        <f t="shared" si="44"/>
        <v>FF160100 : 공공자금관리기금예수금수취</v>
      </c>
      <c r="K2793" s="65"/>
      <c r="L2793" s="65"/>
      <c r="M2793" s="65"/>
      <c r="N2793" s="65"/>
      <c r="O2793" s="65"/>
      <c r="P2793" s="65"/>
      <c r="Q2793" s="65"/>
      <c r="R2793" s="65"/>
      <c r="S2793" s="65"/>
    </row>
    <row r="2794" spans="1:19" s="64" customFormat="1">
      <c r="A2794" s="316" t="s">
        <v>439</v>
      </c>
      <c r="B2794" s="123" t="s">
        <v>5072</v>
      </c>
      <c r="C2794" s="256" t="s">
        <v>4209</v>
      </c>
      <c r="D2794" s="256" t="s">
        <v>4208</v>
      </c>
      <c r="E2794" s="339" t="str">
        <f t="shared" si="44"/>
        <v>FF160200 : 공공자금관리기금상환</v>
      </c>
      <c r="K2794" s="65"/>
      <c r="L2794" s="65"/>
      <c r="M2794" s="65"/>
      <c r="N2794" s="65"/>
      <c r="O2794" s="65"/>
      <c r="P2794" s="65"/>
      <c r="Q2794" s="65"/>
      <c r="R2794" s="65"/>
      <c r="S2794" s="65"/>
    </row>
    <row r="2795" spans="1:19" s="64" customFormat="1">
      <c r="A2795" s="316" t="s">
        <v>439</v>
      </c>
      <c r="B2795" s="123" t="s">
        <v>5072</v>
      </c>
      <c r="C2795" s="256" t="s">
        <v>4207</v>
      </c>
      <c r="D2795" s="256" t="s">
        <v>4206</v>
      </c>
      <c r="E2795" s="339" t="str">
        <f t="shared" si="44"/>
        <v>FF160300 : 공공자금관리기금이자지급</v>
      </c>
      <c r="K2795" s="65"/>
      <c r="L2795" s="65"/>
      <c r="M2795" s="65"/>
      <c r="N2795" s="65"/>
      <c r="O2795" s="65"/>
      <c r="P2795" s="65"/>
      <c r="Q2795" s="65"/>
      <c r="R2795" s="65"/>
      <c r="S2795" s="65"/>
    </row>
    <row r="2796" spans="1:19" s="64" customFormat="1">
      <c r="A2796" s="316" t="s">
        <v>439</v>
      </c>
      <c r="B2796" s="123" t="s">
        <v>5072</v>
      </c>
      <c r="C2796" s="256" t="s">
        <v>4205</v>
      </c>
      <c r="D2796" s="256" t="s">
        <v>4204</v>
      </c>
      <c r="E2796" s="339" t="str">
        <f t="shared" si="44"/>
        <v>FF170100 : MMF 입금</v>
      </c>
      <c r="K2796" s="65"/>
      <c r="L2796" s="65"/>
      <c r="M2796" s="65"/>
      <c r="N2796" s="65"/>
      <c r="O2796" s="65"/>
      <c r="P2796" s="65"/>
      <c r="Q2796" s="65"/>
      <c r="R2796" s="65"/>
      <c r="S2796" s="65"/>
    </row>
    <row r="2797" spans="1:19" s="64" customFormat="1">
      <c r="A2797" s="316" t="s">
        <v>439</v>
      </c>
      <c r="B2797" s="123" t="s">
        <v>5072</v>
      </c>
      <c r="C2797" s="256" t="s">
        <v>4203</v>
      </c>
      <c r="D2797" s="256" t="s">
        <v>4202</v>
      </c>
      <c r="E2797" s="339" t="str">
        <f t="shared" si="44"/>
        <v>FF170200 : MMF 출금</v>
      </c>
      <c r="K2797" s="65"/>
      <c r="L2797" s="65"/>
      <c r="M2797" s="65"/>
      <c r="N2797" s="65"/>
      <c r="O2797" s="65"/>
      <c r="P2797" s="65"/>
      <c r="Q2797" s="65"/>
      <c r="R2797" s="65"/>
      <c r="S2797" s="65"/>
    </row>
    <row r="2798" spans="1:19" s="64" customFormat="1">
      <c r="A2798" s="316" t="s">
        <v>439</v>
      </c>
      <c r="B2798" s="123" t="s">
        <v>5072</v>
      </c>
      <c r="C2798" s="256" t="s">
        <v>4201</v>
      </c>
      <c r="D2798" s="256" t="s">
        <v>4200</v>
      </c>
      <c r="E2798" s="339" t="str">
        <f t="shared" si="44"/>
        <v>FF170300 : MMF 평가</v>
      </c>
      <c r="K2798" s="65"/>
      <c r="L2798" s="65"/>
      <c r="M2798" s="65"/>
      <c r="N2798" s="65"/>
      <c r="O2798" s="65"/>
      <c r="P2798" s="65"/>
      <c r="Q2798" s="65"/>
      <c r="R2798" s="65"/>
      <c r="S2798" s="65"/>
    </row>
    <row r="2799" spans="1:19" s="64" customFormat="1">
      <c r="A2799" s="316" t="s">
        <v>439</v>
      </c>
      <c r="B2799" s="123" t="s">
        <v>5072</v>
      </c>
      <c r="C2799" s="256" t="s">
        <v>4199</v>
      </c>
      <c r="D2799" s="256" t="s">
        <v>4198</v>
      </c>
      <c r="E2799" s="339" t="str">
        <f t="shared" si="44"/>
        <v>FF180100 : 외평기금 출자</v>
      </c>
      <c r="K2799" s="65"/>
      <c r="L2799" s="65"/>
      <c r="M2799" s="65"/>
      <c r="N2799" s="65"/>
      <c r="O2799" s="65"/>
      <c r="P2799" s="65"/>
      <c r="Q2799" s="65"/>
      <c r="R2799" s="65"/>
      <c r="S2799" s="65"/>
    </row>
    <row r="2800" spans="1:19" s="64" customFormat="1">
      <c r="A2800" s="316" t="s">
        <v>439</v>
      </c>
      <c r="B2800" s="123" t="s">
        <v>5072</v>
      </c>
      <c r="C2800" s="256" t="s">
        <v>4197</v>
      </c>
      <c r="D2800" s="256" t="s">
        <v>4196</v>
      </c>
      <c r="E2800" s="339" t="str">
        <f t="shared" si="44"/>
        <v>FF190100 : 채권형펀드 입금</v>
      </c>
      <c r="K2800" s="65"/>
      <c r="L2800" s="65"/>
      <c r="M2800" s="65"/>
      <c r="N2800" s="65"/>
      <c r="O2800" s="65"/>
      <c r="P2800" s="65"/>
      <c r="Q2800" s="65"/>
      <c r="R2800" s="65"/>
      <c r="S2800" s="65"/>
    </row>
    <row r="2801" spans="1:19" s="64" customFormat="1">
      <c r="A2801" s="316" t="s">
        <v>439</v>
      </c>
      <c r="B2801" s="123" t="s">
        <v>5072</v>
      </c>
      <c r="C2801" s="256" t="s">
        <v>4195</v>
      </c>
      <c r="D2801" s="256" t="s">
        <v>4194</v>
      </c>
      <c r="E2801" s="339" t="str">
        <f t="shared" si="44"/>
        <v>FF190200 : 채권형펀드 출금</v>
      </c>
      <c r="K2801" s="65"/>
      <c r="L2801" s="65"/>
      <c r="M2801" s="65"/>
      <c r="N2801" s="65"/>
      <c r="O2801" s="65"/>
      <c r="P2801" s="65"/>
      <c r="Q2801" s="65"/>
      <c r="R2801" s="65"/>
      <c r="S2801" s="65"/>
    </row>
    <row r="2802" spans="1:19" s="64" customFormat="1">
      <c r="A2802" s="316" t="s">
        <v>439</v>
      </c>
      <c r="B2802" s="123" t="s">
        <v>5072</v>
      </c>
      <c r="C2802" s="256" t="s">
        <v>4193</v>
      </c>
      <c r="D2802" s="256" t="s">
        <v>4192</v>
      </c>
      <c r="E2802" s="339" t="str">
        <f t="shared" si="44"/>
        <v>FF190300 : 채권형펀드 평가</v>
      </c>
      <c r="K2802" s="65"/>
      <c r="L2802" s="65"/>
      <c r="M2802" s="65"/>
      <c r="N2802" s="65"/>
      <c r="O2802" s="65"/>
      <c r="P2802" s="65"/>
      <c r="Q2802" s="65"/>
      <c r="R2802" s="65"/>
      <c r="S2802" s="65"/>
    </row>
    <row r="2803" spans="1:19" s="64" customFormat="1">
      <c r="A2803" s="316" t="s">
        <v>439</v>
      </c>
      <c r="B2803" s="123" t="s">
        <v>5072</v>
      </c>
      <c r="C2803" s="256" t="s">
        <v>4191</v>
      </c>
      <c r="D2803" s="256" t="s">
        <v>4190</v>
      </c>
      <c r="E2803" s="339" t="str">
        <f t="shared" si="44"/>
        <v>FF200100 : 외평KIC신규위탁</v>
      </c>
      <c r="K2803" s="65"/>
      <c r="L2803" s="65"/>
      <c r="M2803" s="65"/>
      <c r="N2803" s="65"/>
      <c r="O2803" s="65"/>
      <c r="P2803" s="65"/>
      <c r="Q2803" s="65"/>
      <c r="R2803" s="65"/>
      <c r="S2803" s="65"/>
    </row>
    <row r="2804" spans="1:19" s="64" customFormat="1">
      <c r="A2804" s="316" t="s">
        <v>439</v>
      </c>
      <c r="B2804" s="123" t="s">
        <v>5072</v>
      </c>
      <c r="C2804" s="256" t="s">
        <v>4189</v>
      </c>
      <c r="D2804" s="256" t="s">
        <v>4188</v>
      </c>
      <c r="E2804" s="339" t="str">
        <f t="shared" si="44"/>
        <v>FF200200 : 외평KIC위탁분배금확정</v>
      </c>
      <c r="K2804" s="65"/>
      <c r="L2804" s="65"/>
      <c r="M2804" s="65"/>
      <c r="N2804" s="65"/>
      <c r="O2804" s="65"/>
      <c r="P2804" s="65"/>
      <c r="Q2804" s="65"/>
      <c r="R2804" s="65"/>
      <c r="S2804" s="65"/>
    </row>
    <row r="2805" spans="1:19" s="64" customFormat="1">
      <c r="A2805" s="316" t="s">
        <v>439</v>
      </c>
      <c r="B2805" s="123" t="s">
        <v>5072</v>
      </c>
      <c r="C2805" s="256" t="s">
        <v>4187</v>
      </c>
      <c r="D2805" s="256" t="s">
        <v>4186</v>
      </c>
      <c r="E2805" s="339" t="str">
        <f t="shared" si="44"/>
        <v>FF200300 : 외평KIC위탁분배금현금수령</v>
      </c>
      <c r="K2805" s="65"/>
      <c r="L2805" s="65"/>
      <c r="M2805" s="65"/>
      <c r="N2805" s="65"/>
      <c r="O2805" s="65"/>
      <c r="P2805" s="65"/>
      <c r="Q2805" s="65"/>
      <c r="R2805" s="65"/>
      <c r="S2805" s="65"/>
    </row>
    <row r="2806" spans="1:19" s="64" customFormat="1">
      <c r="A2806" s="316" t="s">
        <v>439</v>
      </c>
      <c r="B2806" s="123" t="s">
        <v>5072</v>
      </c>
      <c r="C2806" s="256" t="s">
        <v>4185</v>
      </c>
      <c r="D2806" s="256" t="s">
        <v>4184</v>
      </c>
      <c r="E2806" s="339" t="str">
        <f t="shared" si="44"/>
        <v>FF200400 : 외평KIC위탁분배금재예치</v>
      </c>
      <c r="K2806" s="65"/>
      <c r="L2806" s="65"/>
      <c r="M2806" s="65"/>
      <c r="N2806" s="65"/>
      <c r="O2806" s="65"/>
      <c r="P2806" s="65"/>
      <c r="Q2806" s="65"/>
      <c r="R2806" s="65"/>
      <c r="S2806" s="65"/>
    </row>
    <row r="2807" spans="1:19" s="64" customFormat="1">
      <c r="A2807" s="316" t="s">
        <v>439</v>
      </c>
      <c r="B2807" s="123" t="s">
        <v>5072</v>
      </c>
      <c r="C2807" s="256" t="s">
        <v>4183</v>
      </c>
      <c r="D2807" s="256" t="s">
        <v>4182</v>
      </c>
      <c r="E2807" s="339" t="str">
        <f t="shared" si="44"/>
        <v>FF200500 : 외평KIC위탁시가평가</v>
      </c>
      <c r="K2807" s="65"/>
      <c r="L2807" s="65"/>
      <c r="M2807" s="65"/>
      <c r="N2807" s="65"/>
      <c r="O2807" s="65"/>
      <c r="P2807" s="65"/>
      <c r="Q2807" s="65"/>
      <c r="R2807" s="65"/>
      <c r="S2807" s="65"/>
    </row>
    <row r="2808" spans="1:19" s="64" customFormat="1">
      <c r="A2808" s="316" t="s">
        <v>439</v>
      </c>
      <c r="B2808" s="123" t="s">
        <v>5072</v>
      </c>
      <c r="C2808" s="256" t="s">
        <v>4181</v>
      </c>
      <c r="D2808" s="256" t="s">
        <v>4180</v>
      </c>
      <c r="E2808" s="339" t="str">
        <f t="shared" si="44"/>
        <v>FF200600 : 외평KIC위탁실현손익</v>
      </c>
      <c r="K2808" s="65"/>
      <c r="L2808" s="65"/>
      <c r="M2808" s="65"/>
      <c r="N2808" s="65"/>
      <c r="O2808" s="65"/>
      <c r="P2808" s="65"/>
      <c r="Q2808" s="65"/>
      <c r="R2808" s="65"/>
      <c r="S2808" s="65"/>
    </row>
    <row r="2809" spans="1:19" s="64" customFormat="1">
      <c r="A2809" s="316" t="s">
        <v>439</v>
      </c>
      <c r="B2809" s="123" t="s">
        <v>5072</v>
      </c>
      <c r="C2809" s="256" t="s">
        <v>4179</v>
      </c>
      <c r="D2809" s="256" t="s">
        <v>4178</v>
      </c>
      <c r="E2809" s="339" t="str">
        <f t="shared" si="44"/>
        <v>FF200700 : 외평KIC위탁원화환산</v>
      </c>
      <c r="K2809" s="65"/>
      <c r="L2809" s="65"/>
      <c r="M2809" s="65"/>
      <c r="N2809" s="65"/>
      <c r="O2809" s="65"/>
      <c r="P2809" s="65"/>
      <c r="Q2809" s="65"/>
      <c r="R2809" s="65"/>
      <c r="S2809" s="65"/>
    </row>
    <row r="2810" spans="1:19" s="64" customFormat="1">
      <c r="A2810" s="316" t="s">
        <v>439</v>
      </c>
      <c r="B2810" s="123" t="s">
        <v>5072</v>
      </c>
      <c r="C2810" s="256" t="s">
        <v>4177</v>
      </c>
      <c r="D2810" s="256" t="s">
        <v>4176</v>
      </c>
      <c r="E2810" s="339" t="str">
        <f t="shared" si="44"/>
        <v>FF210100 : 외평외화환전기타예치</v>
      </c>
      <c r="K2810" s="65"/>
      <c r="L2810" s="65"/>
      <c r="M2810" s="65"/>
      <c r="N2810" s="65"/>
      <c r="O2810" s="65"/>
      <c r="P2810" s="65"/>
      <c r="Q2810" s="65"/>
      <c r="R2810" s="65"/>
      <c r="S2810" s="65"/>
    </row>
    <row r="2811" spans="1:19" s="64" customFormat="1">
      <c r="A2811" s="316" t="s">
        <v>439</v>
      </c>
      <c r="B2811" s="123" t="s">
        <v>5072</v>
      </c>
      <c r="C2811" s="256" t="s">
        <v>4175</v>
      </c>
      <c r="D2811" s="256" t="s">
        <v>4174</v>
      </c>
      <c r="E2811" s="339" t="str">
        <f t="shared" si="44"/>
        <v>FF210200 : 외평외화환전원금처리</v>
      </c>
      <c r="K2811" s="65"/>
      <c r="L2811" s="65"/>
      <c r="M2811" s="65"/>
      <c r="N2811" s="65"/>
      <c r="O2811" s="65"/>
      <c r="P2811" s="65"/>
      <c r="Q2811" s="65"/>
      <c r="R2811" s="65"/>
      <c r="S2811" s="65"/>
    </row>
    <row r="2812" spans="1:19" s="64" customFormat="1">
      <c r="A2812" s="316" t="s">
        <v>439</v>
      </c>
      <c r="B2812" s="123" t="s">
        <v>5072</v>
      </c>
      <c r="C2812" s="256" t="s">
        <v>4173</v>
      </c>
      <c r="D2812" s="256" t="s">
        <v>4172</v>
      </c>
      <c r="E2812" s="339" t="str">
        <f t="shared" si="44"/>
        <v>FF210300 : 외평외화환전이자처리</v>
      </c>
      <c r="K2812" s="65"/>
      <c r="L2812" s="65"/>
      <c r="M2812" s="65"/>
      <c r="N2812" s="65"/>
      <c r="O2812" s="65"/>
      <c r="P2812" s="65"/>
      <c r="Q2812" s="65"/>
      <c r="R2812" s="65"/>
      <c r="S2812" s="65"/>
    </row>
    <row r="2813" spans="1:19" s="64" customFormat="1">
      <c r="A2813" s="316" t="s">
        <v>439</v>
      </c>
      <c r="B2813" s="123" t="s">
        <v>5072</v>
      </c>
      <c r="C2813" s="256" t="s">
        <v>4171</v>
      </c>
      <c r="D2813" s="256" t="s">
        <v>4170</v>
      </c>
      <c r="E2813" s="339" t="str">
        <f t="shared" si="44"/>
        <v>FF220100 : 부담금 정상고지</v>
      </c>
      <c r="K2813" s="65"/>
      <c r="L2813" s="65"/>
      <c r="M2813" s="65"/>
      <c r="N2813" s="65"/>
      <c r="O2813" s="65"/>
      <c r="P2813" s="65"/>
      <c r="Q2813" s="65"/>
      <c r="R2813" s="65"/>
      <c r="S2813" s="65"/>
    </row>
    <row r="2814" spans="1:19" s="64" customFormat="1">
      <c r="A2814" s="316" t="s">
        <v>439</v>
      </c>
      <c r="B2814" s="123" t="s">
        <v>5072</v>
      </c>
      <c r="C2814" s="256" t="s">
        <v>4169</v>
      </c>
      <c r="D2814" s="256" t="s">
        <v>4168</v>
      </c>
      <c r="E2814" s="339" t="str">
        <f t="shared" si="44"/>
        <v>FF220200 : 부담금 납부결제(정상)</v>
      </c>
      <c r="K2814" s="65"/>
      <c r="L2814" s="65"/>
      <c r="M2814" s="65"/>
      <c r="N2814" s="65"/>
      <c r="O2814" s="65"/>
      <c r="P2814" s="65"/>
      <c r="Q2814" s="65"/>
      <c r="R2814" s="65"/>
      <c r="S2814" s="65"/>
    </row>
    <row r="2815" spans="1:19" s="64" customFormat="1">
      <c r="A2815" s="316" t="s">
        <v>439</v>
      </c>
      <c r="B2815" s="123" t="s">
        <v>5072</v>
      </c>
      <c r="C2815" s="256" t="s">
        <v>4167</v>
      </c>
      <c r="D2815" s="256" t="s">
        <v>4166</v>
      </c>
      <c r="E2815" s="339" t="str">
        <f t="shared" si="44"/>
        <v>FF220220 : 부담금 납부결제(가산)</v>
      </c>
      <c r="K2815" s="65"/>
      <c r="L2815" s="65"/>
      <c r="M2815" s="65"/>
      <c r="N2815" s="65"/>
      <c r="O2815" s="65"/>
      <c r="P2815" s="65"/>
      <c r="Q2815" s="65"/>
      <c r="R2815" s="65"/>
      <c r="S2815" s="65"/>
    </row>
    <row r="2816" spans="1:19" s="64" customFormat="1">
      <c r="A2816" s="316" t="s">
        <v>439</v>
      </c>
      <c r="B2816" s="123" t="s">
        <v>5072</v>
      </c>
      <c r="C2816" s="256" t="s">
        <v>4165</v>
      </c>
      <c r="D2816" s="256" t="s">
        <v>4164</v>
      </c>
      <c r="E2816" s="339" t="str">
        <f t="shared" si="44"/>
        <v>FF220230 : 부담금 납부결제(분할)</v>
      </c>
      <c r="K2816" s="65"/>
      <c r="L2816" s="65"/>
      <c r="M2816" s="65"/>
      <c r="N2816" s="65"/>
      <c r="O2816" s="65"/>
      <c r="P2816" s="65"/>
      <c r="Q2816" s="65"/>
      <c r="R2816" s="65"/>
      <c r="S2816" s="65"/>
    </row>
    <row r="2817" spans="1:19" s="64" customFormat="1">
      <c r="A2817" s="316" t="s">
        <v>439</v>
      </c>
      <c r="B2817" s="123" t="s">
        <v>5072</v>
      </c>
      <c r="C2817" s="256" t="s">
        <v>4163</v>
      </c>
      <c r="D2817" s="256" t="s">
        <v>4162</v>
      </c>
      <c r="E2817" s="339" t="str">
        <f t="shared" si="44"/>
        <v>FF220240 : 부담금 납부결제(조정)</v>
      </c>
      <c r="K2817" s="65"/>
      <c r="L2817" s="65"/>
      <c r="M2817" s="65"/>
      <c r="N2817" s="65"/>
      <c r="O2817" s="65"/>
      <c r="P2817" s="65"/>
      <c r="Q2817" s="65"/>
      <c r="R2817" s="65"/>
      <c r="S2817" s="65"/>
    </row>
    <row r="2818" spans="1:19" s="64" customFormat="1">
      <c r="A2818" s="316" t="s">
        <v>439</v>
      </c>
      <c r="B2818" s="123" t="s">
        <v>5072</v>
      </c>
      <c r="C2818" s="256" t="s">
        <v>4161</v>
      </c>
      <c r="D2818" s="256" t="s">
        <v>4160</v>
      </c>
      <c r="E2818" s="339" t="str">
        <f t="shared" si="44"/>
        <v>FF220400 : 부담금조정승인(당해-전-감)</v>
      </c>
      <c r="K2818" s="65"/>
      <c r="L2818" s="65"/>
      <c r="M2818" s="65"/>
      <c r="N2818" s="65"/>
      <c r="O2818" s="65"/>
      <c r="P2818" s="65"/>
      <c r="Q2818" s="65"/>
      <c r="R2818" s="65"/>
      <c r="S2818" s="65"/>
    </row>
    <row r="2819" spans="1:19" s="64" customFormat="1">
      <c r="A2819" s="316" t="s">
        <v>439</v>
      </c>
      <c r="B2819" s="123" t="s">
        <v>5072</v>
      </c>
      <c r="C2819" s="256" t="s">
        <v>4159</v>
      </c>
      <c r="D2819" s="256" t="s">
        <v>4158</v>
      </c>
      <c r="E2819" s="339" t="str">
        <f t="shared" si="44"/>
        <v>FF220500 : 부담금조정승인(당해-전-증)</v>
      </c>
      <c r="K2819" s="65"/>
      <c r="L2819" s="65"/>
      <c r="M2819" s="65"/>
      <c r="N2819" s="65"/>
      <c r="O2819" s="65"/>
      <c r="P2819" s="65"/>
      <c r="Q2819" s="65"/>
      <c r="R2819" s="65"/>
      <c r="S2819" s="65"/>
    </row>
    <row r="2820" spans="1:19" s="64" customFormat="1">
      <c r="A2820" s="316" t="s">
        <v>439</v>
      </c>
      <c r="B2820" s="123" t="s">
        <v>5072</v>
      </c>
      <c r="C2820" s="256" t="s">
        <v>4157</v>
      </c>
      <c r="D2820" s="256" t="s">
        <v>4156</v>
      </c>
      <c r="E2820" s="339" t="str">
        <f t="shared" si="44"/>
        <v>FF220600 : 부담금조정승인(당해-후-감)</v>
      </c>
      <c r="K2820" s="65"/>
      <c r="L2820" s="65"/>
      <c r="M2820" s="65"/>
      <c r="N2820" s="65"/>
      <c r="O2820" s="65"/>
      <c r="P2820" s="65"/>
      <c r="Q2820" s="65"/>
      <c r="R2820" s="65"/>
      <c r="S2820" s="65"/>
    </row>
    <row r="2821" spans="1:19" s="64" customFormat="1">
      <c r="A2821" s="316" t="s">
        <v>439</v>
      </c>
      <c r="B2821" s="123" t="s">
        <v>5072</v>
      </c>
      <c r="C2821" s="256" t="s">
        <v>4155</v>
      </c>
      <c r="D2821" s="256" t="s">
        <v>4154</v>
      </c>
      <c r="E2821" s="339" t="str">
        <f t="shared" si="44"/>
        <v>FF220700 : 부담금조정승인(당해-후-증)</v>
      </c>
      <c r="K2821" s="65"/>
      <c r="L2821" s="65"/>
      <c r="M2821" s="65"/>
      <c r="N2821" s="65"/>
      <c r="O2821" s="65"/>
      <c r="P2821" s="65"/>
      <c r="Q2821" s="65"/>
      <c r="R2821" s="65"/>
      <c r="S2821" s="65"/>
    </row>
    <row r="2822" spans="1:19" s="64" customFormat="1">
      <c r="A2822" s="316" t="s">
        <v>439</v>
      </c>
      <c r="B2822" s="123" t="s">
        <v>5072</v>
      </c>
      <c r="C2822" s="256" t="s">
        <v>4153</v>
      </c>
      <c r="D2822" s="256" t="s">
        <v>4152</v>
      </c>
      <c r="E2822" s="339" t="str">
        <f t="shared" si="44"/>
        <v>FF220800 : 부담금조정승인(과거-후-감)</v>
      </c>
      <c r="K2822" s="65"/>
      <c r="L2822" s="65"/>
      <c r="M2822" s="65"/>
      <c r="N2822" s="65"/>
      <c r="O2822" s="65"/>
      <c r="P2822" s="65"/>
      <c r="Q2822" s="65"/>
      <c r="R2822" s="65"/>
      <c r="S2822" s="65"/>
    </row>
    <row r="2823" spans="1:19" s="64" customFormat="1">
      <c r="A2823" s="316" t="s">
        <v>439</v>
      </c>
      <c r="B2823" s="123" t="s">
        <v>5072</v>
      </c>
      <c r="C2823" s="256" t="s">
        <v>4151</v>
      </c>
      <c r="D2823" s="256" t="s">
        <v>4150</v>
      </c>
      <c r="E2823" s="339" t="str">
        <f t="shared" si="44"/>
        <v>FF220900 : 부담금조정승인(과거-후-증)</v>
      </c>
      <c r="K2823" s="65"/>
      <c r="L2823" s="65"/>
      <c r="M2823" s="65"/>
      <c r="N2823" s="65"/>
      <c r="O2823" s="65"/>
      <c r="P2823" s="65"/>
      <c r="Q2823" s="65"/>
      <c r="R2823" s="65"/>
      <c r="S2823" s="65"/>
    </row>
    <row r="2824" spans="1:19" s="64" customFormat="1">
      <c r="A2824" s="316" t="s">
        <v>439</v>
      </c>
      <c r="B2824" s="123" t="s">
        <v>5072</v>
      </c>
      <c r="C2824" s="256" t="s">
        <v>4149</v>
      </c>
      <c r="D2824" s="256" t="s">
        <v>4148</v>
      </c>
      <c r="E2824" s="339" t="str">
        <f t="shared" si="44"/>
        <v>FF230100 : 외평외화대출실시</v>
      </c>
      <c r="K2824" s="65"/>
      <c r="L2824" s="65"/>
      <c r="M2824" s="65"/>
      <c r="N2824" s="65"/>
      <c r="O2824" s="65"/>
      <c r="P2824" s="65"/>
      <c r="Q2824" s="65"/>
      <c r="R2824" s="65"/>
      <c r="S2824" s="65"/>
    </row>
    <row r="2825" spans="1:19" s="64" customFormat="1">
      <c r="A2825" s="316" t="s">
        <v>439</v>
      </c>
      <c r="B2825" s="123" t="s">
        <v>5072</v>
      </c>
      <c r="C2825" s="256" t="s">
        <v>4147</v>
      </c>
      <c r="D2825" s="256" t="s">
        <v>4146</v>
      </c>
      <c r="E2825" s="339" t="str">
        <f t="shared" si="44"/>
        <v>FF230200 : 외평외화대출상환</v>
      </c>
      <c r="K2825" s="65"/>
      <c r="L2825" s="65"/>
      <c r="M2825" s="65"/>
      <c r="N2825" s="65"/>
      <c r="O2825" s="65"/>
      <c r="P2825" s="65"/>
      <c r="Q2825" s="65"/>
      <c r="R2825" s="65"/>
      <c r="S2825" s="65"/>
    </row>
    <row r="2826" spans="1:19" s="64" customFormat="1">
      <c r="A2826" s="316" t="s">
        <v>439</v>
      </c>
      <c r="B2826" s="123" t="s">
        <v>5072</v>
      </c>
      <c r="C2826" s="256" t="s">
        <v>4145</v>
      </c>
      <c r="D2826" s="256" t="s">
        <v>4144</v>
      </c>
      <c r="E2826" s="339" t="str">
        <f t="shared" si="44"/>
        <v>FF230300 : 외평외화대출이자수취</v>
      </c>
      <c r="K2826" s="65"/>
      <c r="L2826" s="65"/>
      <c r="M2826" s="65"/>
      <c r="N2826" s="65"/>
      <c r="O2826" s="65"/>
      <c r="P2826" s="65"/>
      <c r="Q2826" s="65"/>
      <c r="R2826" s="65"/>
      <c r="S2826" s="65"/>
    </row>
    <row r="2827" spans="1:19" s="64" customFormat="1">
      <c r="A2827" s="316" t="s">
        <v>439</v>
      </c>
      <c r="B2827" s="123" t="s">
        <v>5072</v>
      </c>
      <c r="C2827" s="256" t="s">
        <v>4143</v>
      </c>
      <c r="D2827" s="256" t="s">
        <v>4142</v>
      </c>
      <c r="E2827" s="339" t="str">
        <f t="shared" si="44"/>
        <v>FF230400 : 외평외화대출수수료지급</v>
      </c>
      <c r="K2827" s="65"/>
      <c r="L2827" s="65"/>
      <c r="M2827" s="65"/>
      <c r="N2827" s="65"/>
      <c r="O2827" s="65"/>
      <c r="P2827" s="65"/>
      <c r="Q2827" s="65"/>
      <c r="R2827" s="65"/>
      <c r="S2827" s="65"/>
    </row>
    <row r="2828" spans="1:19" s="64" customFormat="1">
      <c r="A2828" s="316" t="s">
        <v>439</v>
      </c>
      <c r="B2828" s="123" t="s">
        <v>5072</v>
      </c>
      <c r="C2828" s="256" t="s">
        <v>4141</v>
      </c>
      <c r="D2828" s="256" t="s">
        <v>4140</v>
      </c>
      <c r="E2828" s="339" t="str">
        <f t="shared" si="44"/>
        <v>FF230500 : 외평융자보조원가충당금처리</v>
      </c>
      <c r="K2828" s="65"/>
      <c r="L2828" s="65"/>
      <c r="M2828" s="65"/>
      <c r="N2828" s="65"/>
      <c r="O2828" s="65"/>
      <c r="P2828" s="65"/>
      <c r="Q2828" s="65"/>
      <c r="R2828" s="65"/>
      <c r="S2828" s="65"/>
    </row>
    <row r="2829" spans="1:19" s="64" customFormat="1">
      <c r="A2829" s="316" t="s">
        <v>439</v>
      </c>
      <c r="B2829" s="123" t="s">
        <v>5072</v>
      </c>
      <c r="C2829" s="256" t="s">
        <v>4139</v>
      </c>
      <c r="D2829" s="256" t="s">
        <v>4138</v>
      </c>
      <c r="E2829" s="339" t="str">
        <f t="shared" si="44"/>
        <v>IF010060 : 손익금이체(국제금융)</v>
      </c>
      <c r="K2829" s="65"/>
      <c r="L2829" s="65"/>
      <c r="M2829" s="65"/>
      <c r="N2829" s="65"/>
      <c r="O2829" s="65"/>
      <c r="P2829" s="65"/>
      <c r="Q2829" s="65"/>
      <c r="R2829" s="65"/>
      <c r="S2829" s="65"/>
    </row>
    <row r="2830" spans="1:19" s="64" customFormat="1">
      <c r="A2830" s="316" t="s">
        <v>439</v>
      </c>
      <c r="B2830" s="123" t="s">
        <v>5072</v>
      </c>
      <c r="C2830" s="256" t="s">
        <v>4137</v>
      </c>
      <c r="D2830" s="256" t="s">
        <v>4136</v>
      </c>
      <c r="E2830" s="339" t="str">
        <f t="shared" si="44"/>
        <v>IF010070 : 결산보정</v>
      </c>
      <c r="K2830" s="65"/>
      <c r="L2830" s="65"/>
      <c r="M2830" s="65"/>
      <c r="N2830" s="65"/>
      <c r="O2830" s="65"/>
      <c r="P2830" s="65"/>
      <c r="Q2830" s="65"/>
      <c r="R2830" s="65"/>
      <c r="S2830" s="65"/>
    </row>
    <row r="2831" spans="1:19" s="64" customFormat="1">
      <c r="A2831" s="316" t="s">
        <v>439</v>
      </c>
      <c r="B2831" s="123" t="s">
        <v>5072</v>
      </c>
      <c r="C2831" s="256" t="s">
        <v>4135</v>
      </c>
      <c r="D2831" s="256" t="s">
        <v>4134</v>
      </c>
      <c r="E2831" s="339" t="str">
        <f t="shared" si="44"/>
        <v>IF010080 : 미결환일괄결제(국제금융)</v>
      </c>
      <c r="K2831" s="65"/>
      <c r="L2831" s="65"/>
      <c r="M2831" s="65"/>
      <c r="N2831" s="65"/>
      <c r="O2831" s="65"/>
      <c r="P2831" s="65"/>
      <c r="Q2831" s="65"/>
      <c r="R2831" s="65"/>
      <c r="S2831" s="65"/>
    </row>
    <row r="2832" spans="1:19" s="64" customFormat="1">
      <c r="A2832" s="316" t="s">
        <v>439</v>
      </c>
      <c r="B2832" s="123" t="s">
        <v>5072</v>
      </c>
      <c r="C2832" s="256" t="s">
        <v>4133</v>
      </c>
      <c r="D2832" s="256" t="s">
        <v>4132</v>
      </c>
      <c r="E2832" s="339" t="str">
        <f t="shared" si="44"/>
        <v>IF010090 : 외환평가조정</v>
      </c>
      <c r="K2832" s="65"/>
      <c r="L2832" s="65"/>
      <c r="M2832" s="65"/>
      <c r="N2832" s="65"/>
      <c r="O2832" s="65"/>
      <c r="P2832" s="65"/>
      <c r="Q2832" s="65"/>
      <c r="R2832" s="65"/>
      <c r="S2832" s="65"/>
    </row>
    <row r="2833" spans="1:19" s="64" customFormat="1">
      <c r="A2833" s="316" t="s">
        <v>439</v>
      </c>
      <c r="B2833" s="123" t="s">
        <v>5072</v>
      </c>
      <c r="C2833" s="256" t="s">
        <v>4131</v>
      </c>
      <c r="D2833" s="256" t="s">
        <v>4130</v>
      </c>
      <c r="E2833" s="339" t="str">
        <f t="shared" si="44"/>
        <v>IF010091 : 외환평가조정금 집중</v>
      </c>
      <c r="K2833" s="65"/>
      <c r="L2833" s="65"/>
      <c r="M2833" s="65"/>
      <c r="N2833" s="65"/>
      <c r="O2833" s="65"/>
      <c r="P2833" s="65"/>
      <c r="Q2833" s="65"/>
      <c r="R2833" s="65"/>
      <c r="S2833" s="65"/>
    </row>
    <row r="2834" spans="1:19" s="64" customFormat="1">
      <c r="A2834" s="316" t="s">
        <v>439</v>
      </c>
      <c r="B2834" s="123" t="s">
        <v>5072</v>
      </c>
      <c r="C2834" s="256" t="s">
        <v>4129</v>
      </c>
      <c r="D2834" s="256" t="s">
        <v>4128</v>
      </c>
      <c r="E2834" s="339" t="str">
        <f t="shared" si="44"/>
        <v>IF010092 : 외환매매손익</v>
      </c>
      <c r="K2834" s="65"/>
      <c r="L2834" s="65"/>
      <c r="M2834" s="65"/>
      <c r="N2834" s="65"/>
      <c r="O2834" s="65"/>
      <c r="P2834" s="65"/>
      <c r="Q2834" s="65"/>
      <c r="R2834" s="65"/>
      <c r="S2834" s="65"/>
    </row>
    <row r="2835" spans="1:19" s="64" customFormat="1">
      <c r="A2835" s="316" t="s">
        <v>439</v>
      </c>
      <c r="B2835" s="123" t="s">
        <v>5072</v>
      </c>
      <c r="C2835" s="256" t="s">
        <v>4127</v>
      </c>
      <c r="D2835" s="256" t="s">
        <v>4126</v>
      </c>
      <c r="E2835" s="339" t="str">
        <f t="shared" si="44"/>
        <v>IF010099 : 통상전표(국제금융)</v>
      </c>
      <c r="K2835" s="65"/>
      <c r="L2835" s="65"/>
      <c r="M2835" s="65"/>
      <c r="N2835" s="65"/>
      <c r="O2835" s="65"/>
      <c r="P2835" s="65"/>
      <c r="Q2835" s="65"/>
      <c r="R2835" s="65"/>
      <c r="S2835" s="65"/>
    </row>
    <row r="2836" spans="1:19" s="64" customFormat="1">
      <c r="A2836" s="316" t="s">
        <v>439</v>
      </c>
      <c r="B2836" s="123" t="s">
        <v>5072</v>
      </c>
      <c r="C2836" s="256" t="s">
        <v>4125</v>
      </c>
      <c r="D2836" s="256" t="s">
        <v>4124</v>
      </c>
      <c r="E2836" s="339" t="str">
        <f t="shared" si="44"/>
        <v>IF010100 : 외화자금이체</v>
      </c>
      <c r="K2836" s="65"/>
      <c r="L2836" s="65"/>
      <c r="M2836" s="65"/>
      <c r="N2836" s="65"/>
      <c r="O2836" s="65"/>
      <c r="P2836" s="65"/>
      <c r="Q2836" s="65"/>
      <c r="R2836" s="65"/>
      <c r="S2836" s="65"/>
    </row>
    <row r="2837" spans="1:19" s="64" customFormat="1">
      <c r="A2837" s="316" t="s">
        <v>439</v>
      </c>
      <c r="B2837" s="123" t="s">
        <v>5072</v>
      </c>
      <c r="C2837" s="256" t="s">
        <v>4123</v>
      </c>
      <c r="D2837" s="256" t="s">
        <v>4122</v>
      </c>
      <c r="E2837" s="339" t="str">
        <f t="shared" si="44"/>
        <v>IF010200 : 해외자금예치</v>
      </c>
      <c r="K2837" s="65"/>
      <c r="L2837" s="65"/>
      <c r="M2837" s="65"/>
      <c r="N2837" s="65"/>
      <c r="O2837" s="65"/>
      <c r="P2837" s="65"/>
      <c r="Q2837" s="65"/>
      <c r="R2837" s="65"/>
      <c r="S2837" s="65"/>
    </row>
    <row r="2838" spans="1:19" s="64" customFormat="1">
      <c r="A2838" s="316" t="s">
        <v>439</v>
      </c>
      <c r="B2838" s="123" t="s">
        <v>5072</v>
      </c>
      <c r="C2838" s="256" t="s">
        <v>4121</v>
      </c>
      <c r="D2838" s="256" t="s">
        <v>4120</v>
      </c>
      <c r="E2838" s="339" t="str">
        <f t="shared" ref="E2838:E2901" si="45">_xlfn.TEXTJOIN(" : ",FALSE,C2838:D2838)</f>
        <v>IF010300 : 해외자금이체</v>
      </c>
      <c r="K2838" s="65"/>
      <c r="L2838" s="65"/>
      <c r="M2838" s="65"/>
      <c r="N2838" s="65"/>
      <c r="O2838" s="65"/>
      <c r="P2838" s="65"/>
      <c r="Q2838" s="65"/>
      <c r="R2838" s="65"/>
      <c r="S2838" s="65"/>
    </row>
    <row r="2839" spans="1:19" s="64" customFormat="1">
      <c r="A2839" s="316" t="s">
        <v>439</v>
      </c>
      <c r="B2839" s="123" t="s">
        <v>5072</v>
      </c>
      <c r="C2839" s="256" t="s">
        <v>4119</v>
      </c>
      <c r="D2839" s="256" t="s">
        <v>4118</v>
      </c>
      <c r="E2839" s="339" t="str">
        <f t="shared" si="45"/>
        <v>IF010400 : 외화수수료차기</v>
      </c>
      <c r="K2839" s="65"/>
      <c r="L2839" s="65"/>
      <c r="M2839" s="65"/>
      <c r="N2839" s="65"/>
      <c r="O2839" s="65"/>
      <c r="P2839" s="65"/>
      <c r="Q2839" s="65"/>
      <c r="R2839" s="65"/>
      <c r="S2839" s="65"/>
    </row>
    <row r="2840" spans="1:19" s="64" customFormat="1">
      <c r="A2840" s="316" t="s">
        <v>439</v>
      </c>
      <c r="B2840" s="123" t="s">
        <v>5072</v>
      </c>
      <c r="C2840" s="256" t="s">
        <v>4117</v>
      </c>
      <c r="D2840" s="256" t="s">
        <v>4116</v>
      </c>
      <c r="E2840" s="339" t="str">
        <f t="shared" si="45"/>
        <v>IF010500 : 자금이체수수료</v>
      </c>
      <c r="K2840" s="65"/>
      <c r="L2840" s="65"/>
      <c r="M2840" s="65"/>
      <c r="N2840" s="65"/>
      <c r="O2840" s="65"/>
      <c r="P2840" s="65"/>
      <c r="Q2840" s="65"/>
      <c r="R2840" s="65"/>
      <c r="S2840" s="65"/>
    </row>
    <row r="2841" spans="1:19" s="64" customFormat="1">
      <c r="A2841" s="316" t="s">
        <v>439</v>
      </c>
      <c r="B2841" s="123" t="s">
        <v>5072</v>
      </c>
      <c r="C2841" s="256" t="s">
        <v>4115</v>
      </c>
      <c r="D2841" s="256" t="s">
        <v>4114</v>
      </c>
      <c r="E2841" s="339" t="str">
        <f t="shared" si="45"/>
        <v>IF020100 : 스왑매입</v>
      </c>
      <c r="K2841" s="65"/>
      <c r="L2841" s="65"/>
      <c r="M2841" s="65"/>
      <c r="N2841" s="65"/>
      <c r="O2841" s="65"/>
      <c r="P2841" s="65"/>
      <c r="Q2841" s="65"/>
      <c r="R2841" s="65"/>
      <c r="S2841" s="65"/>
    </row>
    <row r="2842" spans="1:19" s="64" customFormat="1">
      <c r="A2842" s="316" t="s">
        <v>439</v>
      </c>
      <c r="B2842" s="123" t="s">
        <v>5072</v>
      </c>
      <c r="C2842" s="256" t="s">
        <v>4113</v>
      </c>
      <c r="D2842" s="256" t="s">
        <v>4112</v>
      </c>
      <c r="E2842" s="339" t="str">
        <f t="shared" si="45"/>
        <v>IF020200 : 스왑환매</v>
      </c>
      <c r="K2842" s="65"/>
      <c r="L2842" s="65"/>
      <c r="M2842" s="65"/>
      <c r="N2842" s="65"/>
      <c r="O2842" s="65"/>
      <c r="P2842" s="65"/>
      <c r="Q2842" s="65"/>
      <c r="R2842" s="65"/>
      <c r="S2842" s="65"/>
    </row>
    <row r="2843" spans="1:19" s="64" customFormat="1">
      <c r="A2843" s="316" t="s">
        <v>439</v>
      </c>
      <c r="B2843" s="123" t="s">
        <v>5072</v>
      </c>
      <c r="C2843" s="256" t="s">
        <v>4111</v>
      </c>
      <c r="D2843" s="256" t="s">
        <v>4110</v>
      </c>
      <c r="E2843" s="339" t="str">
        <f t="shared" si="45"/>
        <v>IF020300 : 스왑코스트</v>
      </c>
      <c r="K2843" s="65"/>
      <c r="L2843" s="65"/>
      <c r="M2843" s="65"/>
      <c r="N2843" s="65"/>
      <c r="O2843" s="65"/>
      <c r="P2843" s="65"/>
      <c r="Q2843" s="65"/>
      <c r="R2843" s="65"/>
      <c r="S2843" s="65"/>
    </row>
    <row r="2844" spans="1:19" s="64" customFormat="1">
      <c r="A2844" s="316" t="s">
        <v>439</v>
      </c>
      <c r="B2844" s="123" t="s">
        <v>5072</v>
      </c>
      <c r="C2844" s="256" t="s">
        <v>4109</v>
      </c>
      <c r="D2844" s="256" t="s">
        <v>4108</v>
      </c>
      <c r="E2844" s="339" t="str">
        <f t="shared" si="45"/>
        <v>IF020400 : 스왑프리미엄</v>
      </c>
      <c r="K2844" s="65"/>
      <c r="L2844" s="65"/>
      <c r="M2844" s="65"/>
      <c r="N2844" s="65"/>
      <c r="O2844" s="65"/>
      <c r="P2844" s="65"/>
      <c r="Q2844" s="65"/>
      <c r="R2844" s="65"/>
      <c r="S2844" s="65"/>
    </row>
    <row r="2845" spans="1:19" s="64" customFormat="1">
      <c r="A2845" s="316" t="s">
        <v>439</v>
      </c>
      <c r="B2845" s="123" t="s">
        <v>5072</v>
      </c>
      <c r="C2845" s="256" t="s">
        <v>4107</v>
      </c>
      <c r="D2845" s="256" t="s">
        <v>4106</v>
      </c>
      <c r="E2845" s="339" t="str">
        <f t="shared" si="45"/>
        <v>IF020500 : 스왑환차익</v>
      </c>
      <c r="K2845" s="65"/>
      <c r="L2845" s="65"/>
      <c r="M2845" s="65"/>
      <c r="N2845" s="65"/>
      <c r="O2845" s="65"/>
      <c r="P2845" s="65"/>
      <c r="Q2845" s="65"/>
      <c r="R2845" s="65"/>
      <c r="S2845" s="65"/>
    </row>
    <row r="2846" spans="1:19" s="64" customFormat="1">
      <c r="A2846" s="316" t="s">
        <v>439</v>
      </c>
      <c r="B2846" s="123" t="s">
        <v>5072</v>
      </c>
      <c r="C2846" s="256" t="s">
        <v>4105</v>
      </c>
      <c r="D2846" s="256" t="s">
        <v>4104</v>
      </c>
      <c r="E2846" s="339" t="str">
        <f t="shared" si="45"/>
        <v>IF020600 : 스왑환차손</v>
      </c>
      <c r="K2846" s="65"/>
      <c r="L2846" s="65"/>
      <c r="M2846" s="65"/>
      <c r="N2846" s="65"/>
      <c r="O2846" s="65"/>
      <c r="P2846" s="65"/>
      <c r="Q2846" s="65"/>
      <c r="R2846" s="65"/>
      <c r="S2846" s="65"/>
    </row>
    <row r="2847" spans="1:19" s="64" customFormat="1">
      <c r="A2847" s="316" t="s">
        <v>439</v>
      </c>
      <c r="B2847" s="123" t="s">
        <v>5072</v>
      </c>
      <c r="C2847" s="256" t="s">
        <v>4103</v>
      </c>
      <c r="D2847" s="256" t="s">
        <v>4102</v>
      </c>
      <c r="E2847" s="339" t="str">
        <f t="shared" si="45"/>
        <v>IF020700 : 국내외환스왑매각</v>
      </c>
      <c r="K2847" s="65"/>
      <c r="L2847" s="65"/>
      <c r="M2847" s="65"/>
      <c r="N2847" s="65"/>
      <c r="O2847" s="65"/>
      <c r="P2847" s="65"/>
      <c r="Q2847" s="65"/>
      <c r="R2847" s="65"/>
      <c r="S2847" s="65"/>
    </row>
    <row r="2848" spans="1:19" s="64" customFormat="1">
      <c r="A2848" s="316" t="s">
        <v>439</v>
      </c>
      <c r="B2848" s="123" t="s">
        <v>5072</v>
      </c>
      <c r="C2848" s="256" t="s">
        <v>4101</v>
      </c>
      <c r="D2848" s="256" t="s">
        <v>4100</v>
      </c>
      <c r="E2848" s="339" t="str">
        <f t="shared" si="45"/>
        <v>IF020800 : 국내외환스왑매각환매</v>
      </c>
      <c r="K2848" s="65"/>
      <c r="L2848" s="65"/>
      <c r="M2848" s="65"/>
      <c r="N2848" s="65"/>
      <c r="O2848" s="65"/>
      <c r="P2848" s="65"/>
      <c r="Q2848" s="65"/>
      <c r="R2848" s="65"/>
      <c r="S2848" s="65"/>
    </row>
    <row r="2849" spans="1:19" s="64" customFormat="1">
      <c r="A2849" s="316" t="s">
        <v>439</v>
      </c>
      <c r="B2849" s="123" t="s">
        <v>5072</v>
      </c>
      <c r="C2849" s="256" t="s">
        <v>4099</v>
      </c>
      <c r="D2849" s="256" t="s">
        <v>4098</v>
      </c>
      <c r="E2849" s="339" t="str">
        <f t="shared" si="45"/>
        <v>IF020900 : 국내외환스왑매입</v>
      </c>
      <c r="K2849" s="65"/>
      <c r="L2849" s="65"/>
      <c r="M2849" s="65"/>
      <c r="N2849" s="65"/>
      <c r="O2849" s="65"/>
      <c r="P2849" s="65"/>
      <c r="Q2849" s="65"/>
      <c r="R2849" s="65"/>
      <c r="S2849" s="65"/>
    </row>
    <row r="2850" spans="1:19" s="64" customFormat="1">
      <c r="A2850" s="316" t="s">
        <v>439</v>
      </c>
      <c r="B2850" s="123" t="s">
        <v>5072</v>
      </c>
      <c r="C2850" s="256" t="s">
        <v>4097</v>
      </c>
      <c r="D2850" s="256" t="s">
        <v>4096</v>
      </c>
      <c r="E2850" s="339" t="str">
        <f t="shared" si="45"/>
        <v>IF021000 : 국내외환스왑매입환매</v>
      </c>
      <c r="K2850" s="65"/>
      <c r="L2850" s="65"/>
      <c r="M2850" s="65"/>
      <c r="N2850" s="65"/>
      <c r="O2850" s="65"/>
      <c r="P2850" s="65"/>
      <c r="Q2850" s="65"/>
      <c r="R2850" s="65"/>
      <c r="S2850" s="65"/>
    </row>
    <row r="2851" spans="1:19" s="64" customFormat="1">
      <c r="A2851" s="316" t="s">
        <v>439</v>
      </c>
      <c r="B2851" s="123" t="s">
        <v>5072</v>
      </c>
      <c r="C2851" s="256" t="s">
        <v>4095</v>
      </c>
      <c r="D2851" s="256" t="s">
        <v>4094</v>
      </c>
      <c r="E2851" s="339" t="str">
        <f t="shared" si="45"/>
        <v>IF030100 : 해외증권투자용스왑 매각</v>
      </c>
      <c r="K2851" s="65"/>
      <c r="L2851" s="65"/>
      <c r="M2851" s="65"/>
      <c r="N2851" s="65"/>
      <c r="O2851" s="65"/>
      <c r="P2851" s="65"/>
      <c r="Q2851" s="65"/>
      <c r="R2851" s="65"/>
      <c r="S2851" s="65"/>
    </row>
    <row r="2852" spans="1:19" s="64" customFormat="1">
      <c r="A2852" s="316" t="s">
        <v>439</v>
      </c>
      <c r="B2852" s="123" t="s">
        <v>5072</v>
      </c>
      <c r="C2852" s="256" t="s">
        <v>4093</v>
      </c>
      <c r="D2852" s="256" t="s">
        <v>4092</v>
      </c>
      <c r="E2852" s="339" t="str">
        <f t="shared" si="45"/>
        <v>IF030200 : 해외증권투자용스왑 환매</v>
      </c>
      <c r="K2852" s="65"/>
      <c r="L2852" s="65"/>
      <c r="M2852" s="65"/>
      <c r="N2852" s="65"/>
      <c r="O2852" s="65"/>
      <c r="P2852" s="65"/>
      <c r="Q2852" s="65"/>
      <c r="R2852" s="65"/>
      <c r="S2852" s="65"/>
    </row>
    <row r="2853" spans="1:19" s="64" customFormat="1">
      <c r="A2853" s="316" t="s">
        <v>439</v>
      </c>
      <c r="B2853" s="123" t="s">
        <v>5072</v>
      </c>
      <c r="C2853" s="256" t="s">
        <v>4091</v>
      </c>
      <c r="D2853" s="256" t="s">
        <v>4090</v>
      </c>
      <c r="E2853" s="339" t="str">
        <f t="shared" si="45"/>
        <v>IF040100 : 수출환어음담보대출실행</v>
      </c>
      <c r="K2853" s="65"/>
      <c r="L2853" s="65"/>
      <c r="M2853" s="65"/>
      <c r="N2853" s="65"/>
      <c r="O2853" s="65"/>
      <c r="P2853" s="65"/>
      <c r="Q2853" s="65"/>
      <c r="R2853" s="65"/>
      <c r="S2853" s="65"/>
    </row>
    <row r="2854" spans="1:19" s="64" customFormat="1">
      <c r="A2854" s="316" t="s">
        <v>439</v>
      </c>
      <c r="B2854" s="123" t="s">
        <v>5072</v>
      </c>
      <c r="C2854" s="256" t="s">
        <v>4089</v>
      </c>
      <c r="D2854" s="256" t="s">
        <v>4088</v>
      </c>
      <c r="E2854" s="339" t="str">
        <f t="shared" si="45"/>
        <v>IF040200 : 수출환어음담보대출회수</v>
      </c>
      <c r="K2854" s="65"/>
      <c r="L2854" s="65"/>
      <c r="M2854" s="65"/>
      <c r="N2854" s="65"/>
      <c r="O2854" s="65"/>
      <c r="P2854" s="65"/>
      <c r="Q2854" s="65"/>
      <c r="R2854" s="65"/>
      <c r="S2854" s="65"/>
    </row>
    <row r="2855" spans="1:19" s="64" customFormat="1">
      <c r="A2855" s="316" t="s">
        <v>439</v>
      </c>
      <c r="B2855" s="123" t="s">
        <v>5072</v>
      </c>
      <c r="C2855" s="256" t="s">
        <v>4087</v>
      </c>
      <c r="D2855" s="256" t="s">
        <v>4086</v>
      </c>
      <c r="E2855" s="339" t="str">
        <f t="shared" si="45"/>
        <v>IF040500 : 외화대출 실시</v>
      </c>
      <c r="K2855" s="65"/>
      <c r="L2855" s="65"/>
      <c r="M2855" s="65"/>
      <c r="N2855" s="65"/>
      <c r="O2855" s="65"/>
      <c r="P2855" s="65"/>
      <c r="Q2855" s="65"/>
      <c r="R2855" s="65"/>
      <c r="S2855" s="65"/>
    </row>
    <row r="2856" spans="1:19" s="64" customFormat="1">
      <c r="A2856" s="316" t="s">
        <v>439</v>
      </c>
      <c r="B2856" s="123" t="s">
        <v>5072</v>
      </c>
      <c r="C2856" s="256" t="s">
        <v>4085</v>
      </c>
      <c r="D2856" s="256" t="s">
        <v>4084</v>
      </c>
      <c r="E2856" s="339" t="str">
        <f t="shared" si="45"/>
        <v>IF040600 : 외화대출 회수</v>
      </c>
      <c r="K2856" s="65"/>
      <c r="L2856" s="65"/>
      <c r="M2856" s="65"/>
      <c r="N2856" s="65"/>
      <c r="O2856" s="65"/>
      <c r="P2856" s="65"/>
      <c r="Q2856" s="65"/>
      <c r="R2856" s="65"/>
      <c r="S2856" s="65"/>
    </row>
    <row r="2857" spans="1:19" s="64" customFormat="1">
      <c r="A2857" s="316" t="s">
        <v>439</v>
      </c>
      <c r="B2857" s="123" t="s">
        <v>5072</v>
      </c>
      <c r="C2857" s="256" t="s">
        <v>4083</v>
      </c>
      <c r="D2857" s="256" t="s">
        <v>4082</v>
      </c>
      <c r="E2857" s="339" t="str">
        <f t="shared" si="45"/>
        <v>IF040710 : 통화스왑자금 외화대출실시</v>
      </c>
      <c r="K2857" s="65"/>
      <c r="L2857" s="65"/>
      <c r="M2857" s="65"/>
      <c r="N2857" s="65"/>
      <c r="O2857" s="65"/>
      <c r="P2857" s="65"/>
      <c r="Q2857" s="65"/>
      <c r="R2857" s="65"/>
      <c r="S2857" s="65"/>
    </row>
    <row r="2858" spans="1:19" s="64" customFormat="1">
      <c r="A2858" s="316" t="s">
        <v>439</v>
      </c>
      <c r="B2858" s="123" t="s">
        <v>5072</v>
      </c>
      <c r="C2858" s="256" t="s">
        <v>4081</v>
      </c>
      <c r="D2858" s="256" t="s">
        <v>4080</v>
      </c>
      <c r="E2858" s="339" t="str">
        <f t="shared" si="45"/>
        <v>IF040720 : 통화스왑자금 외화대출상환</v>
      </c>
      <c r="K2858" s="65"/>
      <c r="L2858" s="65"/>
      <c r="M2858" s="65"/>
      <c r="N2858" s="65"/>
      <c r="O2858" s="65"/>
      <c r="P2858" s="65"/>
      <c r="Q2858" s="65"/>
      <c r="R2858" s="65"/>
      <c r="S2858" s="65"/>
    </row>
    <row r="2859" spans="1:19" s="64" customFormat="1">
      <c r="A2859" s="316" t="s">
        <v>439</v>
      </c>
      <c r="B2859" s="123" t="s">
        <v>5072</v>
      </c>
      <c r="C2859" s="256" t="s">
        <v>4079</v>
      </c>
      <c r="D2859" s="256" t="s">
        <v>4078</v>
      </c>
      <c r="E2859" s="339" t="str">
        <f t="shared" si="45"/>
        <v>IF040730 : 통화스왑자금 외화대출 이자수취</v>
      </c>
      <c r="K2859" s="65"/>
      <c r="L2859" s="65"/>
      <c r="M2859" s="65"/>
      <c r="N2859" s="65"/>
      <c r="O2859" s="65"/>
      <c r="P2859" s="65"/>
      <c r="Q2859" s="65"/>
      <c r="R2859" s="65"/>
      <c r="S2859" s="65"/>
    </row>
    <row r="2860" spans="1:19" s="64" customFormat="1">
      <c r="A2860" s="316" t="s">
        <v>439</v>
      </c>
      <c r="B2860" s="123" t="s">
        <v>5072</v>
      </c>
      <c r="C2860" s="256" t="s">
        <v>4077</v>
      </c>
      <c r="D2860" s="256" t="s">
        <v>4076</v>
      </c>
      <c r="E2860" s="339" t="str">
        <f t="shared" si="45"/>
        <v>IF040800 : 담보관리수수료 납부</v>
      </c>
      <c r="K2860" s="65"/>
      <c r="L2860" s="65"/>
      <c r="M2860" s="65"/>
      <c r="N2860" s="65"/>
      <c r="O2860" s="65"/>
      <c r="P2860" s="65"/>
      <c r="Q2860" s="65"/>
      <c r="R2860" s="65"/>
      <c r="S2860" s="65"/>
    </row>
    <row r="2861" spans="1:19" s="64" customFormat="1">
      <c r="A2861" s="316" t="s">
        <v>439</v>
      </c>
      <c r="B2861" s="123" t="s">
        <v>5072</v>
      </c>
      <c r="C2861" s="256" t="s">
        <v>4075</v>
      </c>
      <c r="D2861" s="256" t="s">
        <v>4074</v>
      </c>
      <c r="E2861" s="339" t="str">
        <f t="shared" si="45"/>
        <v>IF050100 : 외화국내예탁</v>
      </c>
      <c r="K2861" s="65"/>
      <c r="L2861" s="65"/>
      <c r="M2861" s="65"/>
      <c r="N2861" s="65"/>
      <c r="O2861" s="65"/>
      <c r="P2861" s="65"/>
      <c r="Q2861" s="65"/>
      <c r="R2861" s="65"/>
      <c r="S2861" s="65"/>
    </row>
    <row r="2862" spans="1:19" s="64" customFormat="1">
      <c r="A2862" s="316" t="s">
        <v>439</v>
      </c>
      <c r="B2862" s="123" t="s">
        <v>5072</v>
      </c>
      <c r="C2862" s="256" t="s">
        <v>4073</v>
      </c>
      <c r="D2862" s="256" t="s">
        <v>4072</v>
      </c>
      <c r="E2862" s="339" t="str">
        <f t="shared" si="45"/>
        <v>IF050200 : 외화국내예탁회수</v>
      </c>
      <c r="K2862" s="65"/>
      <c r="L2862" s="65"/>
      <c r="M2862" s="65"/>
      <c r="N2862" s="65"/>
      <c r="O2862" s="65"/>
      <c r="P2862" s="65"/>
      <c r="Q2862" s="65"/>
      <c r="R2862" s="65"/>
      <c r="S2862" s="65"/>
    </row>
    <row r="2863" spans="1:19" s="64" customFormat="1">
      <c r="A2863" s="316" t="s">
        <v>439</v>
      </c>
      <c r="B2863" s="123" t="s">
        <v>5072</v>
      </c>
      <c r="C2863" s="256" t="s">
        <v>4071</v>
      </c>
      <c r="D2863" s="256" t="s">
        <v>4070</v>
      </c>
      <c r="E2863" s="339" t="str">
        <f t="shared" si="45"/>
        <v>IF050300 : 외화국내예탁이자</v>
      </c>
      <c r="K2863" s="65"/>
      <c r="L2863" s="65"/>
      <c r="M2863" s="65"/>
      <c r="N2863" s="65"/>
      <c r="O2863" s="65"/>
      <c r="P2863" s="65"/>
      <c r="Q2863" s="65"/>
      <c r="R2863" s="65"/>
      <c r="S2863" s="65"/>
    </row>
    <row r="2864" spans="1:19" s="64" customFormat="1">
      <c r="A2864" s="316" t="s">
        <v>439</v>
      </c>
      <c r="B2864" s="123" t="s">
        <v>5072</v>
      </c>
      <c r="C2864" s="256" t="s">
        <v>4069</v>
      </c>
      <c r="D2864" s="256" t="s">
        <v>4068</v>
      </c>
      <c r="E2864" s="339" t="str">
        <f t="shared" si="45"/>
        <v>IF050400 : 외화국내예탁 상환지연이자</v>
      </c>
      <c r="K2864" s="65"/>
      <c r="L2864" s="65"/>
      <c r="M2864" s="65"/>
      <c r="N2864" s="65"/>
      <c r="O2864" s="65"/>
      <c r="P2864" s="65"/>
      <c r="Q2864" s="65"/>
      <c r="R2864" s="65"/>
      <c r="S2864" s="65"/>
    </row>
    <row r="2865" spans="1:19" s="64" customFormat="1">
      <c r="A2865" s="316" t="s">
        <v>439</v>
      </c>
      <c r="B2865" s="123" t="s">
        <v>5072</v>
      </c>
      <c r="C2865" s="256" t="s">
        <v>4067</v>
      </c>
      <c r="D2865" s="256" t="s">
        <v>4066</v>
      </c>
      <c r="E2865" s="339" t="str">
        <f t="shared" si="45"/>
        <v>IF060100 : 통화스왑체결</v>
      </c>
      <c r="K2865" s="65"/>
      <c r="L2865" s="65"/>
      <c r="M2865" s="65"/>
      <c r="N2865" s="65"/>
      <c r="O2865" s="65"/>
      <c r="P2865" s="65"/>
      <c r="Q2865" s="65"/>
      <c r="R2865" s="65"/>
      <c r="S2865" s="65"/>
    </row>
    <row r="2866" spans="1:19" s="64" customFormat="1">
      <c r="A2866" s="316" t="s">
        <v>439</v>
      </c>
      <c r="B2866" s="123" t="s">
        <v>5072</v>
      </c>
      <c r="C2866" s="256" t="s">
        <v>4065</v>
      </c>
      <c r="D2866" s="256" t="s">
        <v>4064</v>
      </c>
      <c r="E2866" s="339" t="str">
        <f t="shared" si="45"/>
        <v>IF060200 : 통화스왑만기일시상환</v>
      </c>
      <c r="K2866" s="65"/>
      <c r="L2866" s="65"/>
      <c r="M2866" s="65"/>
      <c r="N2866" s="65"/>
      <c r="O2866" s="65"/>
      <c r="P2866" s="65"/>
      <c r="Q2866" s="65"/>
      <c r="R2866" s="65"/>
      <c r="S2866" s="65"/>
    </row>
    <row r="2867" spans="1:19" s="64" customFormat="1">
      <c r="A2867" s="316" t="s">
        <v>439</v>
      </c>
      <c r="B2867" s="123" t="s">
        <v>5072</v>
      </c>
      <c r="C2867" s="256" t="s">
        <v>4063</v>
      </c>
      <c r="D2867" s="256" t="s">
        <v>4062</v>
      </c>
      <c r="E2867" s="339" t="str">
        <f t="shared" si="45"/>
        <v>IF060300 : 통화스왑정기분할상환</v>
      </c>
      <c r="K2867" s="65"/>
      <c r="L2867" s="65"/>
      <c r="M2867" s="65"/>
      <c r="N2867" s="65"/>
      <c r="O2867" s="65"/>
      <c r="P2867" s="65"/>
      <c r="Q2867" s="65"/>
      <c r="R2867" s="65"/>
      <c r="S2867" s="65"/>
    </row>
    <row r="2868" spans="1:19" s="64" customFormat="1">
      <c r="A2868" s="316" t="s">
        <v>439</v>
      </c>
      <c r="B2868" s="123" t="s">
        <v>5072</v>
      </c>
      <c r="C2868" s="256" t="s">
        <v>4061</v>
      </c>
      <c r="D2868" s="256" t="s">
        <v>4060</v>
      </c>
      <c r="E2868" s="339" t="str">
        <f t="shared" si="45"/>
        <v>IF060400 : 통화스왑조기상환</v>
      </c>
      <c r="K2868" s="65"/>
      <c r="L2868" s="65"/>
      <c r="M2868" s="65"/>
      <c r="N2868" s="65"/>
      <c r="O2868" s="65"/>
      <c r="P2868" s="65"/>
      <c r="Q2868" s="65"/>
      <c r="R2868" s="65"/>
      <c r="S2868" s="65"/>
    </row>
    <row r="2869" spans="1:19" s="64" customFormat="1">
      <c r="A2869" s="316" t="s">
        <v>439</v>
      </c>
      <c r="B2869" s="123" t="s">
        <v>5072</v>
      </c>
      <c r="C2869" s="256" t="s">
        <v>4059</v>
      </c>
      <c r="D2869" s="256" t="s">
        <v>4058</v>
      </c>
      <c r="E2869" s="339" t="str">
        <f t="shared" si="45"/>
        <v>IF060500 : 통화스왑이자교환</v>
      </c>
      <c r="K2869" s="65"/>
      <c r="L2869" s="65"/>
      <c r="M2869" s="65"/>
      <c r="N2869" s="65"/>
      <c r="O2869" s="65"/>
      <c r="P2869" s="65"/>
      <c r="Q2869" s="65"/>
      <c r="R2869" s="65"/>
      <c r="S2869" s="65"/>
    </row>
    <row r="2870" spans="1:19" s="64" customFormat="1">
      <c r="A2870" s="316" t="s">
        <v>439</v>
      </c>
      <c r="B2870" s="123" t="s">
        <v>5072</v>
      </c>
      <c r="C2870" s="256" t="s">
        <v>4057</v>
      </c>
      <c r="D2870" s="256" t="s">
        <v>4056</v>
      </c>
      <c r="E2870" s="339" t="str">
        <f t="shared" si="45"/>
        <v>IF060600 : 외화대출연계통화스왑체결</v>
      </c>
      <c r="K2870" s="65"/>
      <c r="L2870" s="65"/>
      <c r="M2870" s="65"/>
      <c r="N2870" s="65"/>
      <c r="O2870" s="65"/>
      <c r="P2870" s="65"/>
      <c r="Q2870" s="65"/>
      <c r="R2870" s="65"/>
      <c r="S2870" s="65"/>
    </row>
    <row r="2871" spans="1:19" s="64" customFormat="1">
      <c r="A2871" s="316" t="s">
        <v>439</v>
      </c>
      <c r="B2871" s="123" t="s">
        <v>5072</v>
      </c>
      <c r="C2871" s="256" t="s">
        <v>4055</v>
      </c>
      <c r="D2871" s="256" t="s">
        <v>4054</v>
      </c>
      <c r="E2871" s="339" t="str">
        <f t="shared" si="45"/>
        <v>IF060700 : 외화대출연계통화스왑만기일시상환</v>
      </c>
      <c r="K2871" s="65"/>
      <c r="L2871" s="65"/>
      <c r="M2871" s="65"/>
      <c r="N2871" s="65"/>
      <c r="O2871" s="65"/>
      <c r="P2871" s="65"/>
      <c r="Q2871" s="65"/>
      <c r="R2871" s="65"/>
      <c r="S2871" s="65"/>
    </row>
    <row r="2872" spans="1:19" s="64" customFormat="1">
      <c r="A2872" s="316" t="s">
        <v>439</v>
      </c>
      <c r="B2872" s="123" t="s">
        <v>5072</v>
      </c>
      <c r="C2872" s="256" t="s">
        <v>4053</v>
      </c>
      <c r="D2872" s="256" t="s">
        <v>4052</v>
      </c>
      <c r="E2872" s="339" t="str">
        <f t="shared" si="45"/>
        <v>IF060800 : 외화대출연계통화스왑정기분할상환</v>
      </c>
      <c r="K2872" s="65"/>
      <c r="L2872" s="65"/>
      <c r="M2872" s="65"/>
      <c r="N2872" s="65"/>
      <c r="O2872" s="65"/>
      <c r="P2872" s="65"/>
      <c r="Q2872" s="65"/>
      <c r="R2872" s="65"/>
      <c r="S2872" s="65"/>
    </row>
    <row r="2873" spans="1:19" s="64" customFormat="1">
      <c r="A2873" s="316" t="s">
        <v>439</v>
      </c>
      <c r="B2873" s="123" t="s">
        <v>5072</v>
      </c>
      <c r="C2873" s="256" t="s">
        <v>4051</v>
      </c>
      <c r="D2873" s="256" t="s">
        <v>4050</v>
      </c>
      <c r="E2873" s="339" t="str">
        <f t="shared" si="45"/>
        <v>IF060900 : 외화대출연계통화스왑조기상환</v>
      </c>
      <c r="K2873" s="65"/>
      <c r="L2873" s="65"/>
      <c r="M2873" s="65"/>
      <c r="N2873" s="65"/>
      <c r="O2873" s="65"/>
      <c r="P2873" s="65"/>
      <c r="Q2873" s="65"/>
      <c r="R2873" s="65"/>
      <c r="S2873" s="65"/>
    </row>
    <row r="2874" spans="1:19" s="64" customFormat="1">
      <c r="A2874" s="316" t="s">
        <v>439</v>
      </c>
      <c r="B2874" s="123" t="s">
        <v>5072</v>
      </c>
      <c r="C2874" s="256" t="s">
        <v>4049</v>
      </c>
      <c r="D2874" s="256" t="s">
        <v>4048</v>
      </c>
      <c r="E2874" s="339" t="str">
        <f t="shared" si="45"/>
        <v>IF061000 : 외화대출연계통화스왑이자교환</v>
      </c>
      <c r="K2874" s="65"/>
      <c r="L2874" s="65"/>
      <c r="M2874" s="65"/>
      <c r="N2874" s="65"/>
      <c r="O2874" s="65"/>
      <c r="P2874" s="65"/>
      <c r="Q2874" s="65"/>
      <c r="R2874" s="65"/>
      <c r="S2874" s="65"/>
    </row>
    <row r="2875" spans="1:19" s="64" customFormat="1">
      <c r="A2875" s="316" t="s">
        <v>439</v>
      </c>
      <c r="B2875" s="123" t="s">
        <v>5072</v>
      </c>
      <c r="C2875" s="256" t="s">
        <v>4047</v>
      </c>
      <c r="D2875" s="256" t="s">
        <v>4046</v>
      </c>
      <c r="E2875" s="339" t="str">
        <f t="shared" si="45"/>
        <v>IF070100 : 국내통화스왑체결</v>
      </c>
      <c r="K2875" s="65"/>
      <c r="L2875" s="65"/>
      <c r="M2875" s="65"/>
      <c r="N2875" s="65"/>
      <c r="O2875" s="65"/>
      <c r="P2875" s="65"/>
      <c r="Q2875" s="65"/>
      <c r="R2875" s="65"/>
      <c r="S2875" s="65"/>
    </row>
    <row r="2876" spans="1:19" s="64" customFormat="1">
      <c r="A2876" s="316" t="s">
        <v>439</v>
      </c>
      <c r="B2876" s="123" t="s">
        <v>5072</v>
      </c>
      <c r="C2876" s="256" t="s">
        <v>4045</v>
      </c>
      <c r="D2876" s="256" t="s">
        <v>4044</v>
      </c>
      <c r="E2876" s="339" t="str">
        <f t="shared" si="45"/>
        <v>IF070200 : 국내통화스왑만기상환</v>
      </c>
      <c r="K2876" s="65"/>
      <c r="L2876" s="65"/>
      <c r="M2876" s="65"/>
      <c r="N2876" s="65"/>
      <c r="O2876" s="65"/>
      <c r="P2876" s="65"/>
      <c r="Q2876" s="65"/>
      <c r="R2876" s="65"/>
      <c r="S2876" s="65"/>
    </row>
    <row r="2877" spans="1:19" s="64" customFormat="1">
      <c r="A2877" s="316" t="s">
        <v>439</v>
      </c>
      <c r="B2877" s="123" t="s">
        <v>5072</v>
      </c>
      <c r="C2877" s="256" t="s">
        <v>4043</v>
      </c>
      <c r="D2877" s="256" t="s">
        <v>4042</v>
      </c>
      <c r="E2877" s="339" t="str">
        <f t="shared" si="45"/>
        <v>IF070300 : 국내통화스왑이자교환</v>
      </c>
      <c r="K2877" s="65"/>
      <c r="L2877" s="65"/>
      <c r="M2877" s="65"/>
      <c r="N2877" s="65"/>
      <c r="O2877" s="65"/>
      <c r="P2877" s="65"/>
      <c r="Q2877" s="65"/>
      <c r="R2877" s="65"/>
      <c r="S2877" s="65"/>
    </row>
    <row r="2878" spans="1:19" s="64" customFormat="1">
      <c r="A2878" s="316" t="s">
        <v>439</v>
      </c>
      <c r="B2878" s="123" t="s">
        <v>5072</v>
      </c>
      <c r="C2878" s="256" t="s">
        <v>4041</v>
      </c>
      <c r="D2878" s="256" t="s">
        <v>4040</v>
      </c>
      <c r="E2878" s="339" t="str">
        <f t="shared" si="45"/>
        <v>IF070610 : 외국중앙은행 통화스왑인출</v>
      </c>
      <c r="K2878" s="65"/>
      <c r="L2878" s="65"/>
      <c r="M2878" s="65"/>
      <c r="N2878" s="65"/>
      <c r="O2878" s="65"/>
      <c r="P2878" s="65"/>
      <c r="Q2878" s="65"/>
      <c r="R2878" s="65"/>
      <c r="S2878" s="65"/>
    </row>
    <row r="2879" spans="1:19" s="64" customFormat="1">
      <c r="A2879" s="316" t="s">
        <v>439</v>
      </c>
      <c r="B2879" s="123" t="s">
        <v>5072</v>
      </c>
      <c r="C2879" s="256" t="s">
        <v>4039</v>
      </c>
      <c r="D2879" s="256" t="s">
        <v>4038</v>
      </c>
      <c r="E2879" s="339" t="str">
        <f t="shared" si="45"/>
        <v>IF070620 : 외국중앙은행 통화스왑상환</v>
      </c>
      <c r="K2879" s="65"/>
      <c r="L2879" s="65"/>
      <c r="M2879" s="65"/>
      <c r="N2879" s="65"/>
      <c r="O2879" s="65"/>
      <c r="P2879" s="65"/>
      <c r="Q2879" s="65"/>
      <c r="R2879" s="65"/>
      <c r="S2879" s="65"/>
    </row>
    <row r="2880" spans="1:19" s="64" customFormat="1">
      <c r="A2880" s="316" t="s">
        <v>439</v>
      </c>
      <c r="B2880" s="123" t="s">
        <v>5072</v>
      </c>
      <c r="C2880" s="256" t="s">
        <v>4037</v>
      </c>
      <c r="D2880" s="256" t="s">
        <v>4036</v>
      </c>
      <c r="E2880" s="339" t="str">
        <f t="shared" si="45"/>
        <v>IF070630 : 중앙은행통화스왑 이자지급</v>
      </c>
      <c r="K2880" s="65"/>
      <c r="L2880" s="65"/>
      <c r="M2880" s="65"/>
      <c r="N2880" s="65"/>
      <c r="O2880" s="65"/>
      <c r="P2880" s="65"/>
      <c r="Q2880" s="65"/>
      <c r="R2880" s="65"/>
      <c r="S2880" s="65"/>
    </row>
    <row r="2881" spans="1:19" s="64" customFormat="1">
      <c r="A2881" s="316" t="s">
        <v>439</v>
      </c>
      <c r="B2881" s="123" t="s">
        <v>5072</v>
      </c>
      <c r="C2881" s="256" t="s">
        <v>4035</v>
      </c>
      <c r="D2881" s="256" t="s">
        <v>4034</v>
      </c>
      <c r="E2881" s="339" t="str">
        <f t="shared" si="45"/>
        <v>IF070640 : 중앙은행통화스왑 담보조정</v>
      </c>
      <c r="K2881" s="65"/>
      <c r="L2881" s="65"/>
      <c r="M2881" s="65"/>
      <c r="N2881" s="65"/>
      <c r="O2881" s="65"/>
      <c r="P2881" s="65"/>
      <c r="Q2881" s="65"/>
      <c r="R2881" s="65"/>
      <c r="S2881" s="65"/>
    </row>
    <row r="2882" spans="1:19" s="64" customFormat="1">
      <c r="A2882" s="316" t="s">
        <v>439</v>
      </c>
      <c r="B2882" s="123" t="s">
        <v>5072</v>
      </c>
      <c r="C2882" s="256" t="s">
        <v>4033</v>
      </c>
      <c r="D2882" s="256" t="s">
        <v>4032</v>
      </c>
      <c r="E2882" s="339" t="str">
        <f t="shared" si="45"/>
        <v>IF070710 : 중앙은행통화스왑 원화사용</v>
      </c>
      <c r="K2882" s="65"/>
      <c r="L2882" s="65"/>
      <c r="M2882" s="65"/>
      <c r="N2882" s="65"/>
      <c r="O2882" s="65"/>
      <c r="P2882" s="65"/>
      <c r="Q2882" s="65"/>
      <c r="R2882" s="65"/>
      <c r="S2882" s="65"/>
    </row>
    <row r="2883" spans="1:19" s="64" customFormat="1">
      <c r="A2883" s="316" t="s">
        <v>439</v>
      </c>
      <c r="B2883" s="123" t="s">
        <v>5072</v>
      </c>
      <c r="C2883" s="256" t="s">
        <v>4031</v>
      </c>
      <c r="D2883" s="256" t="s">
        <v>4030</v>
      </c>
      <c r="E2883" s="339" t="str">
        <f t="shared" si="45"/>
        <v>IF070720 : 중앙은행통화스왑 원화상환</v>
      </c>
      <c r="K2883" s="65"/>
      <c r="L2883" s="65"/>
      <c r="M2883" s="65"/>
      <c r="N2883" s="65"/>
      <c r="O2883" s="65"/>
      <c r="P2883" s="65"/>
      <c r="Q2883" s="65"/>
      <c r="R2883" s="65"/>
      <c r="S2883" s="65"/>
    </row>
    <row r="2884" spans="1:19" s="64" customFormat="1">
      <c r="A2884" s="316" t="s">
        <v>439</v>
      </c>
      <c r="B2884" s="123" t="s">
        <v>5072</v>
      </c>
      <c r="C2884" s="256" t="s">
        <v>4029</v>
      </c>
      <c r="D2884" s="256" t="s">
        <v>4028</v>
      </c>
      <c r="E2884" s="339" t="str">
        <f t="shared" si="45"/>
        <v>IF070730 : 중앙은행통화스왑 외화사용</v>
      </c>
      <c r="K2884" s="65"/>
      <c r="L2884" s="65"/>
      <c r="M2884" s="65"/>
      <c r="N2884" s="65"/>
      <c r="O2884" s="65"/>
      <c r="P2884" s="65"/>
      <c r="Q2884" s="65"/>
      <c r="R2884" s="65"/>
      <c r="S2884" s="65"/>
    </row>
    <row r="2885" spans="1:19" s="64" customFormat="1">
      <c r="A2885" s="316" t="s">
        <v>439</v>
      </c>
      <c r="B2885" s="123" t="s">
        <v>5072</v>
      </c>
      <c r="C2885" s="256" t="s">
        <v>4027</v>
      </c>
      <c r="D2885" s="256" t="s">
        <v>4026</v>
      </c>
      <c r="E2885" s="339" t="str">
        <f t="shared" si="45"/>
        <v>IF070740 : 중앙은행통화스왑 외화상환</v>
      </c>
      <c r="K2885" s="65"/>
      <c r="L2885" s="65"/>
      <c r="M2885" s="65"/>
      <c r="N2885" s="65"/>
      <c r="O2885" s="65"/>
      <c r="P2885" s="65"/>
      <c r="Q2885" s="65"/>
      <c r="R2885" s="65"/>
      <c r="S2885" s="65"/>
    </row>
    <row r="2886" spans="1:19" s="64" customFormat="1">
      <c r="A2886" s="316" t="s">
        <v>439</v>
      </c>
      <c r="B2886" s="123" t="s">
        <v>5072</v>
      </c>
      <c r="C2886" s="256" t="s">
        <v>4025</v>
      </c>
      <c r="D2886" s="256" t="s">
        <v>4024</v>
      </c>
      <c r="E2886" s="339" t="str">
        <f t="shared" si="45"/>
        <v>IF080100 : 외화차액결제</v>
      </c>
      <c r="K2886" s="65"/>
      <c r="L2886" s="65"/>
      <c r="M2886" s="65"/>
      <c r="N2886" s="65"/>
      <c r="O2886" s="65"/>
      <c r="P2886" s="65"/>
      <c r="Q2886" s="65"/>
      <c r="R2886" s="65"/>
      <c r="S2886" s="65"/>
    </row>
    <row r="2887" spans="1:19" s="64" customFormat="1">
      <c r="A2887" s="316" t="s">
        <v>439</v>
      </c>
      <c r="B2887" s="123" t="s">
        <v>5072</v>
      </c>
      <c r="C2887" s="256" t="s">
        <v>4023</v>
      </c>
      <c r="D2887" s="256" t="s">
        <v>4022</v>
      </c>
      <c r="E2887" s="339" t="str">
        <f t="shared" si="45"/>
        <v>IF090100 : FMS계정운용수익 수취</v>
      </c>
      <c r="K2887" s="65"/>
      <c r="L2887" s="65"/>
      <c r="M2887" s="65"/>
      <c r="N2887" s="65"/>
      <c r="O2887" s="65"/>
      <c r="P2887" s="65"/>
      <c r="Q2887" s="65"/>
      <c r="R2887" s="65"/>
      <c r="S2887" s="65"/>
    </row>
    <row r="2888" spans="1:19" s="64" customFormat="1">
      <c r="A2888" s="316" t="s">
        <v>439</v>
      </c>
      <c r="B2888" s="123" t="s">
        <v>5072</v>
      </c>
      <c r="C2888" s="256" t="s">
        <v>4021</v>
      </c>
      <c r="D2888" s="256" t="s">
        <v>4020</v>
      </c>
      <c r="E2888" s="339" t="str">
        <f t="shared" si="45"/>
        <v>IF090200 : FMS계정운용수익 이체</v>
      </c>
      <c r="K2888" s="65"/>
      <c r="L2888" s="65"/>
      <c r="M2888" s="65"/>
      <c r="N2888" s="65"/>
      <c r="O2888" s="65"/>
      <c r="P2888" s="65"/>
      <c r="Q2888" s="65"/>
      <c r="R2888" s="65"/>
      <c r="S2888" s="65"/>
    </row>
    <row r="2889" spans="1:19" s="64" customFormat="1">
      <c r="A2889" s="316" t="s">
        <v>439</v>
      </c>
      <c r="B2889" s="123" t="s">
        <v>5072</v>
      </c>
      <c r="C2889" s="256" t="s">
        <v>4019</v>
      </c>
      <c r="D2889" s="256" t="s">
        <v>4018</v>
      </c>
      <c r="E2889" s="339" t="str">
        <f t="shared" si="45"/>
        <v>IF100100 : 외환매입</v>
      </c>
      <c r="K2889" s="65"/>
      <c r="L2889" s="65"/>
      <c r="M2889" s="65"/>
      <c r="N2889" s="65"/>
      <c r="O2889" s="65"/>
      <c r="P2889" s="65"/>
      <c r="Q2889" s="65"/>
      <c r="R2889" s="65"/>
      <c r="S2889" s="65"/>
    </row>
    <row r="2890" spans="1:19" s="64" customFormat="1">
      <c r="A2890" s="316" t="s">
        <v>439</v>
      </c>
      <c r="B2890" s="123" t="s">
        <v>5072</v>
      </c>
      <c r="C2890" s="256" t="s">
        <v>4017</v>
      </c>
      <c r="D2890" s="256" t="s">
        <v>4016</v>
      </c>
      <c r="E2890" s="339" t="str">
        <f t="shared" si="45"/>
        <v>IF100110 : 외환시장 스왑 매입</v>
      </c>
      <c r="K2890" s="65"/>
      <c r="L2890" s="65"/>
      <c r="M2890" s="65"/>
      <c r="N2890" s="65"/>
      <c r="O2890" s="65"/>
      <c r="P2890" s="65"/>
      <c r="Q2890" s="65"/>
      <c r="R2890" s="65"/>
      <c r="S2890" s="65"/>
    </row>
    <row r="2891" spans="1:19" s="64" customFormat="1">
      <c r="A2891" s="316" t="s">
        <v>439</v>
      </c>
      <c r="B2891" s="123" t="s">
        <v>5072</v>
      </c>
      <c r="C2891" s="256" t="s">
        <v>4015</v>
      </c>
      <c r="D2891" s="256" t="s">
        <v>4014</v>
      </c>
      <c r="E2891" s="339" t="str">
        <f t="shared" si="45"/>
        <v>IF100200 : 외환매도</v>
      </c>
      <c r="K2891" s="65"/>
      <c r="L2891" s="65"/>
      <c r="M2891" s="65"/>
      <c r="N2891" s="65"/>
      <c r="O2891" s="65"/>
      <c r="P2891" s="65"/>
      <c r="Q2891" s="65"/>
      <c r="R2891" s="65"/>
      <c r="S2891" s="65"/>
    </row>
    <row r="2892" spans="1:19" s="64" customFormat="1">
      <c r="A2892" s="316" t="s">
        <v>439</v>
      </c>
      <c r="B2892" s="123" t="s">
        <v>5072</v>
      </c>
      <c r="C2892" s="256" t="s">
        <v>4013</v>
      </c>
      <c r="D2892" s="256" t="s">
        <v>4012</v>
      </c>
      <c r="E2892" s="339" t="str">
        <f t="shared" si="45"/>
        <v>IF100210 : 외환시장 스왑 매도</v>
      </c>
      <c r="K2892" s="65"/>
      <c r="L2892" s="65"/>
      <c r="M2892" s="65"/>
      <c r="N2892" s="65"/>
      <c r="O2892" s="65"/>
      <c r="P2892" s="65"/>
      <c r="Q2892" s="65"/>
      <c r="R2892" s="65"/>
      <c r="S2892" s="65"/>
    </row>
    <row r="2893" spans="1:19" s="64" customFormat="1">
      <c r="A2893" s="316" t="s">
        <v>439</v>
      </c>
      <c r="B2893" s="123" t="s">
        <v>5072</v>
      </c>
      <c r="C2893" s="256" t="s">
        <v>4011</v>
      </c>
      <c r="D2893" s="256" t="s">
        <v>4010</v>
      </c>
      <c r="E2893" s="339" t="str">
        <f t="shared" si="45"/>
        <v>IF110100 : 외화증권 매입</v>
      </c>
      <c r="K2893" s="65"/>
      <c r="L2893" s="65"/>
      <c r="M2893" s="65"/>
      <c r="N2893" s="65"/>
      <c r="O2893" s="65"/>
      <c r="P2893" s="65"/>
      <c r="Q2893" s="65"/>
      <c r="R2893" s="65"/>
      <c r="S2893" s="65"/>
    </row>
    <row r="2894" spans="1:19" s="64" customFormat="1">
      <c r="A2894" s="316" t="s">
        <v>439</v>
      </c>
      <c r="B2894" s="123" t="s">
        <v>5072</v>
      </c>
      <c r="C2894" s="256" t="s">
        <v>4009</v>
      </c>
      <c r="D2894" s="256" t="s">
        <v>4008</v>
      </c>
      <c r="E2894" s="339" t="str">
        <f t="shared" si="45"/>
        <v>IF110200 : 외화증권 이자수취</v>
      </c>
      <c r="K2894" s="65"/>
      <c r="L2894" s="65"/>
      <c r="M2894" s="65"/>
      <c r="N2894" s="65"/>
      <c r="O2894" s="65"/>
      <c r="P2894" s="65"/>
      <c r="Q2894" s="65"/>
      <c r="R2894" s="65"/>
      <c r="S2894" s="65"/>
    </row>
    <row r="2895" spans="1:19" s="64" customFormat="1">
      <c r="A2895" s="316" t="s">
        <v>439</v>
      </c>
      <c r="B2895" s="123" t="s">
        <v>5072</v>
      </c>
      <c r="C2895" s="256" t="s">
        <v>4007</v>
      </c>
      <c r="D2895" s="256" t="s">
        <v>4006</v>
      </c>
      <c r="E2895" s="339" t="str">
        <f t="shared" si="45"/>
        <v>IF110300 : 외화증권 매각</v>
      </c>
      <c r="K2895" s="65"/>
      <c r="L2895" s="65"/>
      <c r="M2895" s="65"/>
      <c r="N2895" s="65"/>
      <c r="O2895" s="65"/>
      <c r="P2895" s="65"/>
      <c r="Q2895" s="65"/>
      <c r="R2895" s="65"/>
      <c r="S2895" s="65"/>
    </row>
    <row r="2896" spans="1:19" s="64" customFormat="1">
      <c r="A2896" s="316" t="s">
        <v>439</v>
      </c>
      <c r="B2896" s="123" t="s">
        <v>5072</v>
      </c>
      <c r="C2896" s="256" t="s">
        <v>4005</v>
      </c>
      <c r="D2896" s="256" t="s">
        <v>4004</v>
      </c>
      <c r="E2896" s="339" t="str">
        <f t="shared" si="45"/>
        <v>IF110400 : 외화증권만기상환</v>
      </c>
      <c r="K2896" s="65"/>
      <c r="L2896" s="65"/>
      <c r="M2896" s="65"/>
      <c r="N2896" s="65"/>
      <c r="O2896" s="65"/>
      <c r="P2896" s="65"/>
      <c r="Q2896" s="65"/>
      <c r="R2896" s="65"/>
      <c r="S2896" s="65"/>
    </row>
    <row r="2897" spans="1:19" s="64" customFormat="1">
      <c r="A2897" s="316" t="s">
        <v>439</v>
      </c>
      <c r="B2897" s="123" t="s">
        <v>5072</v>
      </c>
      <c r="C2897" s="256" t="s">
        <v>4003</v>
      </c>
      <c r="D2897" s="256" t="s">
        <v>4002</v>
      </c>
      <c r="E2897" s="339" t="str">
        <f t="shared" si="45"/>
        <v>IF110500 : 외화증권분할상환</v>
      </c>
      <c r="K2897" s="65"/>
      <c r="L2897" s="65"/>
      <c r="M2897" s="65"/>
      <c r="N2897" s="65"/>
      <c r="O2897" s="65"/>
      <c r="P2897" s="65"/>
      <c r="Q2897" s="65"/>
      <c r="R2897" s="65"/>
      <c r="S2897" s="65"/>
    </row>
    <row r="2898" spans="1:19" s="64" customFormat="1">
      <c r="A2898" s="316" t="s">
        <v>439</v>
      </c>
      <c r="B2898" s="123" t="s">
        <v>5072</v>
      </c>
      <c r="C2898" s="256" t="s">
        <v>4001</v>
      </c>
      <c r="D2898" s="256" t="s">
        <v>4000</v>
      </c>
      <c r="E2898" s="339" t="str">
        <f t="shared" si="45"/>
        <v>IF110600 : 외화증권임치기관변경</v>
      </c>
      <c r="K2898" s="65"/>
      <c r="L2898" s="65"/>
      <c r="M2898" s="65"/>
      <c r="N2898" s="65"/>
      <c r="O2898" s="65"/>
      <c r="P2898" s="65"/>
      <c r="Q2898" s="65"/>
      <c r="R2898" s="65"/>
      <c r="S2898" s="65"/>
    </row>
    <row r="2899" spans="1:19" s="64" customFormat="1">
      <c r="A2899" s="316" t="s">
        <v>439</v>
      </c>
      <c r="B2899" s="123" t="s">
        <v>5072</v>
      </c>
      <c r="C2899" s="256" t="s">
        <v>3999</v>
      </c>
      <c r="D2899" s="256" t="s">
        <v>3998</v>
      </c>
      <c r="E2899" s="339" t="str">
        <f t="shared" si="45"/>
        <v>IF110700 : 외화증권 개시상각</v>
      </c>
      <c r="K2899" s="65"/>
      <c r="L2899" s="65"/>
      <c r="M2899" s="65"/>
      <c r="N2899" s="65"/>
      <c r="O2899" s="65"/>
      <c r="P2899" s="65"/>
      <c r="Q2899" s="65"/>
      <c r="R2899" s="65"/>
      <c r="S2899" s="65"/>
    </row>
    <row r="2900" spans="1:19" s="64" customFormat="1">
      <c r="A2900" s="316" t="s">
        <v>439</v>
      </c>
      <c r="B2900" s="123" t="s">
        <v>5072</v>
      </c>
      <c r="C2900" s="256" t="s">
        <v>3997</v>
      </c>
      <c r="D2900" s="256" t="s">
        <v>3996</v>
      </c>
      <c r="E2900" s="339" t="str">
        <f t="shared" si="45"/>
        <v>IF110800 : 외화증권 결산상각</v>
      </c>
      <c r="K2900" s="65"/>
      <c r="L2900" s="65"/>
      <c r="M2900" s="65"/>
      <c r="N2900" s="65"/>
      <c r="O2900" s="65"/>
      <c r="P2900" s="65"/>
      <c r="Q2900" s="65"/>
      <c r="R2900" s="65"/>
      <c r="S2900" s="65"/>
    </row>
    <row r="2901" spans="1:19" s="64" customFormat="1">
      <c r="A2901" s="316" t="s">
        <v>439</v>
      </c>
      <c r="B2901" s="123" t="s">
        <v>5072</v>
      </c>
      <c r="C2901" s="256" t="s">
        <v>3995</v>
      </c>
      <c r="D2901" s="256" t="s">
        <v>3994</v>
      </c>
      <c r="E2901" s="339" t="str">
        <f t="shared" si="45"/>
        <v>IF110900 : 외화증권중도상환</v>
      </c>
      <c r="K2901" s="65"/>
      <c r="L2901" s="65"/>
      <c r="M2901" s="65"/>
      <c r="N2901" s="65"/>
      <c r="O2901" s="65"/>
      <c r="P2901" s="65"/>
      <c r="Q2901" s="65"/>
      <c r="R2901" s="65"/>
      <c r="S2901" s="65"/>
    </row>
    <row r="2902" spans="1:19" s="64" customFormat="1">
      <c r="A2902" s="316" t="s">
        <v>439</v>
      </c>
      <c r="B2902" s="123" t="s">
        <v>5072</v>
      </c>
      <c r="C2902" s="256" t="s">
        <v>3993</v>
      </c>
      <c r="D2902" s="256" t="s">
        <v>3992</v>
      </c>
      <c r="E2902" s="339" t="str">
        <f t="shared" ref="E2902:E2965" si="46">_xlfn.TEXTJOIN(" : ",FALSE,C2902:D2902)</f>
        <v>IF110A20 : 옵션프리미엄수취</v>
      </c>
      <c r="K2902" s="65"/>
      <c r="L2902" s="65"/>
      <c r="M2902" s="65"/>
      <c r="N2902" s="65"/>
      <c r="O2902" s="65"/>
      <c r="P2902" s="65"/>
      <c r="Q2902" s="65"/>
      <c r="R2902" s="65"/>
      <c r="S2902" s="65"/>
    </row>
    <row r="2903" spans="1:19" s="64" customFormat="1">
      <c r="A2903" s="316" t="s">
        <v>439</v>
      </c>
      <c r="B2903" s="123" t="s">
        <v>5072</v>
      </c>
      <c r="C2903" s="256" t="s">
        <v>3991</v>
      </c>
      <c r="D2903" s="256" t="s">
        <v>3990</v>
      </c>
      <c r="E2903" s="339" t="str">
        <f t="shared" si="46"/>
        <v>IF110A30 : 옵션프리미엄지급</v>
      </c>
      <c r="K2903" s="65"/>
      <c r="L2903" s="65"/>
      <c r="M2903" s="65"/>
      <c r="N2903" s="65"/>
      <c r="O2903" s="65"/>
      <c r="P2903" s="65"/>
      <c r="Q2903" s="65"/>
      <c r="R2903" s="65"/>
      <c r="S2903" s="65"/>
    </row>
    <row r="2904" spans="1:19" s="64" customFormat="1">
      <c r="A2904" s="316" t="s">
        <v>439</v>
      </c>
      <c r="B2904" s="123" t="s">
        <v>5072</v>
      </c>
      <c r="C2904" s="256" t="s">
        <v>3989</v>
      </c>
      <c r="D2904" s="256" t="s">
        <v>3988</v>
      </c>
      <c r="E2904" s="339" t="str">
        <f t="shared" si="46"/>
        <v>IF110A40 : 매입옵션소멸</v>
      </c>
      <c r="K2904" s="65"/>
      <c r="L2904" s="65"/>
      <c r="M2904" s="65"/>
      <c r="N2904" s="65"/>
      <c r="O2904" s="65"/>
      <c r="P2904" s="65"/>
      <c r="Q2904" s="65"/>
      <c r="R2904" s="65"/>
      <c r="S2904" s="65"/>
    </row>
    <row r="2905" spans="1:19" s="64" customFormat="1">
      <c r="A2905" s="316" t="s">
        <v>439</v>
      </c>
      <c r="B2905" s="123" t="s">
        <v>5072</v>
      </c>
      <c r="C2905" s="256" t="s">
        <v>3987</v>
      </c>
      <c r="D2905" s="256" t="s">
        <v>3986</v>
      </c>
      <c r="E2905" s="339" t="str">
        <f t="shared" si="46"/>
        <v>IF110A50 : 매도옵션소멸</v>
      </c>
      <c r="K2905" s="65"/>
      <c r="L2905" s="65"/>
      <c r="M2905" s="65"/>
      <c r="N2905" s="65"/>
      <c r="O2905" s="65"/>
      <c r="P2905" s="65"/>
      <c r="Q2905" s="65"/>
      <c r="R2905" s="65"/>
      <c r="S2905" s="65"/>
    </row>
    <row r="2906" spans="1:19" s="64" customFormat="1">
      <c r="A2906" s="316" t="s">
        <v>439</v>
      </c>
      <c r="B2906" s="123" t="s">
        <v>5072</v>
      </c>
      <c r="C2906" s="256" t="s">
        <v>3985</v>
      </c>
      <c r="D2906" s="256" t="s">
        <v>3984</v>
      </c>
      <c r="E2906" s="339" t="str">
        <f t="shared" si="46"/>
        <v>IF110A60 : 매입콜옵션행사</v>
      </c>
      <c r="K2906" s="65"/>
      <c r="L2906" s="65"/>
      <c r="M2906" s="65"/>
      <c r="N2906" s="65"/>
      <c r="O2906" s="65"/>
      <c r="P2906" s="65"/>
      <c r="Q2906" s="65"/>
      <c r="R2906" s="65"/>
      <c r="S2906" s="65"/>
    </row>
    <row r="2907" spans="1:19" s="64" customFormat="1">
      <c r="A2907" s="316" t="s">
        <v>439</v>
      </c>
      <c r="B2907" s="123" t="s">
        <v>5072</v>
      </c>
      <c r="C2907" s="256" t="s">
        <v>3983</v>
      </c>
      <c r="D2907" s="256" t="s">
        <v>3982</v>
      </c>
      <c r="E2907" s="339" t="str">
        <f t="shared" si="46"/>
        <v>IF110A70 : 매입풋옵션행사</v>
      </c>
      <c r="K2907" s="65"/>
      <c r="L2907" s="65"/>
      <c r="M2907" s="65"/>
      <c r="N2907" s="65"/>
      <c r="O2907" s="65"/>
      <c r="P2907" s="65"/>
      <c r="Q2907" s="65"/>
      <c r="R2907" s="65"/>
      <c r="S2907" s="65"/>
    </row>
    <row r="2908" spans="1:19" s="64" customFormat="1">
      <c r="A2908" s="316" t="s">
        <v>439</v>
      </c>
      <c r="B2908" s="123" t="s">
        <v>5072</v>
      </c>
      <c r="C2908" s="256" t="s">
        <v>3981</v>
      </c>
      <c r="D2908" s="256" t="s">
        <v>3980</v>
      </c>
      <c r="E2908" s="339" t="str">
        <f t="shared" si="46"/>
        <v>IF110A80 : 매도콜옵션행사</v>
      </c>
      <c r="K2908" s="65"/>
      <c r="L2908" s="65"/>
      <c r="M2908" s="65"/>
      <c r="N2908" s="65"/>
      <c r="O2908" s="65"/>
      <c r="P2908" s="65"/>
      <c r="Q2908" s="65"/>
      <c r="R2908" s="65"/>
      <c r="S2908" s="65"/>
    </row>
    <row r="2909" spans="1:19" s="64" customFormat="1">
      <c r="A2909" s="316" t="s">
        <v>439</v>
      </c>
      <c r="B2909" s="123" t="s">
        <v>5072</v>
      </c>
      <c r="C2909" s="256" t="s">
        <v>3979</v>
      </c>
      <c r="D2909" s="256" t="s">
        <v>3978</v>
      </c>
      <c r="E2909" s="339" t="str">
        <f t="shared" si="46"/>
        <v>IF110A90 : 매도풋옵션행사</v>
      </c>
      <c r="K2909" s="65"/>
      <c r="L2909" s="65"/>
      <c r="M2909" s="65"/>
      <c r="N2909" s="65"/>
      <c r="O2909" s="65"/>
      <c r="P2909" s="65"/>
      <c r="Q2909" s="65"/>
      <c r="R2909" s="65"/>
      <c r="S2909" s="65"/>
    </row>
    <row r="2910" spans="1:19" s="64" customFormat="1">
      <c r="A2910" s="316" t="s">
        <v>439</v>
      </c>
      <c r="B2910" s="123" t="s">
        <v>5072</v>
      </c>
      <c r="C2910" s="256" t="s">
        <v>3977</v>
      </c>
      <c r="D2910" s="256" t="s">
        <v>3976</v>
      </c>
      <c r="E2910" s="339" t="str">
        <f t="shared" si="46"/>
        <v>IF110B30 : 스프레드락정산수입</v>
      </c>
      <c r="K2910" s="65"/>
      <c r="L2910" s="65"/>
      <c r="M2910" s="65"/>
      <c r="N2910" s="65"/>
      <c r="O2910" s="65"/>
      <c r="P2910" s="65"/>
      <c r="Q2910" s="65"/>
      <c r="R2910" s="65"/>
      <c r="S2910" s="65"/>
    </row>
    <row r="2911" spans="1:19" s="64" customFormat="1">
      <c r="A2911" s="316" t="s">
        <v>439</v>
      </c>
      <c r="B2911" s="123" t="s">
        <v>5072</v>
      </c>
      <c r="C2911" s="256" t="s">
        <v>3975</v>
      </c>
      <c r="D2911" s="256" t="s">
        <v>3974</v>
      </c>
      <c r="E2911" s="339" t="str">
        <f t="shared" si="46"/>
        <v>IF110B40 : 스프레드락정산지급</v>
      </c>
      <c r="K2911" s="65"/>
      <c r="L2911" s="65"/>
      <c r="M2911" s="65"/>
      <c r="N2911" s="65"/>
      <c r="O2911" s="65"/>
      <c r="P2911" s="65"/>
      <c r="Q2911" s="65"/>
      <c r="R2911" s="65"/>
      <c r="S2911" s="65"/>
    </row>
    <row r="2912" spans="1:19" s="64" customFormat="1">
      <c r="A2912" s="316" t="s">
        <v>439</v>
      </c>
      <c r="B2912" s="123" t="s">
        <v>5072</v>
      </c>
      <c r="C2912" s="256" t="s">
        <v>3973</v>
      </c>
      <c r="D2912" s="256" t="s">
        <v>3972</v>
      </c>
      <c r="E2912" s="339" t="str">
        <f t="shared" si="46"/>
        <v>IF110B50 : 금대여금리스왑정산</v>
      </c>
      <c r="K2912" s="65"/>
      <c r="L2912" s="65"/>
      <c r="M2912" s="65"/>
      <c r="N2912" s="65"/>
      <c r="O2912" s="65"/>
      <c r="P2912" s="65"/>
      <c r="Q2912" s="65"/>
      <c r="R2912" s="65"/>
      <c r="S2912" s="65"/>
    </row>
    <row r="2913" spans="1:19" s="64" customFormat="1">
      <c r="A2913" s="316" t="s">
        <v>439</v>
      </c>
      <c r="B2913" s="123" t="s">
        <v>5072</v>
      </c>
      <c r="C2913" s="256" t="s">
        <v>3971</v>
      </c>
      <c r="D2913" s="256" t="s">
        <v>3970</v>
      </c>
      <c r="E2913" s="339" t="str">
        <f t="shared" si="46"/>
        <v>IF110B60 : 매도옵션 만기전청산</v>
      </c>
      <c r="K2913" s="65"/>
      <c r="L2913" s="65"/>
      <c r="M2913" s="65"/>
      <c r="N2913" s="65"/>
      <c r="O2913" s="65"/>
      <c r="P2913" s="65"/>
      <c r="Q2913" s="65"/>
      <c r="R2913" s="65"/>
      <c r="S2913" s="65"/>
    </row>
    <row r="2914" spans="1:19" s="64" customFormat="1">
      <c r="A2914" s="316" t="s">
        <v>439</v>
      </c>
      <c r="B2914" s="123" t="s">
        <v>5072</v>
      </c>
      <c r="C2914" s="256" t="s">
        <v>3969</v>
      </c>
      <c r="D2914" s="256" t="s">
        <v>3968</v>
      </c>
      <c r="E2914" s="339" t="str">
        <f t="shared" si="46"/>
        <v>IF110B70 : 매입옵션 만기전청산</v>
      </c>
      <c r="K2914" s="65"/>
      <c r="L2914" s="65"/>
      <c r="M2914" s="65"/>
      <c r="N2914" s="65"/>
      <c r="O2914" s="65"/>
      <c r="P2914" s="65"/>
      <c r="Q2914" s="65"/>
      <c r="R2914" s="65"/>
      <c r="S2914" s="65"/>
    </row>
    <row r="2915" spans="1:19" s="64" customFormat="1">
      <c r="A2915" s="316" t="s">
        <v>439</v>
      </c>
      <c r="B2915" s="123" t="s">
        <v>5072</v>
      </c>
      <c r="C2915" s="256" t="s">
        <v>3967</v>
      </c>
      <c r="D2915" s="256" t="s">
        <v>3966</v>
      </c>
      <c r="E2915" s="339" t="str">
        <f t="shared" si="46"/>
        <v>IF110C20 : 통화옵션프리미엄수취</v>
      </c>
      <c r="K2915" s="65"/>
      <c r="L2915" s="65"/>
      <c r="M2915" s="65"/>
      <c r="N2915" s="65"/>
      <c r="O2915" s="65"/>
      <c r="P2915" s="65"/>
      <c r="Q2915" s="65"/>
      <c r="R2915" s="65"/>
      <c r="S2915" s="65"/>
    </row>
    <row r="2916" spans="1:19" s="64" customFormat="1">
      <c r="A2916" s="316" t="s">
        <v>439</v>
      </c>
      <c r="B2916" s="123" t="s">
        <v>5072</v>
      </c>
      <c r="C2916" s="256" t="s">
        <v>3965</v>
      </c>
      <c r="D2916" s="256" t="s">
        <v>3964</v>
      </c>
      <c r="E2916" s="339" t="str">
        <f t="shared" si="46"/>
        <v>IF110C30 : 통화옵션프리미엄지급</v>
      </c>
      <c r="K2916" s="65"/>
      <c r="L2916" s="65"/>
      <c r="M2916" s="65"/>
      <c r="N2916" s="65"/>
      <c r="O2916" s="65"/>
      <c r="P2916" s="65"/>
      <c r="Q2916" s="65"/>
      <c r="R2916" s="65"/>
      <c r="S2916" s="65"/>
    </row>
    <row r="2917" spans="1:19" s="64" customFormat="1">
      <c r="A2917" s="316" t="s">
        <v>439</v>
      </c>
      <c r="B2917" s="123" t="s">
        <v>5072</v>
      </c>
      <c r="C2917" s="256" t="s">
        <v>3963</v>
      </c>
      <c r="D2917" s="256" t="s">
        <v>3962</v>
      </c>
      <c r="E2917" s="339" t="str">
        <f t="shared" si="46"/>
        <v>IF110C40 : 매입통화옵션만기소멸</v>
      </c>
      <c r="K2917" s="65"/>
      <c r="L2917" s="65"/>
      <c r="M2917" s="65"/>
      <c r="N2917" s="65"/>
      <c r="O2917" s="65"/>
      <c r="P2917" s="65"/>
      <c r="Q2917" s="65"/>
      <c r="R2917" s="65"/>
      <c r="S2917" s="65"/>
    </row>
    <row r="2918" spans="1:19" s="64" customFormat="1">
      <c r="A2918" s="316" t="s">
        <v>439</v>
      </c>
      <c r="B2918" s="123" t="s">
        <v>5072</v>
      </c>
      <c r="C2918" s="256" t="s">
        <v>3961</v>
      </c>
      <c r="D2918" s="256" t="s">
        <v>3960</v>
      </c>
      <c r="E2918" s="339" t="str">
        <f t="shared" si="46"/>
        <v>IF110C50 : 매도통화옵션만기소멸</v>
      </c>
      <c r="K2918" s="65"/>
      <c r="L2918" s="65"/>
      <c r="M2918" s="65"/>
      <c r="N2918" s="65"/>
      <c r="O2918" s="65"/>
      <c r="P2918" s="65"/>
      <c r="Q2918" s="65"/>
      <c r="R2918" s="65"/>
      <c r="S2918" s="65"/>
    </row>
    <row r="2919" spans="1:19" s="64" customFormat="1">
      <c r="A2919" s="316" t="s">
        <v>439</v>
      </c>
      <c r="B2919" s="123" t="s">
        <v>5072</v>
      </c>
      <c r="C2919" s="256" t="s">
        <v>3959</v>
      </c>
      <c r="D2919" s="256" t="s">
        <v>3958</v>
      </c>
      <c r="E2919" s="339" t="str">
        <f t="shared" si="46"/>
        <v>IF110C60 : 매입통화옵션행사소멸</v>
      </c>
      <c r="K2919" s="65"/>
      <c r="L2919" s="65"/>
      <c r="M2919" s="65"/>
      <c r="N2919" s="65"/>
      <c r="O2919" s="65"/>
      <c r="P2919" s="65"/>
      <c r="Q2919" s="65"/>
      <c r="R2919" s="65"/>
      <c r="S2919" s="65"/>
    </row>
    <row r="2920" spans="1:19" s="64" customFormat="1">
      <c r="A2920" s="316" t="s">
        <v>439</v>
      </c>
      <c r="B2920" s="123" t="s">
        <v>5072</v>
      </c>
      <c r="C2920" s="256" t="s">
        <v>3957</v>
      </c>
      <c r="D2920" s="256" t="s">
        <v>3956</v>
      </c>
      <c r="E2920" s="339" t="str">
        <f t="shared" si="46"/>
        <v>IF110C70 : 매도통화옵션행사소멸</v>
      </c>
      <c r="K2920" s="65"/>
      <c r="L2920" s="65"/>
      <c r="M2920" s="65"/>
      <c r="N2920" s="65"/>
      <c r="O2920" s="65"/>
      <c r="P2920" s="65"/>
      <c r="Q2920" s="65"/>
      <c r="R2920" s="65"/>
      <c r="S2920" s="65"/>
    </row>
    <row r="2921" spans="1:19" s="64" customFormat="1">
      <c r="A2921" s="316" t="s">
        <v>439</v>
      </c>
      <c r="B2921" s="123" t="s">
        <v>5072</v>
      </c>
      <c r="C2921" s="256" t="s">
        <v>3955</v>
      </c>
      <c r="D2921" s="256" t="s">
        <v>3954</v>
      </c>
      <c r="E2921" s="339" t="str">
        <f t="shared" si="46"/>
        <v>IF110C80 : 매입통화옵션행사</v>
      </c>
      <c r="K2921" s="65"/>
      <c r="L2921" s="65"/>
      <c r="M2921" s="65"/>
      <c r="N2921" s="65"/>
      <c r="O2921" s="65"/>
      <c r="P2921" s="65"/>
      <c r="Q2921" s="65"/>
      <c r="R2921" s="65"/>
      <c r="S2921" s="65"/>
    </row>
    <row r="2922" spans="1:19" s="64" customFormat="1">
      <c r="A2922" s="316" t="s">
        <v>439</v>
      </c>
      <c r="B2922" s="123" t="s">
        <v>5072</v>
      </c>
      <c r="C2922" s="256" t="s">
        <v>3953</v>
      </c>
      <c r="D2922" s="256" t="s">
        <v>3952</v>
      </c>
      <c r="E2922" s="339" t="str">
        <f t="shared" si="46"/>
        <v>IF110C90 : 매도통화옵션행사</v>
      </c>
      <c r="K2922" s="65"/>
      <c r="L2922" s="65"/>
      <c r="M2922" s="65"/>
      <c r="N2922" s="65"/>
      <c r="O2922" s="65"/>
      <c r="P2922" s="65"/>
      <c r="Q2922" s="65"/>
      <c r="R2922" s="65"/>
      <c r="S2922" s="65"/>
    </row>
    <row r="2923" spans="1:19" s="64" customFormat="1">
      <c r="A2923" s="316" t="s">
        <v>439</v>
      </c>
      <c r="B2923" s="123" t="s">
        <v>5072</v>
      </c>
      <c r="C2923" s="256" t="s">
        <v>3951</v>
      </c>
      <c r="D2923" s="256" t="s">
        <v>3950</v>
      </c>
      <c r="E2923" s="339" t="str">
        <f t="shared" si="46"/>
        <v>IF110D10 : 선물거래증거금</v>
      </c>
      <c r="K2923" s="65"/>
      <c r="L2923" s="65"/>
      <c r="M2923" s="65"/>
      <c r="N2923" s="65"/>
      <c r="O2923" s="65"/>
      <c r="P2923" s="65"/>
      <c r="Q2923" s="65"/>
      <c r="R2923" s="65"/>
      <c r="S2923" s="65"/>
    </row>
    <row r="2924" spans="1:19" s="64" customFormat="1">
      <c r="A2924" s="316" t="s">
        <v>439</v>
      </c>
      <c r="B2924" s="123" t="s">
        <v>5072</v>
      </c>
      <c r="C2924" s="256" t="s">
        <v>3949</v>
      </c>
      <c r="D2924" s="256" t="s">
        <v>3948</v>
      </c>
      <c r="E2924" s="339" t="str">
        <f t="shared" si="46"/>
        <v>IF110D20 : 선물거래정산</v>
      </c>
      <c r="K2924" s="65"/>
      <c r="L2924" s="65"/>
      <c r="M2924" s="65"/>
      <c r="N2924" s="65"/>
      <c r="O2924" s="65"/>
      <c r="P2924" s="65"/>
      <c r="Q2924" s="65"/>
      <c r="R2924" s="65"/>
      <c r="S2924" s="65"/>
    </row>
    <row r="2925" spans="1:19" s="64" customFormat="1">
      <c r="A2925" s="316" t="s">
        <v>439</v>
      </c>
      <c r="B2925" s="123" t="s">
        <v>5072</v>
      </c>
      <c r="C2925" s="256" t="s">
        <v>3947</v>
      </c>
      <c r="D2925" s="256" t="s">
        <v>3946</v>
      </c>
      <c r="E2925" s="339" t="str">
        <f t="shared" si="46"/>
        <v>IF110D30 : 매입선물만기결제</v>
      </c>
      <c r="K2925" s="65"/>
      <c r="L2925" s="65"/>
      <c r="M2925" s="65"/>
      <c r="N2925" s="65"/>
      <c r="O2925" s="65"/>
      <c r="P2925" s="65"/>
      <c r="Q2925" s="65"/>
      <c r="R2925" s="65"/>
      <c r="S2925" s="65"/>
    </row>
    <row r="2926" spans="1:19" s="64" customFormat="1">
      <c r="A2926" s="316" t="s">
        <v>439</v>
      </c>
      <c r="B2926" s="123" t="s">
        <v>5072</v>
      </c>
      <c r="C2926" s="256" t="s">
        <v>3945</v>
      </c>
      <c r="D2926" s="256" t="s">
        <v>3944</v>
      </c>
      <c r="E2926" s="339" t="str">
        <f t="shared" si="46"/>
        <v>IF110D40 : 매도선물만기결제</v>
      </c>
      <c r="K2926" s="65"/>
      <c r="L2926" s="65"/>
      <c r="M2926" s="65"/>
      <c r="N2926" s="65"/>
      <c r="O2926" s="65"/>
      <c r="P2926" s="65"/>
      <c r="Q2926" s="65"/>
      <c r="R2926" s="65"/>
      <c r="S2926" s="65"/>
    </row>
    <row r="2927" spans="1:19" s="64" customFormat="1">
      <c r="A2927" s="316" t="s">
        <v>439</v>
      </c>
      <c r="B2927" s="123" t="s">
        <v>5072</v>
      </c>
      <c r="C2927" s="256" t="s">
        <v>3943</v>
      </c>
      <c r="D2927" s="256" t="s">
        <v>3942</v>
      </c>
      <c r="E2927" s="339" t="str">
        <f t="shared" si="46"/>
        <v>IF110D50 : 매입선물중도청산</v>
      </c>
      <c r="K2927" s="65"/>
      <c r="L2927" s="65"/>
      <c r="M2927" s="65"/>
      <c r="N2927" s="65"/>
      <c r="O2927" s="65"/>
      <c r="P2927" s="65"/>
      <c r="Q2927" s="65"/>
      <c r="R2927" s="65"/>
      <c r="S2927" s="65"/>
    </row>
    <row r="2928" spans="1:19" s="64" customFormat="1">
      <c r="A2928" s="316" t="s">
        <v>439</v>
      </c>
      <c r="B2928" s="123" t="s">
        <v>5072</v>
      </c>
      <c r="C2928" s="256" t="s">
        <v>3941</v>
      </c>
      <c r="D2928" s="256" t="s">
        <v>3940</v>
      </c>
      <c r="E2928" s="339" t="str">
        <f t="shared" si="46"/>
        <v>IF110D60 : 매도선물중도청산</v>
      </c>
      <c r="K2928" s="65"/>
      <c r="L2928" s="65"/>
      <c r="M2928" s="65"/>
      <c r="N2928" s="65"/>
      <c r="O2928" s="65"/>
      <c r="P2928" s="65"/>
      <c r="Q2928" s="65"/>
      <c r="R2928" s="65"/>
      <c r="S2928" s="65"/>
    </row>
    <row r="2929" spans="1:19" s="64" customFormat="1">
      <c r="A2929" s="316" t="s">
        <v>439</v>
      </c>
      <c r="B2929" s="123" t="s">
        <v>5072</v>
      </c>
      <c r="C2929" s="256" t="s">
        <v>3939</v>
      </c>
      <c r="D2929" s="256" t="s">
        <v>3938</v>
      </c>
      <c r="E2929" s="339" t="str">
        <f t="shared" si="46"/>
        <v>IF110D70 : 선물거래수수료</v>
      </c>
      <c r="K2929" s="65"/>
      <c r="L2929" s="65"/>
      <c r="M2929" s="65"/>
      <c r="N2929" s="65"/>
      <c r="O2929" s="65"/>
      <c r="P2929" s="65"/>
      <c r="Q2929" s="65"/>
      <c r="R2929" s="65"/>
      <c r="S2929" s="65"/>
    </row>
    <row r="2930" spans="1:19" s="64" customFormat="1">
      <c r="A2930" s="316" t="s">
        <v>439</v>
      </c>
      <c r="B2930" s="123" t="s">
        <v>5072</v>
      </c>
      <c r="C2930" s="256" t="s">
        <v>3937</v>
      </c>
      <c r="D2930" s="256" t="s">
        <v>3936</v>
      </c>
      <c r="E2930" s="339" t="str">
        <f t="shared" si="46"/>
        <v>IF110E20 : 금리스왑 매입거래이자</v>
      </c>
      <c r="K2930" s="65"/>
      <c r="L2930" s="65"/>
      <c r="M2930" s="65"/>
      <c r="N2930" s="65"/>
      <c r="O2930" s="65"/>
      <c r="P2930" s="65"/>
      <c r="Q2930" s="65"/>
      <c r="R2930" s="65"/>
      <c r="S2930" s="65"/>
    </row>
    <row r="2931" spans="1:19" s="64" customFormat="1">
      <c r="A2931" s="316" t="s">
        <v>439</v>
      </c>
      <c r="B2931" s="123" t="s">
        <v>5072</v>
      </c>
      <c r="C2931" s="256" t="s">
        <v>3935</v>
      </c>
      <c r="D2931" s="256" t="s">
        <v>3934</v>
      </c>
      <c r="E2931" s="339" t="str">
        <f t="shared" si="46"/>
        <v>IF110E30 : 금리스왑 매도거래이자</v>
      </c>
      <c r="K2931" s="65"/>
      <c r="L2931" s="65"/>
      <c r="M2931" s="65"/>
      <c r="N2931" s="65"/>
      <c r="O2931" s="65"/>
      <c r="P2931" s="65"/>
      <c r="Q2931" s="65"/>
      <c r="R2931" s="65"/>
      <c r="S2931" s="65"/>
    </row>
    <row r="2932" spans="1:19" s="64" customFormat="1">
      <c r="A2932" s="316" t="s">
        <v>439</v>
      </c>
      <c r="B2932" s="123" t="s">
        <v>5072</v>
      </c>
      <c r="C2932" s="256" t="s">
        <v>3933</v>
      </c>
      <c r="D2932" s="256" t="s">
        <v>3932</v>
      </c>
      <c r="E2932" s="339" t="str">
        <f t="shared" si="46"/>
        <v>IF110E40 : 금리스왑 매입거래만기</v>
      </c>
      <c r="K2932" s="65"/>
      <c r="L2932" s="65"/>
      <c r="M2932" s="65"/>
      <c r="N2932" s="65"/>
      <c r="O2932" s="65"/>
      <c r="P2932" s="65"/>
      <c r="Q2932" s="65"/>
      <c r="R2932" s="65"/>
      <c r="S2932" s="65"/>
    </row>
    <row r="2933" spans="1:19" s="64" customFormat="1">
      <c r="A2933" s="316" t="s">
        <v>439</v>
      </c>
      <c r="B2933" s="123" t="s">
        <v>5072</v>
      </c>
      <c r="C2933" s="256" t="s">
        <v>3931</v>
      </c>
      <c r="D2933" s="256" t="s">
        <v>3930</v>
      </c>
      <c r="E2933" s="339" t="str">
        <f t="shared" si="46"/>
        <v>IF110E50 : 금리스왑 매도거래만기</v>
      </c>
      <c r="K2933" s="65"/>
      <c r="L2933" s="65"/>
      <c r="M2933" s="65"/>
      <c r="N2933" s="65"/>
      <c r="O2933" s="65"/>
      <c r="P2933" s="65"/>
      <c r="Q2933" s="65"/>
      <c r="R2933" s="65"/>
      <c r="S2933" s="65"/>
    </row>
    <row r="2934" spans="1:19" s="64" customFormat="1">
      <c r="A2934" s="316" t="s">
        <v>439</v>
      </c>
      <c r="B2934" s="123" t="s">
        <v>5072</v>
      </c>
      <c r="C2934" s="256" t="s">
        <v>3929</v>
      </c>
      <c r="D2934" s="256" t="s">
        <v>3928</v>
      </c>
      <c r="E2934" s="339" t="str">
        <f t="shared" si="46"/>
        <v>IF110E60 : 금리스왑 매입거래청산</v>
      </c>
      <c r="K2934" s="65"/>
      <c r="L2934" s="65"/>
      <c r="M2934" s="65"/>
      <c r="N2934" s="65"/>
      <c r="O2934" s="65"/>
      <c r="P2934" s="65"/>
      <c r="Q2934" s="65"/>
      <c r="R2934" s="65"/>
      <c r="S2934" s="65"/>
    </row>
    <row r="2935" spans="1:19" s="64" customFormat="1">
      <c r="A2935" s="316" t="s">
        <v>439</v>
      </c>
      <c r="B2935" s="123" t="s">
        <v>5072</v>
      </c>
      <c r="C2935" s="256" t="s">
        <v>3927</v>
      </c>
      <c r="D2935" s="256" t="s">
        <v>3926</v>
      </c>
      <c r="E2935" s="339" t="str">
        <f t="shared" si="46"/>
        <v>IF110E70 : 금리스왑 매도거래청산</v>
      </c>
      <c r="K2935" s="65"/>
      <c r="L2935" s="65"/>
      <c r="M2935" s="65"/>
      <c r="N2935" s="65"/>
      <c r="O2935" s="65"/>
      <c r="P2935" s="65"/>
      <c r="Q2935" s="65"/>
      <c r="R2935" s="65"/>
      <c r="S2935" s="65"/>
    </row>
    <row r="2936" spans="1:19" s="64" customFormat="1">
      <c r="A2936" s="316" t="s">
        <v>439</v>
      </c>
      <c r="B2936" s="123" t="s">
        <v>5072</v>
      </c>
      <c r="C2936" s="256" t="s">
        <v>3925</v>
      </c>
      <c r="D2936" s="256" t="s">
        <v>3924</v>
      </c>
      <c r="E2936" s="339" t="str">
        <f t="shared" si="46"/>
        <v>IF110E80 : 금리스왑 매입거래매각</v>
      </c>
      <c r="K2936" s="65"/>
      <c r="L2936" s="65"/>
      <c r="M2936" s="65"/>
      <c r="N2936" s="65"/>
      <c r="O2936" s="65"/>
      <c r="P2936" s="65"/>
      <c r="Q2936" s="65"/>
      <c r="R2936" s="65"/>
      <c r="S2936" s="65"/>
    </row>
    <row r="2937" spans="1:19" s="64" customFormat="1">
      <c r="A2937" s="316" t="s">
        <v>439</v>
      </c>
      <c r="B2937" s="123" t="s">
        <v>5072</v>
      </c>
      <c r="C2937" s="256" t="s">
        <v>3923</v>
      </c>
      <c r="D2937" s="256" t="s">
        <v>3922</v>
      </c>
      <c r="E2937" s="339" t="str">
        <f t="shared" si="46"/>
        <v>IF110E90 : 금리스왑 매도거래매각</v>
      </c>
      <c r="K2937" s="65"/>
      <c r="L2937" s="65"/>
      <c r="M2937" s="65"/>
      <c r="N2937" s="65"/>
      <c r="O2937" s="65"/>
      <c r="P2937" s="65"/>
      <c r="Q2937" s="65"/>
      <c r="R2937" s="65"/>
      <c r="S2937" s="65"/>
    </row>
    <row r="2938" spans="1:19" s="64" customFormat="1">
      <c r="A2938" s="316" t="s">
        <v>439</v>
      </c>
      <c r="B2938" s="123" t="s">
        <v>5072</v>
      </c>
      <c r="C2938" s="256" t="s">
        <v>3921</v>
      </c>
      <c r="D2938" s="256" t="s">
        <v>3920</v>
      </c>
      <c r="E2938" s="339" t="str">
        <f t="shared" si="46"/>
        <v>IF120100 : 해외정기예치금예치</v>
      </c>
      <c r="K2938" s="65"/>
      <c r="L2938" s="65"/>
      <c r="M2938" s="65"/>
      <c r="N2938" s="65"/>
      <c r="O2938" s="65"/>
      <c r="P2938" s="65"/>
      <c r="Q2938" s="65"/>
      <c r="R2938" s="65"/>
      <c r="S2938" s="65"/>
    </row>
    <row r="2939" spans="1:19" s="64" customFormat="1">
      <c r="A2939" s="316" t="s">
        <v>439</v>
      </c>
      <c r="B2939" s="123" t="s">
        <v>5072</v>
      </c>
      <c r="C2939" s="256" t="s">
        <v>3919</v>
      </c>
      <c r="D2939" s="256" t="s">
        <v>3918</v>
      </c>
      <c r="E2939" s="339" t="str">
        <f t="shared" si="46"/>
        <v>IF120200 : 해외정기예치금 회수</v>
      </c>
      <c r="K2939" s="65"/>
      <c r="L2939" s="65"/>
      <c r="M2939" s="65"/>
      <c r="N2939" s="65"/>
      <c r="O2939" s="65"/>
      <c r="P2939" s="65"/>
      <c r="Q2939" s="65"/>
      <c r="R2939" s="65"/>
      <c r="S2939" s="65"/>
    </row>
    <row r="2940" spans="1:19" s="64" customFormat="1">
      <c r="A2940" s="316" t="s">
        <v>439</v>
      </c>
      <c r="B2940" s="123" t="s">
        <v>5072</v>
      </c>
      <c r="C2940" s="256" t="s">
        <v>3917</v>
      </c>
      <c r="D2940" s="256" t="s">
        <v>3916</v>
      </c>
      <c r="E2940" s="339" t="str">
        <f t="shared" si="46"/>
        <v>IF130100 : RE R/P매각</v>
      </c>
      <c r="K2940" s="65"/>
      <c r="L2940" s="65"/>
      <c r="M2940" s="65"/>
      <c r="N2940" s="65"/>
      <c r="O2940" s="65"/>
      <c r="P2940" s="65"/>
      <c r="Q2940" s="65"/>
      <c r="R2940" s="65"/>
      <c r="S2940" s="65"/>
    </row>
    <row r="2941" spans="1:19" s="64" customFormat="1">
      <c r="A2941" s="316" t="s">
        <v>439</v>
      </c>
      <c r="B2941" s="123" t="s">
        <v>5072</v>
      </c>
      <c r="C2941" s="256" t="s">
        <v>3915</v>
      </c>
      <c r="D2941" s="256" t="s">
        <v>3914</v>
      </c>
      <c r="E2941" s="339" t="str">
        <f t="shared" si="46"/>
        <v>IF130200 : RE R/P 환매</v>
      </c>
      <c r="K2941" s="65"/>
      <c r="L2941" s="65"/>
      <c r="M2941" s="65"/>
      <c r="N2941" s="65"/>
      <c r="O2941" s="65"/>
      <c r="P2941" s="65"/>
      <c r="Q2941" s="65"/>
      <c r="R2941" s="65"/>
      <c r="S2941" s="65"/>
    </row>
    <row r="2942" spans="1:19" s="64" customFormat="1">
      <c r="A2942" s="316" t="s">
        <v>439</v>
      </c>
      <c r="B2942" s="123" t="s">
        <v>5072</v>
      </c>
      <c r="C2942" s="256" t="s">
        <v>3913</v>
      </c>
      <c r="D2942" s="256" t="s">
        <v>3912</v>
      </c>
      <c r="E2942" s="339" t="str">
        <f t="shared" si="46"/>
        <v>IF140100 : R/P 매입</v>
      </c>
      <c r="K2942" s="65"/>
      <c r="L2942" s="65"/>
      <c r="M2942" s="65"/>
      <c r="N2942" s="65"/>
      <c r="O2942" s="65"/>
      <c r="P2942" s="65"/>
      <c r="Q2942" s="65"/>
      <c r="R2942" s="65"/>
      <c r="S2942" s="65"/>
    </row>
    <row r="2943" spans="1:19" s="64" customFormat="1">
      <c r="A2943" s="316" t="s">
        <v>439</v>
      </c>
      <c r="B2943" s="123" t="s">
        <v>5072</v>
      </c>
      <c r="C2943" s="256" t="s">
        <v>3911</v>
      </c>
      <c r="D2943" s="256" t="s">
        <v>3910</v>
      </c>
      <c r="E2943" s="339" t="str">
        <f t="shared" si="46"/>
        <v>IF140200 : R/P 환매</v>
      </c>
      <c r="K2943" s="65"/>
      <c r="L2943" s="65"/>
      <c r="M2943" s="65"/>
      <c r="N2943" s="65"/>
      <c r="O2943" s="65"/>
      <c r="P2943" s="65"/>
      <c r="Q2943" s="65"/>
      <c r="R2943" s="65"/>
      <c r="S2943" s="65"/>
    </row>
    <row r="2944" spans="1:19" s="64" customFormat="1">
      <c r="A2944" s="316" t="s">
        <v>439</v>
      </c>
      <c r="B2944" s="123" t="s">
        <v>5072</v>
      </c>
      <c r="C2944" s="256" t="s">
        <v>3909</v>
      </c>
      <c r="D2944" s="256" t="s">
        <v>3750</v>
      </c>
      <c r="E2944" s="339" t="str">
        <f t="shared" si="46"/>
        <v>IF140300 : TRI-PARTY 거래체결</v>
      </c>
      <c r="K2944" s="65"/>
      <c r="L2944" s="65"/>
      <c r="M2944" s="65"/>
      <c r="N2944" s="65"/>
      <c r="O2944" s="65"/>
      <c r="P2944" s="65"/>
      <c r="Q2944" s="65"/>
      <c r="R2944" s="65"/>
      <c r="S2944" s="65"/>
    </row>
    <row r="2945" spans="1:19" s="64" customFormat="1">
      <c r="A2945" s="316" t="s">
        <v>439</v>
      </c>
      <c r="B2945" s="123" t="s">
        <v>5072</v>
      </c>
      <c r="C2945" s="256" t="s">
        <v>3908</v>
      </c>
      <c r="D2945" s="256" t="s">
        <v>3748</v>
      </c>
      <c r="E2945" s="339" t="str">
        <f t="shared" si="46"/>
        <v>IF140400 : TRI-PARTY 거래만기</v>
      </c>
      <c r="K2945" s="65"/>
      <c r="L2945" s="65"/>
      <c r="M2945" s="65"/>
      <c r="N2945" s="65"/>
      <c r="O2945" s="65"/>
      <c r="P2945" s="65"/>
      <c r="Q2945" s="65"/>
      <c r="R2945" s="65"/>
      <c r="S2945" s="65"/>
    </row>
    <row r="2946" spans="1:19" s="64" customFormat="1">
      <c r="A2946" s="316" t="s">
        <v>439</v>
      </c>
      <c r="B2946" s="123" t="s">
        <v>5072</v>
      </c>
      <c r="C2946" s="256" t="s">
        <v>3907</v>
      </c>
      <c r="D2946" s="256" t="s">
        <v>3906</v>
      </c>
      <c r="E2946" s="339" t="str">
        <f t="shared" si="46"/>
        <v>IF150100 : 이종통화간 단순매매</v>
      </c>
      <c r="K2946" s="65"/>
      <c r="L2946" s="65"/>
      <c r="M2946" s="65"/>
      <c r="N2946" s="65"/>
      <c r="O2946" s="65"/>
      <c r="P2946" s="65"/>
      <c r="Q2946" s="65"/>
      <c r="R2946" s="65"/>
      <c r="S2946" s="65"/>
    </row>
    <row r="2947" spans="1:19" s="64" customFormat="1">
      <c r="A2947" s="316" t="s">
        <v>439</v>
      </c>
      <c r="B2947" s="123" t="s">
        <v>5072</v>
      </c>
      <c r="C2947" s="256" t="s">
        <v>3905</v>
      </c>
      <c r="D2947" s="256" t="s">
        <v>3904</v>
      </c>
      <c r="E2947" s="339" t="str">
        <f t="shared" si="46"/>
        <v>IF150200 : 이종통화간 스왑 실시</v>
      </c>
      <c r="K2947" s="65"/>
      <c r="L2947" s="65"/>
      <c r="M2947" s="65"/>
      <c r="N2947" s="65"/>
      <c r="O2947" s="65"/>
      <c r="P2947" s="65"/>
      <c r="Q2947" s="65"/>
      <c r="R2947" s="65"/>
      <c r="S2947" s="65"/>
    </row>
    <row r="2948" spans="1:19" s="64" customFormat="1">
      <c r="A2948" s="316" t="s">
        <v>439</v>
      </c>
      <c r="B2948" s="123" t="s">
        <v>5072</v>
      </c>
      <c r="C2948" s="256" t="s">
        <v>3903</v>
      </c>
      <c r="D2948" s="256" t="s">
        <v>3902</v>
      </c>
      <c r="E2948" s="339" t="str">
        <f t="shared" si="46"/>
        <v>IF150300 : 이종통화간 스왑만기</v>
      </c>
      <c r="K2948" s="65"/>
      <c r="L2948" s="65"/>
      <c r="M2948" s="65"/>
      <c r="N2948" s="65"/>
      <c r="O2948" s="65"/>
      <c r="P2948" s="65"/>
      <c r="Q2948" s="65"/>
      <c r="R2948" s="65"/>
      <c r="S2948" s="65"/>
    </row>
    <row r="2949" spans="1:19" s="64" customFormat="1">
      <c r="A2949" s="316" t="s">
        <v>439</v>
      </c>
      <c r="B2949" s="123" t="s">
        <v>5072</v>
      </c>
      <c r="C2949" s="256" t="s">
        <v>3901</v>
      </c>
      <c r="D2949" s="256" t="s">
        <v>3900</v>
      </c>
      <c r="E2949" s="339" t="str">
        <f t="shared" si="46"/>
        <v>IF160100 : 위탁자산운용</v>
      </c>
      <c r="K2949" s="65"/>
      <c r="L2949" s="65"/>
      <c r="M2949" s="65"/>
      <c r="N2949" s="65"/>
      <c r="O2949" s="65"/>
      <c r="P2949" s="65"/>
      <c r="Q2949" s="65"/>
      <c r="R2949" s="65"/>
      <c r="S2949" s="65"/>
    </row>
    <row r="2950" spans="1:19" s="64" customFormat="1">
      <c r="A2950" s="316" t="s">
        <v>439</v>
      </c>
      <c r="B2950" s="123" t="s">
        <v>5072</v>
      </c>
      <c r="C2950" s="256" t="s">
        <v>3899</v>
      </c>
      <c r="D2950" s="256" t="s">
        <v>3898</v>
      </c>
      <c r="E2950" s="339" t="str">
        <f t="shared" si="46"/>
        <v>IF160200 : 위탁자산 회수</v>
      </c>
      <c r="K2950" s="65"/>
      <c r="L2950" s="65"/>
      <c r="M2950" s="65"/>
      <c r="N2950" s="65"/>
      <c r="O2950" s="65"/>
      <c r="P2950" s="65"/>
      <c r="Q2950" s="65"/>
      <c r="R2950" s="65"/>
      <c r="S2950" s="65"/>
    </row>
    <row r="2951" spans="1:19" s="64" customFormat="1">
      <c r="A2951" s="316" t="s">
        <v>439</v>
      </c>
      <c r="B2951" s="123" t="s">
        <v>5072</v>
      </c>
      <c r="C2951" s="256" t="s">
        <v>3897</v>
      </c>
      <c r="D2951" s="256" t="s">
        <v>3896</v>
      </c>
      <c r="E2951" s="339" t="str">
        <f t="shared" si="46"/>
        <v>IF160300 : 위탁외화자산운용</v>
      </c>
      <c r="K2951" s="65"/>
      <c r="L2951" s="65"/>
      <c r="M2951" s="65"/>
      <c r="N2951" s="65"/>
      <c r="O2951" s="65"/>
      <c r="P2951" s="65"/>
      <c r="Q2951" s="65"/>
      <c r="R2951" s="65"/>
      <c r="S2951" s="65"/>
    </row>
    <row r="2952" spans="1:19" s="64" customFormat="1">
      <c r="A2952" s="316" t="s">
        <v>439</v>
      </c>
      <c r="B2952" s="123" t="s">
        <v>5072</v>
      </c>
      <c r="C2952" s="256" t="s">
        <v>3895</v>
      </c>
      <c r="D2952" s="256" t="s">
        <v>3894</v>
      </c>
      <c r="E2952" s="339" t="str">
        <f t="shared" si="46"/>
        <v>IF170100 : 증권대여수수료</v>
      </c>
      <c r="K2952" s="65"/>
      <c r="L2952" s="65"/>
      <c r="M2952" s="65"/>
      <c r="N2952" s="65"/>
      <c r="O2952" s="65"/>
      <c r="P2952" s="65"/>
      <c r="Q2952" s="65"/>
      <c r="R2952" s="65"/>
      <c r="S2952" s="65"/>
    </row>
    <row r="2953" spans="1:19" s="64" customFormat="1">
      <c r="A2953" s="316" t="s">
        <v>439</v>
      </c>
      <c r="B2953" s="123" t="s">
        <v>5072</v>
      </c>
      <c r="C2953" s="256" t="s">
        <v>3893</v>
      </c>
      <c r="D2953" s="256" t="s">
        <v>3892</v>
      </c>
      <c r="E2953" s="339" t="str">
        <f t="shared" si="46"/>
        <v>IF170200 : 자금이체</v>
      </c>
      <c r="K2953" s="65"/>
      <c r="L2953" s="65"/>
      <c r="M2953" s="65"/>
      <c r="N2953" s="65"/>
      <c r="O2953" s="65"/>
      <c r="P2953" s="65"/>
      <c r="Q2953" s="65"/>
      <c r="R2953" s="65"/>
      <c r="S2953" s="65"/>
    </row>
    <row r="2954" spans="1:19" s="64" customFormat="1">
      <c r="A2954" s="316" t="s">
        <v>439</v>
      </c>
      <c r="B2954" s="123" t="s">
        <v>5072</v>
      </c>
      <c r="C2954" s="256" t="s">
        <v>3891</v>
      </c>
      <c r="D2954" s="256" t="s">
        <v>3890</v>
      </c>
      <c r="E2954" s="339" t="str">
        <f t="shared" si="46"/>
        <v>IF170300 : 증권대여손실</v>
      </c>
      <c r="K2954" s="65"/>
      <c r="L2954" s="65"/>
      <c r="M2954" s="65"/>
      <c r="N2954" s="65"/>
      <c r="O2954" s="65"/>
      <c r="P2954" s="65"/>
      <c r="Q2954" s="65"/>
      <c r="R2954" s="65"/>
      <c r="S2954" s="65"/>
    </row>
    <row r="2955" spans="1:19" s="64" customFormat="1">
      <c r="A2955" s="316" t="s">
        <v>439</v>
      </c>
      <c r="B2955" s="123" t="s">
        <v>5072</v>
      </c>
      <c r="C2955" s="256" t="s">
        <v>3889</v>
      </c>
      <c r="D2955" s="256" t="s">
        <v>3888</v>
      </c>
      <c r="E2955" s="339" t="str">
        <f t="shared" si="46"/>
        <v>IF170400 : 지급잡수수료</v>
      </c>
      <c r="K2955" s="65"/>
      <c r="L2955" s="65"/>
      <c r="M2955" s="65"/>
      <c r="N2955" s="65"/>
      <c r="O2955" s="65"/>
      <c r="P2955" s="65"/>
      <c r="Q2955" s="65"/>
      <c r="R2955" s="65"/>
      <c r="S2955" s="65"/>
    </row>
    <row r="2956" spans="1:19" s="64" customFormat="1">
      <c r="A2956" s="316" t="s">
        <v>439</v>
      </c>
      <c r="B2956" s="123" t="s">
        <v>5072</v>
      </c>
      <c r="C2956" s="256" t="s">
        <v>3887</v>
      </c>
      <c r="D2956" s="256" t="s">
        <v>3886</v>
      </c>
      <c r="E2956" s="339" t="str">
        <f t="shared" si="46"/>
        <v>IF170500 : 선물이자수입</v>
      </c>
      <c r="K2956" s="65"/>
      <c r="L2956" s="65"/>
      <c r="M2956" s="65"/>
      <c r="N2956" s="65"/>
      <c r="O2956" s="65"/>
      <c r="P2956" s="65"/>
      <c r="Q2956" s="65"/>
      <c r="R2956" s="65"/>
      <c r="S2956" s="65"/>
    </row>
    <row r="2957" spans="1:19" s="64" customFormat="1">
      <c r="A2957" s="316" t="s">
        <v>439</v>
      </c>
      <c r="B2957" s="123" t="s">
        <v>5072</v>
      </c>
      <c r="C2957" s="256" t="s">
        <v>3885</v>
      </c>
      <c r="D2957" s="256" t="s">
        <v>3884</v>
      </c>
      <c r="E2957" s="339" t="str">
        <f t="shared" si="46"/>
        <v>IF170600 : 증권대여현금담보수취</v>
      </c>
      <c r="K2957" s="65"/>
      <c r="L2957" s="65"/>
      <c r="M2957" s="65"/>
      <c r="N2957" s="65"/>
      <c r="O2957" s="65"/>
      <c r="P2957" s="65"/>
      <c r="Q2957" s="65"/>
      <c r="R2957" s="65"/>
      <c r="S2957" s="65"/>
    </row>
    <row r="2958" spans="1:19" s="64" customFormat="1">
      <c r="A2958" s="316" t="s">
        <v>439</v>
      </c>
      <c r="B2958" s="123" t="s">
        <v>5072</v>
      </c>
      <c r="C2958" s="256" t="s">
        <v>3883</v>
      </c>
      <c r="D2958" s="256" t="s">
        <v>3882</v>
      </c>
      <c r="E2958" s="339" t="str">
        <f t="shared" si="46"/>
        <v>IF170700 : 증권대여현금담보상환</v>
      </c>
      <c r="K2958" s="65"/>
      <c r="L2958" s="65"/>
      <c r="M2958" s="65"/>
      <c r="N2958" s="65"/>
      <c r="O2958" s="65"/>
      <c r="P2958" s="65"/>
      <c r="Q2958" s="65"/>
      <c r="R2958" s="65"/>
      <c r="S2958" s="65"/>
    </row>
    <row r="2959" spans="1:19" s="64" customFormat="1">
      <c r="A2959" s="316" t="s">
        <v>439</v>
      </c>
      <c r="B2959" s="123" t="s">
        <v>5072</v>
      </c>
      <c r="C2959" s="256" t="s">
        <v>3881</v>
      </c>
      <c r="D2959" s="256" t="s">
        <v>3880</v>
      </c>
      <c r="E2959" s="339" t="str">
        <f t="shared" si="46"/>
        <v>IF180100 : 해외예탁지금은 매입</v>
      </c>
      <c r="K2959" s="65"/>
      <c r="L2959" s="65"/>
      <c r="M2959" s="65"/>
      <c r="N2959" s="65"/>
      <c r="O2959" s="65"/>
      <c r="P2959" s="65"/>
      <c r="Q2959" s="65"/>
      <c r="R2959" s="65"/>
      <c r="S2959" s="65"/>
    </row>
    <row r="2960" spans="1:19" s="64" customFormat="1">
      <c r="A2960" s="316" t="s">
        <v>439</v>
      </c>
      <c r="B2960" s="123" t="s">
        <v>5072</v>
      </c>
      <c r="C2960" s="256" t="s">
        <v>3879</v>
      </c>
      <c r="D2960" s="256" t="s">
        <v>3878</v>
      </c>
      <c r="E2960" s="339" t="str">
        <f t="shared" si="46"/>
        <v>IF180200 : 해외예탁지금은 매각</v>
      </c>
      <c r="K2960" s="65"/>
      <c r="L2960" s="65"/>
      <c r="M2960" s="65"/>
      <c r="N2960" s="65"/>
      <c r="O2960" s="65"/>
      <c r="P2960" s="65"/>
      <c r="Q2960" s="65"/>
      <c r="R2960" s="65"/>
      <c r="S2960" s="65"/>
    </row>
    <row r="2961" spans="1:19" s="64" customFormat="1">
      <c r="A2961" s="316" t="s">
        <v>439</v>
      </c>
      <c r="B2961" s="123" t="s">
        <v>5072</v>
      </c>
      <c r="C2961" s="256" t="s">
        <v>3877</v>
      </c>
      <c r="D2961" s="256" t="s">
        <v>3876</v>
      </c>
      <c r="E2961" s="339" t="str">
        <f t="shared" si="46"/>
        <v>IF180300 : 해외예탁지금은 대여</v>
      </c>
      <c r="K2961" s="65"/>
      <c r="L2961" s="65"/>
      <c r="M2961" s="65"/>
      <c r="N2961" s="65"/>
      <c r="O2961" s="65"/>
      <c r="P2961" s="65"/>
      <c r="Q2961" s="65"/>
      <c r="R2961" s="65"/>
      <c r="S2961" s="65"/>
    </row>
    <row r="2962" spans="1:19" s="64" customFormat="1">
      <c r="A2962" s="316" t="s">
        <v>439</v>
      </c>
      <c r="B2962" s="123" t="s">
        <v>5072</v>
      </c>
      <c r="C2962" s="256" t="s">
        <v>3875</v>
      </c>
      <c r="D2962" s="256" t="s">
        <v>3874</v>
      </c>
      <c r="E2962" s="339" t="str">
        <f t="shared" si="46"/>
        <v>IF180400 : 해외예탁지금은 대여회수:금</v>
      </c>
      <c r="K2962" s="65"/>
      <c r="L2962" s="65"/>
      <c r="M2962" s="65"/>
      <c r="N2962" s="65"/>
      <c r="O2962" s="65"/>
      <c r="P2962" s="65"/>
      <c r="Q2962" s="65"/>
      <c r="R2962" s="65"/>
      <c r="S2962" s="65"/>
    </row>
    <row r="2963" spans="1:19" s="64" customFormat="1">
      <c r="A2963" s="316" t="s">
        <v>439</v>
      </c>
      <c r="B2963" s="123" t="s">
        <v>5072</v>
      </c>
      <c r="C2963" s="256" t="s">
        <v>3873</v>
      </c>
      <c r="D2963" s="256" t="s">
        <v>3872</v>
      </c>
      <c r="E2963" s="339" t="str">
        <f t="shared" si="46"/>
        <v>IF180500 : 해외예탁지금은 대여회수:현금</v>
      </c>
      <c r="K2963" s="65"/>
      <c r="L2963" s="65"/>
      <c r="M2963" s="65"/>
      <c r="N2963" s="65"/>
      <c r="O2963" s="65"/>
      <c r="P2963" s="65"/>
      <c r="Q2963" s="65"/>
      <c r="R2963" s="65"/>
      <c r="S2963" s="65"/>
    </row>
    <row r="2964" spans="1:19" s="64" customFormat="1">
      <c r="A2964" s="316" t="s">
        <v>439</v>
      </c>
      <c r="B2964" s="123" t="s">
        <v>5072</v>
      </c>
      <c r="C2964" s="256" t="s">
        <v>3871</v>
      </c>
      <c r="D2964" s="256" t="s">
        <v>3870</v>
      </c>
      <c r="E2964" s="339" t="str">
        <f t="shared" si="46"/>
        <v>IF180600 : 이종통화간 통화스왑 체결</v>
      </c>
      <c r="K2964" s="65"/>
      <c r="L2964" s="65"/>
      <c r="M2964" s="65"/>
      <c r="N2964" s="65"/>
      <c r="O2964" s="65"/>
      <c r="P2964" s="65"/>
      <c r="Q2964" s="65"/>
      <c r="R2964" s="65"/>
      <c r="S2964" s="65"/>
    </row>
    <row r="2965" spans="1:19" s="64" customFormat="1">
      <c r="A2965" s="316" t="s">
        <v>439</v>
      </c>
      <c r="B2965" s="123" t="s">
        <v>5072</v>
      </c>
      <c r="C2965" s="256" t="s">
        <v>3869</v>
      </c>
      <c r="D2965" s="256" t="s">
        <v>3868</v>
      </c>
      <c r="E2965" s="339" t="str">
        <f t="shared" si="46"/>
        <v>IF180700 : 이종통화간 통화스왑 이자</v>
      </c>
      <c r="K2965" s="65"/>
      <c r="L2965" s="65"/>
      <c r="M2965" s="65"/>
      <c r="N2965" s="65"/>
      <c r="O2965" s="65"/>
      <c r="P2965" s="65"/>
      <c r="Q2965" s="65"/>
      <c r="R2965" s="65"/>
      <c r="S2965" s="65"/>
    </row>
    <row r="2966" spans="1:19" s="64" customFormat="1">
      <c r="A2966" s="316" t="s">
        <v>439</v>
      </c>
      <c r="B2966" s="123" t="s">
        <v>5072</v>
      </c>
      <c r="C2966" s="256" t="s">
        <v>3867</v>
      </c>
      <c r="D2966" s="256" t="s">
        <v>3866</v>
      </c>
      <c r="E2966" s="339" t="str">
        <f t="shared" ref="E2966:E3029" si="47">_xlfn.TEXTJOIN(" : ",FALSE,C2966:D2966)</f>
        <v>IF180800 : 이종통화간 통화스왑 만기</v>
      </c>
      <c r="K2966" s="65"/>
      <c r="L2966" s="65"/>
      <c r="M2966" s="65"/>
      <c r="N2966" s="65"/>
      <c r="O2966" s="65"/>
      <c r="P2966" s="65"/>
      <c r="Q2966" s="65"/>
      <c r="R2966" s="65"/>
      <c r="S2966" s="65"/>
    </row>
    <row r="2967" spans="1:19" s="64" customFormat="1">
      <c r="A2967" s="316" t="s">
        <v>439</v>
      </c>
      <c r="B2967" s="123" t="s">
        <v>5072</v>
      </c>
      <c r="C2967" s="256" t="s">
        <v>3865</v>
      </c>
      <c r="D2967" s="256" t="s">
        <v>3864</v>
      </c>
      <c r="E2967" s="339" t="str">
        <f t="shared" si="47"/>
        <v>IF180900 : 외화증권분할상환(IO)</v>
      </c>
      <c r="K2967" s="65"/>
      <c r="L2967" s="65"/>
      <c r="M2967" s="65"/>
      <c r="N2967" s="65"/>
      <c r="O2967" s="65"/>
      <c r="P2967" s="65"/>
      <c r="Q2967" s="65"/>
      <c r="R2967" s="65"/>
      <c r="S2967" s="65"/>
    </row>
    <row r="2968" spans="1:19" s="64" customFormat="1">
      <c r="A2968" s="316" t="s">
        <v>439</v>
      </c>
      <c r="B2968" s="123" t="s">
        <v>5072</v>
      </c>
      <c r="C2968" s="256" t="s">
        <v>3863</v>
      </c>
      <c r="D2968" s="256" t="s">
        <v>3862</v>
      </c>
      <c r="E2968" s="339" t="str">
        <f t="shared" si="47"/>
        <v>IF190100 : 국련군수표 매입</v>
      </c>
      <c r="K2968" s="65"/>
      <c r="L2968" s="65"/>
      <c r="M2968" s="65"/>
      <c r="N2968" s="65"/>
      <c r="O2968" s="65"/>
      <c r="P2968" s="65"/>
      <c r="Q2968" s="65"/>
      <c r="R2968" s="65"/>
      <c r="S2968" s="65"/>
    </row>
    <row r="2969" spans="1:19" s="64" customFormat="1">
      <c r="A2969" s="316" t="s">
        <v>439</v>
      </c>
      <c r="B2969" s="123" t="s">
        <v>5072</v>
      </c>
      <c r="C2969" s="256" t="s">
        <v>3861</v>
      </c>
      <c r="D2969" s="256" t="s">
        <v>3860</v>
      </c>
      <c r="E2969" s="339" t="str">
        <f t="shared" si="47"/>
        <v>IF190200 : BANK NEGARA 거래</v>
      </c>
      <c r="K2969" s="65"/>
      <c r="L2969" s="65"/>
      <c r="M2969" s="65"/>
      <c r="N2969" s="65"/>
      <c r="O2969" s="65"/>
      <c r="P2969" s="65"/>
      <c r="Q2969" s="65"/>
      <c r="R2969" s="65"/>
      <c r="S2969" s="65"/>
    </row>
    <row r="2970" spans="1:19" s="64" customFormat="1">
      <c r="A2970" s="316" t="s">
        <v>439</v>
      </c>
      <c r="B2970" s="123" t="s">
        <v>5072</v>
      </c>
      <c r="C2970" s="256" t="s">
        <v>3859</v>
      </c>
      <c r="D2970" s="256" t="s">
        <v>3858</v>
      </c>
      <c r="E2970" s="339" t="str">
        <f t="shared" si="47"/>
        <v>IF190400 : 당좌예치금이자</v>
      </c>
      <c r="K2970" s="65"/>
      <c r="L2970" s="65"/>
      <c r="M2970" s="65"/>
      <c r="N2970" s="65"/>
      <c r="O2970" s="65"/>
      <c r="P2970" s="65"/>
      <c r="Q2970" s="65"/>
      <c r="R2970" s="65"/>
      <c r="S2970" s="65"/>
    </row>
    <row r="2971" spans="1:19" s="64" customFormat="1">
      <c r="A2971" s="316" t="s">
        <v>439</v>
      </c>
      <c r="B2971" s="123" t="s">
        <v>5072</v>
      </c>
      <c r="C2971" s="256" t="s">
        <v>3857</v>
      </c>
      <c r="D2971" s="256" t="s">
        <v>3856</v>
      </c>
      <c r="E2971" s="339" t="str">
        <f t="shared" si="47"/>
        <v>IF190500 : 권리락증권 매입</v>
      </c>
      <c r="K2971" s="65"/>
      <c r="L2971" s="65"/>
      <c r="M2971" s="65"/>
      <c r="N2971" s="65"/>
      <c r="O2971" s="65"/>
      <c r="P2971" s="65"/>
      <c r="Q2971" s="65"/>
      <c r="R2971" s="65"/>
      <c r="S2971" s="65"/>
    </row>
    <row r="2972" spans="1:19" s="64" customFormat="1">
      <c r="A2972" s="316" t="s">
        <v>439</v>
      </c>
      <c r="B2972" s="123" t="s">
        <v>5072</v>
      </c>
      <c r="C2972" s="256" t="s">
        <v>3855</v>
      </c>
      <c r="D2972" s="256" t="s">
        <v>3854</v>
      </c>
      <c r="E2972" s="339" t="str">
        <f t="shared" si="47"/>
        <v>IF190600 : 권리락증권매입증권 이자수취</v>
      </c>
      <c r="K2972" s="65"/>
      <c r="L2972" s="65"/>
      <c r="M2972" s="65"/>
      <c r="N2972" s="65"/>
      <c r="O2972" s="65"/>
      <c r="P2972" s="65"/>
      <c r="Q2972" s="65"/>
      <c r="R2972" s="65"/>
      <c r="S2972" s="65"/>
    </row>
    <row r="2973" spans="1:19" s="64" customFormat="1">
      <c r="A2973" s="316" t="s">
        <v>439</v>
      </c>
      <c r="B2973" s="123" t="s">
        <v>5072</v>
      </c>
      <c r="C2973" s="256" t="s">
        <v>3853</v>
      </c>
      <c r="D2973" s="256" t="s">
        <v>3852</v>
      </c>
      <c r="E2973" s="339" t="str">
        <f t="shared" si="47"/>
        <v>IF190700 : 권리락증권 매도</v>
      </c>
      <c r="K2973" s="65"/>
      <c r="L2973" s="65"/>
      <c r="M2973" s="65"/>
      <c r="N2973" s="65"/>
      <c r="O2973" s="65"/>
      <c r="P2973" s="65"/>
      <c r="Q2973" s="65"/>
      <c r="R2973" s="65"/>
      <c r="S2973" s="65"/>
    </row>
    <row r="2974" spans="1:19" s="64" customFormat="1">
      <c r="A2974" s="316" t="s">
        <v>439</v>
      </c>
      <c r="B2974" s="123" t="s">
        <v>5072</v>
      </c>
      <c r="C2974" s="256" t="s">
        <v>3851</v>
      </c>
      <c r="D2974" s="256" t="s">
        <v>3850</v>
      </c>
      <c r="E2974" s="339" t="str">
        <f t="shared" si="47"/>
        <v>IF190800 : 권리락증권매도증권 이자수취</v>
      </c>
      <c r="K2974" s="65"/>
      <c r="L2974" s="65"/>
      <c r="M2974" s="65"/>
      <c r="N2974" s="65"/>
      <c r="O2974" s="65"/>
      <c r="P2974" s="65"/>
      <c r="Q2974" s="65"/>
      <c r="R2974" s="65"/>
      <c r="S2974" s="65"/>
    </row>
    <row r="2975" spans="1:19" s="64" customFormat="1">
      <c r="A2975" s="316" t="s">
        <v>439</v>
      </c>
      <c r="B2975" s="123" t="s">
        <v>5072</v>
      </c>
      <c r="C2975" s="256" t="s">
        <v>3849</v>
      </c>
      <c r="D2975" s="256" t="s">
        <v>3848</v>
      </c>
      <c r="E2975" s="339" t="str">
        <f t="shared" si="47"/>
        <v>IF190900 : 권리락증권 매입매도</v>
      </c>
      <c r="K2975" s="65"/>
      <c r="L2975" s="65"/>
      <c r="M2975" s="65"/>
      <c r="N2975" s="65"/>
      <c r="O2975" s="65"/>
      <c r="P2975" s="65"/>
      <c r="Q2975" s="65"/>
      <c r="R2975" s="65"/>
      <c r="S2975" s="65"/>
    </row>
    <row r="2976" spans="1:19" s="64" customFormat="1">
      <c r="A2976" s="316" t="s">
        <v>439</v>
      </c>
      <c r="B2976" s="123" t="s">
        <v>5072</v>
      </c>
      <c r="C2976" s="256" t="s">
        <v>3847</v>
      </c>
      <c r="D2976" s="256" t="s">
        <v>3846</v>
      </c>
      <c r="E2976" s="339" t="str">
        <f t="shared" si="47"/>
        <v>IF200000 : 금리스왑션프리미엄수취</v>
      </c>
      <c r="K2976" s="65"/>
      <c r="L2976" s="65"/>
      <c r="M2976" s="65"/>
      <c r="N2976" s="65"/>
      <c r="O2976" s="65"/>
      <c r="P2976" s="65"/>
      <c r="Q2976" s="65"/>
      <c r="R2976" s="65"/>
      <c r="S2976" s="65"/>
    </row>
    <row r="2977" spans="1:19" s="64" customFormat="1">
      <c r="A2977" s="316" t="s">
        <v>439</v>
      </c>
      <c r="B2977" s="123" t="s">
        <v>5072</v>
      </c>
      <c r="C2977" s="256" t="s">
        <v>3845</v>
      </c>
      <c r="D2977" s="256" t="s">
        <v>3844</v>
      </c>
      <c r="E2977" s="339" t="str">
        <f t="shared" si="47"/>
        <v>IF200100 : 금리스왑션프리미엄지급</v>
      </c>
      <c r="K2977" s="65"/>
      <c r="L2977" s="65"/>
      <c r="M2977" s="65"/>
      <c r="N2977" s="65"/>
      <c r="O2977" s="65"/>
      <c r="P2977" s="65"/>
      <c r="Q2977" s="65"/>
      <c r="R2977" s="65"/>
      <c r="S2977" s="65"/>
    </row>
    <row r="2978" spans="1:19" s="64" customFormat="1">
      <c r="A2978" s="316" t="s">
        <v>439</v>
      </c>
      <c r="B2978" s="123" t="s">
        <v>5072</v>
      </c>
      <c r="C2978" s="256" t="s">
        <v>3843</v>
      </c>
      <c r="D2978" s="256" t="s">
        <v>3842</v>
      </c>
      <c r="E2978" s="339" t="str">
        <f t="shared" si="47"/>
        <v>IF200200 : 금리스왑션매입만기소멸</v>
      </c>
      <c r="K2978" s="65"/>
      <c r="L2978" s="65"/>
      <c r="M2978" s="65"/>
      <c r="N2978" s="65"/>
      <c r="O2978" s="65"/>
      <c r="P2978" s="65"/>
      <c r="Q2978" s="65"/>
      <c r="R2978" s="65"/>
      <c r="S2978" s="65"/>
    </row>
    <row r="2979" spans="1:19" s="64" customFormat="1">
      <c r="A2979" s="316" t="s">
        <v>439</v>
      </c>
      <c r="B2979" s="123" t="s">
        <v>5072</v>
      </c>
      <c r="C2979" s="256" t="s">
        <v>3841</v>
      </c>
      <c r="D2979" s="256" t="s">
        <v>3840</v>
      </c>
      <c r="E2979" s="339" t="str">
        <f t="shared" si="47"/>
        <v>IF200300 : 금리스왑션매도만기소멸</v>
      </c>
      <c r="K2979" s="65"/>
      <c r="L2979" s="65"/>
      <c r="M2979" s="65"/>
      <c r="N2979" s="65"/>
      <c r="O2979" s="65"/>
      <c r="P2979" s="65"/>
      <c r="Q2979" s="65"/>
      <c r="R2979" s="65"/>
      <c r="S2979" s="65"/>
    </row>
    <row r="2980" spans="1:19" s="64" customFormat="1">
      <c r="A2980" s="316" t="s">
        <v>439</v>
      </c>
      <c r="B2980" s="123" t="s">
        <v>5072</v>
      </c>
      <c r="C2980" s="256" t="s">
        <v>3839</v>
      </c>
      <c r="D2980" s="256" t="s">
        <v>3838</v>
      </c>
      <c r="E2980" s="339" t="str">
        <f t="shared" si="47"/>
        <v>IF200400 : 금리스왑션매입중도청산</v>
      </c>
      <c r="K2980" s="65"/>
      <c r="L2980" s="65"/>
      <c r="M2980" s="65"/>
      <c r="N2980" s="65"/>
      <c r="O2980" s="65"/>
      <c r="P2980" s="65"/>
      <c r="Q2980" s="65"/>
      <c r="R2980" s="65"/>
      <c r="S2980" s="65"/>
    </row>
    <row r="2981" spans="1:19" s="64" customFormat="1">
      <c r="A2981" s="316" t="s">
        <v>439</v>
      </c>
      <c r="B2981" s="123" t="s">
        <v>5072</v>
      </c>
      <c r="C2981" s="256" t="s">
        <v>3837</v>
      </c>
      <c r="D2981" s="256" t="s">
        <v>3836</v>
      </c>
      <c r="E2981" s="339" t="str">
        <f t="shared" si="47"/>
        <v>IF200500 : 금리스왑션매도중도청산</v>
      </c>
      <c r="K2981" s="65"/>
      <c r="L2981" s="65"/>
      <c r="M2981" s="65"/>
      <c r="N2981" s="65"/>
      <c r="O2981" s="65"/>
      <c r="P2981" s="65"/>
      <c r="Q2981" s="65"/>
      <c r="R2981" s="65"/>
      <c r="S2981" s="65"/>
    </row>
    <row r="2982" spans="1:19" s="64" customFormat="1">
      <c r="A2982" s="316" t="s">
        <v>439</v>
      </c>
      <c r="B2982" s="123" t="s">
        <v>5072</v>
      </c>
      <c r="C2982" s="256" t="s">
        <v>3835</v>
      </c>
      <c r="D2982" s="256" t="s">
        <v>3834</v>
      </c>
      <c r="E2982" s="339" t="str">
        <f t="shared" si="47"/>
        <v>IF200600 : 금리스왑션매입스왑이행</v>
      </c>
      <c r="K2982" s="65"/>
      <c r="L2982" s="65"/>
      <c r="M2982" s="65"/>
      <c r="N2982" s="65"/>
      <c r="O2982" s="65"/>
      <c r="P2982" s="65"/>
      <c r="Q2982" s="65"/>
      <c r="R2982" s="65"/>
      <c r="S2982" s="65"/>
    </row>
    <row r="2983" spans="1:19" s="64" customFormat="1">
      <c r="A2983" s="316" t="s">
        <v>439</v>
      </c>
      <c r="B2983" s="123" t="s">
        <v>5072</v>
      </c>
      <c r="C2983" s="256" t="s">
        <v>3833</v>
      </c>
      <c r="D2983" s="256" t="s">
        <v>3832</v>
      </c>
      <c r="E2983" s="339" t="str">
        <f t="shared" si="47"/>
        <v>IF200700 : 금리스왑션매도스왑이행</v>
      </c>
      <c r="K2983" s="65"/>
      <c r="L2983" s="65"/>
      <c r="M2983" s="65"/>
      <c r="N2983" s="65"/>
      <c r="O2983" s="65"/>
      <c r="P2983" s="65"/>
      <c r="Q2983" s="65"/>
      <c r="R2983" s="65"/>
      <c r="S2983" s="65"/>
    </row>
    <row r="2984" spans="1:19" s="64" customFormat="1">
      <c r="A2984" s="316" t="s">
        <v>439</v>
      </c>
      <c r="B2984" s="123" t="s">
        <v>5072</v>
      </c>
      <c r="C2984" s="256" t="s">
        <v>3831</v>
      </c>
      <c r="D2984" s="256" t="s">
        <v>3830</v>
      </c>
      <c r="E2984" s="339" t="str">
        <f t="shared" si="47"/>
        <v>IF200800 : 금리스왑션매입현금결제</v>
      </c>
      <c r="K2984" s="65"/>
      <c r="L2984" s="65"/>
      <c r="M2984" s="65"/>
      <c r="N2984" s="65"/>
      <c r="O2984" s="65"/>
      <c r="P2984" s="65"/>
      <c r="Q2984" s="65"/>
      <c r="R2984" s="65"/>
      <c r="S2984" s="65"/>
    </row>
    <row r="2985" spans="1:19" s="64" customFormat="1">
      <c r="A2985" s="316" t="s">
        <v>439</v>
      </c>
      <c r="B2985" s="123" t="s">
        <v>5072</v>
      </c>
      <c r="C2985" s="256" t="s">
        <v>3829</v>
      </c>
      <c r="D2985" s="256" t="s">
        <v>3828</v>
      </c>
      <c r="E2985" s="339" t="str">
        <f t="shared" si="47"/>
        <v>IF200900 : 금리스왑션매도현금결제</v>
      </c>
      <c r="K2985" s="65"/>
      <c r="L2985" s="65"/>
      <c r="M2985" s="65"/>
      <c r="N2985" s="65"/>
      <c r="O2985" s="65"/>
      <c r="P2985" s="65"/>
      <c r="Q2985" s="65"/>
      <c r="R2985" s="65"/>
      <c r="S2985" s="65"/>
    </row>
    <row r="2986" spans="1:19" s="64" customFormat="1">
      <c r="A2986" s="316" t="s">
        <v>439</v>
      </c>
      <c r="B2986" s="123" t="s">
        <v>5072</v>
      </c>
      <c r="C2986" s="256" t="s">
        <v>3827</v>
      </c>
      <c r="D2986" s="256" t="s">
        <v>3826</v>
      </c>
      <c r="E2986" s="339" t="str">
        <f t="shared" si="47"/>
        <v>IF210100 : 국제기구출자</v>
      </c>
      <c r="K2986" s="65"/>
      <c r="L2986" s="65"/>
      <c r="M2986" s="65"/>
      <c r="N2986" s="65"/>
      <c r="O2986" s="65"/>
      <c r="P2986" s="65"/>
      <c r="Q2986" s="65"/>
      <c r="R2986" s="65"/>
      <c r="S2986" s="65"/>
    </row>
    <row r="2987" spans="1:19" s="64" customFormat="1">
      <c r="A2987" s="316" t="s">
        <v>439</v>
      </c>
      <c r="B2987" s="123" t="s">
        <v>5072</v>
      </c>
      <c r="C2987" s="256" t="s">
        <v>3825</v>
      </c>
      <c r="D2987" s="256" t="s">
        <v>3824</v>
      </c>
      <c r="E2987" s="339" t="str">
        <f t="shared" si="47"/>
        <v>IF210200 : 국제기구출연</v>
      </c>
      <c r="K2987" s="65"/>
      <c r="L2987" s="65"/>
      <c r="M2987" s="65"/>
      <c r="N2987" s="65"/>
      <c r="O2987" s="65"/>
      <c r="P2987" s="65"/>
      <c r="Q2987" s="65"/>
      <c r="R2987" s="65"/>
      <c r="S2987" s="65"/>
    </row>
    <row r="2988" spans="1:19" s="64" customFormat="1">
      <c r="A2988" s="316" t="s">
        <v>439</v>
      </c>
      <c r="B2988" s="123" t="s">
        <v>5072</v>
      </c>
      <c r="C2988" s="256" t="s">
        <v>3823</v>
      </c>
      <c r="D2988" s="256" t="s">
        <v>3822</v>
      </c>
      <c r="E2988" s="339" t="str">
        <f t="shared" si="47"/>
        <v>IF210300 : 국제기구출자증권현금화</v>
      </c>
      <c r="K2988" s="65"/>
      <c r="L2988" s="65"/>
      <c r="M2988" s="65"/>
      <c r="N2988" s="65"/>
      <c r="O2988" s="65"/>
      <c r="P2988" s="65"/>
      <c r="Q2988" s="65"/>
      <c r="R2988" s="65"/>
      <c r="S2988" s="65"/>
    </row>
    <row r="2989" spans="1:19" s="64" customFormat="1">
      <c r="A2989" s="316" t="s">
        <v>439</v>
      </c>
      <c r="B2989" s="123" t="s">
        <v>5072</v>
      </c>
      <c r="C2989" s="256" t="s">
        <v>3821</v>
      </c>
      <c r="D2989" s="256" t="s">
        <v>3820</v>
      </c>
      <c r="E2989" s="339" t="str">
        <f t="shared" si="47"/>
        <v>IF210400 : 국제기구출연증권현금화</v>
      </c>
      <c r="K2989" s="65"/>
      <c r="L2989" s="65"/>
      <c r="M2989" s="65"/>
      <c r="N2989" s="65"/>
      <c r="O2989" s="65"/>
      <c r="P2989" s="65"/>
      <c r="Q2989" s="65"/>
      <c r="R2989" s="65"/>
      <c r="S2989" s="65"/>
    </row>
    <row r="2990" spans="1:19" s="64" customFormat="1">
      <c r="A2990" s="316" t="s">
        <v>439</v>
      </c>
      <c r="B2990" s="123" t="s">
        <v>5072</v>
      </c>
      <c r="C2990" s="256" t="s">
        <v>3819</v>
      </c>
      <c r="D2990" s="256" t="s">
        <v>3818</v>
      </c>
      <c r="E2990" s="339" t="str">
        <f t="shared" si="47"/>
        <v>IF210500 : 국제기구보유가치조정</v>
      </c>
      <c r="K2990" s="65"/>
      <c r="L2990" s="65"/>
      <c r="M2990" s="65"/>
      <c r="N2990" s="65"/>
      <c r="O2990" s="65"/>
      <c r="P2990" s="65"/>
      <c r="Q2990" s="65"/>
      <c r="R2990" s="65"/>
      <c r="S2990" s="65"/>
    </row>
    <row r="2991" spans="1:19" s="64" customFormat="1">
      <c r="A2991" s="316" t="s">
        <v>439</v>
      </c>
      <c r="B2991" s="123" t="s">
        <v>5072</v>
      </c>
      <c r="C2991" s="256" t="s">
        <v>3817</v>
      </c>
      <c r="D2991" s="256" t="s">
        <v>3816</v>
      </c>
      <c r="E2991" s="339" t="str">
        <f t="shared" si="47"/>
        <v>IF220100 : 국제기구대출</v>
      </c>
      <c r="K2991" s="65"/>
      <c r="L2991" s="65"/>
      <c r="M2991" s="65"/>
      <c r="N2991" s="65"/>
      <c r="O2991" s="65"/>
      <c r="P2991" s="65"/>
      <c r="Q2991" s="65"/>
      <c r="R2991" s="65"/>
      <c r="S2991" s="65"/>
    </row>
    <row r="2992" spans="1:19" s="64" customFormat="1">
      <c r="A2992" s="316" t="s">
        <v>439</v>
      </c>
      <c r="B2992" s="123" t="s">
        <v>5072</v>
      </c>
      <c r="C2992" s="256" t="s">
        <v>3815</v>
      </c>
      <c r="D2992" s="256" t="s">
        <v>3814</v>
      </c>
      <c r="E2992" s="339" t="str">
        <f t="shared" si="47"/>
        <v>IF220200 : 국제기구대출회수</v>
      </c>
      <c r="K2992" s="65"/>
      <c r="L2992" s="65"/>
      <c r="M2992" s="65"/>
      <c r="N2992" s="65"/>
      <c r="O2992" s="65"/>
      <c r="P2992" s="65"/>
      <c r="Q2992" s="65"/>
      <c r="R2992" s="65"/>
      <c r="S2992" s="65"/>
    </row>
    <row r="2993" spans="1:19" s="64" customFormat="1">
      <c r="A2993" s="316" t="s">
        <v>439</v>
      </c>
      <c r="B2993" s="123" t="s">
        <v>5072</v>
      </c>
      <c r="C2993" s="256" t="s">
        <v>3813</v>
      </c>
      <c r="D2993" s="256" t="s">
        <v>3812</v>
      </c>
      <c r="E2993" s="339" t="str">
        <f t="shared" si="47"/>
        <v>IF220300 : 국제기구대출이자수취</v>
      </c>
      <c r="K2993" s="65"/>
      <c r="L2993" s="65"/>
      <c r="M2993" s="65"/>
      <c r="N2993" s="65"/>
      <c r="O2993" s="65"/>
      <c r="P2993" s="65"/>
      <c r="Q2993" s="65"/>
      <c r="R2993" s="65"/>
      <c r="S2993" s="65"/>
    </row>
    <row r="2994" spans="1:19" s="64" customFormat="1">
      <c r="A2994" s="316" t="s">
        <v>439</v>
      </c>
      <c r="B2994" s="123" t="s">
        <v>5072</v>
      </c>
      <c r="C2994" s="256" t="s">
        <v>3811</v>
      </c>
      <c r="D2994" s="256" t="s">
        <v>3810</v>
      </c>
      <c r="E2994" s="339" t="str">
        <f t="shared" si="47"/>
        <v>IF230100 : 특별인출권보유</v>
      </c>
      <c r="K2994" s="65"/>
      <c r="L2994" s="65"/>
      <c r="M2994" s="65"/>
      <c r="N2994" s="65"/>
      <c r="O2994" s="65"/>
      <c r="P2994" s="65"/>
      <c r="Q2994" s="65"/>
      <c r="R2994" s="65"/>
      <c r="S2994" s="65"/>
    </row>
    <row r="2995" spans="1:19" s="64" customFormat="1">
      <c r="A2995" s="316" t="s">
        <v>439</v>
      </c>
      <c r="B2995" s="123" t="s">
        <v>5072</v>
      </c>
      <c r="C2995" s="256" t="s">
        <v>3809</v>
      </c>
      <c r="D2995" s="256" t="s">
        <v>3808</v>
      </c>
      <c r="E2995" s="339" t="str">
        <f t="shared" si="47"/>
        <v>IF230200 : 특별인출권매매</v>
      </c>
      <c r="K2995" s="65"/>
      <c r="L2995" s="65"/>
      <c r="M2995" s="65"/>
      <c r="N2995" s="65"/>
      <c r="O2995" s="65"/>
      <c r="P2995" s="65"/>
      <c r="Q2995" s="65"/>
      <c r="R2995" s="65"/>
      <c r="S2995" s="65"/>
    </row>
    <row r="2996" spans="1:19" s="64" customFormat="1">
      <c r="A2996" s="316" t="s">
        <v>439</v>
      </c>
      <c r="B2996" s="123" t="s">
        <v>5072</v>
      </c>
      <c r="C2996" s="256" t="s">
        <v>3807</v>
      </c>
      <c r="D2996" s="256" t="s">
        <v>3806</v>
      </c>
      <c r="E2996" s="339" t="str">
        <f t="shared" si="47"/>
        <v>IF230300 : 특별인출권보유이자 수취</v>
      </c>
      <c r="K2996" s="65"/>
      <c r="L2996" s="65"/>
      <c r="M2996" s="65"/>
      <c r="N2996" s="65"/>
      <c r="O2996" s="65"/>
      <c r="P2996" s="65"/>
      <c r="Q2996" s="65"/>
      <c r="R2996" s="65"/>
      <c r="S2996" s="65"/>
    </row>
    <row r="2997" spans="1:19" s="64" customFormat="1">
      <c r="A2997" s="316" t="s">
        <v>439</v>
      </c>
      <c r="B2997" s="123" t="s">
        <v>5072</v>
      </c>
      <c r="C2997" s="256" t="s">
        <v>3805</v>
      </c>
      <c r="D2997" s="256" t="s">
        <v>3804</v>
      </c>
      <c r="E2997" s="339" t="str">
        <f t="shared" si="47"/>
        <v>IF230400 : IMF보상금 수취</v>
      </c>
      <c r="K2997" s="65"/>
      <c r="L2997" s="65"/>
      <c r="M2997" s="65"/>
      <c r="N2997" s="65"/>
      <c r="O2997" s="65"/>
      <c r="P2997" s="65"/>
      <c r="Q2997" s="65"/>
      <c r="R2997" s="65"/>
      <c r="S2997" s="65"/>
    </row>
    <row r="2998" spans="1:19" s="64" customFormat="1">
      <c r="A2998" s="316" t="s">
        <v>439</v>
      </c>
      <c r="B2998" s="123" t="s">
        <v>5072</v>
      </c>
      <c r="C2998" s="256" t="s">
        <v>3803</v>
      </c>
      <c r="D2998" s="256" t="s">
        <v>3802</v>
      </c>
      <c r="E2998" s="339" t="str">
        <f t="shared" si="47"/>
        <v>IF230500 : 특별인출권배분수수료지급</v>
      </c>
      <c r="K2998" s="65"/>
      <c r="L2998" s="65"/>
      <c r="M2998" s="65"/>
      <c r="N2998" s="65"/>
      <c r="O2998" s="65"/>
      <c r="P2998" s="65"/>
      <c r="Q2998" s="65"/>
      <c r="R2998" s="65"/>
      <c r="S2998" s="65"/>
    </row>
    <row r="2999" spans="1:19" s="64" customFormat="1">
      <c r="A2999" s="316" t="s">
        <v>439</v>
      </c>
      <c r="B2999" s="123" t="s">
        <v>5072</v>
      </c>
      <c r="C2999" s="256" t="s">
        <v>3801</v>
      </c>
      <c r="D2999" s="256" t="s">
        <v>3800</v>
      </c>
      <c r="E2999" s="339" t="str">
        <f t="shared" si="47"/>
        <v>IF230600 : BURDEN-SHARING 분담금</v>
      </c>
      <c r="K2999" s="65"/>
      <c r="L2999" s="65"/>
      <c r="M2999" s="65"/>
      <c r="N2999" s="65"/>
      <c r="O2999" s="65"/>
      <c r="P2999" s="65"/>
      <c r="Q2999" s="65"/>
      <c r="R2999" s="65"/>
      <c r="S2999" s="65"/>
    </row>
    <row r="3000" spans="1:19" s="64" customFormat="1">
      <c r="A3000" s="316" t="s">
        <v>439</v>
      </c>
      <c r="B3000" s="123" t="s">
        <v>5072</v>
      </c>
      <c r="C3000" s="256" t="s">
        <v>3799</v>
      </c>
      <c r="D3000" s="256" t="s">
        <v>3798</v>
      </c>
      <c r="E3000" s="339" t="str">
        <f t="shared" si="47"/>
        <v>IF230700 : 특별인출권운영경비부과금 지급</v>
      </c>
      <c r="K3000" s="65"/>
      <c r="L3000" s="65"/>
      <c r="M3000" s="65"/>
      <c r="N3000" s="65"/>
      <c r="O3000" s="65"/>
      <c r="P3000" s="65"/>
      <c r="Q3000" s="65"/>
      <c r="R3000" s="65"/>
      <c r="S3000" s="65"/>
    </row>
    <row r="3001" spans="1:19" s="64" customFormat="1">
      <c r="A3001" s="316" t="s">
        <v>439</v>
      </c>
      <c r="B3001" s="123" t="s">
        <v>5072</v>
      </c>
      <c r="C3001" s="256" t="s">
        <v>3797</v>
      </c>
      <c r="D3001" s="256" t="s">
        <v>3796</v>
      </c>
      <c r="E3001" s="339" t="str">
        <f t="shared" si="47"/>
        <v>IF230800 : 국제기구대출이자SDR</v>
      </c>
      <c r="K3001" s="65"/>
      <c r="L3001" s="65"/>
      <c r="M3001" s="65"/>
      <c r="N3001" s="65"/>
      <c r="O3001" s="65"/>
      <c r="P3001" s="65"/>
      <c r="Q3001" s="65"/>
      <c r="R3001" s="65"/>
      <c r="S3001" s="65"/>
    </row>
    <row r="3002" spans="1:19" s="64" customFormat="1">
      <c r="A3002" s="316" t="s">
        <v>439</v>
      </c>
      <c r="B3002" s="123" t="s">
        <v>5072</v>
      </c>
      <c r="C3002" s="256" t="s">
        <v>3795</v>
      </c>
      <c r="D3002" s="256" t="s">
        <v>3794</v>
      </c>
      <c r="E3002" s="339" t="str">
        <f t="shared" si="47"/>
        <v>IF240100 : IMF신용인출</v>
      </c>
      <c r="K3002" s="65"/>
      <c r="L3002" s="65"/>
      <c r="M3002" s="65"/>
      <c r="N3002" s="65"/>
      <c r="O3002" s="65"/>
      <c r="P3002" s="65"/>
      <c r="Q3002" s="65"/>
      <c r="R3002" s="65"/>
      <c r="S3002" s="65"/>
    </row>
    <row r="3003" spans="1:19" s="64" customFormat="1">
      <c r="A3003" s="316" t="s">
        <v>439</v>
      </c>
      <c r="B3003" s="123" t="s">
        <v>5072</v>
      </c>
      <c r="C3003" s="256" t="s">
        <v>3793</v>
      </c>
      <c r="D3003" s="256" t="s">
        <v>3792</v>
      </c>
      <c r="E3003" s="339" t="str">
        <f t="shared" si="47"/>
        <v>IF240200 : IMF신용환매</v>
      </c>
      <c r="K3003" s="65"/>
      <c r="L3003" s="65"/>
      <c r="M3003" s="65"/>
      <c r="N3003" s="65"/>
      <c r="O3003" s="65"/>
      <c r="P3003" s="65"/>
      <c r="Q3003" s="65"/>
      <c r="R3003" s="65"/>
      <c r="S3003" s="65"/>
    </row>
    <row r="3004" spans="1:19" s="64" customFormat="1">
      <c r="A3004" s="316" t="s">
        <v>439</v>
      </c>
      <c r="B3004" s="123" t="s">
        <v>5072</v>
      </c>
      <c r="C3004" s="256" t="s">
        <v>3791</v>
      </c>
      <c r="D3004" s="256" t="s">
        <v>3790</v>
      </c>
      <c r="E3004" s="339" t="str">
        <f t="shared" si="47"/>
        <v>IF240300 : IMF신용수수료 지급</v>
      </c>
      <c r="K3004" s="65"/>
      <c r="L3004" s="65"/>
      <c r="M3004" s="65"/>
      <c r="N3004" s="65"/>
      <c r="O3004" s="65"/>
      <c r="P3004" s="65"/>
      <c r="Q3004" s="65"/>
      <c r="R3004" s="65"/>
      <c r="S3004" s="65"/>
    </row>
    <row r="3005" spans="1:19" s="64" customFormat="1">
      <c r="A3005" s="316" t="s">
        <v>439</v>
      </c>
      <c r="B3005" s="123" t="s">
        <v>5072</v>
      </c>
      <c r="C3005" s="256" t="s">
        <v>3789</v>
      </c>
      <c r="D3005" s="256" t="s">
        <v>3788</v>
      </c>
      <c r="E3005" s="339" t="str">
        <f t="shared" si="47"/>
        <v>IF240400 : IMF협정체결수수료</v>
      </c>
      <c r="K3005" s="65"/>
      <c r="L3005" s="65"/>
      <c r="M3005" s="65"/>
      <c r="N3005" s="65"/>
      <c r="O3005" s="65"/>
      <c r="P3005" s="65"/>
      <c r="Q3005" s="65"/>
      <c r="R3005" s="65"/>
      <c r="S3005" s="65"/>
    </row>
    <row r="3006" spans="1:19" s="64" customFormat="1">
      <c r="A3006" s="316" t="s">
        <v>439</v>
      </c>
      <c r="B3006" s="123" t="s">
        <v>5072</v>
      </c>
      <c r="C3006" s="256" t="s">
        <v>3787</v>
      </c>
      <c r="D3006" s="256" t="s">
        <v>3786</v>
      </c>
      <c r="E3006" s="339" t="str">
        <f t="shared" si="47"/>
        <v>IF250100 : 국제기구교환송금</v>
      </c>
      <c r="K3006" s="65"/>
      <c r="L3006" s="65"/>
      <c r="M3006" s="65"/>
      <c r="N3006" s="65"/>
      <c r="O3006" s="65"/>
      <c r="P3006" s="65"/>
      <c r="Q3006" s="65"/>
      <c r="R3006" s="65"/>
      <c r="S3006" s="65"/>
    </row>
    <row r="3007" spans="1:19" s="64" customFormat="1">
      <c r="A3007" s="316" t="s">
        <v>439</v>
      </c>
      <c r="B3007" s="123" t="s">
        <v>5072</v>
      </c>
      <c r="C3007" s="256" t="s">
        <v>3785</v>
      </c>
      <c r="D3007" s="256" t="s">
        <v>3784</v>
      </c>
      <c r="E3007" s="339" t="str">
        <f t="shared" si="47"/>
        <v>IF250200 : 국제기구와의 자금이체</v>
      </c>
      <c r="K3007" s="65"/>
      <c r="L3007" s="65"/>
      <c r="M3007" s="65"/>
      <c r="N3007" s="65"/>
      <c r="O3007" s="65"/>
      <c r="P3007" s="65"/>
      <c r="Q3007" s="65"/>
      <c r="R3007" s="65"/>
      <c r="S3007" s="65"/>
    </row>
    <row r="3008" spans="1:19" s="64" customFormat="1">
      <c r="A3008" s="316" t="s">
        <v>439</v>
      </c>
      <c r="B3008" s="123" t="s">
        <v>5072</v>
      </c>
      <c r="C3008" s="256" t="s">
        <v>3783</v>
      </c>
      <c r="D3008" s="256" t="s">
        <v>3782</v>
      </c>
      <c r="E3008" s="339" t="str">
        <f t="shared" si="47"/>
        <v>IF250300 : 국제기구 수표발행 입출금</v>
      </c>
      <c r="K3008" s="65"/>
      <c r="L3008" s="65"/>
      <c r="M3008" s="65"/>
      <c r="N3008" s="65"/>
      <c r="O3008" s="65"/>
      <c r="P3008" s="65"/>
      <c r="Q3008" s="65"/>
      <c r="R3008" s="65"/>
      <c r="S3008" s="65"/>
    </row>
    <row r="3009" spans="1:19" s="64" customFormat="1">
      <c r="A3009" s="316" t="s">
        <v>439</v>
      </c>
      <c r="B3009" s="123" t="s">
        <v>5072</v>
      </c>
      <c r="C3009" s="256" t="s">
        <v>3781</v>
      </c>
      <c r="D3009" s="256" t="s">
        <v>3780</v>
      </c>
      <c r="E3009" s="339" t="str">
        <f t="shared" si="47"/>
        <v>IF250400 : 외환대사</v>
      </c>
      <c r="K3009" s="65"/>
      <c r="L3009" s="65"/>
      <c r="M3009" s="65"/>
      <c r="N3009" s="65"/>
      <c r="O3009" s="65"/>
      <c r="P3009" s="65"/>
      <c r="Q3009" s="65"/>
      <c r="R3009" s="65"/>
      <c r="S3009" s="65"/>
    </row>
    <row r="3010" spans="1:19" s="64" customFormat="1">
      <c r="A3010" s="316" t="s">
        <v>439</v>
      </c>
      <c r="B3010" s="123" t="s">
        <v>5072</v>
      </c>
      <c r="C3010" s="256" t="s">
        <v>3779</v>
      </c>
      <c r="D3010" s="256" t="s">
        <v>3778</v>
      </c>
      <c r="E3010" s="339" t="str">
        <f t="shared" si="47"/>
        <v>IF250500 : 국제기구원화매매</v>
      </c>
      <c r="K3010" s="65"/>
      <c r="L3010" s="65"/>
      <c r="M3010" s="65"/>
      <c r="N3010" s="65"/>
      <c r="O3010" s="65"/>
      <c r="P3010" s="65"/>
      <c r="Q3010" s="65"/>
      <c r="R3010" s="65"/>
      <c r="S3010" s="65"/>
    </row>
    <row r="3011" spans="1:19" s="64" customFormat="1">
      <c r="A3011" s="316" t="s">
        <v>439</v>
      </c>
      <c r="B3011" s="123" t="s">
        <v>5072</v>
      </c>
      <c r="C3011" s="256" t="s">
        <v>3777</v>
      </c>
      <c r="D3011" s="256" t="s">
        <v>3776</v>
      </c>
      <c r="E3011" s="339" t="str">
        <f t="shared" si="47"/>
        <v>IF250900 : CS 자금지급(국제국)</v>
      </c>
      <c r="K3011" s="65"/>
      <c r="L3011" s="65"/>
      <c r="M3011" s="65"/>
      <c r="N3011" s="65"/>
      <c r="O3011" s="65"/>
      <c r="P3011" s="65"/>
      <c r="Q3011" s="65"/>
      <c r="R3011" s="65"/>
      <c r="S3011" s="65"/>
    </row>
    <row r="3012" spans="1:19" s="64" customFormat="1">
      <c r="A3012" s="316" t="s">
        <v>439</v>
      </c>
      <c r="B3012" s="123" t="s">
        <v>5072</v>
      </c>
      <c r="C3012" s="256" t="s">
        <v>3775</v>
      </c>
      <c r="D3012" s="256" t="s">
        <v>3774</v>
      </c>
      <c r="E3012" s="339" t="str">
        <f t="shared" si="47"/>
        <v>IF260000 : 계정이체(외화)</v>
      </c>
      <c r="K3012" s="65"/>
      <c r="L3012" s="65"/>
      <c r="M3012" s="65"/>
      <c r="N3012" s="65"/>
      <c r="O3012" s="65"/>
      <c r="P3012" s="65"/>
      <c r="Q3012" s="65"/>
      <c r="R3012" s="65"/>
      <c r="S3012" s="65"/>
    </row>
    <row r="3013" spans="1:19" s="64" customFormat="1">
      <c r="A3013" s="316" t="s">
        <v>439</v>
      </c>
      <c r="B3013" s="123" t="s">
        <v>5072</v>
      </c>
      <c r="C3013" s="256" t="s">
        <v>3773</v>
      </c>
      <c r="D3013" s="256" t="s">
        <v>3772</v>
      </c>
      <c r="E3013" s="339" t="str">
        <f t="shared" si="47"/>
        <v>IF300100 : 현금담보교환(마진콜)</v>
      </c>
      <c r="K3013" s="65"/>
      <c r="L3013" s="65"/>
      <c r="M3013" s="65"/>
      <c r="N3013" s="65"/>
      <c r="O3013" s="65"/>
      <c r="P3013" s="65"/>
      <c r="Q3013" s="65"/>
      <c r="R3013" s="65"/>
      <c r="S3013" s="65"/>
    </row>
    <row r="3014" spans="1:19" s="64" customFormat="1">
      <c r="A3014" s="316" t="s">
        <v>439</v>
      </c>
      <c r="B3014" s="123" t="s">
        <v>5072</v>
      </c>
      <c r="C3014" s="256" t="s">
        <v>3771</v>
      </c>
      <c r="D3014" s="256" t="s">
        <v>3770</v>
      </c>
      <c r="E3014" s="339" t="str">
        <f t="shared" si="47"/>
        <v>IF300200 : 현금담보이자 수수</v>
      </c>
      <c r="K3014" s="65"/>
      <c r="L3014" s="65"/>
      <c r="M3014" s="65"/>
      <c r="N3014" s="65"/>
      <c r="O3014" s="65"/>
      <c r="P3014" s="65"/>
      <c r="Q3014" s="65"/>
      <c r="R3014" s="65"/>
      <c r="S3014" s="65"/>
    </row>
    <row r="3015" spans="1:19" s="64" customFormat="1">
      <c r="A3015" s="316" t="s">
        <v>439</v>
      </c>
      <c r="B3015" s="123" t="s">
        <v>5072</v>
      </c>
      <c r="C3015" s="256" t="s">
        <v>3769</v>
      </c>
      <c r="D3015" s="256" t="s">
        <v>3768</v>
      </c>
      <c r="E3015" s="339" t="str">
        <f t="shared" si="47"/>
        <v>IF300300 : 현금담보반환</v>
      </c>
      <c r="K3015" s="65"/>
      <c r="L3015" s="65"/>
      <c r="M3015" s="65"/>
      <c r="N3015" s="65"/>
      <c r="O3015" s="65"/>
      <c r="P3015" s="65"/>
      <c r="Q3015" s="65"/>
      <c r="R3015" s="65"/>
      <c r="S3015" s="65"/>
    </row>
    <row r="3016" spans="1:19" s="64" customFormat="1">
      <c r="A3016" s="316" t="s">
        <v>439</v>
      </c>
      <c r="B3016" s="123" t="s">
        <v>5072</v>
      </c>
      <c r="C3016" s="256" t="s">
        <v>3767</v>
      </c>
      <c r="D3016" s="256" t="s">
        <v>3766</v>
      </c>
      <c r="E3016" s="339" t="str">
        <f t="shared" si="47"/>
        <v>IF300400 : CDS 매입 프리미엄 수수</v>
      </c>
      <c r="K3016" s="65"/>
      <c r="L3016" s="65"/>
      <c r="M3016" s="65"/>
      <c r="N3016" s="65"/>
      <c r="O3016" s="65"/>
      <c r="P3016" s="65"/>
      <c r="Q3016" s="65"/>
      <c r="R3016" s="65"/>
      <c r="S3016" s="65"/>
    </row>
    <row r="3017" spans="1:19" s="64" customFormat="1">
      <c r="A3017" s="316" t="s">
        <v>439</v>
      </c>
      <c r="B3017" s="123" t="s">
        <v>5072</v>
      </c>
      <c r="C3017" s="256" t="s">
        <v>3765</v>
      </c>
      <c r="D3017" s="256" t="s">
        <v>3764</v>
      </c>
      <c r="E3017" s="339" t="str">
        <f t="shared" si="47"/>
        <v>IF300500 : CDS 매입 만기소멸</v>
      </c>
      <c r="K3017" s="65"/>
      <c r="L3017" s="65"/>
      <c r="M3017" s="65"/>
      <c r="N3017" s="65"/>
      <c r="O3017" s="65"/>
      <c r="P3017" s="65"/>
      <c r="Q3017" s="65"/>
      <c r="R3017" s="65"/>
      <c r="S3017" s="65"/>
    </row>
    <row r="3018" spans="1:19" s="64" customFormat="1">
      <c r="A3018" s="316" t="s">
        <v>439</v>
      </c>
      <c r="B3018" s="123" t="s">
        <v>5072</v>
      </c>
      <c r="C3018" s="256" t="s">
        <v>3763</v>
      </c>
      <c r="D3018" s="256" t="s">
        <v>3762</v>
      </c>
      <c r="E3018" s="339" t="str">
        <f t="shared" si="47"/>
        <v>IF300600 : CDS 매입 중도청산</v>
      </c>
      <c r="K3018" s="65"/>
      <c r="L3018" s="65"/>
      <c r="M3018" s="65"/>
      <c r="N3018" s="65"/>
      <c r="O3018" s="65"/>
      <c r="P3018" s="65"/>
      <c r="Q3018" s="65"/>
      <c r="R3018" s="65"/>
      <c r="S3018" s="65"/>
    </row>
    <row r="3019" spans="1:19" s="64" customFormat="1">
      <c r="A3019" s="316" t="s">
        <v>439</v>
      </c>
      <c r="B3019" s="123" t="s">
        <v>5072</v>
      </c>
      <c r="C3019" s="256" t="s">
        <v>3761</v>
      </c>
      <c r="D3019" s="256" t="s">
        <v>3760</v>
      </c>
      <c r="E3019" s="339" t="str">
        <f t="shared" si="47"/>
        <v>IF300700 : CDS 보장원금 수취</v>
      </c>
      <c r="K3019" s="65"/>
      <c r="L3019" s="65"/>
      <c r="M3019" s="65"/>
      <c r="N3019" s="65"/>
      <c r="O3019" s="65"/>
      <c r="P3019" s="65"/>
      <c r="Q3019" s="65"/>
      <c r="R3019" s="65"/>
      <c r="S3019" s="65"/>
    </row>
    <row r="3020" spans="1:19" s="64" customFormat="1">
      <c r="A3020" s="316" t="s">
        <v>439</v>
      </c>
      <c r="B3020" s="123" t="s">
        <v>5072</v>
      </c>
      <c r="C3020" s="256" t="s">
        <v>3759</v>
      </c>
      <c r="D3020" s="256" t="s">
        <v>3758</v>
      </c>
      <c r="E3020" s="339" t="str">
        <f t="shared" si="47"/>
        <v>IF300800 : CDS 매도 프리미엄 수수</v>
      </c>
      <c r="K3020" s="65"/>
      <c r="L3020" s="65"/>
      <c r="M3020" s="65"/>
      <c r="N3020" s="65"/>
      <c r="O3020" s="65"/>
      <c r="P3020" s="65"/>
      <c r="Q3020" s="65"/>
      <c r="R3020" s="65"/>
      <c r="S3020" s="65"/>
    </row>
    <row r="3021" spans="1:19" s="64" customFormat="1">
      <c r="A3021" s="316" t="s">
        <v>439</v>
      </c>
      <c r="B3021" s="123" t="s">
        <v>5072</v>
      </c>
      <c r="C3021" s="256" t="s">
        <v>3757</v>
      </c>
      <c r="D3021" s="256" t="s">
        <v>3756</v>
      </c>
      <c r="E3021" s="339" t="str">
        <f t="shared" si="47"/>
        <v>IF300900 : CDS 매도 만기소멸</v>
      </c>
      <c r="K3021" s="65"/>
      <c r="L3021" s="65"/>
      <c r="M3021" s="65"/>
      <c r="N3021" s="65"/>
      <c r="O3021" s="65"/>
      <c r="P3021" s="65"/>
      <c r="Q3021" s="65"/>
      <c r="R3021" s="65"/>
      <c r="S3021" s="65"/>
    </row>
    <row r="3022" spans="1:19" s="64" customFormat="1">
      <c r="A3022" s="316" t="s">
        <v>439</v>
      </c>
      <c r="B3022" s="123" t="s">
        <v>5072</v>
      </c>
      <c r="C3022" s="256" t="s">
        <v>3755</v>
      </c>
      <c r="D3022" s="256" t="s">
        <v>3754</v>
      </c>
      <c r="E3022" s="339" t="str">
        <f t="shared" si="47"/>
        <v>IF301000 : CDS 매도 중도청산</v>
      </c>
      <c r="K3022" s="65"/>
      <c r="L3022" s="65"/>
      <c r="M3022" s="65"/>
      <c r="N3022" s="65"/>
      <c r="O3022" s="65"/>
      <c r="P3022" s="65"/>
      <c r="Q3022" s="65"/>
      <c r="R3022" s="65"/>
      <c r="S3022" s="65"/>
    </row>
    <row r="3023" spans="1:19" s="64" customFormat="1">
      <c r="A3023" s="316" t="s">
        <v>439</v>
      </c>
      <c r="B3023" s="123" t="s">
        <v>5072</v>
      </c>
      <c r="C3023" s="256" t="s">
        <v>3753</v>
      </c>
      <c r="D3023" s="256" t="s">
        <v>3752</v>
      </c>
      <c r="E3023" s="339" t="str">
        <f t="shared" si="47"/>
        <v>IF301100 : CDS 보장원금 지급</v>
      </c>
      <c r="K3023" s="65"/>
      <c r="L3023" s="65"/>
      <c r="M3023" s="65"/>
      <c r="N3023" s="65"/>
      <c r="O3023" s="65"/>
      <c r="P3023" s="65"/>
      <c r="Q3023" s="65"/>
      <c r="R3023" s="65"/>
      <c r="S3023" s="65"/>
    </row>
    <row r="3024" spans="1:19" s="64" customFormat="1">
      <c r="A3024" s="316" t="s">
        <v>439</v>
      </c>
      <c r="B3024" s="123" t="s">
        <v>5072</v>
      </c>
      <c r="C3024" s="256" t="s">
        <v>3751</v>
      </c>
      <c r="D3024" s="256" t="s">
        <v>3750</v>
      </c>
      <c r="E3024" s="339" t="str">
        <f t="shared" si="47"/>
        <v>IF410300 : TRI-PARTY 거래체결</v>
      </c>
      <c r="K3024" s="65"/>
      <c r="L3024" s="65"/>
      <c r="M3024" s="65"/>
      <c r="N3024" s="65"/>
      <c r="O3024" s="65"/>
      <c r="P3024" s="65"/>
      <c r="Q3024" s="65"/>
      <c r="R3024" s="65"/>
      <c r="S3024" s="65"/>
    </row>
    <row r="3025" spans="1:19" s="64" customFormat="1">
      <c r="A3025" s="316" t="s">
        <v>439</v>
      </c>
      <c r="B3025" s="123" t="s">
        <v>5072</v>
      </c>
      <c r="C3025" s="256" t="s">
        <v>3749</v>
      </c>
      <c r="D3025" s="256" t="s">
        <v>3748</v>
      </c>
      <c r="E3025" s="339" t="str">
        <f t="shared" si="47"/>
        <v>IF410400 : TRI-PARTY 거래만기</v>
      </c>
      <c r="K3025" s="65"/>
      <c r="L3025" s="65"/>
      <c r="M3025" s="65"/>
      <c r="N3025" s="65"/>
      <c r="O3025" s="65"/>
      <c r="P3025" s="65"/>
      <c r="Q3025" s="65"/>
      <c r="R3025" s="65"/>
      <c r="S3025" s="65"/>
    </row>
    <row r="3026" spans="1:19" s="64" customFormat="1">
      <c r="A3026" s="316" t="s">
        <v>439</v>
      </c>
      <c r="B3026" s="123" t="s">
        <v>5072</v>
      </c>
      <c r="C3026" s="256" t="s">
        <v>3747</v>
      </c>
      <c r="D3026" s="256" t="s">
        <v>3746</v>
      </c>
      <c r="E3026" s="339" t="str">
        <f t="shared" si="47"/>
        <v>LN010100 : 담보대출실행</v>
      </c>
      <c r="K3026" s="65"/>
      <c r="L3026" s="65"/>
      <c r="M3026" s="65"/>
      <c r="N3026" s="65"/>
      <c r="O3026" s="65"/>
      <c r="P3026" s="65"/>
      <c r="Q3026" s="65"/>
      <c r="R3026" s="65"/>
      <c r="S3026" s="65"/>
    </row>
    <row r="3027" spans="1:19" s="64" customFormat="1">
      <c r="A3027" s="316" t="s">
        <v>439</v>
      </c>
      <c r="B3027" s="123" t="s">
        <v>5072</v>
      </c>
      <c r="C3027" s="256" t="s">
        <v>3745</v>
      </c>
      <c r="D3027" s="256" t="s">
        <v>3744</v>
      </c>
      <c r="E3027" s="339" t="str">
        <f t="shared" si="47"/>
        <v>LN010199 : 담보대출실행(WIRE)</v>
      </c>
      <c r="K3027" s="65"/>
      <c r="L3027" s="65"/>
      <c r="M3027" s="65"/>
      <c r="N3027" s="65"/>
      <c r="O3027" s="65"/>
      <c r="P3027" s="65"/>
      <c r="Q3027" s="65"/>
      <c r="R3027" s="65"/>
      <c r="S3027" s="65"/>
    </row>
    <row r="3028" spans="1:19" s="64" customFormat="1">
      <c r="A3028" s="316" t="s">
        <v>439</v>
      </c>
      <c r="B3028" s="123" t="s">
        <v>5072</v>
      </c>
      <c r="C3028" s="256" t="s">
        <v>3743</v>
      </c>
      <c r="D3028" s="256" t="s">
        <v>3742</v>
      </c>
      <c r="E3028" s="339" t="str">
        <f t="shared" si="47"/>
        <v>LN010200 : 담보대출회수</v>
      </c>
      <c r="K3028" s="65"/>
      <c r="L3028" s="65"/>
      <c r="M3028" s="65"/>
      <c r="N3028" s="65"/>
      <c r="O3028" s="65"/>
      <c r="P3028" s="65"/>
      <c r="Q3028" s="65"/>
      <c r="R3028" s="65"/>
      <c r="S3028" s="65"/>
    </row>
    <row r="3029" spans="1:19" s="64" customFormat="1">
      <c r="A3029" s="316" t="s">
        <v>439</v>
      </c>
      <c r="B3029" s="123" t="s">
        <v>5072</v>
      </c>
      <c r="C3029" s="256" t="s">
        <v>3741</v>
      </c>
      <c r="D3029" s="256" t="s">
        <v>3740</v>
      </c>
      <c r="E3029" s="339" t="str">
        <f t="shared" si="47"/>
        <v>LN010299 : 담보대출회수(WIRE)</v>
      </c>
      <c r="K3029" s="65"/>
      <c r="L3029" s="65"/>
      <c r="M3029" s="65"/>
      <c r="N3029" s="65"/>
      <c r="O3029" s="65"/>
      <c r="P3029" s="65"/>
      <c r="Q3029" s="65"/>
      <c r="R3029" s="65"/>
      <c r="S3029" s="65"/>
    </row>
    <row r="3030" spans="1:19" s="64" customFormat="1">
      <c r="A3030" s="316" t="s">
        <v>439</v>
      </c>
      <c r="B3030" s="123" t="s">
        <v>5072</v>
      </c>
      <c r="C3030" s="256" t="s">
        <v>3739</v>
      </c>
      <c r="D3030" s="256" t="s">
        <v>3738</v>
      </c>
      <c r="E3030" s="339" t="str">
        <f t="shared" ref="E3030:E3093" si="48">_xlfn.TEXTJOIN(" : ",FALSE,C3030:D3030)</f>
        <v>LN010300 : 이자수취</v>
      </c>
      <c r="K3030" s="65"/>
      <c r="L3030" s="65"/>
      <c r="M3030" s="65"/>
      <c r="N3030" s="65"/>
      <c r="O3030" s="65"/>
      <c r="P3030" s="65"/>
      <c r="Q3030" s="65"/>
      <c r="R3030" s="65"/>
      <c r="S3030" s="65"/>
    </row>
    <row r="3031" spans="1:19" s="64" customFormat="1">
      <c r="A3031" s="316" t="s">
        <v>439</v>
      </c>
      <c r="B3031" s="123" t="s">
        <v>5072</v>
      </c>
      <c r="C3031" s="256" t="s">
        <v>3737</v>
      </c>
      <c r="D3031" s="256" t="s">
        <v>3736</v>
      </c>
      <c r="E3031" s="339" t="str">
        <f t="shared" si="48"/>
        <v>LN010400 : 일중당좌대출이자수취</v>
      </c>
      <c r="K3031" s="65"/>
      <c r="L3031" s="65"/>
      <c r="M3031" s="65"/>
      <c r="N3031" s="65"/>
      <c r="O3031" s="65"/>
      <c r="P3031" s="65"/>
      <c r="Q3031" s="65"/>
      <c r="R3031" s="65"/>
      <c r="S3031" s="65"/>
    </row>
    <row r="3032" spans="1:19" s="64" customFormat="1">
      <c r="A3032" s="316" t="s">
        <v>439</v>
      </c>
      <c r="B3032" s="123" t="s">
        <v>5072</v>
      </c>
      <c r="C3032" s="256" t="s">
        <v>3735</v>
      </c>
      <c r="D3032" s="256" t="s">
        <v>3734</v>
      </c>
      <c r="E3032" s="339" t="str">
        <f t="shared" si="48"/>
        <v>LN020100 : 재할인실행</v>
      </c>
      <c r="K3032" s="65"/>
      <c r="L3032" s="65"/>
      <c r="M3032" s="65"/>
      <c r="N3032" s="65"/>
      <c r="O3032" s="65"/>
      <c r="P3032" s="65"/>
      <c r="Q3032" s="65"/>
      <c r="R3032" s="65"/>
      <c r="S3032" s="65"/>
    </row>
    <row r="3033" spans="1:19" s="64" customFormat="1">
      <c r="A3033" s="316" t="s">
        <v>439</v>
      </c>
      <c r="B3033" s="123" t="s">
        <v>5072</v>
      </c>
      <c r="C3033" s="256" t="s">
        <v>3733</v>
      </c>
      <c r="D3033" s="256" t="s">
        <v>3732</v>
      </c>
      <c r="E3033" s="339" t="str">
        <f t="shared" si="48"/>
        <v>LN020199 : 재할인실행(WIRE)</v>
      </c>
      <c r="K3033" s="65"/>
      <c r="L3033" s="65"/>
      <c r="M3033" s="65"/>
      <c r="N3033" s="65"/>
      <c r="O3033" s="65"/>
      <c r="P3033" s="65"/>
      <c r="Q3033" s="65"/>
      <c r="R3033" s="65"/>
      <c r="S3033" s="65"/>
    </row>
    <row r="3034" spans="1:19" s="64" customFormat="1">
      <c r="A3034" s="316" t="s">
        <v>439</v>
      </c>
      <c r="B3034" s="123" t="s">
        <v>5072</v>
      </c>
      <c r="C3034" s="256" t="s">
        <v>3731</v>
      </c>
      <c r="D3034" s="256" t="s">
        <v>3730</v>
      </c>
      <c r="E3034" s="339" t="str">
        <f t="shared" si="48"/>
        <v>LN020200 : 재할인만기회수</v>
      </c>
      <c r="K3034" s="65"/>
      <c r="L3034" s="65"/>
      <c r="M3034" s="65"/>
      <c r="N3034" s="65"/>
      <c r="O3034" s="65"/>
      <c r="P3034" s="65"/>
      <c r="Q3034" s="65"/>
      <c r="R3034" s="65"/>
      <c r="S3034" s="65"/>
    </row>
    <row r="3035" spans="1:19" s="64" customFormat="1">
      <c r="A3035" s="316" t="s">
        <v>439</v>
      </c>
      <c r="B3035" s="123" t="s">
        <v>5072</v>
      </c>
      <c r="C3035" s="256" t="s">
        <v>3729</v>
      </c>
      <c r="D3035" s="256" t="s">
        <v>3728</v>
      </c>
      <c r="E3035" s="339" t="str">
        <f t="shared" si="48"/>
        <v>LN020201 : 추징할인료지급</v>
      </c>
      <c r="K3035" s="65"/>
      <c r="L3035" s="65"/>
      <c r="M3035" s="65"/>
      <c r="N3035" s="65"/>
      <c r="O3035" s="65"/>
      <c r="P3035" s="65"/>
      <c r="Q3035" s="65"/>
      <c r="R3035" s="65"/>
      <c r="S3035" s="65"/>
    </row>
    <row r="3036" spans="1:19" s="64" customFormat="1">
      <c r="A3036" s="316" t="s">
        <v>439</v>
      </c>
      <c r="B3036" s="123" t="s">
        <v>5072</v>
      </c>
      <c r="C3036" s="256" t="s">
        <v>3727</v>
      </c>
      <c r="D3036" s="256" t="s">
        <v>3726</v>
      </c>
      <c r="E3036" s="339" t="str">
        <f t="shared" si="48"/>
        <v>LN020300 : 재할인중도환매</v>
      </c>
      <c r="K3036" s="65"/>
      <c r="L3036" s="65"/>
      <c r="M3036" s="65"/>
      <c r="N3036" s="65"/>
      <c r="O3036" s="65"/>
      <c r="P3036" s="65"/>
      <c r="Q3036" s="65"/>
      <c r="R3036" s="65"/>
      <c r="S3036" s="65"/>
    </row>
    <row r="3037" spans="1:19" s="64" customFormat="1">
      <c r="A3037" s="316" t="s">
        <v>439</v>
      </c>
      <c r="B3037" s="123" t="s">
        <v>5072</v>
      </c>
      <c r="C3037" s="256" t="s">
        <v>3725</v>
      </c>
      <c r="D3037" s="256" t="s">
        <v>3724</v>
      </c>
      <c r="E3037" s="339" t="str">
        <f t="shared" si="48"/>
        <v>LN020301 : 환출할인료지급</v>
      </c>
      <c r="K3037" s="65"/>
      <c r="L3037" s="65"/>
      <c r="M3037" s="65"/>
      <c r="N3037" s="65"/>
      <c r="O3037" s="65"/>
      <c r="P3037" s="65"/>
      <c r="Q3037" s="65"/>
      <c r="R3037" s="65"/>
      <c r="S3037" s="65"/>
    </row>
    <row r="3038" spans="1:19" s="64" customFormat="1">
      <c r="A3038" s="316" t="s">
        <v>439</v>
      </c>
      <c r="B3038" s="123" t="s">
        <v>5072</v>
      </c>
      <c r="C3038" s="256" t="s">
        <v>3723</v>
      </c>
      <c r="D3038" s="256" t="s">
        <v>3722</v>
      </c>
      <c r="E3038" s="339" t="str">
        <f t="shared" si="48"/>
        <v>LN020400 : 가수금처리</v>
      </c>
      <c r="K3038" s="65"/>
      <c r="L3038" s="65"/>
      <c r="M3038" s="65"/>
      <c r="N3038" s="65"/>
      <c r="O3038" s="65"/>
      <c r="P3038" s="65"/>
      <c r="Q3038" s="65"/>
      <c r="R3038" s="65"/>
      <c r="S3038" s="65"/>
    </row>
    <row r="3039" spans="1:19" s="64" customFormat="1">
      <c r="A3039" s="316" t="s">
        <v>439</v>
      </c>
      <c r="B3039" s="123" t="s">
        <v>5072</v>
      </c>
      <c r="C3039" s="256" t="s">
        <v>3721</v>
      </c>
      <c r="D3039" s="256" t="s">
        <v>3720</v>
      </c>
      <c r="E3039" s="339" t="str">
        <f t="shared" si="48"/>
        <v>LN020401 : 가수금정리</v>
      </c>
      <c r="K3039" s="65"/>
      <c r="L3039" s="65"/>
      <c r="M3039" s="65"/>
      <c r="N3039" s="65"/>
      <c r="O3039" s="65"/>
      <c r="P3039" s="65"/>
      <c r="Q3039" s="65"/>
      <c r="R3039" s="65"/>
      <c r="S3039" s="65"/>
    </row>
    <row r="3040" spans="1:19" s="64" customFormat="1">
      <c r="A3040" s="316" t="s">
        <v>439</v>
      </c>
      <c r="B3040" s="123" t="s">
        <v>5072</v>
      </c>
      <c r="C3040" s="256" t="s">
        <v>3719</v>
      </c>
      <c r="D3040" s="256" t="s">
        <v>3718</v>
      </c>
      <c r="E3040" s="339" t="str">
        <f t="shared" si="48"/>
        <v>LN030101 : 당좌대출제공(정상)</v>
      </c>
      <c r="K3040" s="65"/>
      <c r="L3040" s="65"/>
      <c r="M3040" s="65"/>
      <c r="N3040" s="65"/>
      <c r="O3040" s="65"/>
      <c r="P3040" s="65"/>
      <c r="Q3040" s="65"/>
      <c r="R3040" s="65"/>
      <c r="S3040" s="65"/>
    </row>
    <row r="3041" spans="1:19" s="64" customFormat="1">
      <c r="A3041" s="316" t="s">
        <v>439</v>
      </c>
      <c r="B3041" s="123" t="s">
        <v>5072</v>
      </c>
      <c r="C3041" s="256" t="s">
        <v>3717</v>
      </c>
      <c r="D3041" s="256" t="s">
        <v>3716</v>
      </c>
      <c r="E3041" s="339" t="str">
        <f t="shared" si="48"/>
        <v>LN030103 : 당좌대출제공(취소)</v>
      </c>
      <c r="K3041" s="65"/>
      <c r="L3041" s="65"/>
      <c r="M3041" s="65"/>
      <c r="N3041" s="65"/>
      <c r="O3041" s="65"/>
      <c r="P3041" s="65"/>
      <c r="Q3041" s="65"/>
      <c r="R3041" s="65"/>
      <c r="S3041" s="65"/>
    </row>
    <row r="3042" spans="1:19" s="64" customFormat="1">
      <c r="A3042" s="316" t="s">
        <v>439</v>
      </c>
      <c r="B3042" s="123" t="s">
        <v>5072</v>
      </c>
      <c r="C3042" s="256" t="s">
        <v>3715</v>
      </c>
      <c r="D3042" s="256" t="s">
        <v>3714</v>
      </c>
      <c r="E3042" s="339" t="str">
        <f t="shared" si="48"/>
        <v>LN030201 : 당좌대출회수(정상)</v>
      </c>
      <c r="K3042" s="65"/>
      <c r="L3042" s="65"/>
      <c r="M3042" s="65"/>
      <c r="N3042" s="65"/>
      <c r="O3042" s="65"/>
      <c r="P3042" s="65"/>
      <c r="Q3042" s="65"/>
      <c r="R3042" s="65"/>
      <c r="S3042" s="65"/>
    </row>
    <row r="3043" spans="1:19" s="64" customFormat="1">
      <c r="A3043" s="316" t="s">
        <v>439</v>
      </c>
      <c r="B3043" s="123" t="s">
        <v>5072</v>
      </c>
      <c r="C3043" s="256" t="s">
        <v>3713</v>
      </c>
      <c r="D3043" s="256" t="s">
        <v>3712</v>
      </c>
      <c r="E3043" s="339" t="str">
        <f t="shared" si="48"/>
        <v>LN030203 : 당좌대출회수(취소)</v>
      </c>
      <c r="K3043" s="65"/>
      <c r="L3043" s="65"/>
      <c r="M3043" s="65"/>
      <c r="N3043" s="65"/>
      <c r="O3043" s="65"/>
      <c r="P3043" s="65"/>
      <c r="Q3043" s="65"/>
      <c r="R3043" s="65"/>
      <c r="S3043" s="65"/>
    </row>
    <row r="3044" spans="1:19" s="64" customFormat="1">
      <c r="A3044" s="316" t="s">
        <v>439</v>
      </c>
      <c r="B3044" s="123" t="s">
        <v>5072</v>
      </c>
      <c r="C3044" s="256" t="s">
        <v>3711</v>
      </c>
      <c r="D3044" s="256" t="s">
        <v>3710</v>
      </c>
      <c r="E3044" s="339" t="str">
        <f t="shared" si="48"/>
        <v>LN030301 : 담보대출로 전환(한은거래)</v>
      </c>
      <c r="K3044" s="65"/>
      <c r="L3044" s="65"/>
      <c r="M3044" s="65"/>
      <c r="N3044" s="65"/>
      <c r="O3044" s="65"/>
      <c r="P3044" s="65"/>
      <c r="Q3044" s="65"/>
      <c r="R3044" s="65"/>
      <c r="S3044" s="65"/>
    </row>
    <row r="3045" spans="1:19" s="64" customFormat="1">
      <c r="A3045" s="316" t="s">
        <v>439</v>
      </c>
      <c r="B3045" s="123" t="s">
        <v>5072</v>
      </c>
      <c r="C3045" s="256" t="s">
        <v>3709</v>
      </c>
      <c r="D3045" s="256" t="s">
        <v>3708</v>
      </c>
      <c r="E3045" s="339" t="str">
        <f t="shared" si="48"/>
        <v>LN030302 : 일중당좌대출이자수취(G1전환)</v>
      </c>
      <c r="K3045" s="65"/>
      <c r="L3045" s="65"/>
      <c r="M3045" s="65"/>
      <c r="N3045" s="65"/>
      <c r="O3045" s="65"/>
      <c r="P3045" s="65"/>
      <c r="Q3045" s="65"/>
      <c r="R3045" s="65"/>
      <c r="S3045" s="65"/>
    </row>
    <row r="3046" spans="1:19" s="64" customFormat="1">
      <c r="A3046" s="316" t="s">
        <v>439</v>
      </c>
      <c r="B3046" s="123" t="s">
        <v>5072</v>
      </c>
      <c r="C3046" s="256" t="s">
        <v>3707</v>
      </c>
      <c r="D3046" s="256" t="s">
        <v>3706</v>
      </c>
      <c r="E3046" s="339" t="str">
        <f t="shared" si="48"/>
        <v>LN030303 : 담보대출로 전환 취소</v>
      </c>
      <c r="K3046" s="65"/>
      <c r="L3046" s="65"/>
      <c r="M3046" s="65"/>
      <c r="N3046" s="65"/>
      <c r="O3046" s="65"/>
      <c r="P3046" s="65"/>
      <c r="Q3046" s="65"/>
      <c r="R3046" s="65"/>
      <c r="S3046" s="65"/>
    </row>
    <row r="3047" spans="1:19" s="64" customFormat="1">
      <c r="A3047" s="316" t="s">
        <v>439</v>
      </c>
      <c r="B3047" s="123" t="s">
        <v>5072</v>
      </c>
      <c r="C3047" s="256" t="s">
        <v>3705</v>
      </c>
      <c r="D3047" s="256" t="s">
        <v>3704</v>
      </c>
      <c r="E3047" s="339" t="str">
        <f t="shared" si="48"/>
        <v>LN030311 : 담보대출로 전환(결제전용)</v>
      </c>
      <c r="K3047" s="65"/>
      <c r="L3047" s="65"/>
      <c r="M3047" s="65"/>
      <c r="N3047" s="65"/>
      <c r="O3047" s="65"/>
      <c r="P3047" s="65"/>
      <c r="Q3047" s="65"/>
      <c r="R3047" s="65"/>
      <c r="S3047" s="65"/>
    </row>
    <row r="3048" spans="1:19" s="64" customFormat="1">
      <c r="A3048" s="316" t="s">
        <v>439</v>
      </c>
      <c r="B3048" s="123" t="s">
        <v>5072</v>
      </c>
      <c r="C3048" s="256" t="s">
        <v>3703</v>
      </c>
      <c r="D3048" s="256" t="s">
        <v>3702</v>
      </c>
      <c r="E3048" s="339" t="str">
        <f t="shared" si="48"/>
        <v>LN030321 : 담보대출로 전환(한은거래,결제전용)</v>
      </c>
      <c r="K3048" s="65"/>
      <c r="L3048" s="65"/>
      <c r="M3048" s="65"/>
      <c r="N3048" s="65"/>
      <c r="O3048" s="65"/>
      <c r="P3048" s="65"/>
      <c r="Q3048" s="65"/>
      <c r="R3048" s="65"/>
      <c r="S3048" s="65"/>
    </row>
    <row r="3049" spans="1:19" s="64" customFormat="1">
      <c r="A3049" s="316" t="s">
        <v>439</v>
      </c>
      <c r="B3049" s="123" t="s">
        <v>5072</v>
      </c>
      <c r="C3049" s="256" t="s">
        <v>3701</v>
      </c>
      <c r="D3049" s="256" t="s">
        <v>3700</v>
      </c>
      <c r="E3049" s="339" t="str">
        <f t="shared" si="48"/>
        <v>LN040101 : 자금조정대출실행</v>
      </c>
      <c r="K3049" s="65"/>
      <c r="L3049" s="65"/>
      <c r="M3049" s="65"/>
      <c r="N3049" s="65"/>
      <c r="O3049" s="65"/>
      <c r="P3049" s="65"/>
      <c r="Q3049" s="65"/>
      <c r="R3049" s="65"/>
      <c r="S3049" s="65"/>
    </row>
    <row r="3050" spans="1:19" s="64" customFormat="1">
      <c r="A3050" s="316" t="s">
        <v>439</v>
      </c>
      <c r="B3050" s="123" t="s">
        <v>5072</v>
      </c>
      <c r="C3050" s="256" t="s">
        <v>3699</v>
      </c>
      <c r="D3050" s="256" t="s">
        <v>3698</v>
      </c>
      <c r="E3050" s="339" t="str">
        <f t="shared" si="48"/>
        <v>LN040201 : 자금조정대출회수</v>
      </c>
      <c r="K3050" s="65"/>
      <c r="L3050" s="65"/>
      <c r="M3050" s="65"/>
      <c r="N3050" s="65"/>
      <c r="O3050" s="65"/>
      <c r="P3050" s="65"/>
      <c r="Q3050" s="65"/>
      <c r="R3050" s="65"/>
      <c r="S3050" s="65"/>
    </row>
    <row r="3051" spans="1:19" s="64" customFormat="1">
      <c r="A3051" s="316" t="s">
        <v>439</v>
      </c>
      <c r="B3051" s="123" t="s">
        <v>5072</v>
      </c>
      <c r="C3051" s="256" t="s">
        <v>3697</v>
      </c>
      <c r="D3051" s="256" t="s">
        <v>3696</v>
      </c>
      <c r="E3051" s="339" t="str">
        <f t="shared" si="48"/>
        <v>LN040301 : 자금조정대출이자수취</v>
      </c>
      <c r="K3051" s="65"/>
      <c r="L3051" s="65"/>
      <c r="M3051" s="65"/>
      <c r="N3051" s="65"/>
      <c r="O3051" s="65"/>
      <c r="P3051" s="65"/>
      <c r="Q3051" s="65"/>
      <c r="R3051" s="65"/>
      <c r="S3051" s="65"/>
    </row>
    <row r="3052" spans="1:19" s="64" customFormat="1">
      <c r="A3052" s="316" t="s">
        <v>439</v>
      </c>
      <c r="B3052" s="123" t="s">
        <v>5072</v>
      </c>
      <c r="C3052" s="256" t="s">
        <v>3695</v>
      </c>
      <c r="D3052" s="256" t="s">
        <v>3694</v>
      </c>
      <c r="E3052" s="339" t="str">
        <f t="shared" si="48"/>
        <v>LP020000 : 자금이체(당행)</v>
      </c>
      <c r="K3052" s="65"/>
      <c r="L3052" s="65"/>
      <c r="M3052" s="65"/>
      <c r="N3052" s="65"/>
      <c r="O3052" s="65"/>
      <c r="P3052" s="65"/>
      <c r="Q3052" s="65"/>
      <c r="R3052" s="65"/>
      <c r="S3052" s="65"/>
    </row>
    <row r="3053" spans="1:19" s="64" customFormat="1">
      <c r="A3053" s="316" t="s">
        <v>439</v>
      </c>
      <c r="B3053" s="123" t="s">
        <v>5072</v>
      </c>
      <c r="C3053" s="256" t="s">
        <v>3693</v>
      </c>
      <c r="D3053" s="256" t="s">
        <v>3692</v>
      </c>
      <c r="E3053" s="339" t="str">
        <f t="shared" si="48"/>
        <v>LP020011 : 자금이체(혼-총액)</v>
      </c>
      <c r="K3053" s="65"/>
      <c r="L3053" s="65"/>
      <c r="M3053" s="65"/>
      <c r="N3053" s="65"/>
      <c r="O3053" s="65"/>
      <c r="P3053" s="65"/>
      <c r="Q3053" s="65"/>
      <c r="R3053" s="65"/>
      <c r="S3053" s="65"/>
    </row>
    <row r="3054" spans="1:19" s="64" customFormat="1">
      <c r="A3054" s="316" t="s">
        <v>439</v>
      </c>
      <c r="B3054" s="123" t="s">
        <v>5072</v>
      </c>
      <c r="C3054" s="256" t="s">
        <v>3691</v>
      </c>
      <c r="D3054" s="256" t="s">
        <v>3690</v>
      </c>
      <c r="E3054" s="339" t="str">
        <f t="shared" si="48"/>
        <v>LP020012 : 자금이체(혼-장내주식거래)</v>
      </c>
      <c r="K3054" s="65"/>
      <c r="L3054" s="65"/>
      <c r="M3054" s="65"/>
      <c r="N3054" s="65"/>
      <c r="O3054" s="65"/>
      <c r="P3054" s="65"/>
      <c r="Q3054" s="65"/>
      <c r="R3054" s="65"/>
      <c r="S3054" s="65"/>
    </row>
    <row r="3055" spans="1:19" s="64" customFormat="1">
      <c r="A3055" s="316" t="s">
        <v>439</v>
      </c>
      <c r="B3055" s="123" t="s">
        <v>5072</v>
      </c>
      <c r="C3055" s="256" t="s">
        <v>3689</v>
      </c>
      <c r="D3055" s="256" t="s">
        <v>3688</v>
      </c>
      <c r="E3055" s="339" t="str">
        <f t="shared" si="48"/>
        <v>LP020013 : 자금이체(혼-주식기관결제)</v>
      </c>
      <c r="K3055" s="65"/>
      <c r="L3055" s="65"/>
      <c r="M3055" s="65"/>
      <c r="N3055" s="65"/>
      <c r="O3055" s="65"/>
      <c r="P3055" s="65"/>
      <c r="Q3055" s="65"/>
      <c r="R3055" s="65"/>
      <c r="S3055" s="65"/>
    </row>
    <row r="3056" spans="1:19" s="64" customFormat="1">
      <c r="A3056" s="316" t="s">
        <v>439</v>
      </c>
      <c r="B3056" s="123" t="s">
        <v>5072</v>
      </c>
      <c r="C3056" s="256" t="s">
        <v>3687</v>
      </c>
      <c r="D3056" s="256" t="s">
        <v>3686</v>
      </c>
      <c r="E3056" s="339" t="str">
        <f t="shared" si="48"/>
        <v>LP020055 : 자금이체(양자간)</v>
      </c>
      <c r="K3056" s="65"/>
      <c r="L3056" s="65"/>
      <c r="M3056" s="65"/>
      <c r="N3056" s="65"/>
      <c r="O3056" s="65"/>
      <c r="P3056" s="65"/>
      <c r="Q3056" s="65"/>
      <c r="R3056" s="65"/>
      <c r="S3056" s="65"/>
    </row>
    <row r="3057" spans="1:19" s="64" customFormat="1">
      <c r="A3057" s="316" t="s">
        <v>439</v>
      </c>
      <c r="B3057" s="123" t="s">
        <v>5072</v>
      </c>
      <c r="C3057" s="256" t="s">
        <v>3685</v>
      </c>
      <c r="D3057" s="256" t="s">
        <v>3684</v>
      </c>
      <c r="E3057" s="339" t="str">
        <f t="shared" si="48"/>
        <v>LP020066 : 자금이체(다자간)</v>
      </c>
      <c r="K3057" s="65"/>
      <c r="L3057" s="65"/>
      <c r="M3057" s="65"/>
      <c r="N3057" s="65"/>
      <c r="O3057" s="65"/>
      <c r="P3057" s="65"/>
      <c r="Q3057" s="65"/>
      <c r="R3057" s="65"/>
      <c r="S3057" s="65"/>
    </row>
    <row r="3058" spans="1:19" s="64" customFormat="1">
      <c r="A3058" s="316" t="s">
        <v>439</v>
      </c>
      <c r="B3058" s="123" t="s">
        <v>5072</v>
      </c>
      <c r="C3058" s="256" t="s">
        <v>3683</v>
      </c>
      <c r="D3058" s="256" t="s">
        <v>3682</v>
      </c>
      <c r="E3058" s="339" t="str">
        <f t="shared" si="48"/>
        <v>LP020077 : 에약가능확인</v>
      </c>
      <c r="K3058" s="65"/>
      <c r="L3058" s="65"/>
      <c r="M3058" s="65"/>
      <c r="N3058" s="65"/>
      <c r="O3058" s="65"/>
      <c r="P3058" s="65"/>
      <c r="Q3058" s="65"/>
      <c r="R3058" s="65"/>
      <c r="S3058" s="65"/>
    </row>
    <row r="3059" spans="1:19" s="64" customFormat="1">
      <c r="A3059" s="316" t="s">
        <v>439</v>
      </c>
      <c r="B3059" s="123" t="s">
        <v>5072</v>
      </c>
      <c r="C3059" s="256" t="s">
        <v>3681</v>
      </c>
      <c r="D3059" s="256" t="s">
        <v>3680</v>
      </c>
      <c r="E3059" s="339" t="str">
        <f t="shared" si="48"/>
        <v>LP020088 : 자금이체(최적화대기결제)</v>
      </c>
      <c r="K3059" s="65"/>
      <c r="L3059" s="65"/>
      <c r="M3059" s="65"/>
      <c r="N3059" s="65"/>
      <c r="O3059" s="65"/>
      <c r="P3059" s="65"/>
      <c r="Q3059" s="65"/>
      <c r="R3059" s="65"/>
      <c r="S3059" s="65"/>
    </row>
    <row r="3060" spans="1:19" s="64" customFormat="1">
      <c r="A3060" s="316" t="s">
        <v>439</v>
      </c>
      <c r="B3060" s="123" t="s">
        <v>5072</v>
      </c>
      <c r="C3060" s="256" t="s">
        <v>3679</v>
      </c>
      <c r="D3060" s="256" t="s">
        <v>3678</v>
      </c>
      <c r="E3060" s="339" t="str">
        <f t="shared" si="48"/>
        <v>LP020099 : 자금이체(WIRE)</v>
      </c>
      <c r="K3060" s="65"/>
      <c r="L3060" s="65"/>
      <c r="M3060" s="65"/>
      <c r="N3060" s="65"/>
      <c r="O3060" s="65"/>
      <c r="P3060" s="65"/>
      <c r="Q3060" s="65"/>
      <c r="R3060" s="65"/>
      <c r="S3060" s="65"/>
    </row>
    <row r="3061" spans="1:19" s="64" customFormat="1">
      <c r="A3061" s="316" t="s">
        <v>439</v>
      </c>
      <c r="B3061" s="123" t="s">
        <v>5072</v>
      </c>
      <c r="C3061" s="256" t="s">
        <v>3677</v>
      </c>
      <c r="D3061" s="256" t="s">
        <v>3676</v>
      </c>
      <c r="E3061" s="339" t="str">
        <f t="shared" si="48"/>
        <v>LP030011 : 콜체결(혼-총액)</v>
      </c>
      <c r="K3061" s="65"/>
      <c r="L3061" s="65"/>
      <c r="M3061" s="65"/>
      <c r="N3061" s="65"/>
      <c r="O3061" s="65"/>
      <c r="P3061" s="65"/>
      <c r="Q3061" s="65"/>
      <c r="R3061" s="65"/>
      <c r="S3061" s="65"/>
    </row>
    <row r="3062" spans="1:19" s="64" customFormat="1">
      <c r="A3062" s="316" t="s">
        <v>439</v>
      </c>
      <c r="B3062" s="123" t="s">
        <v>5072</v>
      </c>
      <c r="C3062" s="256" t="s">
        <v>3675</v>
      </c>
      <c r="D3062" s="256" t="s">
        <v>3674</v>
      </c>
      <c r="E3062" s="339" t="str">
        <f t="shared" si="48"/>
        <v>LP030012 : 콜반환(혼-총액)</v>
      </c>
      <c r="K3062" s="65"/>
      <c r="L3062" s="65"/>
      <c r="M3062" s="65"/>
      <c r="N3062" s="65"/>
      <c r="O3062" s="65"/>
      <c r="P3062" s="65"/>
      <c r="Q3062" s="65"/>
      <c r="R3062" s="65"/>
      <c r="S3062" s="65"/>
    </row>
    <row r="3063" spans="1:19" s="64" customFormat="1">
      <c r="A3063" s="316" t="s">
        <v>439</v>
      </c>
      <c r="B3063" s="123" t="s">
        <v>5072</v>
      </c>
      <c r="C3063" s="256" t="s">
        <v>3673</v>
      </c>
      <c r="D3063" s="256" t="s">
        <v>3672</v>
      </c>
      <c r="E3063" s="339" t="str">
        <f t="shared" si="48"/>
        <v>LP030055 : 콜체결(양자간)</v>
      </c>
      <c r="K3063" s="65"/>
      <c r="L3063" s="65"/>
      <c r="M3063" s="65"/>
      <c r="N3063" s="65"/>
      <c r="O3063" s="65"/>
      <c r="P3063" s="65"/>
      <c r="Q3063" s="65"/>
      <c r="R3063" s="65"/>
      <c r="S3063" s="65"/>
    </row>
    <row r="3064" spans="1:19" s="64" customFormat="1">
      <c r="A3064" s="316" t="s">
        <v>439</v>
      </c>
      <c r="B3064" s="123" t="s">
        <v>5072</v>
      </c>
      <c r="C3064" s="256" t="s">
        <v>3671</v>
      </c>
      <c r="D3064" s="256" t="s">
        <v>3670</v>
      </c>
      <c r="E3064" s="339" t="str">
        <f t="shared" si="48"/>
        <v>LP030066 : 콜체결(다자간)</v>
      </c>
      <c r="K3064" s="65"/>
      <c r="L3064" s="65"/>
      <c r="M3064" s="65"/>
      <c r="N3064" s="65"/>
      <c r="O3064" s="65"/>
      <c r="P3064" s="65"/>
      <c r="Q3064" s="65"/>
      <c r="R3064" s="65"/>
      <c r="S3064" s="65"/>
    </row>
    <row r="3065" spans="1:19" s="64" customFormat="1">
      <c r="A3065" s="316" t="s">
        <v>439</v>
      </c>
      <c r="B3065" s="123" t="s">
        <v>5072</v>
      </c>
      <c r="C3065" s="256" t="s">
        <v>3669</v>
      </c>
      <c r="D3065" s="256" t="s">
        <v>3668</v>
      </c>
      <c r="E3065" s="339" t="str">
        <f t="shared" si="48"/>
        <v>LP030067 : 콜반환(다자간)</v>
      </c>
      <c r="K3065" s="65"/>
      <c r="L3065" s="65"/>
      <c r="M3065" s="65"/>
      <c r="N3065" s="65"/>
      <c r="O3065" s="65"/>
      <c r="P3065" s="65"/>
      <c r="Q3065" s="65"/>
      <c r="R3065" s="65"/>
      <c r="S3065" s="65"/>
    </row>
    <row r="3066" spans="1:19" s="64" customFormat="1">
      <c r="A3066" s="316" t="s">
        <v>439</v>
      </c>
      <c r="B3066" s="123" t="s">
        <v>5072</v>
      </c>
      <c r="C3066" s="256" t="s">
        <v>3667</v>
      </c>
      <c r="D3066" s="256" t="s">
        <v>3666</v>
      </c>
      <c r="E3066" s="339" t="str">
        <f t="shared" si="48"/>
        <v>LP040011 : 콜상환(혼-총액)</v>
      </c>
      <c r="K3066" s="65"/>
      <c r="L3066" s="65"/>
      <c r="M3066" s="65"/>
      <c r="N3066" s="65"/>
      <c r="O3066" s="65"/>
      <c r="P3066" s="65"/>
      <c r="Q3066" s="65"/>
      <c r="R3066" s="65"/>
      <c r="S3066" s="65"/>
    </row>
    <row r="3067" spans="1:19" s="64" customFormat="1">
      <c r="A3067" s="316" t="s">
        <v>439</v>
      </c>
      <c r="B3067" s="123" t="s">
        <v>5072</v>
      </c>
      <c r="C3067" s="256" t="s">
        <v>3665</v>
      </c>
      <c r="D3067" s="256" t="s">
        <v>3664</v>
      </c>
      <c r="E3067" s="339" t="str">
        <f t="shared" si="48"/>
        <v>LP040044 : 콜연결상환</v>
      </c>
      <c r="K3067" s="65"/>
      <c r="L3067" s="65"/>
      <c r="M3067" s="65"/>
      <c r="N3067" s="65"/>
      <c r="O3067" s="65"/>
      <c r="P3067" s="65"/>
      <c r="Q3067" s="65"/>
      <c r="R3067" s="65"/>
      <c r="S3067" s="65"/>
    </row>
    <row r="3068" spans="1:19" s="64" customFormat="1">
      <c r="A3068" s="316" t="s">
        <v>439</v>
      </c>
      <c r="B3068" s="123" t="s">
        <v>5072</v>
      </c>
      <c r="C3068" s="256" t="s">
        <v>3663</v>
      </c>
      <c r="D3068" s="256" t="s">
        <v>3662</v>
      </c>
      <c r="E3068" s="339" t="str">
        <f t="shared" si="48"/>
        <v>LP040055 : 콜상환(양자간)</v>
      </c>
      <c r="K3068" s="65"/>
      <c r="L3068" s="65"/>
      <c r="M3068" s="65"/>
      <c r="N3068" s="65"/>
      <c r="O3068" s="65"/>
      <c r="P3068" s="65"/>
      <c r="Q3068" s="65"/>
      <c r="R3068" s="65"/>
      <c r="S3068" s="65"/>
    </row>
    <row r="3069" spans="1:19" s="64" customFormat="1">
      <c r="A3069" s="316" t="s">
        <v>439</v>
      </c>
      <c r="B3069" s="123" t="s">
        <v>5072</v>
      </c>
      <c r="C3069" s="256" t="s">
        <v>3661</v>
      </c>
      <c r="D3069" s="256" t="s">
        <v>3660</v>
      </c>
      <c r="E3069" s="339" t="str">
        <f t="shared" si="48"/>
        <v>LP040066 : 콜상환(다자간)</v>
      </c>
      <c r="K3069" s="65"/>
      <c r="L3069" s="65"/>
      <c r="M3069" s="65"/>
      <c r="N3069" s="65"/>
      <c r="O3069" s="65"/>
      <c r="P3069" s="65"/>
      <c r="Q3069" s="65"/>
      <c r="R3069" s="65"/>
      <c r="S3069" s="65"/>
    </row>
    <row r="3070" spans="1:19" s="64" customFormat="1">
      <c r="A3070" s="316" t="s">
        <v>439</v>
      </c>
      <c r="B3070" s="123" t="s">
        <v>5072</v>
      </c>
      <c r="C3070" s="256" t="s">
        <v>3659</v>
      </c>
      <c r="D3070" s="256" t="s">
        <v>3658</v>
      </c>
      <c r="E3070" s="339" t="str">
        <f t="shared" si="48"/>
        <v>LP050100 : CD공동망</v>
      </c>
      <c r="K3070" s="65"/>
      <c r="L3070" s="65"/>
      <c r="M3070" s="65"/>
      <c r="N3070" s="65"/>
      <c r="O3070" s="65"/>
      <c r="P3070" s="65"/>
      <c r="Q3070" s="65"/>
      <c r="R3070" s="65"/>
      <c r="S3070" s="65"/>
    </row>
    <row r="3071" spans="1:19" s="64" customFormat="1">
      <c r="A3071" s="316" t="s">
        <v>439</v>
      </c>
      <c r="B3071" s="123" t="s">
        <v>5072</v>
      </c>
      <c r="C3071" s="256" t="s">
        <v>3657</v>
      </c>
      <c r="D3071" s="256" t="s">
        <v>3656</v>
      </c>
      <c r="E3071" s="339" t="str">
        <f t="shared" si="48"/>
        <v>LP050200 : 은행지로</v>
      </c>
      <c r="K3071" s="65"/>
      <c r="L3071" s="65"/>
      <c r="M3071" s="65"/>
      <c r="N3071" s="65"/>
      <c r="O3071" s="65"/>
      <c r="P3071" s="65"/>
      <c r="Q3071" s="65"/>
      <c r="R3071" s="65"/>
      <c r="S3071" s="65"/>
    </row>
    <row r="3072" spans="1:19" s="64" customFormat="1">
      <c r="A3072" s="316" t="s">
        <v>439</v>
      </c>
      <c r="B3072" s="123" t="s">
        <v>5072</v>
      </c>
      <c r="C3072" s="256" t="s">
        <v>3655</v>
      </c>
      <c r="D3072" s="256" t="s">
        <v>3654</v>
      </c>
      <c r="E3072" s="339" t="str">
        <f t="shared" si="48"/>
        <v>LP050300 : 타행환공동망</v>
      </c>
      <c r="K3072" s="65"/>
      <c r="L3072" s="65"/>
      <c r="M3072" s="65"/>
      <c r="N3072" s="65"/>
      <c r="O3072" s="65"/>
      <c r="P3072" s="65"/>
      <c r="Q3072" s="65"/>
      <c r="R3072" s="65"/>
      <c r="S3072" s="65"/>
    </row>
    <row r="3073" spans="1:19" s="64" customFormat="1">
      <c r="A3073" s="316" t="s">
        <v>439</v>
      </c>
      <c r="B3073" s="123" t="s">
        <v>5072</v>
      </c>
      <c r="C3073" s="256" t="s">
        <v>3653</v>
      </c>
      <c r="D3073" s="256" t="s">
        <v>3652</v>
      </c>
      <c r="E3073" s="339" t="str">
        <f t="shared" si="48"/>
        <v>LP050400 : 직불카드공동망</v>
      </c>
      <c r="K3073" s="65"/>
      <c r="L3073" s="65"/>
      <c r="M3073" s="65"/>
      <c r="N3073" s="65"/>
      <c r="O3073" s="65"/>
      <c r="P3073" s="65"/>
      <c r="Q3073" s="65"/>
      <c r="R3073" s="65"/>
      <c r="S3073" s="65"/>
    </row>
    <row r="3074" spans="1:19" s="64" customFormat="1">
      <c r="A3074" s="316" t="s">
        <v>439</v>
      </c>
      <c r="B3074" s="123" t="s">
        <v>5072</v>
      </c>
      <c r="C3074" s="256" t="s">
        <v>3651</v>
      </c>
      <c r="D3074" s="256" t="s">
        <v>3650</v>
      </c>
      <c r="E3074" s="339" t="str">
        <f t="shared" si="48"/>
        <v>LP050500 : CMS공동망</v>
      </c>
      <c r="K3074" s="65"/>
      <c r="L3074" s="65"/>
      <c r="M3074" s="65"/>
      <c r="N3074" s="65"/>
      <c r="O3074" s="65"/>
      <c r="P3074" s="65"/>
      <c r="Q3074" s="65"/>
      <c r="R3074" s="65"/>
      <c r="S3074" s="65"/>
    </row>
    <row r="3075" spans="1:19" s="64" customFormat="1">
      <c r="A3075" s="316" t="s">
        <v>439</v>
      </c>
      <c r="B3075" s="123" t="s">
        <v>5072</v>
      </c>
      <c r="C3075" s="256" t="s">
        <v>3649</v>
      </c>
      <c r="D3075" s="256" t="s">
        <v>3648</v>
      </c>
      <c r="E3075" s="339" t="str">
        <f t="shared" si="48"/>
        <v>LP050600 : 지방은행공동망</v>
      </c>
      <c r="K3075" s="65"/>
      <c r="L3075" s="65"/>
      <c r="M3075" s="65"/>
      <c r="N3075" s="65"/>
      <c r="O3075" s="65"/>
      <c r="P3075" s="65"/>
      <c r="Q3075" s="65"/>
      <c r="R3075" s="65"/>
      <c r="S3075" s="65"/>
    </row>
    <row r="3076" spans="1:19" s="64" customFormat="1">
      <c r="A3076" s="316" t="s">
        <v>439</v>
      </c>
      <c r="B3076" s="123" t="s">
        <v>5072</v>
      </c>
      <c r="C3076" s="256" t="s">
        <v>3647</v>
      </c>
      <c r="D3076" s="256" t="s">
        <v>3646</v>
      </c>
      <c r="E3076" s="339" t="str">
        <f t="shared" si="48"/>
        <v>LP050800 : 전자화폐공동망</v>
      </c>
      <c r="K3076" s="65"/>
      <c r="L3076" s="65"/>
      <c r="M3076" s="65"/>
      <c r="N3076" s="65"/>
      <c r="O3076" s="65"/>
      <c r="P3076" s="65"/>
      <c r="Q3076" s="65"/>
      <c r="R3076" s="65"/>
      <c r="S3076" s="65"/>
    </row>
    <row r="3077" spans="1:19" s="64" customFormat="1">
      <c r="A3077" s="316" t="s">
        <v>439</v>
      </c>
      <c r="B3077" s="123" t="s">
        <v>5072</v>
      </c>
      <c r="C3077" s="256" t="s">
        <v>3645</v>
      </c>
      <c r="D3077" s="256" t="s">
        <v>3644</v>
      </c>
      <c r="E3077" s="339" t="str">
        <f t="shared" si="48"/>
        <v>LP050900 : B2C전자상거래</v>
      </c>
      <c r="K3077" s="65"/>
      <c r="L3077" s="65"/>
      <c r="M3077" s="65"/>
      <c r="N3077" s="65"/>
      <c r="O3077" s="65"/>
      <c r="P3077" s="65"/>
      <c r="Q3077" s="65"/>
      <c r="R3077" s="65"/>
      <c r="S3077" s="65"/>
    </row>
    <row r="3078" spans="1:19" s="64" customFormat="1">
      <c r="A3078" s="316" t="s">
        <v>439</v>
      </c>
      <c r="B3078" s="123" t="s">
        <v>5072</v>
      </c>
      <c r="C3078" s="256" t="s">
        <v>3643</v>
      </c>
      <c r="D3078" s="256" t="s">
        <v>3642</v>
      </c>
      <c r="E3078" s="339" t="str">
        <f t="shared" si="48"/>
        <v>LP051000 : 전자금융공동망</v>
      </c>
      <c r="K3078" s="65"/>
      <c r="L3078" s="65"/>
      <c r="M3078" s="65"/>
      <c r="N3078" s="65"/>
      <c r="O3078" s="65"/>
      <c r="P3078" s="65"/>
      <c r="Q3078" s="65"/>
      <c r="R3078" s="65"/>
      <c r="S3078" s="65"/>
    </row>
    <row r="3079" spans="1:19" s="64" customFormat="1">
      <c r="A3079" s="316" t="s">
        <v>439</v>
      </c>
      <c r="B3079" s="123" t="s">
        <v>5072</v>
      </c>
      <c r="C3079" s="256" t="s">
        <v>3641</v>
      </c>
      <c r="D3079" s="256" t="s">
        <v>3640</v>
      </c>
      <c r="E3079" s="339" t="str">
        <f t="shared" si="48"/>
        <v>LP051100 : B2B전자상거래</v>
      </c>
      <c r="K3079" s="65"/>
      <c r="L3079" s="65"/>
      <c r="M3079" s="65"/>
      <c r="N3079" s="65"/>
      <c r="O3079" s="65"/>
      <c r="P3079" s="65"/>
      <c r="Q3079" s="65"/>
      <c r="R3079" s="65"/>
      <c r="S3079" s="65"/>
    </row>
    <row r="3080" spans="1:19" s="64" customFormat="1">
      <c r="A3080" s="316" t="s">
        <v>439</v>
      </c>
      <c r="B3080" s="123" t="s">
        <v>5072</v>
      </c>
      <c r="C3080" s="256" t="s">
        <v>3639</v>
      </c>
      <c r="D3080" s="256" t="s">
        <v>3638</v>
      </c>
      <c r="E3080" s="339" t="str">
        <f t="shared" si="48"/>
        <v>LP051200 : 자기앞수표정보교환</v>
      </c>
      <c r="K3080" s="65"/>
      <c r="L3080" s="65"/>
      <c r="M3080" s="65"/>
      <c r="N3080" s="65"/>
      <c r="O3080" s="65"/>
      <c r="P3080" s="65"/>
      <c r="Q3080" s="65"/>
      <c r="R3080" s="65"/>
      <c r="S3080" s="65"/>
    </row>
    <row r="3081" spans="1:19" s="64" customFormat="1">
      <c r="A3081" s="316" t="s">
        <v>439</v>
      </c>
      <c r="B3081" s="123" t="s">
        <v>5072</v>
      </c>
      <c r="C3081" s="256" t="s">
        <v>3637</v>
      </c>
      <c r="D3081" s="256" t="s">
        <v>3636</v>
      </c>
      <c r="E3081" s="339" t="str">
        <f t="shared" si="48"/>
        <v>LP051300 : 전자어음</v>
      </c>
      <c r="K3081" s="65"/>
      <c r="L3081" s="65"/>
      <c r="M3081" s="65"/>
      <c r="N3081" s="65"/>
      <c r="O3081" s="65"/>
      <c r="P3081" s="65"/>
      <c r="Q3081" s="65"/>
      <c r="R3081" s="65"/>
      <c r="S3081" s="65"/>
    </row>
    <row r="3082" spans="1:19" s="64" customFormat="1">
      <c r="A3082" s="316" t="s">
        <v>439</v>
      </c>
      <c r="B3082" s="123" t="s">
        <v>5072</v>
      </c>
      <c r="C3082" s="256" t="s">
        <v>3635</v>
      </c>
      <c r="D3082" s="256" t="s">
        <v>3634</v>
      </c>
      <c r="E3082" s="339" t="str">
        <f t="shared" si="48"/>
        <v>LP051400 : 전자정보교환자기앞수표</v>
      </c>
      <c r="K3082" s="65"/>
      <c r="L3082" s="65"/>
      <c r="M3082" s="65"/>
      <c r="N3082" s="65"/>
      <c r="O3082" s="65"/>
      <c r="P3082" s="65"/>
      <c r="Q3082" s="65"/>
      <c r="R3082" s="65"/>
      <c r="S3082" s="65"/>
    </row>
    <row r="3083" spans="1:19" s="64" customFormat="1">
      <c r="A3083" s="316" t="s">
        <v>439</v>
      </c>
      <c r="B3083" s="123" t="s">
        <v>5072</v>
      </c>
      <c r="C3083" s="256" t="s">
        <v>3633</v>
      </c>
      <c r="D3083" s="256" t="s">
        <v>3632</v>
      </c>
      <c r="E3083" s="339" t="str">
        <f t="shared" si="48"/>
        <v>LP051500 : 전자정보교환어음</v>
      </c>
      <c r="K3083" s="65"/>
      <c r="L3083" s="65"/>
      <c r="M3083" s="65"/>
      <c r="N3083" s="65"/>
      <c r="O3083" s="65"/>
      <c r="P3083" s="65"/>
      <c r="Q3083" s="65"/>
      <c r="R3083" s="65"/>
      <c r="S3083" s="65"/>
    </row>
    <row r="3084" spans="1:19" s="64" customFormat="1">
      <c r="A3084" s="316" t="s">
        <v>439</v>
      </c>
      <c r="B3084" s="123" t="s">
        <v>5072</v>
      </c>
      <c r="C3084" s="256" t="s">
        <v>3631</v>
      </c>
      <c r="D3084" s="256" t="s">
        <v>3630</v>
      </c>
      <c r="E3084" s="339" t="str">
        <f t="shared" si="48"/>
        <v>LP051600 : 어음교환(오전)</v>
      </c>
      <c r="K3084" s="65"/>
      <c r="L3084" s="65"/>
      <c r="M3084" s="65"/>
      <c r="N3084" s="65"/>
      <c r="O3084" s="65"/>
      <c r="P3084" s="65"/>
      <c r="Q3084" s="65"/>
      <c r="R3084" s="65"/>
      <c r="S3084" s="65"/>
    </row>
    <row r="3085" spans="1:19" s="64" customFormat="1">
      <c r="A3085" s="316" t="s">
        <v>439</v>
      </c>
      <c r="B3085" s="123" t="s">
        <v>5072</v>
      </c>
      <c r="C3085" s="256" t="s">
        <v>3629</v>
      </c>
      <c r="D3085" s="256" t="s">
        <v>3628</v>
      </c>
      <c r="E3085" s="339" t="str">
        <f t="shared" si="48"/>
        <v>LP051700 : 국가간ATM공동망</v>
      </c>
      <c r="K3085" s="65"/>
      <c r="L3085" s="65"/>
      <c r="M3085" s="65"/>
      <c r="N3085" s="65"/>
      <c r="O3085" s="65"/>
      <c r="P3085" s="65"/>
      <c r="Q3085" s="65"/>
      <c r="R3085" s="65"/>
      <c r="S3085" s="65"/>
    </row>
    <row r="3086" spans="1:19" s="64" customFormat="1">
      <c r="A3086" s="316" t="s">
        <v>439</v>
      </c>
      <c r="B3086" s="123" t="s">
        <v>5072</v>
      </c>
      <c r="C3086" s="256" t="s">
        <v>3627</v>
      </c>
      <c r="D3086" s="256" t="s">
        <v>3626</v>
      </c>
      <c r="E3086" s="339" t="str">
        <f t="shared" si="48"/>
        <v>LP052600 : 지정시점예약자금이체결제</v>
      </c>
      <c r="K3086" s="65"/>
      <c r="L3086" s="65"/>
      <c r="M3086" s="65"/>
      <c r="N3086" s="65"/>
      <c r="O3086" s="65"/>
      <c r="P3086" s="65"/>
      <c r="Q3086" s="65"/>
      <c r="R3086" s="65"/>
      <c r="S3086" s="65"/>
    </row>
    <row r="3087" spans="1:19" s="64" customFormat="1">
      <c r="A3087" s="316" t="s">
        <v>439</v>
      </c>
      <c r="B3087" s="123" t="s">
        <v>5072</v>
      </c>
      <c r="C3087" s="256" t="s">
        <v>3625</v>
      </c>
      <c r="D3087" s="256" t="s">
        <v>3624</v>
      </c>
      <c r="E3087" s="339" t="str">
        <f t="shared" si="48"/>
        <v>LP111000 : CLS(PAY-IN) 입력</v>
      </c>
      <c r="K3087" s="65"/>
      <c r="L3087" s="65"/>
      <c r="M3087" s="65"/>
      <c r="N3087" s="65"/>
      <c r="O3087" s="65"/>
      <c r="P3087" s="65"/>
      <c r="Q3087" s="65"/>
      <c r="R3087" s="65"/>
      <c r="S3087" s="65"/>
    </row>
    <row r="3088" spans="1:19" s="64" customFormat="1">
      <c r="A3088" s="316" t="s">
        <v>439</v>
      </c>
      <c r="B3088" s="123" t="s">
        <v>5072</v>
      </c>
      <c r="C3088" s="256" t="s">
        <v>3623</v>
      </c>
      <c r="D3088" s="256" t="s">
        <v>3622</v>
      </c>
      <c r="E3088" s="339" t="str">
        <f t="shared" si="48"/>
        <v>LP111099 : CLS(PAY-IN) 입력(WIRE)</v>
      </c>
      <c r="K3088" s="65"/>
      <c r="L3088" s="65"/>
      <c r="M3088" s="65"/>
      <c r="N3088" s="65"/>
      <c r="O3088" s="65"/>
      <c r="P3088" s="65"/>
      <c r="Q3088" s="65"/>
      <c r="R3088" s="65"/>
      <c r="S3088" s="65"/>
    </row>
    <row r="3089" spans="1:19" s="64" customFormat="1">
      <c r="A3089" s="316" t="s">
        <v>439</v>
      </c>
      <c r="B3089" s="123" t="s">
        <v>5072</v>
      </c>
      <c r="C3089" s="256" t="s">
        <v>3621</v>
      </c>
      <c r="D3089" s="256" t="s">
        <v>3620</v>
      </c>
      <c r="E3089" s="339" t="str">
        <f t="shared" si="48"/>
        <v>LP112099 : CLS(PAY-OUT) 입력(CLS)</v>
      </c>
      <c r="K3089" s="65"/>
      <c r="L3089" s="65"/>
      <c r="M3089" s="65"/>
      <c r="N3089" s="65"/>
      <c r="O3089" s="65"/>
      <c r="P3089" s="65"/>
      <c r="Q3089" s="65"/>
      <c r="R3089" s="65"/>
      <c r="S3089" s="65"/>
    </row>
    <row r="3090" spans="1:19" s="64" customFormat="1">
      <c r="A3090" s="316" t="s">
        <v>439</v>
      </c>
      <c r="B3090" s="123" t="s">
        <v>5072</v>
      </c>
      <c r="C3090" s="256" t="s">
        <v>3619</v>
      </c>
      <c r="D3090" s="256" t="s">
        <v>3618</v>
      </c>
      <c r="E3090" s="339" t="str">
        <f t="shared" si="48"/>
        <v>LP120011 : 증권대금이체(혼-총액)</v>
      </c>
      <c r="K3090" s="65"/>
      <c r="L3090" s="65"/>
      <c r="M3090" s="65"/>
      <c r="N3090" s="65"/>
      <c r="O3090" s="65"/>
      <c r="P3090" s="65"/>
      <c r="Q3090" s="65"/>
      <c r="R3090" s="65"/>
      <c r="S3090" s="65"/>
    </row>
    <row r="3091" spans="1:19" s="64" customFormat="1">
      <c r="A3091" s="316" t="s">
        <v>439</v>
      </c>
      <c r="B3091" s="123" t="s">
        <v>5072</v>
      </c>
      <c r="C3091" s="256" t="s">
        <v>3617</v>
      </c>
      <c r="D3091" s="256" t="s">
        <v>3616</v>
      </c>
      <c r="E3091" s="339" t="str">
        <f t="shared" si="48"/>
        <v>LP120012 : 일중RP 결제준비금 확보</v>
      </c>
      <c r="K3091" s="65"/>
      <c r="L3091" s="65"/>
      <c r="M3091" s="65"/>
      <c r="N3091" s="65"/>
      <c r="O3091" s="65"/>
      <c r="P3091" s="65"/>
      <c r="Q3091" s="65"/>
      <c r="R3091" s="65"/>
      <c r="S3091" s="65"/>
    </row>
    <row r="3092" spans="1:19" s="64" customFormat="1">
      <c r="A3092" s="316" t="s">
        <v>439</v>
      </c>
      <c r="B3092" s="123" t="s">
        <v>5072</v>
      </c>
      <c r="C3092" s="256" t="s">
        <v>3615</v>
      </c>
      <c r="D3092" s="256" t="s">
        <v>3614</v>
      </c>
      <c r="E3092" s="339" t="str">
        <f t="shared" si="48"/>
        <v>LP120014 : 일중RP 결제유동성 공급</v>
      </c>
      <c r="K3092" s="65"/>
      <c r="L3092" s="65"/>
      <c r="M3092" s="65"/>
      <c r="N3092" s="65"/>
      <c r="O3092" s="65"/>
      <c r="P3092" s="65"/>
      <c r="Q3092" s="65"/>
      <c r="R3092" s="65"/>
      <c r="S3092" s="65"/>
    </row>
    <row r="3093" spans="1:19" s="64" customFormat="1">
      <c r="A3093" s="316" t="s">
        <v>439</v>
      </c>
      <c r="B3093" s="123" t="s">
        <v>5072</v>
      </c>
      <c r="C3093" s="256" t="s">
        <v>3613</v>
      </c>
      <c r="D3093" s="256" t="s">
        <v>3612</v>
      </c>
      <c r="E3093" s="339" t="str">
        <f t="shared" si="48"/>
        <v>LP120015 : 일중RP 결제유동성 상환</v>
      </c>
      <c r="K3093" s="65"/>
      <c r="L3093" s="65"/>
      <c r="M3093" s="65"/>
      <c r="N3093" s="65"/>
      <c r="O3093" s="65"/>
      <c r="P3093" s="65"/>
      <c r="Q3093" s="65"/>
      <c r="R3093" s="65"/>
      <c r="S3093" s="65"/>
    </row>
    <row r="3094" spans="1:19" s="64" customFormat="1">
      <c r="A3094" s="316" t="s">
        <v>439</v>
      </c>
      <c r="B3094" s="123" t="s">
        <v>5072</v>
      </c>
      <c r="C3094" s="256" t="s">
        <v>3611</v>
      </c>
      <c r="D3094" s="256" t="s">
        <v>3610</v>
      </c>
      <c r="E3094" s="339" t="str">
        <f t="shared" ref="E3094:E3157" si="49">_xlfn.TEXTJOIN(" : ",FALSE,C3094:D3094)</f>
        <v>LP120016 : 증권대금이체(전자단기사채상환)</v>
      </c>
      <c r="K3094" s="65"/>
      <c r="L3094" s="65"/>
      <c r="M3094" s="65"/>
      <c r="N3094" s="65"/>
      <c r="O3094" s="65"/>
      <c r="P3094" s="65"/>
      <c r="Q3094" s="65"/>
      <c r="R3094" s="65"/>
      <c r="S3094" s="65"/>
    </row>
    <row r="3095" spans="1:19" s="64" customFormat="1">
      <c r="A3095" s="316" t="s">
        <v>439</v>
      </c>
      <c r="B3095" s="123" t="s">
        <v>5072</v>
      </c>
      <c r="C3095" s="256" t="s">
        <v>3609</v>
      </c>
      <c r="D3095" s="256" t="s">
        <v>3608</v>
      </c>
      <c r="E3095" s="339" t="str">
        <f t="shared" si="49"/>
        <v>LP120066 : 증권대금이체(다자간)</v>
      </c>
      <c r="K3095" s="65"/>
      <c r="L3095" s="65"/>
      <c r="M3095" s="65"/>
      <c r="N3095" s="65"/>
      <c r="O3095" s="65"/>
      <c r="P3095" s="65"/>
      <c r="Q3095" s="65"/>
      <c r="R3095" s="65"/>
      <c r="S3095" s="65"/>
    </row>
    <row r="3096" spans="1:19" s="64" customFormat="1">
      <c r="A3096" s="316" t="s">
        <v>439</v>
      </c>
      <c r="B3096" s="123" t="s">
        <v>5072</v>
      </c>
      <c r="C3096" s="256" t="s">
        <v>3607</v>
      </c>
      <c r="D3096" s="256" t="s">
        <v>3606</v>
      </c>
      <c r="E3096" s="339" t="str">
        <f t="shared" si="49"/>
        <v>LP120067 : 증권대금이체전자단기사채상환(다자간)</v>
      </c>
      <c r="K3096" s="65"/>
      <c r="L3096" s="65"/>
      <c r="M3096" s="65"/>
      <c r="N3096" s="65"/>
      <c r="O3096" s="65"/>
      <c r="P3096" s="65"/>
      <c r="Q3096" s="65"/>
      <c r="R3096" s="65"/>
      <c r="S3096" s="65"/>
    </row>
    <row r="3097" spans="1:19" s="64" customFormat="1">
      <c r="A3097" s="316" t="s">
        <v>439</v>
      </c>
      <c r="B3097" s="123" t="s">
        <v>5072</v>
      </c>
      <c r="C3097" s="256" t="s">
        <v>3605</v>
      </c>
      <c r="D3097" s="256" t="s">
        <v>3604</v>
      </c>
      <c r="E3097" s="339" t="str">
        <f t="shared" si="49"/>
        <v>LP120299 : 증권결제매도자앞이체(WIRE</v>
      </c>
      <c r="K3097" s="65"/>
      <c r="L3097" s="65"/>
      <c r="M3097" s="65"/>
      <c r="N3097" s="65"/>
      <c r="O3097" s="65"/>
      <c r="P3097" s="65"/>
      <c r="Q3097" s="65"/>
      <c r="R3097" s="65"/>
      <c r="S3097" s="65"/>
    </row>
    <row r="3098" spans="1:19" s="64" customFormat="1">
      <c r="A3098" s="316" t="s">
        <v>439</v>
      </c>
      <c r="B3098" s="123" t="s">
        <v>5072</v>
      </c>
      <c r="C3098" s="256" t="s">
        <v>3603</v>
      </c>
      <c r="D3098" s="256" t="s">
        <v>3602</v>
      </c>
      <c r="E3098" s="339" t="str">
        <f t="shared" si="49"/>
        <v>LP140011 : 계좌간(결제-&gt;당좌)</v>
      </c>
      <c r="K3098" s="65"/>
      <c r="L3098" s="65"/>
      <c r="M3098" s="65"/>
      <c r="N3098" s="65"/>
      <c r="O3098" s="65"/>
      <c r="P3098" s="65"/>
      <c r="Q3098" s="65"/>
      <c r="R3098" s="65"/>
      <c r="S3098" s="65"/>
    </row>
    <row r="3099" spans="1:19" s="64" customFormat="1">
      <c r="A3099" s="316" t="s">
        <v>439</v>
      </c>
      <c r="B3099" s="123" t="s">
        <v>5072</v>
      </c>
      <c r="C3099" s="256" t="s">
        <v>3601</v>
      </c>
      <c r="D3099" s="256" t="s">
        <v>3600</v>
      </c>
      <c r="E3099" s="339" t="str">
        <f t="shared" si="49"/>
        <v>LP160011 : 연계결제(혼-총액)</v>
      </c>
      <c r="K3099" s="65"/>
      <c r="L3099" s="65"/>
      <c r="M3099" s="65"/>
      <c r="N3099" s="65"/>
      <c r="O3099" s="65"/>
      <c r="P3099" s="65"/>
      <c r="Q3099" s="65"/>
      <c r="R3099" s="65"/>
      <c r="S3099" s="65"/>
    </row>
    <row r="3100" spans="1:19" s="64" customFormat="1">
      <c r="A3100" s="316" t="s">
        <v>439</v>
      </c>
      <c r="B3100" s="123" t="s">
        <v>5072</v>
      </c>
      <c r="C3100" s="256" t="s">
        <v>3599</v>
      </c>
      <c r="D3100" s="256" t="s">
        <v>3598</v>
      </c>
      <c r="E3100" s="339" t="str">
        <f t="shared" si="49"/>
        <v>SC011000 : 할인채매출</v>
      </c>
      <c r="K3100" s="65"/>
      <c r="L3100" s="65"/>
      <c r="M3100" s="65"/>
      <c r="N3100" s="65"/>
      <c r="O3100" s="65"/>
      <c r="P3100" s="65"/>
      <c r="Q3100" s="65"/>
      <c r="R3100" s="65"/>
      <c r="S3100" s="65"/>
    </row>
    <row r="3101" spans="1:19" s="64" customFormat="1">
      <c r="A3101" s="316" t="s">
        <v>439</v>
      </c>
      <c r="B3101" s="123" t="s">
        <v>5072</v>
      </c>
      <c r="C3101" s="256" t="s">
        <v>3597</v>
      </c>
      <c r="D3101" s="256" t="s">
        <v>3596</v>
      </c>
      <c r="E3101" s="339" t="str">
        <f t="shared" si="49"/>
        <v>SC011001 : 할인채매출(대체)</v>
      </c>
      <c r="K3101" s="65"/>
      <c r="L3101" s="65"/>
      <c r="M3101" s="65"/>
      <c r="N3101" s="65"/>
      <c r="O3101" s="65"/>
      <c r="P3101" s="65"/>
      <c r="Q3101" s="65"/>
      <c r="R3101" s="65"/>
      <c r="S3101" s="65"/>
    </row>
    <row r="3102" spans="1:19" s="64" customFormat="1">
      <c r="A3102" s="316" t="s">
        <v>439</v>
      </c>
      <c r="B3102" s="123" t="s">
        <v>5072</v>
      </c>
      <c r="C3102" s="256" t="s">
        <v>3595</v>
      </c>
      <c r="D3102" s="256" t="s">
        <v>3594</v>
      </c>
      <c r="E3102" s="339" t="str">
        <f t="shared" si="49"/>
        <v>SC012100 : 이표채매출(당일)</v>
      </c>
      <c r="K3102" s="65"/>
      <c r="L3102" s="65"/>
      <c r="M3102" s="65"/>
      <c r="N3102" s="65"/>
      <c r="O3102" s="65"/>
      <c r="P3102" s="65"/>
      <c r="Q3102" s="65"/>
      <c r="R3102" s="65"/>
      <c r="S3102" s="65"/>
    </row>
    <row r="3103" spans="1:19" s="64" customFormat="1">
      <c r="A3103" s="316" t="s">
        <v>439</v>
      </c>
      <c r="B3103" s="123" t="s">
        <v>5072</v>
      </c>
      <c r="C3103" s="256" t="s">
        <v>3593</v>
      </c>
      <c r="D3103" s="256" t="s">
        <v>3592</v>
      </c>
      <c r="E3103" s="339" t="str">
        <f t="shared" si="49"/>
        <v>SC012101 : 이표채매출(당일분,대체)</v>
      </c>
      <c r="K3103" s="65"/>
      <c r="L3103" s="65"/>
      <c r="M3103" s="65"/>
      <c r="N3103" s="65"/>
      <c r="O3103" s="65"/>
      <c r="P3103" s="65"/>
      <c r="Q3103" s="65"/>
      <c r="R3103" s="65"/>
      <c r="S3103" s="65"/>
    </row>
    <row r="3104" spans="1:19" s="64" customFormat="1">
      <c r="A3104" s="316" t="s">
        <v>439</v>
      </c>
      <c r="B3104" s="123" t="s">
        <v>5072</v>
      </c>
      <c r="C3104" s="256" t="s">
        <v>3591</v>
      </c>
      <c r="D3104" s="256" t="s">
        <v>3590</v>
      </c>
      <c r="E3104" s="339" t="str">
        <f t="shared" si="49"/>
        <v>SC012200 : 이표채매출(발행일이후)</v>
      </c>
      <c r="K3104" s="65"/>
      <c r="L3104" s="65"/>
      <c r="M3104" s="65"/>
      <c r="N3104" s="65"/>
      <c r="O3104" s="65"/>
      <c r="P3104" s="65"/>
      <c r="Q3104" s="65"/>
      <c r="R3104" s="65"/>
      <c r="S3104" s="65"/>
    </row>
    <row r="3105" spans="1:19" s="64" customFormat="1">
      <c r="A3105" s="316" t="s">
        <v>439</v>
      </c>
      <c r="B3105" s="123" t="s">
        <v>5072</v>
      </c>
      <c r="C3105" s="256" t="s">
        <v>3589</v>
      </c>
      <c r="D3105" s="256" t="s">
        <v>3588</v>
      </c>
      <c r="E3105" s="339" t="str">
        <f t="shared" si="49"/>
        <v>SC012201 : 이표채매출(발행일이후분,대체)</v>
      </c>
      <c r="K3105" s="65"/>
      <c r="L3105" s="65"/>
      <c r="M3105" s="65"/>
      <c r="N3105" s="65"/>
      <c r="O3105" s="65"/>
      <c r="P3105" s="65"/>
      <c r="Q3105" s="65"/>
      <c r="R3105" s="65"/>
      <c r="S3105" s="65"/>
    </row>
    <row r="3106" spans="1:19" s="64" customFormat="1">
      <c r="A3106" s="316" t="s">
        <v>439</v>
      </c>
      <c r="B3106" s="123" t="s">
        <v>5072</v>
      </c>
      <c r="C3106" s="256" t="s">
        <v>3587</v>
      </c>
      <c r="D3106" s="256" t="s">
        <v>3586</v>
      </c>
      <c r="E3106" s="339" t="str">
        <f t="shared" si="49"/>
        <v>SC013100 : 이표채이자지급(발행일,2기이후)</v>
      </c>
      <c r="K3106" s="65"/>
      <c r="L3106" s="65"/>
      <c r="M3106" s="65"/>
      <c r="N3106" s="65"/>
      <c r="O3106" s="65"/>
      <c r="P3106" s="65"/>
      <c r="Q3106" s="65"/>
      <c r="R3106" s="65"/>
      <c r="S3106" s="65"/>
    </row>
    <row r="3107" spans="1:19" s="64" customFormat="1">
      <c r="A3107" s="316" t="s">
        <v>439</v>
      </c>
      <c r="B3107" s="123" t="s">
        <v>5072</v>
      </c>
      <c r="C3107" s="256" t="s">
        <v>3585</v>
      </c>
      <c r="D3107" s="256" t="s">
        <v>3584</v>
      </c>
      <c r="E3107" s="339" t="str">
        <f t="shared" si="49"/>
        <v>SC013200 : 이표채이자지급(발행일이후최초건)</v>
      </c>
      <c r="K3107" s="65"/>
      <c r="L3107" s="65"/>
      <c r="M3107" s="65"/>
      <c r="N3107" s="65"/>
      <c r="O3107" s="65"/>
      <c r="P3107" s="65"/>
      <c r="Q3107" s="65"/>
      <c r="R3107" s="65"/>
      <c r="S3107" s="65"/>
    </row>
    <row r="3108" spans="1:19" s="64" customFormat="1">
      <c r="A3108" s="316" t="s">
        <v>439</v>
      </c>
      <c r="B3108" s="123" t="s">
        <v>5072</v>
      </c>
      <c r="C3108" s="256" t="s">
        <v>3583</v>
      </c>
      <c r="D3108" s="256" t="s">
        <v>3582</v>
      </c>
      <c r="E3108" s="339" t="str">
        <f t="shared" si="49"/>
        <v>SC014000 : 할인채만기상환</v>
      </c>
      <c r="K3108" s="65"/>
      <c r="L3108" s="65"/>
      <c r="M3108" s="65"/>
      <c r="N3108" s="65"/>
      <c r="O3108" s="65"/>
      <c r="P3108" s="65"/>
      <c r="Q3108" s="65"/>
      <c r="R3108" s="65"/>
      <c r="S3108" s="65"/>
    </row>
    <row r="3109" spans="1:19" s="64" customFormat="1">
      <c r="A3109" s="316" t="s">
        <v>439</v>
      </c>
      <c r="B3109" s="123" t="s">
        <v>5072</v>
      </c>
      <c r="C3109" s="256" t="s">
        <v>3581</v>
      </c>
      <c r="D3109" s="256" t="s">
        <v>3580</v>
      </c>
      <c r="E3109" s="339" t="str">
        <f t="shared" si="49"/>
        <v>SC015000 : 이표채원금상환</v>
      </c>
      <c r="K3109" s="65"/>
      <c r="L3109" s="65"/>
      <c r="M3109" s="65"/>
      <c r="N3109" s="65"/>
      <c r="O3109" s="65"/>
      <c r="P3109" s="65"/>
      <c r="Q3109" s="65"/>
      <c r="R3109" s="65"/>
      <c r="S3109" s="65"/>
    </row>
    <row r="3110" spans="1:19" s="64" customFormat="1">
      <c r="A3110" s="316" t="s">
        <v>439</v>
      </c>
      <c r="B3110" s="123" t="s">
        <v>5072</v>
      </c>
      <c r="C3110" s="256" t="s">
        <v>3579</v>
      </c>
      <c r="D3110" s="256" t="s">
        <v>3578</v>
      </c>
      <c r="E3110" s="339" t="str">
        <f t="shared" si="49"/>
        <v>SC016100 : 할인채중도환매(환매손익=0)</v>
      </c>
      <c r="K3110" s="65"/>
      <c r="L3110" s="65"/>
      <c r="M3110" s="65"/>
      <c r="N3110" s="65"/>
      <c r="O3110" s="65"/>
      <c r="P3110" s="65"/>
      <c r="Q3110" s="65"/>
      <c r="R3110" s="65"/>
      <c r="S3110" s="65"/>
    </row>
    <row r="3111" spans="1:19" s="64" customFormat="1">
      <c r="A3111" s="316" t="s">
        <v>439</v>
      </c>
      <c r="B3111" s="123" t="s">
        <v>5072</v>
      </c>
      <c r="C3111" s="256" t="s">
        <v>3577</v>
      </c>
      <c r="D3111" s="256" t="s">
        <v>3576</v>
      </c>
      <c r="E3111" s="339" t="str">
        <f t="shared" si="49"/>
        <v>SC016200 : 할인채중도환매(환매손익&gt;0)</v>
      </c>
      <c r="K3111" s="65"/>
      <c r="L3111" s="65"/>
      <c r="M3111" s="65"/>
      <c r="N3111" s="65"/>
      <c r="O3111" s="65"/>
      <c r="P3111" s="65"/>
      <c r="Q3111" s="65"/>
      <c r="R3111" s="65"/>
      <c r="S3111" s="65"/>
    </row>
    <row r="3112" spans="1:19" s="64" customFormat="1">
      <c r="A3112" s="316" t="s">
        <v>439</v>
      </c>
      <c r="B3112" s="123" t="s">
        <v>5072</v>
      </c>
      <c r="C3112" s="256" t="s">
        <v>3575</v>
      </c>
      <c r="D3112" s="256" t="s">
        <v>3574</v>
      </c>
      <c r="E3112" s="339" t="str">
        <f t="shared" si="49"/>
        <v>SC016300 : 할인채중도환매(환매손익&lt;0)</v>
      </c>
      <c r="K3112" s="65"/>
      <c r="L3112" s="65"/>
      <c r="M3112" s="65"/>
      <c r="N3112" s="65"/>
      <c r="O3112" s="65"/>
      <c r="P3112" s="65"/>
      <c r="Q3112" s="65"/>
      <c r="R3112" s="65"/>
      <c r="S3112" s="65"/>
    </row>
    <row r="3113" spans="1:19" s="64" customFormat="1">
      <c r="A3113" s="316" t="s">
        <v>439</v>
      </c>
      <c r="B3113" s="123" t="s">
        <v>5072</v>
      </c>
      <c r="C3113" s="256" t="s">
        <v>3573</v>
      </c>
      <c r="D3113" s="256" t="s">
        <v>3572</v>
      </c>
      <c r="E3113" s="339" t="str">
        <f t="shared" si="49"/>
        <v>SC017100 : 이표채중도환매(당일,2기후)</v>
      </c>
      <c r="K3113" s="65"/>
      <c r="L3113" s="65"/>
      <c r="M3113" s="65"/>
      <c r="N3113" s="65"/>
      <c r="O3113" s="65"/>
      <c r="P3113" s="65"/>
      <c r="Q3113" s="65"/>
      <c r="R3113" s="65"/>
      <c r="S3113" s="65"/>
    </row>
    <row r="3114" spans="1:19" s="64" customFormat="1">
      <c r="A3114" s="316" t="s">
        <v>439</v>
      </c>
      <c r="B3114" s="123" t="s">
        <v>5072</v>
      </c>
      <c r="C3114" s="256" t="s">
        <v>3571</v>
      </c>
      <c r="D3114" s="256" t="s">
        <v>3570</v>
      </c>
      <c r="E3114" s="339" t="str">
        <f t="shared" si="49"/>
        <v>SC017200 : 이표채중도환매(당일,2기후)(익)</v>
      </c>
      <c r="K3114" s="65"/>
      <c r="L3114" s="65"/>
      <c r="M3114" s="65"/>
      <c r="N3114" s="65"/>
      <c r="O3114" s="65"/>
      <c r="P3114" s="65"/>
      <c r="Q3114" s="65"/>
      <c r="R3114" s="65"/>
      <c r="S3114" s="65"/>
    </row>
    <row r="3115" spans="1:19" s="64" customFormat="1">
      <c r="A3115" s="316" t="s">
        <v>439</v>
      </c>
      <c r="B3115" s="123" t="s">
        <v>5072</v>
      </c>
      <c r="C3115" s="256" t="s">
        <v>3569</v>
      </c>
      <c r="D3115" s="256" t="s">
        <v>3568</v>
      </c>
      <c r="E3115" s="339" t="str">
        <f t="shared" si="49"/>
        <v>SC017300 : 이표채중도환매(당일,2기후)(손)</v>
      </c>
      <c r="K3115" s="65"/>
      <c r="L3115" s="65"/>
      <c r="M3115" s="65"/>
      <c r="N3115" s="65"/>
      <c r="O3115" s="65"/>
      <c r="P3115" s="65"/>
      <c r="Q3115" s="65"/>
      <c r="R3115" s="65"/>
      <c r="S3115" s="65"/>
    </row>
    <row r="3116" spans="1:19" s="64" customFormat="1">
      <c r="A3116" s="316" t="s">
        <v>439</v>
      </c>
      <c r="B3116" s="123" t="s">
        <v>5072</v>
      </c>
      <c r="C3116" s="256" t="s">
        <v>3567</v>
      </c>
      <c r="D3116" s="256" t="s">
        <v>3566</v>
      </c>
      <c r="E3116" s="339" t="str">
        <f t="shared" si="49"/>
        <v>SC017400 : 이표채중도환매(당일이후최초전)</v>
      </c>
      <c r="K3116" s="65"/>
      <c r="L3116" s="65"/>
      <c r="M3116" s="65"/>
      <c r="N3116" s="65"/>
      <c r="O3116" s="65"/>
      <c r="P3116" s="65"/>
      <c r="Q3116" s="65"/>
      <c r="R3116" s="65"/>
      <c r="S3116" s="65"/>
    </row>
    <row r="3117" spans="1:19" s="64" customFormat="1">
      <c r="A3117" s="316" t="s">
        <v>439</v>
      </c>
      <c r="B3117" s="123" t="s">
        <v>5072</v>
      </c>
      <c r="C3117" s="256" t="s">
        <v>3565</v>
      </c>
      <c r="D3117" s="256" t="s">
        <v>3564</v>
      </c>
      <c r="E3117" s="339" t="str">
        <f t="shared" si="49"/>
        <v>SC017500 : 이표채중도환매(당일이후최초전)(익)</v>
      </c>
      <c r="K3117" s="65"/>
      <c r="L3117" s="65"/>
      <c r="M3117" s="65"/>
      <c r="N3117" s="65"/>
      <c r="O3117" s="65"/>
      <c r="P3117" s="65"/>
      <c r="Q3117" s="65"/>
      <c r="R3117" s="65"/>
      <c r="S3117" s="65"/>
    </row>
    <row r="3118" spans="1:19" s="64" customFormat="1">
      <c r="A3118" s="316" t="s">
        <v>439</v>
      </c>
      <c r="B3118" s="123" t="s">
        <v>5072</v>
      </c>
      <c r="C3118" s="256" t="s">
        <v>3563</v>
      </c>
      <c r="D3118" s="256" t="s">
        <v>3562</v>
      </c>
      <c r="E3118" s="339" t="str">
        <f t="shared" si="49"/>
        <v>SC017600 : 이표채중도환매(당일이후최초전)(손)</v>
      </c>
      <c r="K3118" s="65"/>
      <c r="L3118" s="65"/>
      <c r="M3118" s="65"/>
      <c r="N3118" s="65"/>
      <c r="O3118" s="65"/>
      <c r="P3118" s="65"/>
      <c r="Q3118" s="65"/>
      <c r="R3118" s="65"/>
      <c r="S3118" s="65"/>
    </row>
    <row r="3119" spans="1:19" s="64" customFormat="1">
      <c r="A3119" s="316" t="s">
        <v>439</v>
      </c>
      <c r="B3119" s="123" t="s">
        <v>5072</v>
      </c>
      <c r="C3119" s="256" t="s">
        <v>3561</v>
      </c>
      <c r="D3119" s="256" t="s">
        <v>3560</v>
      </c>
      <c r="E3119" s="339" t="str">
        <f t="shared" si="49"/>
        <v>SC017700 : 이표채중도환매(할인할증분)</v>
      </c>
      <c r="K3119" s="65"/>
      <c r="L3119" s="65"/>
      <c r="M3119" s="65"/>
      <c r="N3119" s="65"/>
      <c r="O3119" s="65"/>
      <c r="P3119" s="65"/>
      <c r="Q3119" s="65"/>
      <c r="R3119" s="65"/>
      <c r="S3119" s="65"/>
    </row>
    <row r="3120" spans="1:19" s="64" customFormat="1">
      <c r="A3120" s="316" t="s">
        <v>439</v>
      </c>
      <c r="B3120" s="123" t="s">
        <v>5072</v>
      </c>
      <c r="C3120" s="256" t="s">
        <v>3559</v>
      </c>
      <c r="D3120" s="256" t="s">
        <v>3558</v>
      </c>
      <c r="E3120" s="339" t="str">
        <f t="shared" si="49"/>
        <v>SC017800 : 이표채중도환매(할인할증일괄처리분)</v>
      </c>
      <c r="K3120" s="65"/>
      <c r="L3120" s="65"/>
      <c r="M3120" s="65"/>
      <c r="N3120" s="65"/>
      <c r="O3120" s="65"/>
      <c r="P3120" s="65"/>
      <c r="Q3120" s="65"/>
      <c r="R3120" s="65"/>
      <c r="S3120" s="65"/>
    </row>
    <row r="3121" spans="1:19" s="64" customFormat="1">
      <c r="A3121" s="316" t="s">
        <v>439</v>
      </c>
      <c r="B3121" s="123" t="s">
        <v>5072</v>
      </c>
      <c r="C3121" s="256" t="s">
        <v>3557</v>
      </c>
      <c r="D3121" s="256" t="s">
        <v>3556</v>
      </c>
      <c r="E3121" s="339" t="str">
        <f t="shared" si="49"/>
        <v>SC021000 : RP최초매입</v>
      </c>
      <c r="K3121" s="65"/>
      <c r="L3121" s="65"/>
      <c r="M3121" s="65"/>
      <c r="N3121" s="65"/>
      <c r="O3121" s="65"/>
      <c r="P3121" s="65"/>
      <c r="Q3121" s="65"/>
      <c r="R3121" s="65"/>
      <c r="S3121" s="65"/>
    </row>
    <row r="3122" spans="1:19" s="64" customFormat="1">
      <c r="A3122" s="316" t="s">
        <v>439</v>
      </c>
      <c r="B3122" s="123" t="s">
        <v>5072</v>
      </c>
      <c r="C3122" s="256" t="s">
        <v>3555</v>
      </c>
      <c r="D3122" s="256" t="s">
        <v>3554</v>
      </c>
      <c r="E3122" s="339" t="str">
        <f t="shared" si="49"/>
        <v>SC022000 : RP최초매각</v>
      </c>
      <c r="K3122" s="65"/>
      <c r="L3122" s="65"/>
      <c r="M3122" s="65"/>
      <c r="N3122" s="65"/>
      <c r="O3122" s="65"/>
      <c r="P3122" s="65"/>
      <c r="Q3122" s="65"/>
      <c r="R3122" s="65"/>
      <c r="S3122" s="65"/>
    </row>
    <row r="3123" spans="1:19" s="64" customFormat="1">
      <c r="A3123" s="316" t="s">
        <v>439</v>
      </c>
      <c r="B3123" s="123" t="s">
        <v>5072</v>
      </c>
      <c r="C3123" s="256" t="s">
        <v>3553</v>
      </c>
      <c r="D3123" s="256" t="s">
        <v>3552</v>
      </c>
      <c r="E3123" s="339" t="str">
        <f t="shared" si="49"/>
        <v>SC023000 : RP최초매입분중도환매</v>
      </c>
      <c r="K3123" s="65"/>
      <c r="L3123" s="65"/>
      <c r="M3123" s="65"/>
      <c r="N3123" s="65"/>
      <c r="O3123" s="65"/>
      <c r="P3123" s="65"/>
      <c r="Q3123" s="65"/>
      <c r="R3123" s="65"/>
      <c r="S3123" s="65"/>
    </row>
    <row r="3124" spans="1:19" s="64" customFormat="1">
      <c r="A3124" s="316" t="s">
        <v>439</v>
      </c>
      <c r="B3124" s="123" t="s">
        <v>5072</v>
      </c>
      <c r="C3124" s="256" t="s">
        <v>3551</v>
      </c>
      <c r="D3124" s="256" t="s">
        <v>3550</v>
      </c>
      <c r="E3124" s="339" t="str">
        <f t="shared" si="49"/>
        <v>SC024000 : RP최초매각분중도환매</v>
      </c>
      <c r="K3124" s="65"/>
      <c r="L3124" s="65"/>
      <c r="M3124" s="65"/>
      <c r="N3124" s="65"/>
      <c r="O3124" s="65"/>
      <c r="P3124" s="65"/>
      <c r="Q3124" s="65"/>
      <c r="R3124" s="65"/>
      <c r="S3124" s="65"/>
    </row>
    <row r="3125" spans="1:19" s="64" customFormat="1">
      <c r="A3125" s="316" t="s">
        <v>439</v>
      </c>
      <c r="B3125" s="123" t="s">
        <v>5072</v>
      </c>
      <c r="C3125" s="256" t="s">
        <v>3549</v>
      </c>
      <c r="D3125" s="256" t="s">
        <v>3548</v>
      </c>
      <c r="E3125" s="339" t="str">
        <f t="shared" si="49"/>
        <v>SC025000 : RP최초매입분만기환매</v>
      </c>
      <c r="K3125" s="65"/>
      <c r="L3125" s="65"/>
      <c r="M3125" s="65"/>
      <c r="N3125" s="65"/>
      <c r="O3125" s="65"/>
      <c r="P3125" s="65"/>
      <c r="Q3125" s="65"/>
      <c r="R3125" s="65"/>
      <c r="S3125" s="65"/>
    </row>
    <row r="3126" spans="1:19" s="64" customFormat="1">
      <c r="A3126" s="316" t="s">
        <v>439</v>
      </c>
      <c r="B3126" s="123" t="s">
        <v>5072</v>
      </c>
      <c r="C3126" s="256" t="s">
        <v>3547</v>
      </c>
      <c r="D3126" s="256" t="s">
        <v>3546</v>
      </c>
      <c r="E3126" s="339" t="str">
        <f t="shared" si="49"/>
        <v>SC026000 : RP최초매각분만기환매</v>
      </c>
      <c r="K3126" s="65"/>
      <c r="L3126" s="65"/>
      <c r="M3126" s="65"/>
      <c r="N3126" s="65"/>
      <c r="O3126" s="65"/>
      <c r="P3126" s="65"/>
      <c r="Q3126" s="65"/>
      <c r="R3126" s="65"/>
      <c r="S3126" s="65"/>
    </row>
    <row r="3127" spans="1:19" s="64" customFormat="1">
      <c r="A3127" s="316" t="s">
        <v>439</v>
      </c>
      <c r="B3127" s="123" t="s">
        <v>5072</v>
      </c>
      <c r="C3127" s="256" t="s">
        <v>3545</v>
      </c>
      <c r="D3127" s="256" t="s">
        <v>3544</v>
      </c>
      <c r="E3127" s="339" t="str">
        <f t="shared" si="49"/>
        <v>SC027000 : RP수수료지급</v>
      </c>
      <c r="K3127" s="65"/>
      <c r="L3127" s="65"/>
      <c r="M3127" s="65"/>
      <c r="N3127" s="65"/>
      <c r="O3127" s="65"/>
      <c r="P3127" s="65"/>
      <c r="Q3127" s="65"/>
      <c r="R3127" s="65"/>
      <c r="S3127" s="65"/>
    </row>
    <row r="3128" spans="1:19" s="64" customFormat="1">
      <c r="A3128" s="316" t="s">
        <v>439</v>
      </c>
      <c r="B3128" s="123" t="s">
        <v>5072</v>
      </c>
      <c r="C3128" s="256" t="s">
        <v>3543</v>
      </c>
      <c r="D3128" s="256" t="s">
        <v>3542</v>
      </c>
      <c r="E3128" s="339" t="str">
        <f t="shared" si="49"/>
        <v>SC027100 : 증권대차수수료</v>
      </c>
      <c r="K3128" s="65"/>
      <c r="L3128" s="65"/>
      <c r="M3128" s="65"/>
      <c r="N3128" s="65"/>
      <c r="O3128" s="65"/>
      <c r="P3128" s="65"/>
      <c r="Q3128" s="65"/>
      <c r="R3128" s="65"/>
      <c r="S3128" s="65"/>
    </row>
    <row r="3129" spans="1:19" s="64" customFormat="1">
      <c r="A3129" s="316" t="s">
        <v>439</v>
      </c>
      <c r="B3129" s="123" t="s">
        <v>5072</v>
      </c>
      <c r="C3129" s="256" t="s">
        <v>3541</v>
      </c>
      <c r="D3129" s="256" t="s">
        <v>3540</v>
      </c>
      <c r="E3129" s="339" t="str">
        <f t="shared" si="49"/>
        <v>SC031000 : 국고,외평,재정증권발행</v>
      </c>
      <c r="K3129" s="65"/>
      <c r="L3129" s="65"/>
      <c r="M3129" s="65"/>
      <c r="N3129" s="65"/>
      <c r="O3129" s="65"/>
      <c r="P3129" s="65"/>
      <c r="Q3129" s="65"/>
      <c r="R3129" s="65"/>
      <c r="S3129" s="65"/>
    </row>
    <row r="3130" spans="1:19" s="64" customFormat="1">
      <c r="A3130" s="316" t="s">
        <v>439</v>
      </c>
      <c r="B3130" s="123" t="s">
        <v>5072</v>
      </c>
      <c r="C3130" s="256" t="s">
        <v>3539</v>
      </c>
      <c r="D3130" s="256" t="s">
        <v>3538</v>
      </c>
      <c r="E3130" s="339" t="str">
        <f t="shared" si="49"/>
        <v>SC031001 : 국관채,외평채발행(대체)</v>
      </c>
      <c r="K3130" s="65"/>
      <c r="L3130" s="65"/>
      <c r="M3130" s="65"/>
      <c r="N3130" s="65"/>
      <c r="O3130" s="65"/>
      <c r="P3130" s="65"/>
      <c r="Q3130" s="65"/>
      <c r="R3130" s="65"/>
      <c r="S3130" s="65"/>
    </row>
    <row r="3131" spans="1:19" s="64" customFormat="1">
      <c r="A3131" s="316" t="s">
        <v>439</v>
      </c>
      <c r="B3131" s="123" t="s">
        <v>5072</v>
      </c>
      <c r="C3131" s="256" t="s">
        <v>3537</v>
      </c>
      <c r="D3131" s="256" t="s">
        <v>3536</v>
      </c>
      <c r="E3131" s="339" t="str">
        <f t="shared" si="49"/>
        <v>SC032000 : 외평채발행자금전금</v>
      </c>
      <c r="K3131" s="65"/>
      <c r="L3131" s="65"/>
      <c r="M3131" s="65"/>
      <c r="N3131" s="65"/>
      <c r="O3131" s="65"/>
      <c r="P3131" s="65"/>
      <c r="Q3131" s="65"/>
      <c r="R3131" s="65"/>
      <c r="S3131" s="65"/>
    </row>
    <row r="3132" spans="1:19" s="64" customFormat="1">
      <c r="A3132" s="316" t="s">
        <v>439</v>
      </c>
      <c r="B3132" s="123" t="s">
        <v>5072</v>
      </c>
      <c r="C3132" s="256" t="s">
        <v>3535</v>
      </c>
      <c r="D3132" s="256" t="s">
        <v>3534</v>
      </c>
      <c r="E3132" s="339" t="str">
        <f t="shared" si="49"/>
        <v>SC032500 : 외평채상환자금수취</v>
      </c>
      <c r="K3132" s="65"/>
      <c r="L3132" s="65"/>
      <c r="M3132" s="65"/>
      <c r="N3132" s="65"/>
      <c r="O3132" s="65"/>
      <c r="P3132" s="65"/>
      <c r="Q3132" s="65"/>
      <c r="R3132" s="65"/>
      <c r="S3132" s="65"/>
    </row>
    <row r="3133" spans="1:19" s="64" customFormat="1">
      <c r="A3133" s="316" t="s">
        <v>439</v>
      </c>
      <c r="B3133" s="123" t="s">
        <v>5072</v>
      </c>
      <c r="C3133" s="256" t="s">
        <v>3533</v>
      </c>
      <c r="D3133" s="256" t="s">
        <v>3532</v>
      </c>
      <c r="E3133" s="339" t="str">
        <f t="shared" si="49"/>
        <v>SC032600 : 국고,공보,재정 상환잔액세입</v>
      </c>
      <c r="K3133" s="65"/>
      <c r="L3133" s="65"/>
      <c r="M3133" s="65"/>
      <c r="N3133" s="65"/>
      <c r="O3133" s="65"/>
      <c r="P3133" s="65"/>
      <c r="Q3133" s="65"/>
      <c r="R3133" s="65"/>
      <c r="S3133" s="65"/>
    </row>
    <row r="3134" spans="1:19" s="64" customFormat="1">
      <c r="A3134" s="316" t="s">
        <v>439</v>
      </c>
      <c r="B3134" s="123" t="s">
        <v>5072</v>
      </c>
      <c r="C3134" s="256" t="s">
        <v>3531</v>
      </c>
      <c r="D3134" s="256" t="s">
        <v>3530</v>
      </c>
      <c r="E3134" s="339" t="str">
        <f t="shared" si="49"/>
        <v>SC032700 : 외평채상환잔액전금</v>
      </c>
      <c r="K3134" s="65"/>
      <c r="L3134" s="65"/>
      <c r="M3134" s="65"/>
      <c r="N3134" s="65"/>
      <c r="O3134" s="65"/>
      <c r="P3134" s="65"/>
      <c r="Q3134" s="65"/>
      <c r="R3134" s="65"/>
      <c r="S3134" s="65"/>
    </row>
    <row r="3135" spans="1:19" s="64" customFormat="1">
      <c r="A3135" s="316" t="s">
        <v>439</v>
      </c>
      <c r="B3135" s="123" t="s">
        <v>5072</v>
      </c>
      <c r="C3135" s="256" t="s">
        <v>3529</v>
      </c>
      <c r="D3135" s="256" t="s">
        <v>3528</v>
      </c>
      <c r="E3135" s="339" t="str">
        <f t="shared" si="49"/>
        <v>SC033000 : 국관채원금지급</v>
      </c>
      <c r="K3135" s="65"/>
      <c r="L3135" s="65"/>
      <c r="M3135" s="65"/>
      <c r="N3135" s="65"/>
      <c r="O3135" s="65"/>
      <c r="P3135" s="65"/>
      <c r="Q3135" s="65"/>
      <c r="R3135" s="65"/>
      <c r="S3135" s="65"/>
    </row>
    <row r="3136" spans="1:19" s="64" customFormat="1">
      <c r="A3136" s="316" t="s">
        <v>439</v>
      </c>
      <c r="B3136" s="123" t="s">
        <v>5072</v>
      </c>
      <c r="C3136" s="256" t="s">
        <v>3527</v>
      </c>
      <c r="D3136" s="256" t="s">
        <v>3526</v>
      </c>
      <c r="E3136" s="339" t="str">
        <f t="shared" si="49"/>
        <v>SC033100 : 국채조기상환,할인국채 상환</v>
      </c>
      <c r="K3136" s="65"/>
      <c r="L3136" s="65"/>
      <c r="M3136" s="65"/>
      <c r="N3136" s="65"/>
      <c r="O3136" s="65"/>
      <c r="P3136" s="65"/>
      <c r="Q3136" s="65"/>
      <c r="R3136" s="65"/>
      <c r="S3136" s="65"/>
    </row>
    <row r="3137" spans="1:19" s="64" customFormat="1">
      <c r="A3137" s="316" t="s">
        <v>439</v>
      </c>
      <c r="B3137" s="123" t="s">
        <v>5072</v>
      </c>
      <c r="C3137" s="256" t="s">
        <v>3525</v>
      </c>
      <c r="D3137" s="256" t="s">
        <v>3524</v>
      </c>
      <c r="E3137" s="339" t="str">
        <f t="shared" si="49"/>
        <v>SC034000 : 국관채이자지급</v>
      </c>
      <c r="K3137" s="65"/>
      <c r="L3137" s="65"/>
      <c r="M3137" s="65"/>
      <c r="N3137" s="65"/>
      <c r="O3137" s="65"/>
      <c r="P3137" s="65"/>
      <c r="Q3137" s="65"/>
      <c r="R3137" s="65"/>
      <c r="S3137" s="65"/>
    </row>
    <row r="3138" spans="1:19" s="64" customFormat="1">
      <c r="A3138" s="316" t="s">
        <v>439</v>
      </c>
      <c r="B3138" s="123" t="s">
        <v>5072</v>
      </c>
      <c r="C3138" s="256" t="s">
        <v>3523</v>
      </c>
      <c r="D3138" s="256" t="s">
        <v>3522</v>
      </c>
      <c r="E3138" s="339" t="str">
        <f t="shared" si="49"/>
        <v>SC035000 : 외평채원리금지급</v>
      </c>
      <c r="K3138" s="65"/>
      <c r="L3138" s="65"/>
      <c r="M3138" s="65"/>
      <c r="N3138" s="65"/>
      <c r="O3138" s="65"/>
      <c r="P3138" s="65"/>
      <c r="Q3138" s="65"/>
      <c r="R3138" s="65"/>
      <c r="S3138" s="65"/>
    </row>
    <row r="3139" spans="1:19" s="64" customFormat="1">
      <c r="A3139" s="316" t="s">
        <v>439</v>
      </c>
      <c r="B3139" s="123" t="s">
        <v>5072</v>
      </c>
      <c r="C3139" s="256" t="s">
        <v>3521</v>
      </c>
      <c r="D3139" s="256" t="s">
        <v>3520</v>
      </c>
      <c r="E3139" s="339" t="str">
        <f t="shared" si="49"/>
        <v>SC036000 : 공보채원리금지급</v>
      </c>
      <c r="K3139" s="65"/>
      <c r="L3139" s="65"/>
      <c r="M3139" s="65"/>
      <c r="N3139" s="65"/>
      <c r="O3139" s="65"/>
      <c r="P3139" s="65"/>
      <c r="Q3139" s="65"/>
      <c r="R3139" s="65"/>
      <c r="S3139" s="65"/>
    </row>
    <row r="3140" spans="1:19" s="64" customFormat="1">
      <c r="A3140" s="316" t="s">
        <v>439</v>
      </c>
      <c r="B3140" s="123" t="s">
        <v>5072</v>
      </c>
      <c r="C3140" s="256" t="s">
        <v>3519</v>
      </c>
      <c r="D3140" s="256" t="s">
        <v>3518</v>
      </c>
      <c r="E3140" s="339" t="str">
        <f t="shared" si="49"/>
        <v>SC037000 : 국고채,재정증권 발행자금납부</v>
      </c>
      <c r="K3140" s="65"/>
      <c r="L3140" s="65"/>
      <c r="M3140" s="65"/>
      <c r="N3140" s="65"/>
      <c r="O3140" s="65"/>
      <c r="P3140" s="65"/>
      <c r="Q3140" s="65"/>
      <c r="R3140" s="65"/>
      <c r="S3140" s="65"/>
    </row>
    <row r="3141" spans="1:19" s="64" customFormat="1">
      <c r="A3141" s="316" t="s">
        <v>439</v>
      </c>
      <c r="B3141" s="123" t="s">
        <v>5072</v>
      </c>
      <c r="C3141" s="256" t="s">
        <v>3517</v>
      </c>
      <c r="D3141" s="256" t="s">
        <v>3516</v>
      </c>
      <c r="E3141" s="339" t="str">
        <f t="shared" si="49"/>
        <v>SC038000 : 국고채 재정증권 상환자금수취</v>
      </c>
      <c r="K3141" s="65"/>
      <c r="L3141" s="65"/>
      <c r="M3141" s="65"/>
      <c r="N3141" s="65"/>
      <c r="O3141" s="65"/>
      <c r="P3141" s="65"/>
      <c r="Q3141" s="65"/>
      <c r="R3141" s="65"/>
      <c r="S3141" s="65"/>
    </row>
    <row r="3142" spans="1:19" s="64" customFormat="1">
      <c r="A3142" s="316" t="s">
        <v>439</v>
      </c>
      <c r="B3142" s="123" t="s">
        <v>5072</v>
      </c>
      <c r="C3142" s="256" t="s">
        <v>3515</v>
      </c>
      <c r="D3142" s="256" t="s">
        <v>3514</v>
      </c>
      <c r="E3142" s="339" t="str">
        <f t="shared" si="49"/>
        <v>SC039000 : 공보채권상환자금수취</v>
      </c>
      <c r="K3142" s="65"/>
      <c r="L3142" s="65"/>
      <c r="M3142" s="65"/>
      <c r="N3142" s="65"/>
      <c r="O3142" s="65"/>
      <c r="P3142" s="65"/>
      <c r="Q3142" s="65"/>
      <c r="R3142" s="65"/>
      <c r="S3142" s="65"/>
    </row>
    <row r="3143" spans="1:19" s="64" customFormat="1">
      <c r="A3143" s="316" t="s">
        <v>439</v>
      </c>
      <c r="B3143" s="123" t="s">
        <v>5072</v>
      </c>
      <c r="C3143" s="256" t="s">
        <v>3513</v>
      </c>
      <c r="D3143" s="256" t="s">
        <v>3512</v>
      </c>
      <c r="E3143" s="339" t="str">
        <f t="shared" si="49"/>
        <v>SC041000 : 수입인지판매대금수납(금융기관)</v>
      </c>
      <c r="K3143" s="65"/>
      <c r="L3143" s="65"/>
      <c r="M3143" s="65"/>
      <c r="N3143" s="65"/>
      <c r="O3143" s="65"/>
      <c r="P3143" s="65"/>
      <c r="Q3143" s="65"/>
      <c r="R3143" s="65"/>
      <c r="S3143" s="65"/>
    </row>
    <row r="3144" spans="1:19" s="64" customFormat="1">
      <c r="A3144" s="316" t="s">
        <v>439</v>
      </c>
      <c r="B3144" s="123" t="s">
        <v>5072</v>
      </c>
      <c r="C3144" s="256" t="s">
        <v>3511</v>
      </c>
      <c r="D3144" s="256" t="s">
        <v>3510</v>
      </c>
      <c r="E3144" s="339" t="str">
        <f t="shared" si="49"/>
        <v>SC041500 : 수입인지판매대금수납(우체국)</v>
      </c>
      <c r="K3144" s="65"/>
      <c r="L3144" s="65"/>
      <c r="M3144" s="65"/>
      <c r="N3144" s="65"/>
      <c r="O3144" s="65"/>
      <c r="P3144" s="65"/>
      <c r="Q3144" s="65"/>
      <c r="R3144" s="65"/>
      <c r="S3144" s="65"/>
    </row>
    <row r="3145" spans="1:19" s="64" customFormat="1">
      <c r="A3145" s="316" t="s">
        <v>439</v>
      </c>
      <c r="B3145" s="123" t="s">
        <v>5072</v>
      </c>
      <c r="C3145" s="256" t="s">
        <v>3509</v>
      </c>
      <c r="D3145" s="256" t="s">
        <v>3508</v>
      </c>
      <c r="E3145" s="339" t="str">
        <f t="shared" si="49"/>
        <v>SC042000 : 수입인지판매대금납부</v>
      </c>
      <c r="K3145" s="65"/>
      <c r="L3145" s="65"/>
      <c r="M3145" s="65"/>
      <c r="N3145" s="65"/>
      <c r="O3145" s="65"/>
      <c r="P3145" s="65"/>
      <c r="Q3145" s="65"/>
      <c r="R3145" s="65"/>
      <c r="S3145" s="65"/>
    </row>
    <row r="3146" spans="1:19" s="64" customFormat="1">
      <c r="A3146" s="316" t="s">
        <v>439</v>
      </c>
      <c r="B3146" s="123" t="s">
        <v>5072</v>
      </c>
      <c r="C3146" s="256" t="s">
        <v>3507</v>
      </c>
      <c r="D3146" s="256" t="s">
        <v>3494</v>
      </c>
      <c r="E3146" s="339" t="str">
        <f t="shared" si="49"/>
        <v>SC050001 : 매매(증권)발행매입</v>
      </c>
      <c r="K3146" s="65"/>
      <c r="L3146" s="65"/>
      <c r="M3146" s="65"/>
      <c r="N3146" s="65"/>
      <c r="O3146" s="65"/>
      <c r="P3146" s="65"/>
      <c r="Q3146" s="65"/>
      <c r="R3146" s="65"/>
      <c r="S3146" s="65"/>
    </row>
    <row r="3147" spans="1:19" s="64" customFormat="1">
      <c r="A3147" s="316" t="s">
        <v>439</v>
      </c>
      <c r="B3147" s="123" t="s">
        <v>5072</v>
      </c>
      <c r="C3147" s="256" t="s">
        <v>3506</v>
      </c>
      <c r="D3147" s="256" t="s">
        <v>3492</v>
      </c>
      <c r="E3147" s="339" t="str">
        <f t="shared" si="49"/>
        <v>SC050002 : 매매(증권)중도매입</v>
      </c>
      <c r="K3147" s="65"/>
      <c r="L3147" s="65"/>
      <c r="M3147" s="65"/>
      <c r="N3147" s="65"/>
      <c r="O3147" s="65"/>
      <c r="P3147" s="65"/>
      <c r="Q3147" s="65"/>
      <c r="R3147" s="65"/>
      <c r="S3147" s="65"/>
    </row>
    <row r="3148" spans="1:19" s="64" customFormat="1">
      <c r="A3148" s="316" t="s">
        <v>439</v>
      </c>
      <c r="B3148" s="123" t="s">
        <v>5072</v>
      </c>
      <c r="C3148" s="256" t="s">
        <v>3505</v>
      </c>
      <c r="D3148" s="256" t="s">
        <v>3504</v>
      </c>
      <c r="E3148" s="339" t="str">
        <f t="shared" si="49"/>
        <v>SC050003 : 매매(증권) 매입상각</v>
      </c>
      <c r="K3148" s="65"/>
      <c r="L3148" s="65"/>
      <c r="M3148" s="65"/>
      <c r="N3148" s="65"/>
      <c r="O3148" s="65"/>
      <c r="P3148" s="65"/>
      <c r="Q3148" s="65"/>
      <c r="R3148" s="65"/>
      <c r="S3148" s="65"/>
    </row>
    <row r="3149" spans="1:19" s="64" customFormat="1">
      <c r="A3149" s="316" t="s">
        <v>439</v>
      </c>
      <c r="B3149" s="123" t="s">
        <v>5072</v>
      </c>
      <c r="C3149" s="256" t="s">
        <v>3503</v>
      </c>
      <c r="D3149" s="256" t="s">
        <v>3502</v>
      </c>
      <c r="E3149" s="339" t="str">
        <f t="shared" si="49"/>
        <v>SC050004 : 매매(증권) 중도매각</v>
      </c>
      <c r="K3149" s="65"/>
      <c r="L3149" s="65"/>
      <c r="M3149" s="65"/>
      <c r="N3149" s="65"/>
      <c r="O3149" s="65"/>
      <c r="P3149" s="65"/>
      <c r="Q3149" s="65"/>
      <c r="R3149" s="65"/>
      <c r="S3149" s="65"/>
    </row>
    <row r="3150" spans="1:19" s="64" customFormat="1">
      <c r="A3150" s="316" t="s">
        <v>439</v>
      </c>
      <c r="B3150" s="123" t="s">
        <v>5072</v>
      </c>
      <c r="C3150" s="256" t="s">
        <v>3501</v>
      </c>
      <c r="D3150" s="256" t="s">
        <v>3500</v>
      </c>
      <c r="E3150" s="339" t="str">
        <f t="shared" si="49"/>
        <v>SC050005 : 매매(증권) 중도매각상각</v>
      </c>
      <c r="K3150" s="65"/>
      <c r="L3150" s="65"/>
      <c r="M3150" s="65"/>
      <c r="N3150" s="65"/>
      <c r="O3150" s="65"/>
      <c r="P3150" s="65"/>
      <c r="Q3150" s="65"/>
      <c r="R3150" s="65"/>
      <c r="S3150" s="65"/>
    </row>
    <row r="3151" spans="1:19" s="64" customFormat="1">
      <c r="A3151" s="316" t="s">
        <v>439</v>
      </c>
      <c r="B3151" s="123" t="s">
        <v>5072</v>
      </c>
      <c r="C3151" s="256" t="s">
        <v>3499</v>
      </c>
      <c r="D3151" s="256" t="s">
        <v>3498</v>
      </c>
      <c r="E3151" s="339" t="str">
        <f t="shared" si="49"/>
        <v>SC050006 : 매매(증권) 만기상환</v>
      </c>
      <c r="K3151" s="65"/>
      <c r="L3151" s="65"/>
      <c r="M3151" s="65"/>
      <c r="N3151" s="65"/>
      <c r="O3151" s="65"/>
      <c r="P3151" s="65"/>
      <c r="Q3151" s="65"/>
      <c r="R3151" s="65"/>
      <c r="S3151" s="65"/>
    </row>
    <row r="3152" spans="1:19" s="64" customFormat="1">
      <c r="A3152" s="316" t="s">
        <v>439</v>
      </c>
      <c r="B3152" s="123" t="s">
        <v>5072</v>
      </c>
      <c r="C3152" s="256" t="s">
        <v>3497</v>
      </c>
      <c r="D3152" s="256" t="s">
        <v>3496</v>
      </c>
      <c r="E3152" s="339" t="str">
        <f t="shared" si="49"/>
        <v>SC050007 : 매매(증권) 만기상환 상각</v>
      </c>
      <c r="K3152" s="65"/>
      <c r="L3152" s="65"/>
      <c r="M3152" s="65"/>
      <c r="N3152" s="65"/>
      <c r="O3152" s="65"/>
      <c r="P3152" s="65"/>
      <c r="Q3152" s="65"/>
      <c r="R3152" s="65"/>
      <c r="S3152" s="65"/>
    </row>
    <row r="3153" spans="1:19" s="64" customFormat="1">
      <c r="A3153" s="316" t="s">
        <v>439</v>
      </c>
      <c r="B3153" s="123" t="s">
        <v>5072</v>
      </c>
      <c r="C3153" s="256" t="s">
        <v>3495</v>
      </c>
      <c r="D3153" s="256" t="s">
        <v>3494</v>
      </c>
      <c r="E3153" s="339" t="str">
        <f t="shared" si="49"/>
        <v>SC051000 : 매매(증권)발행매입</v>
      </c>
      <c r="K3153" s="65"/>
      <c r="L3153" s="65"/>
      <c r="M3153" s="65"/>
      <c r="N3153" s="65"/>
      <c r="O3153" s="65"/>
      <c r="P3153" s="65"/>
      <c r="Q3153" s="65"/>
      <c r="R3153" s="65"/>
      <c r="S3153" s="65"/>
    </row>
    <row r="3154" spans="1:19" s="64" customFormat="1">
      <c r="A3154" s="316" t="s">
        <v>439</v>
      </c>
      <c r="B3154" s="123" t="s">
        <v>5072</v>
      </c>
      <c r="C3154" s="256" t="s">
        <v>3493</v>
      </c>
      <c r="D3154" s="256" t="s">
        <v>3492</v>
      </c>
      <c r="E3154" s="339" t="str">
        <f t="shared" si="49"/>
        <v>SC052000 : 매매(증권)중도매입</v>
      </c>
      <c r="K3154" s="65"/>
      <c r="L3154" s="65"/>
      <c r="M3154" s="65"/>
      <c r="N3154" s="65"/>
      <c r="O3154" s="65"/>
      <c r="P3154" s="65"/>
      <c r="Q3154" s="65"/>
      <c r="R3154" s="65"/>
      <c r="S3154" s="65"/>
    </row>
    <row r="3155" spans="1:19" s="64" customFormat="1">
      <c r="A3155" s="316" t="s">
        <v>439</v>
      </c>
      <c r="B3155" s="123" t="s">
        <v>5072</v>
      </c>
      <c r="C3155" s="256" t="s">
        <v>3491</v>
      </c>
      <c r="D3155" s="256" t="s">
        <v>3490</v>
      </c>
      <c r="E3155" s="339" t="str">
        <f t="shared" si="49"/>
        <v>SC053000 : 매매(증권)발행매입만기상환</v>
      </c>
      <c r="K3155" s="65"/>
      <c r="L3155" s="65"/>
      <c r="M3155" s="65"/>
      <c r="N3155" s="65"/>
      <c r="O3155" s="65"/>
      <c r="P3155" s="65"/>
      <c r="Q3155" s="65"/>
      <c r="R3155" s="65"/>
      <c r="S3155" s="65"/>
    </row>
    <row r="3156" spans="1:19" s="64" customFormat="1">
      <c r="A3156" s="316" t="s">
        <v>439</v>
      </c>
      <c r="B3156" s="123" t="s">
        <v>5072</v>
      </c>
      <c r="C3156" s="256" t="s">
        <v>3489</v>
      </c>
      <c r="D3156" s="256" t="s">
        <v>3488</v>
      </c>
      <c r="E3156" s="339" t="str">
        <f t="shared" si="49"/>
        <v>SC054100 : 매매(증권)중도매입만기상환1</v>
      </c>
      <c r="K3156" s="65"/>
      <c r="L3156" s="65"/>
      <c r="M3156" s="65"/>
      <c r="N3156" s="65"/>
      <c r="O3156" s="65"/>
      <c r="P3156" s="65"/>
      <c r="Q3156" s="65"/>
      <c r="R3156" s="65"/>
      <c r="S3156" s="65"/>
    </row>
    <row r="3157" spans="1:19" s="64" customFormat="1">
      <c r="A3157" s="316" t="s">
        <v>439</v>
      </c>
      <c r="B3157" s="123" t="s">
        <v>5072</v>
      </c>
      <c r="C3157" s="256" t="s">
        <v>3487</v>
      </c>
      <c r="D3157" s="256" t="s">
        <v>3486</v>
      </c>
      <c r="E3157" s="339" t="str">
        <f t="shared" si="49"/>
        <v>SC054200 : 매매(증권)중도매입만기상환2</v>
      </c>
      <c r="K3157" s="65"/>
      <c r="L3157" s="65"/>
      <c r="M3157" s="65"/>
      <c r="N3157" s="65"/>
      <c r="O3157" s="65"/>
      <c r="P3157" s="65"/>
      <c r="Q3157" s="65"/>
      <c r="R3157" s="65"/>
      <c r="S3157" s="65"/>
    </row>
    <row r="3158" spans="1:19" s="64" customFormat="1">
      <c r="A3158" s="316" t="s">
        <v>439</v>
      </c>
      <c r="B3158" s="123" t="s">
        <v>5072</v>
      </c>
      <c r="C3158" s="256" t="s">
        <v>3485</v>
      </c>
      <c r="D3158" s="256" t="s">
        <v>3484</v>
      </c>
      <c r="E3158" s="339" t="str">
        <f t="shared" ref="E3158:E3221" si="50">_xlfn.TEXTJOIN(" : ",FALSE,C3158:D3158)</f>
        <v>SC054300 : 매매(증권)중도매입만기상환(익)1</v>
      </c>
      <c r="K3158" s="65"/>
      <c r="L3158" s="65"/>
      <c r="M3158" s="65"/>
      <c r="N3158" s="65"/>
      <c r="O3158" s="65"/>
      <c r="P3158" s="65"/>
      <c r="Q3158" s="65"/>
      <c r="R3158" s="65"/>
      <c r="S3158" s="65"/>
    </row>
    <row r="3159" spans="1:19" s="64" customFormat="1">
      <c r="A3159" s="316" t="s">
        <v>439</v>
      </c>
      <c r="B3159" s="123" t="s">
        <v>5072</v>
      </c>
      <c r="C3159" s="256" t="s">
        <v>3483</v>
      </c>
      <c r="D3159" s="256" t="s">
        <v>3482</v>
      </c>
      <c r="E3159" s="339" t="str">
        <f t="shared" si="50"/>
        <v>SC054400 : 매매(증권)중도매입만기상환(익)2</v>
      </c>
      <c r="K3159" s="65"/>
      <c r="L3159" s="65"/>
      <c r="M3159" s="65"/>
      <c r="N3159" s="65"/>
      <c r="O3159" s="65"/>
      <c r="P3159" s="65"/>
      <c r="Q3159" s="65"/>
      <c r="R3159" s="65"/>
      <c r="S3159" s="65"/>
    </row>
    <row r="3160" spans="1:19" s="64" customFormat="1">
      <c r="A3160" s="316" t="s">
        <v>439</v>
      </c>
      <c r="B3160" s="123" t="s">
        <v>5072</v>
      </c>
      <c r="C3160" s="256" t="s">
        <v>3481</v>
      </c>
      <c r="D3160" s="256" t="s">
        <v>3480</v>
      </c>
      <c r="E3160" s="339" t="str">
        <f t="shared" si="50"/>
        <v>SC054500 : 매매(증권)중도매입만기상환(손)1</v>
      </c>
      <c r="K3160" s="65"/>
      <c r="L3160" s="65"/>
      <c r="M3160" s="65"/>
      <c r="N3160" s="65"/>
      <c r="O3160" s="65"/>
      <c r="P3160" s="65"/>
      <c r="Q3160" s="65"/>
      <c r="R3160" s="65"/>
      <c r="S3160" s="65"/>
    </row>
    <row r="3161" spans="1:19" s="64" customFormat="1">
      <c r="A3161" s="316" t="s">
        <v>439</v>
      </c>
      <c r="B3161" s="123" t="s">
        <v>5072</v>
      </c>
      <c r="C3161" s="256" t="s">
        <v>3479</v>
      </c>
      <c r="D3161" s="256" t="s">
        <v>3478</v>
      </c>
      <c r="E3161" s="339" t="str">
        <f t="shared" si="50"/>
        <v>SC054600 : 매매(증권)중도매입만기상환(손)2</v>
      </c>
      <c r="K3161" s="65"/>
      <c r="L3161" s="65"/>
      <c r="M3161" s="65"/>
      <c r="N3161" s="65"/>
      <c r="O3161" s="65"/>
      <c r="P3161" s="65"/>
      <c r="Q3161" s="65"/>
      <c r="R3161" s="65"/>
      <c r="S3161" s="65"/>
    </row>
    <row r="3162" spans="1:19" s="64" customFormat="1">
      <c r="A3162" s="316" t="s">
        <v>439</v>
      </c>
      <c r="B3162" s="123" t="s">
        <v>5072</v>
      </c>
      <c r="C3162" s="256" t="s">
        <v>3477</v>
      </c>
      <c r="D3162" s="256" t="s">
        <v>3476</v>
      </c>
      <c r="E3162" s="339" t="str">
        <f t="shared" si="50"/>
        <v>SC055100 : 매매(증권)이표채이자수입1</v>
      </c>
      <c r="K3162" s="65"/>
      <c r="L3162" s="65"/>
      <c r="M3162" s="65"/>
      <c r="N3162" s="65"/>
      <c r="O3162" s="65"/>
      <c r="P3162" s="65"/>
      <c r="Q3162" s="65"/>
      <c r="R3162" s="65"/>
      <c r="S3162" s="65"/>
    </row>
    <row r="3163" spans="1:19" s="64" customFormat="1">
      <c r="A3163" s="316" t="s">
        <v>439</v>
      </c>
      <c r="B3163" s="123" t="s">
        <v>5072</v>
      </c>
      <c r="C3163" s="256" t="s">
        <v>3475</v>
      </c>
      <c r="D3163" s="256" t="s">
        <v>3474</v>
      </c>
      <c r="E3163" s="339" t="str">
        <f t="shared" si="50"/>
        <v>SC055200 : 매매(증권)이표채이자수입2</v>
      </c>
      <c r="K3163" s="65"/>
      <c r="L3163" s="65"/>
      <c r="M3163" s="65"/>
      <c r="N3163" s="65"/>
      <c r="O3163" s="65"/>
      <c r="P3163" s="65"/>
      <c r="Q3163" s="65"/>
      <c r="R3163" s="65"/>
      <c r="S3163" s="65"/>
    </row>
    <row r="3164" spans="1:19" s="64" customFormat="1">
      <c r="A3164" s="316" t="s">
        <v>439</v>
      </c>
      <c r="B3164" s="123" t="s">
        <v>5072</v>
      </c>
      <c r="C3164" s="256" t="s">
        <v>3473</v>
      </c>
      <c r="D3164" s="256" t="s">
        <v>3472</v>
      </c>
      <c r="E3164" s="339" t="str">
        <f t="shared" si="50"/>
        <v>SC056100 : 매매(증권)발행매입중도매각</v>
      </c>
      <c r="K3164" s="65"/>
      <c r="L3164" s="65"/>
      <c r="M3164" s="65"/>
      <c r="N3164" s="65"/>
      <c r="O3164" s="65"/>
      <c r="P3164" s="65"/>
      <c r="Q3164" s="65"/>
      <c r="R3164" s="65"/>
      <c r="S3164" s="65"/>
    </row>
    <row r="3165" spans="1:19" s="64" customFormat="1">
      <c r="A3165" s="316" t="s">
        <v>439</v>
      </c>
      <c r="B3165" s="123" t="s">
        <v>5072</v>
      </c>
      <c r="C3165" s="256" t="s">
        <v>3471</v>
      </c>
      <c r="D3165" s="256" t="s">
        <v>3470</v>
      </c>
      <c r="E3165" s="339" t="str">
        <f t="shared" si="50"/>
        <v>SC056200 : 매매(증권)발행매입중도매각(익)</v>
      </c>
      <c r="K3165" s="65"/>
      <c r="L3165" s="65"/>
      <c r="M3165" s="65"/>
      <c r="N3165" s="65"/>
      <c r="O3165" s="65"/>
      <c r="P3165" s="65"/>
      <c r="Q3165" s="65"/>
      <c r="R3165" s="65"/>
      <c r="S3165" s="65"/>
    </row>
    <row r="3166" spans="1:19" s="64" customFormat="1">
      <c r="A3166" s="316" t="s">
        <v>439</v>
      </c>
      <c r="B3166" s="123" t="s">
        <v>5072</v>
      </c>
      <c r="C3166" s="256" t="s">
        <v>3469</v>
      </c>
      <c r="D3166" s="256" t="s">
        <v>3468</v>
      </c>
      <c r="E3166" s="339" t="str">
        <f t="shared" si="50"/>
        <v>SC056300 : 매매(증권)발행매입중도매각(손)</v>
      </c>
      <c r="K3166" s="65"/>
      <c r="L3166" s="65"/>
      <c r="M3166" s="65"/>
      <c r="N3166" s="65"/>
      <c r="O3166" s="65"/>
      <c r="P3166" s="65"/>
      <c r="Q3166" s="65"/>
      <c r="R3166" s="65"/>
      <c r="S3166" s="65"/>
    </row>
    <row r="3167" spans="1:19" s="64" customFormat="1">
      <c r="A3167" s="316" t="s">
        <v>439</v>
      </c>
      <c r="B3167" s="123" t="s">
        <v>5072</v>
      </c>
      <c r="C3167" s="256" t="s">
        <v>3467</v>
      </c>
      <c r="D3167" s="256" t="s">
        <v>3466</v>
      </c>
      <c r="E3167" s="339" t="str">
        <f t="shared" si="50"/>
        <v>SC057100 : 매매(증권)중도매입중도매각1</v>
      </c>
      <c r="K3167" s="65"/>
      <c r="L3167" s="65"/>
      <c r="M3167" s="65"/>
      <c r="N3167" s="65"/>
      <c r="O3167" s="65"/>
      <c r="P3167" s="65"/>
      <c r="Q3167" s="65"/>
      <c r="R3167" s="65"/>
      <c r="S3167" s="65"/>
    </row>
    <row r="3168" spans="1:19" s="64" customFormat="1">
      <c r="A3168" s="316" t="s">
        <v>439</v>
      </c>
      <c r="B3168" s="123" t="s">
        <v>5072</v>
      </c>
      <c r="C3168" s="256" t="s">
        <v>3465</v>
      </c>
      <c r="D3168" s="256" t="s">
        <v>3464</v>
      </c>
      <c r="E3168" s="339" t="str">
        <f t="shared" si="50"/>
        <v>SC057200 : 매매(증권)중도매입중도매각2</v>
      </c>
      <c r="K3168" s="65"/>
      <c r="L3168" s="65"/>
      <c r="M3168" s="65"/>
      <c r="N3168" s="65"/>
      <c r="O3168" s="65"/>
      <c r="P3168" s="65"/>
      <c r="Q3168" s="65"/>
      <c r="R3168" s="65"/>
      <c r="S3168" s="65"/>
    </row>
    <row r="3169" spans="1:19" s="64" customFormat="1">
      <c r="A3169" s="316" t="s">
        <v>439</v>
      </c>
      <c r="B3169" s="123" t="s">
        <v>5072</v>
      </c>
      <c r="C3169" s="256" t="s">
        <v>3463</v>
      </c>
      <c r="D3169" s="256" t="s">
        <v>3462</v>
      </c>
      <c r="E3169" s="339" t="str">
        <f t="shared" si="50"/>
        <v>SC057300 : 매매(증권)중도매입중도매각(익)1</v>
      </c>
      <c r="K3169" s="65"/>
      <c r="L3169" s="65"/>
      <c r="M3169" s="65"/>
      <c r="N3169" s="65"/>
      <c r="O3169" s="65"/>
      <c r="P3169" s="65"/>
      <c r="Q3169" s="65"/>
      <c r="R3169" s="65"/>
      <c r="S3169" s="65"/>
    </row>
    <row r="3170" spans="1:19" s="64" customFormat="1">
      <c r="A3170" s="316" t="s">
        <v>439</v>
      </c>
      <c r="B3170" s="123" t="s">
        <v>5072</v>
      </c>
      <c r="C3170" s="256" t="s">
        <v>3461</v>
      </c>
      <c r="D3170" s="256" t="s">
        <v>3460</v>
      </c>
      <c r="E3170" s="339" t="str">
        <f t="shared" si="50"/>
        <v>SC057400 : 매매(증권)중도매입중도매각(익)2</v>
      </c>
      <c r="K3170" s="65"/>
      <c r="L3170" s="65"/>
      <c r="M3170" s="65"/>
      <c r="N3170" s="65"/>
      <c r="O3170" s="65"/>
      <c r="P3170" s="65"/>
      <c r="Q3170" s="65"/>
      <c r="R3170" s="65"/>
      <c r="S3170" s="65"/>
    </row>
    <row r="3171" spans="1:19" s="64" customFormat="1">
      <c r="A3171" s="316" t="s">
        <v>439</v>
      </c>
      <c r="B3171" s="123" t="s">
        <v>5072</v>
      </c>
      <c r="C3171" s="256" t="s">
        <v>3459</v>
      </c>
      <c r="D3171" s="256" t="s">
        <v>3405</v>
      </c>
      <c r="E3171" s="339" t="str">
        <f t="shared" si="50"/>
        <v>SC057500 : 매매(증권)중도매입중도매각(손)1</v>
      </c>
      <c r="K3171" s="65"/>
      <c r="L3171" s="65"/>
      <c r="M3171" s="65"/>
      <c r="N3171" s="65"/>
      <c r="O3171" s="65"/>
      <c r="P3171" s="65"/>
      <c r="Q3171" s="65"/>
      <c r="R3171" s="65"/>
      <c r="S3171" s="65"/>
    </row>
    <row r="3172" spans="1:19" s="64" customFormat="1">
      <c r="A3172" s="316" t="s">
        <v>439</v>
      </c>
      <c r="B3172" s="123" t="s">
        <v>5072</v>
      </c>
      <c r="C3172" s="256" t="s">
        <v>3458</v>
      </c>
      <c r="D3172" s="256" t="s">
        <v>3457</v>
      </c>
      <c r="E3172" s="339" t="str">
        <f t="shared" si="50"/>
        <v>SC057600 : 매매(증권)중도매입중도매각(손)2</v>
      </c>
      <c r="K3172" s="65"/>
      <c r="L3172" s="65"/>
      <c r="M3172" s="65"/>
      <c r="N3172" s="65"/>
      <c r="O3172" s="65"/>
      <c r="P3172" s="65"/>
      <c r="Q3172" s="65"/>
      <c r="R3172" s="65"/>
      <c r="S3172" s="65"/>
    </row>
    <row r="3173" spans="1:19" s="64" customFormat="1">
      <c r="A3173" s="316" t="s">
        <v>439</v>
      </c>
      <c r="B3173" s="123" t="s">
        <v>5072</v>
      </c>
      <c r="C3173" s="256" t="s">
        <v>3456</v>
      </c>
      <c r="D3173" s="256" t="s">
        <v>3443</v>
      </c>
      <c r="E3173" s="339" t="str">
        <f t="shared" si="50"/>
        <v>SC060001 : 매매(국채)발행매입</v>
      </c>
      <c r="K3173" s="65"/>
      <c r="L3173" s="65"/>
      <c r="M3173" s="65"/>
      <c r="N3173" s="65"/>
      <c r="O3173" s="65"/>
      <c r="P3173" s="65"/>
      <c r="Q3173" s="65"/>
      <c r="R3173" s="65"/>
      <c r="S3173" s="65"/>
    </row>
    <row r="3174" spans="1:19" s="64" customFormat="1">
      <c r="A3174" s="316" t="s">
        <v>439</v>
      </c>
      <c r="B3174" s="123" t="s">
        <v>5072</v>
      </c>
      <c r="C3174" s="256" t="s">
        <v>3455</v>
      </c>
      <c r="D3174" s="256" t="s">
        <v>3439</v>
      </c>
      <c r="E3174" s="339" t="str">
        <f t="shared" si="50"/>
        <v>SC060002 : 매매(국채)중도매입</v>
      </c>
      <c r="K3174" s="65"/>
      <c r="L3174" s="65"/>
      <c r="M3174" s="65"/>
      <c r="N3174" s="65"/>
      <c r="O3174" s="65"/>
      <c r="P3174" s="65"/>
      <c r="Q3174" s="65"/>
      <c r="R3174" s="65"/>
      <c r="S3174" s="65"/>
    </row>
    <row r="3175" spans="1:19" s="64" customFormat="1">
      <c r="A3175" s="316" t="s">
        <v>439</v>
      </c>
      <c r="B3175" s="123" t="s">
        <v>5072</v>
      </c>
      <c r="C3175" s="256" t="s">
        <v>3454</v>
      </c>
      <c r="D3175" s="256" t="s">
        <v>3453</v>
      </c>
      <c r="E3175" s="339" t="str">
        <f t="shared" si="50"/>
        <v>SC060003 : 매매(국채) 매입상각</v>
      </c>
      <c r="K3175" s="65"/>
      <c r="L3175" s="65"/>
      <c r="M3175" s="65"/>
      <c r="N3175" s="65"/>
      <c r="O3175" s="65"/>
      <c r="P3175" s="65"/>
      <c r="Q3175" s="65"/>
      <c r="R3175" s="65"/>
      <c r="S3175" s="65"/>
    </row>
    <row r="3176" spans="1:19" s="64" customFormat="1">
      <c r="A3176" s="316" t="s">
        <v>439</v>
      </c>
      <c r="B3176" s="123" t="s">
        <v>5072</v>
      </c>
      <c r="C3176" s="256" t="s">
        <v>3452</v>
      </c>
      <c r="D3176" s="256" t="s">
        <v>3451</v>
      </c>
      <c r="E3176" s="339" t="str">
        <f t="shared" si="50"/>
        <v>SC060004 : 매매(국채) 중도매각</v>
      </c>
      <c r="K3176" s="65"/>
      <c r="L3176" s="65"/>
      <c r="M3176" s="65"/>
      <c r="N3176" s="65"/>
      <c r="O3176" s="65"/>
      <c r="P3176" s="65"/>
      <c r="Q3176" s="65"/>
      <c r="R3176" s="65"/>
      <c r="S3176" s="65"/>
    </row>
    <row r="3177" spans="1:19" s="64" customFormat="1">
      <c r="A3177" s="316" t="s">
        <v>439</v>
      </c>
      <c r="B3177" s="123" t="s">
        <v>5072</v>
      </c>
      <c r="C3177" s="256" t="s">
        <v>3450</v>
      </c>
      <c r="D3177" s="256" t="s">
        <v>3449</v>
      </c>
      <c r="E3177" s="339" t="str">
        <f t="shared" si="50"/>
        <v>SC060005 : 매매(국채) 중도매각상각</v>
      </c>
      <c r="K3177" s="65"/>
      <c r="L3177" s="65"/>
      <c r="M3177" s="65"/>
      <c r="N3177" s="65"/>
      <c r="O3177" s="65"/>
      <c r="P3177" s="65"/>
      <c r="Q3177" s="65"/>
      <c r="R3177" s="65"/>
      <c r="S3177" s="65"/>
    </row>
    <row r="3178" spans="1:19" s="64" customFormat="1">
      <c r="A3178" s="316" t="s">
        <v>439</v>
      </c>
      <c r="B3178" s="123" t="s">
        <v>5072</v>
      </c>
      <c r="C3178" s="256" t="s">
        <v>3448</v>
      </c>
      <c r="D3178" s="256" t="s">
        <v>3447</v>
      </c>
      <c r="E3178" s="339" t="str">
        <f t="shared" si="50"/>
        <v>SC060006 : 매매(국채) 만기상환</v>
      </c>
      <c r="K3178" s="65"/>
      <c r="L3178" s="65"/>
      <c r="M3178" s="65"/>
      <c r="N3178" s="65"/>
      <c r="O3178" s="65"/>
      <c r="P3178" s="65"/>
      <c r="Q3178" s="65"/>
      <c r="R3178" s="65"/>
      <c r="S3178" s="65"/>
    </row>
    <row r="3179" spans="1:19" s="64" customFormat="1">
      <c r="A3179" s="316" t="s">
        <v>439</v>
      </c>
      <c r="B3179" s="123" t="s">
        <v>5072</v>
      </c>
      <c r="C3179" s="256" t="s">
        <v>3446</v>
      </c>
      <c r="D3179" s="256" t="s">
        <v>3445</v>
      </c>
      <c r="E3179" s="339" t="str">
        <f t="shared" si="50"/>
        <v>SC060007 : 매매(국채) 만기상환 상각</v>
      </c>
      <c r="K3179" s="65"/>
      <c r="L3179" s="65"/>
      <c r="M3179" s="65"/>
      <c r="N3179" s="65"/>
      <c r="O3179" s="65"/>
      <c r="P3179" s="65"/>
      <c r="Q3179" s="65"/>
      <c r="R3179" s="65"/>
      <c r="S3179" s="65"/>
    </row>
    <row r="3180" spans="1:19" s="64" customFormat="1">
      <c r="A3180" s="316" t="s">
        <v>439</v>
      </c>
      <c r="B3180" s="123" t="s">
        <v>5072</v>
      </c>
      <c r="C3180" s="256" t="s">
        <v>3444</v>
      </c>
      <c r="D3180" s="256" t="s">
        <v>3443</v>
      </c>
      <c r="E3180" s="339" t="str">
        <f t="shared" si="50"/>
        <v>SC060100 : 매매(국채)발행매입</v>
      </c>
      <c r="K3180" s="65"/>
      <c r="L3180" s="65"/>
      <c r="M3180" s="65"/>
      <c r="N3180" s="65"/>
      <c r="O3180" s="65"/>
      <c r="P3180" s="65"/>
      <c r="Q3180" s="65"/>
      <c r="R3180" s="65"/>
      <c r="S3180" s="65"/>
    </row>
    <row r="3181" spans="1:19" s="64" customFormat="1">
      <c r="A3181" s="316" t="s">
        <v>439</v>
      </c>
      <c r="B3181" s="123" t="s">
        <v>5072</v>
      </c>
      <c r="C3181" s="256" t="s">
        <v>3442</v>
      </c>
      <c r="D3181" s="256" t="s">
        <v>3441</v>
      </c>
      <c r="E3181" s="339" t="str">
        <f t="shared" si="50"/>
        <v>SC060150 : 매매발행매입(국고채,외평채이외)</v>
      </c>
      <c r="K3181" s="65"/>
      <c r="L3181" s="65"/>
      <c r="M3181" s="65"/>
      <c r="N3181" s="65"/>
      <c r="O3181" s="65"/>
      <c r="P3181" s="65"/>
      <c r="Q3181" s="65"/>
      <c r="R3181" s="65"/>
      <c r="S3181" s="65"/>
    </row>
    <row r="3182" spans="1:19" s="64" customFormat="1">
      <c r="A3182" s="316" t="s">
        <v>439</v>
      </c>
      <c r="B3182" s="123" t="s">
        <v>5072</v>
      </c>
      <c r="C3182" s="256" t="s">
        <v>3440</v>
      </c>
      <c r="D3182" s="256" t="s">
        <v>3439</v>
      </c>
      <c r="E3182" s="339" t="str">
        <f t="shared" si="50"/>
        <v>SC060200 : 매매(국채)중도매입</v>
      </c>
      <c r="K3182" s="65"/>
      <c r="L3182" s="65"/>
      <c r="M3182" s="65"/>
      <c r="N3182" s="65"/>
      <c r="O3182" s="65"/>
      <c r="P3182" s="65"/>
      <c r="Q3182" s="65"/>
      <c r="R3182" s="65"/>
      <c r="S3182" s="65"/>
    </row>
    <row r="3183" spans="1:19" s="64" customFormat="1">
      <c r="A3183" s="316" t="s">
        <v>439</v>
      </c>
      <c r="B3183" s="123" t="s">
        <v>5072</v>
      </c>
      <c r="C3183" s="256" t="s">
        <v>3438</v>
      </c>
      <c r="D3183" s="256" t="s">
        <v>3437</v>
      </c>
      <c r="E3183" s="339" t="str">
        <f t="shared" si="50"/>
        <v>SC061000 : 매매(국채)발행매입만기상환</v>
      </c>
      <c r="K3183" s="65"/>
      <c r="L3183" s="65"/>
      <c r="M3183" s="65"/>
      <c r="N3183" s="65"/>
      <c r="O3183" s="65"/>
      <c r="P3183" s="65"/>
      <c r="Q3183" s="65"/>
      <c r="R3183" s="65"/>
      <c r="S3183" s="65"/>
    </row>
    <row r="3184" spans="1:19" s="64" customFormat="1">
      <c r="A3184" s="316" t="s">
        <v>439</v>
      </c>
      <c r="B3184" s="123" t="s">
        <v>5072</v>
      </c>
      <c r="C3184" s="256" t="s">
        <v>3436</v>
      </c>
      <c r="D3184" s="256" t="s">
        <v>3435</v>
      </c>
      <c r="E3184" s="339" t="str">
        <f t="shared" si="50"/>
        <v>SC062100 : 매매(국채)중도매입만기상환1</v>
      </c>
      <c r="K3184" s="65"/>
      <c r="L3184" s="65"/>
      <c r="M3184" s="65"/>
      <c r="N3184" s="65"/>
      <c r="O3184" s="65"/>
      <c r="P3184" s="65"/>
      <c r="Q3184" s="65"/>
      <c r="R3184" s="65"/>
      <c r="S3184" s="65"/>
    </row>
    <row r="3185" spans="1:19" s="64" customFormat="1">
      <c r="A3185" s="316" t="s">
        <v>439</v>
      </c>
      <c r="B3185" s="123" t="s">
        <v>5072</v>
      </c>
      <c r="C3185" s="256" t="s">
        <v>3434</v>
      </c>
      <c r="D3185" s="256" t="s">
        <v>3433</v>
      </c>
      <c r="E3185" s="339" t="str">
        <f t="shared" si="50"/>
        <v>SC062200 : 매매(국채)중도매입만기상환2</v>
      </c>
      <c r="K3185" s="65"/>
      <c r="L3185" s="65"/>
      <c r="M3185" s="65"/>
      <c r="N3185" s="65"/>
      <c r="O3185" s="65"/>
      <c r="P3185" s="65"/>
      <c r="Q3185" s="65"/>
      <c r="R3185" s="65"/>
      <c r="S3185" s="65"/>
    </row>
    <row r="3186" spans="1:19" s="64" customFormat="1">
      <c r="A3186" s="316" t="s">
        <v>439</v>
      </c>
      <c r="B3186" s="123" t="s">
        <v>5072</v>
      </c>
      <c r="C3186" s="256" t="s">
        <v>3432</v>
      </c>
      <c r="D3186" s="256" t="s">
        <v>3431</v>
      </c>
      <c r="E3186" s="339" t="str">
        <f t="shared" si="50"/>
        <v>SC062300 : 매매(국채)중도매입만기상환(익)1</v>
      </c>
      <c r="K3186" s="65"/>
      <c r="L3186" s="65"/>
      <c r="M3186" s="65"/>
      <c r="N3186" s="65"/>
      <c r="O3186" s="65"/>
      <c r="P3186" s="65"/>
      <c r="Q3186" s="65"/>
      <c r="R3186" s="65"/>
      <c r="S3186" s="65"/>
    </row>
    <row r="3187" spans="1:19" s="64" customFormat="1">
      <c r="A3187" s="316" t="s">
        <v>439</v>
      </c>
      <c r="B3187" s="123" t="s">
        <v>5072</v>
      </c>
      <c r="C3187" s="256" t="s">
        <v>3430</v>
      </c>
      <c r="D3187" s="256" t="s">
        <v>3429</v>
      </c>
      <c r="E3187" s="339" t="str">
        <f t="shared" si="50"/>
        <v>SC062400 : 매매(국채)중도매입만기상환(익)2</v>
      </c>
      <c r="K3187" s="65"/>
      <c r="L3187" s="65"/>
      <c r="M3187" s="65"/>
      <c r="N3187" s="65"/>
      <c r="O3187" s="65"/>
      <c r="P3187" s="65"/>
      <c r="Q3187" s="65"/>
      <c r="R3187" s="65"/>
      <c r="S3187" s="65"/>
    </row>
    <row r="3188" spans="1:19" s="64" customFormat="1">
      <c r="A3188" s="316" t="s">
        <v>439</v>
      </c>
      <c r="B3188" s="123" t="s">
        <v>5072</v>
      </c>
      <c r="C3188" s="256" t="s">
        <v>3428</v>
      </c>
      <c r="D3188" s="256" t="s">
        <v>3427</v>
      </c>
      <c r="E3188" s="339" t="str">
        <f t="shared" si="50"/>
        <v>SC062500 : 매매(국채)중도매입만기상환(손)1</v>
      </c>
      <c r="K3188" s="65"/>
      <c r="L3188" s="65"/>
      <c r="M3188" s="65"/>
      <c r="N3188" s="65"/>
      <c r="O3188" s="65"/>
      <c r="P3188" s="65"/>
      <c r="Q3188" s="65"/>
      <c r="R3188" s="65"/>
      <c r="S3188" s="65"/>
    </row>
    <row r="3189" spans="1:19" s="64" customFormat="1">
      <c r="A3189" s="316" t="s">
        <v>439</v>
      </c>
      <c r="B3189" s="123" t="s">
        <v>5072</v>
      </c>
      <c r="C3189" s="256" t="s">
        <v>3426</v>
      </c>
      <c r="D3189" s="256" t="s">
        <v>3425</v>
      </c>
      <c r="E3189" s="339" t="str">
        <f t="shared" si="50"/>
        <v>SC062600 : 매매(국채)중도매입만기상환(손)2</v>
      </c>
      <c r="K3189" s="65"/>
      <c r="L3189" s="65"/>
      <c r="M3189" s="65"/>
      <c r="N3189" s="65"/>
      <c r="O3189" s="65"/>
      <c r="P3189" s="65"/>
      <c r="Q3189" s="65"/>
      <c r="R3189" s="65"/>
      <c r="S3189" s="65"/>
    </row>
    <row r="3190" spans="1:19" s="64" customFormat="1">
      <c r="A3190" s="316" t="s">
        <v>439</v>
      </c>
      <c r="B3190" s="123" t="s">
        <v>5072</v>
      </c>
      <c r="C3190" s="256" t="s">
        <v>3424</v>
      </c>
      <c r="D3190" s="256" t="s">
        <v>3423</v>
      </c>
      <c r="E3190" s="339" t="str">
        <f t="shared" si="50"/>
        <v>SC063100 : 매매(국채)이자수입1</v>
      </c>
      <c r="K3190" s="65"/>
      <c r="L3190" s="65"/>
      <c r="M3190" s="65"/>
      <c r="N3190" s="65"/>
      <c r="O3190" s="65"/>
      <c r="P3190" s="65"/>
      <c r="Q3190" s="65"/>
      <c r="R3190" s="65"/>
      <c r="S3190" s="65"/>
    </row>
    <row r="3191" spans="1:19" s="64" customFormat="1">
      <c r="A3191" s="316" t="s">
        <v>439</v>
      </c>
      <c r="B3191" s="123" t="s">
        <v>5072</v>
      </c>
      <c r="C3191" s="256" t="s">
        <v>3422</v>
      </c>
      <c r="D3191" s="256" t="s">
        <v>3421</v>
      </c>
      <c r="E3191" s="339" t="str">
        <f t="shared" si="50"/>
        <v>SC063200 : 매매(국채)이자수입2</v>
      </c>
      <c r="K3191" s="65"/>
      <c r="L3191" s="65"/>
      <c r="M3191" s="65"/>
      <c r="N3191" s="65"/>
      <c r="O3191" s="65"/>
      <c r="P3191" s="65"/>
      <c r="Q3191" s="65"/>
      <c r="R3191" s="65"/>
      <c r="S3191" s="65"/>
    </row>
    <row r="3192" spans="1:19" s="64" customFormat="1">
      <c r="A3192" s="316" t="s">
        <v>439</v>
      </c>
      <c r="B3192" s="123" t="s">
        <v>5072</v>
      </c>
      <c r="C3192" s="256" t="s">
        <v>3420</v>
      </c>
      <c r="D3192" s="256" t="s">
        <v>3419</v>
      </c>
      <c r="E3192" s="339" t="str">
        <f t="shared" si="50"/>
        <v>SC064100 : 매매(국채)발행매입중도매각</v>
      </c>
      <c r="K3192" s="65"/>
      <c r="L3192" s="65"/>
      <c r="M3192" s="65"/>
      <c r="N3192" s="65"/>
      <c r="O3192" s="65"/>
      <c r="P3192" s="65"/>
      <c r="Q3192" s="65"/>
      <c r="R3192" s="65"/>
      <c r="S3192" s="65"/>
    </row>
    <row r="3193" spans="1:19" s="64" customFormat="1">
      <c r="A3193" s="316" t="s">
        <v>439</v>
      </c>
      <c r="B3193" s="123" t="s">
        <v>5072</v>
      </c>
      <c r="C3193" s="256" t="s">
        <v>3418</v>
      </c>
      <c r="D3193" s="256" t="s">
        <v>3417</v>
      </c>
      <c r="E3193" s="339" t="str">
        <f t="shared" si="50"/>
        <v>SC064200 : 매매(국채)발행매입중도매각(익)</v>
      </c>
      <c r="K3193" s="65"/>
      <c r="L3193" s="65"/>
      <c r="M3193" s="65"/>
      <c r="N3193" s="65"/>
      <c r="O3193" s="65"/>
      <c r="P3193" s="65"/>
      <c r="Q3193" s="65"/>
      <c r="R3193" s="65"/>
      <c r="S3193" s="65"/>
    </row>
    <row r="3194" spans="1:19" s="64" customFormat="1">
      <c r="A3194" s="316" t="s">
        <v>439</v>
      </c>
      <c r="B3194" s="123" t="s">
        <v>5072</v>
      </c>
      <c r="C3194" s="256" t="s">
        <v>3416</v>
      </c>
      <c r="D3194" s="256" t="s">
        <v>3415</v>
      </c>
      <c r="E3194" s="339" t="str">
        <f t="shared" si="50"/>
        <v>SC064300 : 매매(국채)발행매입중도매각(손)</v>
      </c>
      <c r="K3194" s="65"/>
      <c r="L3194" s="65"/>
      <c r="M3194" s="65"/>
      <c r="N3194" s="65"/>
      <c r="O3194" s="65"/>
      <c r="P3194" s="65"/>
      <c r="Q3194" s="65"/>
      <c r="R3194" s="65"/>
      <c r="S3194" s="65"/>
    </row>
    <row r="3195" spans="1:19" s="64" customFormat="1">
      <c r="A3195" s="316" t="s">
        <v>439</v>
      </c>
      <c r="B3195" s="123" t="s">
        <v>5072</v>
      </c>
      <c r="C3195" s="256" t="s">
        <v>3414</v>
      </c>
      <c r="D3195" s="256" t="s">
        <v>3413</v>
      </c>
      <c r="E3195" s="339" t="str">
        <f t="shared" si="50"/>
        <v>SC065100 : 매매(국채)중도매입중도매각1</v>
      </c>
      <c r="K3195" s="65"/>
      <c r="L3195" s="65"/>
      <c r="M3195" s="65"/>
      <c r="N3195" s="65"/>
      <c r="O3195" s="65"/>
      <c r="P3195" s="65"/>
      <c r="Q3195" s="65"/>
      <c r="R3195" s="65"/>
      <c r="S3195" s="65"/>
    </row>
    <row r="3196" spans="1:19" s="64" customFormat="1">
      <c r="A3196" s="316" t="s">
        <v>439</v>
      </c>
      <c r="B3196" s="123" t="s">
        <v>5072</v>
      </c>
      <c r="C3196" s="256" t="s">
        <v>3412</v>
      </c>
      <c r="D3196" s="256" t="s">
        <v>3411</v>
      </c>
      <c r="E3196" s="339" t="str">
        <f t="shared" si="50"/>
        <v>SC065200 : 매매(국채)중도매입중도매각2</v>
      </c>
      <c r="K3196" s="65"/>
      <c r="L3196" s="65"/>
      <c r="M3196" s="65"/>
      <c r="N3196" s="65"/>
      <c r="O3196" s="65"/>
      <c r="P3196" s="65"/>
      <c r="Q3196" s="65"/>
      <c r="R3196" s="65"/>
      <c r="S3196" s="65"/>
    </row>
    <row r="3197" spans="1:19" s="64" customFormat="1">
      <c r="A3197" s="316" t="s">
        <v>439</v>
      </c>
      <c r="B3197" s="123" t="s">
        <v>5072</v>
      </c>
      <c r="C3197" s="256" t="s">
        <v>3410</v>
      </c>
      <c r="D3197" s="256" t="s">
        <v>3409</v>
      </c>
      <c r="E3197" s="339" t="str">
        <f t="shared" si="50"/>
        <v>SC065300 : 매매(국채)중도매입중도매각(익)1</v>
      </c>
      <c r="K3197" s="65"/>
      <c r="L3197" s="65"/>
      <c r="M3197" s="65"/>
      <c r="N3197" s="65"/>
      <c r="O3197" s="65"/>
      <c r="P3197" s="65"/>
      <c r="Q3197" s="65"/>
      <c r="R3197" s="65"/>
      <c r="S3197" s="65"/>
    </row>
    <row r="3198" spans="1:19" s="64" customFormat="1">
      <c r="A3198" s="316" t="s">
        <v>439</v>
      </c>
      <c r="B3198" s="123" t="s">
        <v>5072</v>
      </c>
      <c r="C3198" s="256" t="s">
        <v>3408</v>
      </c>
      <c r="D3198" s="256" t="s">
        <v>3407</v>
      </c>
      <c r="E3198" s="339" t="str">
        <f t="shared" si="50"/>
        <v>SC065400 : 매매(국채)중도매입중도매각(익)2</v>
      </c>
      <c r="K3198" s="65"/>
      <c r="L3198" s="65"/>
      <c r="M3198" s="65"/>
      <c r="N3198" s="65"/>
      <c r="O3198" s="65"/>
      <c r="P3198" s="65"/>
      <c r="Q3198" s="65"/>
      <c r="R3198" s="65"/>
      <c r="S3198" s="65"/>
    </row>
    <row r="3199" spans="1:19" s="64" customFormat="1">
      <c r="A3199" s="316" t="s">
        <v>439</v>
      </c>
      <c r="B3199" s="123" t="s">
        <v>5072</v>
      </c>
      <c r="C3199" s="256" t="s">
        <v>3406</v>
      </c>
      <c r="D3199" s="256" t="s">
        <v>3405</v>
      </c>
      <c r="E3199" s="339" t="str">
        <f t="shared" si="50"/>
        <v>SC065500 : 매매(증권)중도매입중도매각(손)1</v>
      </c>
      <c r="K3199" s="65"/>
      <c r="L3199" s="65"/>
      <c r="M3199" s="65"/>
      <c r="N3199" s="65"/>
      <c r="O3199" s="65"/>
      <c r="P3199" s="65"/>
      <c r="Q3199" s="65"/>
      <c r="R3199" s="65"/>
      <c r="S3199" s="65"/>
    </row>
    <row r="3200" spans="1:19" s="64" customFormat="1">
      <c r="A3200" s="316" t="s">
        <v>439</v>
      </c>
      <c r="B3200" s="123" t="s">
        <v>5072</v>
      </c>
      <c r="C3200" s="256" t="s">
        <v>3404</v>
      </c>
      <c r="D3200" s="256" t="s">
        <v>3403</v>
      </c>
      <c r="E3200" s="339" t="str">
        <f t="shared" si="50"/>
        <v>SC065600 : 매매(국채)중도매입중도매각(손)2</v>
      </c>
      <c r="K3200" s="65"/>
      <c r="L3200" s="65"/>
      <c r="M3200" s="65"/>
      <c r="N3200" s="65"/>
      <c r="O3200" s="65"/>
      <c r="P3200" s="65"/>
      <c r="Q3200" s="65"/>
      <c r="R3200" s="65"/>
      <c r="S3200" s="65"/>
    </row>
    <row r="3201" spans="1:19" s="64" customFormat="1">
      <c r="A3201" s="316" t="s">
        <v>439</v>
      </c>
      <c r="B3201" s="123" t="s">
        <v>5072</v>
      </c>
      <c r="C3201" s="256" t="s">
        <v>3402</v>
      </c>
      <c r="D3201" s="256" t="s">
        <v>3401</v>
      </c>
      <c r="E3201" s="339" t="str">
        <f t="shared" si="50"/>
        <v>SC071000 : WIRE양수도대금이체</v>
      </c>
      <c r="K3201" s="65"/>
      <c r="L3201" s="65"/>
      <c r="M3201" s="65"/>
      <c r="N3201" s="65"/>
      <c r="O3201" s="65"/>
      <c r="P3201" s="65"/>
      <c r="Q3201" s="65"/>
      <c r="R3201" s="65"/>
      <c r="S3201" s="65"/>
    </row>
    <row r="3202" spans="1:19" s="64" customFormat="1">
      <c r="A3202" s="316" t="s">
        <v>439</v>
      </c>
      <c r="B3202" s="123" t="s">
        <v>5072</v>
      </c>
      <c r="C3202" s="256" t="s">
        <v>3400</v>
      </c>
      <c r="D3202" s="256" t="s">
        <v>3399</v>
      </c>
      <c r="E3202" s="339" t="str">
        <f t="shared" si="50"/>
        <v>TR011100 : 국고금수납</v>
      </c>
      <c r="K3202" s="65"/>
      <c r="L3202" s="65"/>
      <c r="M3202" s="65"/>
      <c r="N3202" s="65"/>
      <c r="O3202" s="65"/>
      <c r="P3202" s="65"/>
      <c r="Q3202" s="65"/>
      <c r="R3202" s="65"/>
      <c r="S3202" s="65"/>
    </row>
    <row r="3203" spans="1:19" s="64" customFormat="1">
      <c r="A3203" s="316" t="s">
        <v>439</v>
      </c>
      <c r="B3203" s="123" t="s">
        <v>5072</v>
      </c>
      <c r="C3203" s="256" t="s">
        <v>3398</v>
      </c>
      <c r="D3203" s="256" t="s">
        <v>3397</v>
      </c>
      <c r="E3203" s="339" t="str">
        <f t="shared" si="50"/>
        <v>TR011150 : 국고금수납(금융기관 보고분)</v>
      </c>
      <c r="K3203" s="65"/>
      <c r="L3203" s="65"/>
      <c r="M3203" s="65"/>
      <c r="N3203" s="65"/>
      <c r="O3203" s="65"/>
      <c r="P3203" s="65"/>
      <c r="Q3203" s="65"/>
      <c r="R3203" s="65"/>
      <c r="S3203" s="65"/>
    </row>
    <row r="3204" spans="1:19" s="64" customFormat="1">
      <c r="A3204" s="316" t="s">
        <v>439</v>
      </c>
      <c r="B3204" s="123" t="s">
        <v>5072</v>
      </c>
      <c r="C3204" s="256" t="s">
        <v>3396</v>
      </c>
      <c r="D3204" s="256" t="s">
        <v>3395</v>
      </c>
      <c r="E3204" s="339" t="str">
        <f t="shared" si="50"/>
        <v>TR011200 : 예탁(납입)서 수납</v>
      </c>
      <c r="K3204" s="65"/>
      <c r="L3204" s="65"/>
      <c r="M3204" s="65"/>
      <c r="N3204" s="65"/>
      <c r="O3204" s="65"/>
      <c r="P3204" s="65"/>
      <c r="Q3204" s="65"/>
      <c r="R3204" s="65"/>
      <c r="S3204" s="65"/>
    </row>
    <row r="3205" spans="1:19" s="64" customFormat="1">
      <c r="A3205" s="316" t="s">
        <v>439</v>
      </c>
      <c r="B3205" s="123" t="s">
        <v>5072</v>
      </c>
      <c r="C3205" s="256" t="s">
        <v>3394</v>
      </c>
      <c r="D3205" s="256" t="s">
        <v>3393</v>
      </c>
      <c r="E3205" s="339" t="str">
        <f t="shared" si="50"/>
        <v>TR011210 : 당좌차기신청에따른국고계리처리</v>
      </c>
      <c r="K3205" s="65"/>
      <c r="L3205" s="65"/>
      <c r="M3205" s="65"/>
      <c r="N3205" s="65"/>
      <c r="O3205" s="65"/>
      <c r="P3205" s="65"/>
      <c r="Q3205" s="65"/>
      <c r="R3205" s="65"/>
      <c r="S3205" s="65"/>
    </row>
    <row r="3206" spans="1:19" s="64" customFormat="1">
      <c r="A3206" s="316" t="s">
        <v>439</v>
      </c>
      <c r="B3206" s="123" t="s">
        <v>5072</v>
      </c>
      <c r="C3206" s="256" t="s">
        <v>3392</v>
      </c>
      <c r="D3206" s="256" t="s">
        <v>3391</v>
      </c>
      <c r="E3206" s="339" t="str">
        <f t="shared" si="50"/>
        <v>TR011300 : 우체국예탁금수납</v>
      </c>
      <c r="K3206" s="65"/>
      <c r="L3206" s="65"/>
      <c r="M3206" s="65"/>
      <c r="N3206" s="65"/>
      <c r="O3206" s="65"/>
      <c r="P3206" s="65"/>
      <c r="Q3206" s="65"/>
      <c r="R3206" s="65"/>
      <c r="S3206" s="65"/>
    </row>
    <row r="3207" spans="1:19" s="64" customFormat="1">
      <c r="A3207" s="316" t="s">
        <v>439</v>
      </c>
      <c r="B3207" s="123" t="s">
        <v>5072</v>
      </c>
      <c r="C3207" s="256" t="s">
        <v>3390</v>
      </c>
      <c r="D3207" s="256" t="s">
        <v>3389</v>
      </c>
      <c r="E3207" s="339" t="str">
        <f t="shared" si="50"/>
        <v>TR012100 : 세입금정정 취소</v>
      </c>
      <c r="K3207" s="65"/>
      <c r="L3207" s="65"/>
      <c r="M3207" s="65"/>
      <c r="N3207" s="65"/>
      <c r="O3207" s="65"/>
      <c r="P3207" s="65"/>
      <c r="Q3207" s="65"/>
      <c r="R3207" s="65"/>
      <c r="S3207" s="65"/>
    </row>
    <row r="3208" spans="1:19" s="64" customFormat="1">
      <c r="A3208" s="316" t="s">
        <v>439</v>
      </c>
      <c r="B3208" s="123" t="s">
        <v>5072</v>
      </c>
      <c r="C3208" s="256" t="s">
        <v>3388</v>
      </c>
      <c r="D3208" s="256" t="s">
        <v>3387</v>
      </c>
      <c r="E3208" s="339" t="str">
        <f t="shared" si="50"/>
        <v>TR012200 : 수입금 정정</v>
      </c>
      <c r="K3208" s="65"/>
      <c r="L3208" s="65"/>
      <c r="M3208" s="65"/>
      <c r="N3208" s="65"/>
      <c r="O3208" s="65"/>
      <c r="P3208" s="65"/>
      <c r="Q3208" s="65"/>
      <c r="R3208" s="65"/>
      <c r="S3208" s="65"/>
    </row>
    <row r="3209" spans="1:19" s="64" customFormat="1">
      <c r="A3209" s="316" t="s">
        <v>439</v>
      </c>
      <c r="B3209" s="123" t="s">
        <v>5072</v>
      </c>
      <c r="C3209" s="256" t="s">
        <v>3386</v>
      </c>
      <c r="D3209" s="256" t="s">
        <v>3385</v>
      </c>
      <c r="E3209" s="339" t="str">
        <f t="shared" si="50"/>
        <v>TR012300 : 국세환급금이체</v>
      </c>
      <c r="K3209" s="65"/>
      <c r="L3209" s="65"/>
      <c r="M3209" s="65"/>
      <c r="N3209" s="65"/>
      <c r="O3209" s="65"/>
      <c r="P3209" s="65"/>
      <c r="Q3209" s="65"/>
      <c r="R3209" s="65"/>
      <c r="S3209" s="65"/>
    </row>
    <row r="3210" spans="1:19" s="64" customFormat="1">
      <c r="A3210" s="316" t="s">
        <v>439</v>
      </c>
      <c r="B3210" s="123" t="s">
        <v>5072</v>
      </c>
      <c r="C3210" s="256" t="s">
        <v>3384</v>
      </c>
      <c r="D3210" s="256" t="s">
        <v>3383</v>
      </c>
      <c r="E3210" s="339" t="str">
        <f t="shared" si="50"/>
        <v>TR012400 : 관세환급금이체</v>
      </c>
      <c r="K3210" s="65"/>
      <c r="L3210" s="65"/>
      <c r="M3210" s="65"/>
      <c r="N3210" s="65"/>
      <c r="O3210" s="65"/>
      <c r="P3210" s="65"/>
      <c r="Q3210" s="65"/>
      <c r="R3210" s="65"/>
      <c r="S3210" s="65"/>
    </row>
    <row r="3211" spans="1:19" s="64" customFormat="1">
      <c r="A3211" s="316" t="s">
        <v>439</v>
      </c>
      <c r="B3211" s="123" t="s">
        <v>5072</v>
      </c>
      <c r="C3211" s="256" t="s">
        <v>3382</v>
      </c>
      <c r="D3211" s="256" t="s">
        <v>3381</v>
      </c>
      <c r="E3211" s="339" t="str">
        <f t="shared" si="50"/>
        <v>TR012410 : 관세환급금이체/지급(당좌입금)</v>
      </c>
      <c r="K3211" s="65"/>
      <c r="L3211" s="65"/>
      <c r="M3211" s="65"/>
      <c r="N3211" s="65"/>
      <c r="O3211" s="65"/>
      <c r="P3211" s="65"/>
      <c r="Q3211" s="65"/>
      <c r="R3211" s="65"/>
      <c r="S3211" s="65"/>
    </row>
    <row r="3212" spans="1:19" s="64" customFormat="1">
      <c r="A3212" s="316" t="s">
        <v>439</v>
      </c>
      <c r="B3212" s="123" t="s">
        <v>5072</v>
      </c>
      <c r="C3212" s="256" t="s">
        <v>3380</v>
      </c>
      <c r="D3212" s="256" t="s">
        <v>3379</v>
      </c>
      <c r="E3212" s="339" t="str">
        <f t="shared" si="50"/>
        <v>TR012420 : 관세환급금이체/지급(국고송금)</v>
      </c>
      <c r="K3212" s="65"/>
      <c r="L3212" s="65"/>
      <c r="M3212" s="65"/>
      <c r="N3212" s="65"/>
      <c r="O3212" s="65"/>
      <c r="P3212" s="65"/>
      <c r="Q3212" s="65"/>
      <c r="R3212" s="65"/>
      <c r="S3212" s="65"/>
    </row>
    <row r="3213" spans="1:19" s="64" customFormat="1">
      <c r="A3213" s="316" t="s">
        <v>439</v>
      </c>
      <c r="B3213" s="123" t="s">
        <v>5072</v>
      </c>
      <c r="C3213" s="256" t="s">
        <v>3378</v>
      </c>
      <c r="D3213" s="256" t="s">
        <v>3377</v>
      </c>
      <c r="E3213" s="339" t="str">
        <f t="shared" si="50"/>
        <v>TR012460 : 석유수입부과금이체/지급(당좌입금)</v>
      </c>
      <c r="K3213" s="65"/>
      <c r="L3213" s="65"/>
      <c r="M3213" s="65"/>
      <c r="N3213" s="65"/>
      <c r="O3213" s="65"/>
      <c r="P3213" s="65"/>
      <c r="Q3213" s="65"/>
      <c r="R3213" s="65"/>
      <c r="S3213" s="65"/>
    </row>
    <row r="3214" spans="1:19" s="64" customFormat="1">
      <c r="A3214" s="316" t="s">
        <v>439</v>
      </c>
      <c r="B3214" s="123" t="s">
        <v>5072</v>
      </c>
      <c r="C3214" s="256" t="s">
        <v>3376</v>
      </c>
      <c r="D3214" s="256" t="s">
        <v>3375</v>
      </c>
      <c r="E3214" s="339" t="str">
        <f t="shared" si="50"/>
        <v>TR012500 : 과오납금반환금 이체</v>
      </c>
      <c r="K3214" s="65"/>
      <c r="L3214" s="65"/>
      <c r="M3214" s="65"/>
      <c r="N3214" s="65"/>
      <c r="O3214" s="65"/>
      <c r="P3214" s="65"/>
      <c r="Q3214" s="65"/>
      <c r="R3214" s="65"/>
      <c r="S3214" s="65"/>
    </row>
    <row r="3215" spans="1:19" s="64" customFormat="1">
      <c r="A3215" s="316" t="s">
        <v>439</v>
      </c>
      <c r="B3215" s="123" t="s">
        <v>5072</v>
      </c>
      <c r="C3215" s="256" t="s">
        <v>3374</v>
      </c>
      <c r="D3215" s="256" t="s">
        <v>3373</v>
      </c>
      <c r="E3215" s="339" t="str">
        <f t="shared" si="50"/>
        <v>TR012600 : 관세환급금/과오납반환금 지급</v>
      </c>
      <c r="K3215" s="65"/>
      <c r="L3215" s="65"/>
      <c r="M3215" s="65"/>
      <c r="N3215" s="65"/>
      <c r="O3215" s="65"/>
      <c r="P3215" s="65"/>
      <c r="Q3215" s="65"/>
      <c r="R3215" s="65"/>
      <c r="S3215" s="65"/>
    </row>
    <row r="3216" spans="1:19" s="64" customFormat="1">
      <c r="A3216" s="316" t="s">
        <v>439</v>
      </c>
      <c r="B3216" s="123" t="s">
        <v>5072</v>
      </c>
      <c r="C3216" s="256" t="s">
        <v>3372</v>
      </c>
      <c r="D3216" s="256" t="s">
        <v>3371</v>
      </c>
      <c r="E3216" s="339" t="str">
        <f t="shared" si="50"/>
        <v>TR012700 : 관세환급금/과오납금반환금 정정</v>
      </c>
      <c r="K3216" s="65"/>
      <c r="L3216" s="65"/>
      <c r="M3216" s="65"/>
      <c r="N3216" s="65"/>
      <c r="O3216" s="65"/>
      <c r="P3216" s="65"/>
      <c r="Q3216" s="65"/>
      <c r="R3216" s="65"/>
      <c r="S3216" s="65"/>
    </row>
    <row r="3217" spans="1:19" s="64" customFormat="1">
      <c r="A3217" s="316" t="s">
        <v>439</v>
      </c>
      <c r="B3217" s="123" t="s">
        <v>5072</v>
      </c>
      <c r="C3217" s="256" t="s">
        <v>3370</v>
      </c>
      <c r="D3217" s="256" t="s">
        <v>3369</v>
      </c>
      <c r="E3217" s="339" t="str">
        <f t="shared" si="50"/>
        <v>TR012800 : 국세수납정리계정이체</v>
      </c>
      <c r="K3217" s="65"/>
      <c r="L3217" s="65"/>
      <c r="M3217" s="65"/>
      <c r="N3217" s="65"/>
      <c r="O3217" s="65"/>
      <c r="P3217" s="65"/>
      <c r="Q3217" s="65"/>
      <c r="R3217" s="65"/>
      <c r="S3217" s="65"/>
    </row>
    <row r="3218" spans="1:19" s="64" customFormat="1">
      <c r="A3218" s="316" t="s">
        <v>439</v>
      </c>
      <c r="B3218" s="123" t="s">
        <v>5072</v>
      </c>
      <c r="C3218" s="256" t="s">
        <v>3368</v>
      </c>
      <c r="D3218" s="256" t="s">
        <v>3367</v>
      </c>
      <c r="E3218" s="339" t="str">
        <f t="shared" si="50"/>
        <v>TR012900 : 국세수납정리계정이체정정</v>
      </c>
      <c r="K3218" s="65"/>
      <c r="L3218" s="65"/>
      <c r="M3218" s="65"/>
      <c r="N3218" s="65"/>
      <c r="O3218" s="65"/>
      <c r="P3218" s="65"/>
      <c r="Q3218" s="65"/>
      <c r="R3218" s="65"/>
      <c r="S3218" s="65"/>
    </row>
    <row r="3219" spans="1:19" s="64" customFormat="1">
      <c r="A3219" s="316" t="s">
        <v>439</v>
      </c>
      <c r="B3219" s="123" t="s">
        <v>5072</v>
      </c>
      <c r="C3219" s="256" t="s">
        <v>3366</v>
      </c>
      <c r="D3219" s="256" t="s">
        <v>3365</v>
      </c>
      <c r="E3219" s="339" t="str">
        <f t="shared" si="50"/>
        <v>TR013000 : 세입징수관계좌통할점변경</v>
      </c>
      <c r="K3219" s="65"/>
      <c r="L3219" s="65"/>
      <c r="M3219" s="65"/>
      <c r="N3219" s="65"/>
      <c r="O3219" s="65"/>
      <c r="P3219" s="65"/>
      <c r="Q3219" s="65"/>
      <c r="R3219" s="65"/>
      <c r="S3219" s="65"/>
    </row>
    <row r="3220" spans="1:19" s="64" customFormat="1">
      <c r="A3220" s="316" t="s">
        <v>439</v>
      </c>
      <c r="B3220" s="123" t="s">
        <v>5072</v>
      </c>
      <c r="C3220" s="256" t="s">
        <v>3364</v>
      </c>
      <c r="D3220" s="256" t="s">
        <v>3363</v>
      </c>
      <c r="E3220" s="339" t="str">
        <f t="shared" si="50"/>
        <v>TR015000 : 관세청관세환급금일괄처리(오전)</v>
      </c>
      <c r="K3220" s="65"/>
      <c r="L3220" s="65"/>
      <c r="M3220" s="65"/>
      <c r="N3220" s="65"/>
      <c r="O3220" s="65"/>
      <c r="P3220" s="65"/>
      <c r="Q3220" s="65"/>
      <c r="R3220" s="65"/>
      <c r="S3220" s="65"/>
    </row>
    <row r="3221" spans="1:19" s="64" customFormat="1">
      <c r="A3221" s="316" t="s">
        <v>439</v>
      </c>
      <c r="B3221" s="123" t="s">
        <v>5072</v>
      </c>
      <c r="C3221" s="256" t="s">
        <v>3362</v>
      </c>
      <c r="D3221" s="256" t="s">
        <v>3361</v>
      </c>
      <c r="E3221" s="339" t="str">
        <f t="shared" si="50"/>
        <v>TR016000 : 관세청관세환급금일괄처리(오후)</v>
      </c>
      <c r="K3221" s="65"/>
      <c r="L3221" s="65"/>
      <c r="M3221" s="65"/>
      <c r="N3221" s="65"/>
      <c r="O3221" s="65"/>
      <c r="P3221" s="65"/>
      <c r="Q3221" s="65"/>
      <c r="R3221" s="65"/>
      <c r="S3221" s="65"/>
    </row>
    <row r="3222" spans="1:19" s="64" customFormat="1">
      <c r="A3222" s="316" t="s">
        <v>439</v>
      </c>
      <c r="B3222" s="123" t="s">
        <v>5072</v>
      </c>
      <c r="C3222" s="256" t="s">
        <v>3360</v>
      </c>
      <c r="D3222" s="256" t="s">
        <v>3359</v>
      </c>
      <c r="E3222" s="339" t="str">
        <f t="shared" ref="E3222:E3285" si="51">_xlfn.TEXTJOIN(" : ",FALSE,C3222:D3222)</f>
        <v>TR017100 : 수납기관수납분 잔액차감</v>
      </c>
      <c r="K3222" s="65"/>
      <c r="L3222" s="65"/>
      <c r="M3222" s="65"/>
      <c r="N3222" s="65"/>
      <c r="O3222" s="65"/>
      <c r="P3222" s="65"/>
      <c r="Q3222" s="65"/>
      <c r="R3222" s="65"/>
      <c r="S3222" s="65"/>
    </row>
    <row r="3223" spans="1:19" s="64" customFormat="1">
      <c r="A3223" s="316" t="s">
        <v>439</v>
      </c>
      <c r="B3223" s="123" t="s">
        <v>5072</v>
      </c>
      <c r="C3223" s="256" t="s">
        <v>3358</v>
      </c>
      <c r="D3223" s="256" t="s">
        <v>3357</v>
      </c>
      <c r="E3223" s="339" t="str">
        <f t="shared" si="51"/>
        <v>TR017200 : 수납기관수납분 잔액회복</v>
      </c>
      <c r="K3223" s="65"/>
      <c r="L3223" s="65"/>
      <c r="M3223" s="65"/>
      <c r="N3223" s="65"/>
      <c r="O3223" s="65"/>
      <c r="P3223" s="65"/>
      <c r="Q3223" s="65"/>
      <c r="R3223" s="65"/>
      <c r="S3223" s="65"/>
    </row>
    <row r="3224" spans="1:19" s="64" customFormat="1">
      <c r="A3224" s="316" t="s">
        <v>439</v>
      </c>
      <c r="B3224" s="123" t="s">
        <v>5072</v>
      </c>
      <c r="C3224" s="256" t="s">
        <v>3356</v>
      </c>
      <c r="D3224" s="256" t="s">
        <v>3355</v>
      </c>
      <c r="E3224" s="339" t="str">
        <f t="shared" si="51"/>
        <v>TR020101 : 특별계정통상지급</v>
      </c>
      <c r="K3224" s="65"/>
      <c r="L3224" s="65"/>
      <c r="M3224" s="65"/>
      <c r="N3224" s="65"/>
      <c r="O3224" s="65"/>
      <c r="P3224" s="65"/>
      <c r="Q3224" s="65"/>
      <c r="R3224" s="65"/>
      <c r="S3224" s="65"/>
    </row>
    <row r="3225" spans="1:19" s="64" customFormat="1">
      <c r="A3225" s="316" t="s">
        <v>439</v>
      </c>
      <c r="B3225" s="123" t="s">
        <v>5072</v>
      </c>
      <c r="C3225" s="256" t="s">
        <v>3354</v>
      </c>
      <c r="D3225" s="256" t="s">
        <v>3353</v>
      </c>
      <c r="E3225" s="339" t="str">
        <f t="shared" si="51"/>
        <v>TR020102 : 특별계정세입계좌대체지급</v>
      </c>
      <c r="K3225" s="65"/>
      <c r="L3225" s="65"/>
      <c r="M3225" s="65"/>
      <c r="N3225" s="65"/>
      <c r="O3225" s="65"/>
      <c r="P3225" s="65"/>
      <c r="Q3225" s="65"/>
      <c r="R3225" s="65"/>
      <c r="S3225" s="65"/>
    </row>
    <row r="3226" spans="1:19" s="64" customFormat="1">
      <c r="A3226" s="316" t="s">
        <v>439</v>
      </c>
      <c r="B3226" s="123" t="s">
        <v>5072</v>
      </c>
      <c r="C3226" s="256" t="s">
        <v>3352</v>
      </c>
      <c r="D3226" s="256" t="s">
        <v>3351</v>
      </c>
      <c r="E3226" s="339" t="str">
        <f t="shared" si="51"/>
        <v>TR020103 : 채권좌계좌이체</v>
      </c>
      <c r="K3226" s="65"/>
      <c r="L3226" s="65"/>
      <c r="M3226" s="65"/>
      <c r="N3226" s="65"/>
      <c r="O3226" s="65"/>
      <c r="P3226" s="65"/>
      <c r="Q3226" s="65"/>
      <c r="R3226" s="65"/>
      <c r="S3226" s="65"/>
    </row>
    <row r="3227" spans="1:19" s="64" customFormat="1">
      <c r="A3227" s="316" t="s">
        <v>439</v>
      </c>
      <c r="B3227" s="123" t="s">
        <v>5072</v>
      </c>
      <c r="C3227" s="256" t="s">
        <v>3350</v>
      </c>
      <c r="D3227" s="256" t="s">
        <v>3349</v>
      </c>
      <c r="E3227" s="339" t="str">
        <f t="shared" si="51"/>
        <v>TR020104 : 세출반납</v>
      </c>
      <c r="K3227" s="65"/>
      <c r="L3227" s="65"/>
      <c r="M3227" s="65"/>
      <c r="N3227" s="65"/>
      <c r="O3227" s="65"/>
      <c r="P3227" s="65"/>
      <c r="Q3227" s="65"/>
      <c r="R3227" s="65"/>
      <c r="S3227" s="65"/>
    </row>
    <row r="3228" spans="1:19" s="64" customFormat="1">
      <c r="A3228" s="316" t="s">
        <v>439</v>
      </c>
      <c r="B3228" s="123" t="s">
        <v>5072</v>
      </c>
      <c r="C3228" s="256" t="s">
        <v>3348</v>
      </c>
      <c r="D3228" s="256" t="s">
        <v>3347</v>
      </c>
      <c r="E3228" s="339" t="str">
        <f t="shared" si="51"/>
        <v>TR020105 : 세출특별계정 정정</v>
      </c>
      <c r="K3228" s="65"/>
      <c r="L3228" s="65"/>
      <c r="M3228" s="65"/>
      <c r="N3228" s="65"/>
      <c r="O3228" s="65"/>
      <c r="P3228" s="65"/>
      <c r="Q3228" s="65"/>
      <c r="R3228" s="65"/>
      <c r="S3228" s="65"/>
    </row>
    <row r="3229" spans="1:19" s="64" customFormat="1">
      <c r="A3229" s="316" t="s">
        <v>439</v>
      </c>
      <c r="B3229" s="123" t="s">
        <v>5072</v>
      </c>
      <c r="C3229" s="256" t="s">
        <v>3346</v>
      </c>
      <c r="D3229" s="256" t="s">
        <v>3345</v>
      </c>
      <c r="E3229" s="339" t="str">
        <f t="shared" si="51"/>
        <v>TR020106 : 보관금 거래점 변경</v>
      </c>
      <c r="K3229" s="65"/>
      <c r="L3229" s="65"/>
      <c r="M3229" s="65"/>
      <c r="N3229" s="65"/>
      <c r="O3229" s="65"/>
      <c r="P3229" s="65"/>
      <c r="Q3229" s="65"/>
      <c r="R3229" s="65"/>
      <c r="S3229" s="65"/>
    </row>
    <row r="3230" spans="1:19" s="64" customFormat="1">
      <c r="A3230" s="316" t="s">
        <v>439</v>
      </c>
      <c r="B3230" s="123" t="s">
        <v>5072</v>
      </c>
      <c r="C3230" s="256" t="s">
        <v>3344</v>
      </c>
      <c r="D3230" s="256" t="s">
        <v>3343</v>
      </c>
      <c r="E3230" s="339" t="str">
        <f t="shared" si="51"/>
        <v>TR020107 : 국고가수금 수납</v>
      </c>
      <c r="K3230" s="65"/>
      <c r="L3230" s="65"/>
      <c r="M3230" s="65"/>
      <c r="N3230" s="65"/>
      <c r="O3230" s="65"/>
      <c r="P3230" s="65"/>
      <c r="Q3230" s="65"/>
      <c r="R3230" s="65"/>
      <c r="S3230" s="65"/>
    </row>
    <row r="3231" spans="1:19" s="64" customFormat="1">
      <c r="A3231" s="316" t="s">
        <v>439</v>
      </c>
      <c r="B3231" s="123" t="s">
        <v>5072</v>
      </c>
      <c r="C3231" s="256" t="s">
        <v>3342</v>
      </c>
      <c r="D3231" s="256" t="s">
        <v>3341</v>
      </c>
      <c r="E3231" s="339" t="str">
        <f t="shared" si="51"/>
        <v>TR020108 : 국고가수금 지급</v>
      </c>
      <c r="K3231" s="65"/>
      <c r="L3231" s="65"/>
      <c r="M3231" s="65"/>
      <c r="N3231" s="65"/>
      <c r="O3231" s="65"/>
      <c r="P3231" s="65"/>
      <c r="Q3231" s="65"/>
      <c r="R3231" s="65"/>
      <c r="S3231" s="65"/>
    </row>
    <row r="3232" spans="1:19" s="64" customFormat="1">
      <c r="A3232" s="316" t="s">
        <v>439</v>
      </c>
      <c r="B3232" s="123" t="s">
        <v>5072</v>
      </c>
      <c r="C3232" s="256" t="s">
        <v>3340</v>
      </c>
      <c r="D3232" s="256" t="s">
        <v>3339</v>
      </c>
      <c r="E3232" s="339" t="str">
        <f t="shared" si="51"/>
        <v>TR020109 : 통합지출관 채권좌이체</v>
      </c>
      <c r="K3232" s="65"/>
      <c r="L3232" s="65"/>
      <c r="M3232" s="65"/>
      <c r="N3232" s="65"/>
      <c r="O3232" s="65"/>
      <c r="P3232" s="65"/>
      <c r="Q3232" s="65"/>
      <c r="R3232" s="65"/>
      <c r="S3232" s="65"/>
    </row>
    <row r="3233" spans="1:19" s="64" customFormat="1">
      <c r="A3233" s="316" t="s">
        <v>439</v>
      </c>
      <c r="B3233" s="123" t="s">
        <v>5072</v>
      </c>
      <c r="C3233" s="256" t="s">
        <v>3338</v>
      </c>
      <c r="D3233" s="256" t="s">
        <v>3337</v>
      </c>
      <c r="E3233" s="339" t="str">
        <f t="shared" si="51"/>
        <v>TR020201 : 전도자금 일괄공급회수</v>
      </c>
      <c r="K3233" s="65"/>
      <c r="L3233" s="65"/>
      <c r="M3233" s="65"/>
      <c r="N3233" s="65"/>
      <c r="O3233" s="65"/>
      <c r="P3233" s="65"/>
      <c r="Q3233" s="65"/>
      <c r="R3233" s="65"/>
      <c r="S3233" s="65"/>
    </row>
    <row r="3234" spans="1:19" s="64" customFormat="1">
      <c r="A3234" s="316" t="s">
        <v>439</v>
      </c>
      <c r="B3234" s="123" t="s">
        <v>5072</v>
      </c>
      <c r="C3234" s="256" t="s">
        <v>3336</v>
      </c>
      <c r="D3234" s="256" t="s">
        <v>3335</v>
      </c>
      <c r="E3234" s="339" t="str">
        <f t="shared" si="51"/>
        <v>TR020202 : 전도자금 건별공급</v>
      </c>
      <c r="K3234" s="65"/>
      <c r="L3234" s="65"/>
      <c r="M3234" s="65"/>
      <c r="N3234" s="65"/>
      <c r="O3234" s="65"/>
      <c r="P3234" s="65"/>
      <c r="Q3234" s="65"/>
      <c r="R3234" s="65"/>
      <c r="S3234" s="65"/>
    </row>
    <row r="3235" spans="1:19" s="64" customFormat="1">
      <c r="A3235" s="316" t="s">
        <v>439</v>
      </c>
      <c r="B3235" s="123" t="s">
        <v>5072</v>
      </c>
      <c r="C3235" s="256" t="s">
        <v>3334</v>
      </c>
      <c r="D3235" s="256" t="s">
        <v>3333</v>
      </c>
      <c r="E3235" s="339" t="str">
        <f t="shared" si="51"/>
        <v>TR020203 : 전도자금 건별회수</v>
      </c>
      <c r="K3235" s="65"/>
      <c r="L3235" s="65"/>
      <c r="M3235" s="65"/>
      <c r="N3235" s="65"/>
      <c r="O3235" s="65"/>
      <c r="P3235" s="65"/>
      <c r="Q3235" s="65"/>
      <c r="R3235" s="65"/>
      <c r="S3235" s="65"/>
    </row>
    <row r="3236" spans="1:19" s="64" customFormat="1">
      <c r="A3236" s="316" t="s">
        <v>439</v>
      </c>
      <c r="B3236" s="123" t="s">
        <v>5072</v>
      </c>
      <c r="C3236" s="256" t="s">
        <v>3332</v>
      </c>
      <c r="D3236" s="256" t="s">
        <v>3331</v>
      </c>
      <c r="E3236" s="339" t="str">
        <f t="shared" si="51"/>
        <v>TR020204 : 전도자금일괄공급분 일부회수</v>
      </c>
      <c r="K3236" s="65"/>
      <c r="L3236" s="65"/>
      <c r="M3236" s="65"/>
      <c r="N3236" s="65"/>
      <c r="O3236" s="65"/>
      <c r="P3236" s="65"/>
      <c r="Q3236" s="65"/>
      <c r="R3236" s="65"/>
      <c r="S3236" s="65"/>
    </row>
    <row r="3237" spans="1:19" s="64" customFormat="1">
      <c r="A3237" s="316" t="s">
        <v>439</v>
      </c>
      <c r="B3237" s="123" t="s">
        <v>5072</v>
      </c>
      <c r="C3237" s="256" t="s">
        <v>3330</v>
      </c>
      <c r="D3237" s="256" t="s">
        <v>3329</v>
      </c>
      <c r="E3237" s="339" t="str">
        <f t="shared" si="51"/>
        <v>TR020205 : 지출관 세입금대체 거래</v>
      </c>
      <c r="K3237" s="65"/>
      <c r="L3237" s="65"/>
      <c r="M3237" s="65"/>
      <c r="N3237" s="65"/>
      <c r="O3237" s="65"/>
      <c r="P3237" s="65"/>
      <c r="Q3237" s="65"/>
      <c r="R3237" s="65"/>
      <c r="S3237" s="65"/>
    </row>
    <row r="3238" spans="1:19" s="64" customFormat="1">
      <c r="A3238" s="316" t="s">
        <v>439</v>
      </c>
      <c r="B3238" s="123" t="s">
        <v>5072</v>
      </c>
      <c r="C3238" s="256" t="s">
        <v>3328</v>
      </c>
      <c r="D3238" s="256" t="s">
        <v>3327</v>
      </c>
      <c r="E3238" s="339" t="str">
        <f t="shared" si="51"/>
        <v>TR020206 : 지출관앞 과오납금반환</v>
      </c>
      <c r="K3238" s="65"/>
      <c r="L3238" s="65"/>
      <c r="M3238" s="65"/>
      <c r="N3238" s="65"/>
      <c r="O3238" s="65"/>
      <c r="P3238" s="65"/>
      <c r="Q3238" s="65"/>
      <c r="R3238" s="65"/>
      <c r="S3238" s="65"/>
    </row>
    <row r="3239" spans="1:19" s="64" customFormat="1">
      <c r="A3239" s="316" t="s">
        <v>439</v>
      </c>
      <c r="B3239" s="123" t="s">
        <v>5072</v>
      </c>
      <c r="C3239" s="256" t="s">
        <v>3326</v>
      </c>
      <c r="D3239" s="256" t="s">
        <v>3325</v>
      </c>
      <c r="E3239" s="339" t="str">
        <f t="shared" si="51"/>
        <v>TR020301 : 국고송금 당일중간결제</v>
      </c>
      <c r="K3239" s="65"/>
      <c r="L3239" s="65"/>
      <c r="M3239" s="65"/>
      <c r="N3239" s="65"/>
      <c r="O3239" s="65"/>
      <c r="P3239" s="65"/>
      <c r="Q3239" s="65"/>
      <c r="R3239" s="65"/>
      <c r="S3239" s="65"/>
    </row>
    <row r="3240" spans="1:19" s="64" customFormat="1">
      <c r="A3240" s="316" t="s">
        <v>439</v>
      </c>
      <c r="B3240" s="123" t="s">
        <v>5072</v>
      </c>
      <c r="C3240" s="256" t="s">
        <v>3324</v>
      </c>
      <c r="D3240" s="256" t="s">
        <v>3323</v>
      </c>
      <c r="E3240" s="339" t="str">
        <f t="shared" si="51"/>
        <v>TR020302 : 세출특별계정 당일중간결제</v>
      </c>
      <c r="K3240" s="65"/>
      <c r="L3240" s="65"/>
      <c r="M3240" s="65"/>
      <c r="N3240" s="65"/>
      <c r="O3240" s="65"/>
      <c r="P3240" s="65"/>
      <c r="Q3240" s="65"/>
      <c r="R3240" s="65"/>
      <c r="S3240" s="65"/>
    </row>
    <row r="3241" spans="1:19" s="64" customFormat="1">
      <c r="A3241" s="316" t="s">
        <v>439</v>
      </c>
      <c r="B3241" s="123" t="s">
        <v>5072</v>
      </c>
      <c r="C3241" s="256" t="s">
        <v>3322</v>
      </c>
      <c r="D3241" s="256" t="s">
        <v>3321</v>
      </c>
      <c r="E3241" s="339" t="str">
        <f t="shared" si="51"/>
        <v>TR020401 : 계정수급일보</v>
      </c>
      <c r="K3241" s="65"/>
      <c r="L3241" s="65"/>
      <c r="M3241" s="65"/>
      <c r="N3241" s="65"/>
      <c r="O3241" s="65"/>
      <c r="P3241" s="65"/>
      <c r="Q3241" s="65"/>
      <c r="R3241" s="65"/>
      <c r="S3241" s="65"/>
    </row>
    <row r="3242" spans="1:19" s="64" customFormat="1">
      <c r="A3242" s="316" t="s">
        <v>439</v>
      </c>
      <c r="B3242" s="123" t="s">
        <v>5072</v>
      </c>
      <c r="C3242" s="256" t="s">
        <v>3320</v>
      </c>
      <c r="D3242" s="256" t="s">
        <v>3319</v>
      </c>
      <c r="E3242" s="339" t="str">
        <f t="shared" si="51"/>
        <v>TR020402 : 우체국과초금/자금 보고누락분처리</v>
      </c>
      <c r="K3242" s="65"/>
      <c r="L3242" s="65"/>
      <c r="M3242" s="65"/>
      <c r="N3242" s="65"/>
      <c r="O3242" s="65"/>
      <c r="P3242" s="65"/>
      <c r="Q3242" s="65"/>
      <c r="R3242" s="65"/>
      <c r="S3242" s="65"/>
    </row>
    <row r="3243" spans="1:19" s="64" customFormat="1">
      <c r="A3243" s="316" t="s">
        <v>439</v>
      </c>
      <c r="B3243" s="123" t="s">
        <v>5072</v>
      </c>
      <c r="C3243" s="256" t="s">
        <v>3318</v>
      </c>
      <c r="D3243" s="256" t="s">
        <v>3317</v>
      </c>
      <c r="E3243" s="339" t="str">
        <f t="shared" si="51"/>
        <v>TR030101 : 우체국과초금수납/우체국자금 지급</v>
      </c>
      <c r="K3243" s="65"/>
      <c r="L3243" s="65"/>
      <c r="M3243" s="65"/>
      <c r="N3243" s="65"/>
      <c r="O3243" s="65"/>
      <c r="P3243" s="65"/>
      <c r="Q3243" s="65"/>
      <c r="R3243" s="65"/>
      <c r="S3243" s="65"/>
    </row>
    <row r="3244" spans="1:19" s="64" customFormat="1">
      <c r="A3244" s="316" t="s">
        <v>439</v>
      </c>
      <c r="B3244" s="123" t="s">
        <v>5072</v>
      </c>
      <c r="C3244" s="256" t="s">
        <v>3316</v>
      </c>
      <c r="D3244" s="256" t="s">
        <v>3315</v>
      </c>
      <c r="E3244" s="339" t="str">
        <f t="shared" si="51"/>
        <v>TR030102 : 우체국과초금결제/우체국자금결제</v>
      </c>
      <c r="K3244" s="65"/>
      <c r="L3244" s="65"/>
      <c r="M3244" s="65"/>
      <c r="N3244" s="65"/>
      <c r="O3244" s="65"/>
      <c r="P3244" s="65"/>
      <c r="Q3244" s="65"/>
      <c r="R3244" s="65"/>
      <c r="S3244" s="65"/>
    </row>
    <row r="3245" spans="1:19" s="64" customFormat="1">
      <c r="A3245" s="316" t="s">
        <v>439</v>
      </c>
      <c r="B3245" s="123" t="s">
        <v>5072</v>
      </c>
      <c r="C3245" s="256" t="s">
        <v>3314</v>
      </c>
      <c r="D3245" s="256" t="s">
        <v>3313</v>
      </c>
      <c r="E3245" s="339" t="str">
        <f t="shared" si="51"/>
        <v>TR030103 : 우체국과초금수납</v>
      </c>
      <c r="K3245" s="65"/>
      <c r="L3245" s="65"/>
      <c r="M3245" s="65"/>
      <c r="N3245" s="65"/>
      <c r="O3245" s="65"/>
      <c r="P3245" s="65"/>
      <c r="Q3245" s="65"/>
      <c r="R3245" s="65"/>
      <c r="S3245" s="65"/>
    </row>
    <row r="3246" spans="1:19" s="64" customFormat="1">
      <c r="A3246" s="316" t="s">
        <v>439</v>
      </c>
      <c r="B3246" s="123" t="s">
        <v>5072</v>
      </c>
      <c r="C3246" s="256" t="s">
        <v>3312</v>
      </c>
      <c r="D3246" s="256" t="s">
        <v>3311</v>
      </c>
      <c r="E3246" s="339" t="str">
        <f t="shared" si="51"/>
        <v>TR030104 : 우체국자금지급</v>
      </c>
      <c r="K3246" s="65"/>
      <c r="L3246" s="65"/>
      <c r="M3246" s="65"/>
      <c r="N3246" s="65"/>
      <c r="O3246" s="65"/>
      <c r="P3246" s="65"/>
      <c r="Q3246" s="65"/>
      <c r="R3246" s="65"/>
      <c r="S3246" s="65"/>
    </row>
    <row r="3247" spans="1:19" s="64" customFormat="1">
      <c r="A3247" s="316" t="s">
        <v>439</v>
      </c>
      <c r="B3247" s="123" t="s">
        <v>5072</v>
      </c>
      <c r="C3247" s="256" t="s">
        <v>3310</v>
      </c>
      <c r="D3247" s="256" t="s">
        <v>3309</v>
      </c>
      <c r="E3247" s="339" t="str">
        <f t="shared" si="51"/>
        <v>TR040101 : 정부대출금 대출</v>
      </c>
      <c r="K3247" s="65"/>
      <c r="L3247" s="65"/>
      <c r="M3247" s="65"/>
      <c r="N3247" s="65"/>
      <c r="O3247" s="65"/>
      <c r="P3247" s="65"/>
      <c r="Q3247" s="65"/>
      <c r="R3247" s="65"/>
      <c r="S3247" s="65"/>
    </row>
    <row r="3248" spans="1:19" s="64" customFormat="1">
      <c r="A3248" s="316" t="s">
        <v>439</v>
      </c>
      <c r="B3248" s="123" t="s">
        <v>5072</v>
      </c>
      <c r="C3248" s="256" t="s">
        <v>3308</v>
      </c>
      <c r="D3248" s="256" t="s">
        <v>3307</v>
      </c>
      <c r="E3248" s="339" t="str">
        <f t="shared" si="51"/>
        <v>TR040102 : 일시장기 차입금 상환</v>
      </c>
      <c r="K3248" s="65"/>
      <c r="L3248" s="65"/>
      <c r="M3248" s="65"/>
      <c r="N3248" s="65"/>
      <c r="O3248" s="65"/>
      <c r="P3248" s="65"/>
      <c r="Q3248" s="65"/>
      <c r="R3248" s="65"/>
      <c r="S3248" s="65"/>
    </row>
    <row r="3249" spans="1:19" s="64" customFormat="1">
      <c r="A3249" s="316" t="s">
        <v>439</v>
      </c>
      <c r="B3249" s="123" t="s">
        <v>5072</v>
      </c>
      <c r="C3249" s="256" t="s">
        <v>3306</v>
      </c>
      <c r="D3249" s="256" t="s">
        <v>3305</v>
      </c>
      <c r="E3249" s="339" t="str">
        <f t="shared" si="51"/>
        <v>TR040103 : 정부대출금이자회수</v>
      </c>
      <c r="K3249" s="65"/>
      <c r="L3249" s="65"/>
      <c r="M3249" s="65"/>
      <c r="N3249" s="65"/>
      <c r="O3249" s="65"/>
      <c r="P3249" s="65"/>
      <c r="Q3249" s="65"/>
      <c r="R3249" s="65"/>
      <c r="S3249" s="65"/>
    </row>
    <row r="3250" spans="1:19" s="64" customFormat="1">
      <c r="A3250" s="316" t="s">
        <v>439</v>
      </c>
      <c r="B3250" s="123" t="s">
        <v>5072</v>
      </c>
      <c r="C3250" s="256" t="s">
        <v>3304</v>
      </c>
      <c r="D3250" s="256" t="s">
        <v>3303</v>
      </c>
      <c r="E3250" s="339" t="str">
        <f t="shared" si="51"/>
        <v>TR040201 : 우체국 차액결제(오전승)</v>
      </c>
      <c r="K3250" s="65"/>
      <c r="L3250" s="65"/>
      <c r="M3250" s="65"/>
      <c r="N3250" s="65"/>
      <c r="O3250" s="65"/>
      <c r="P3250" s="65"/>
      <c r="Q3250" s="65"/>
      <c r="R3250" s="65"/>
      <c r="S3250" s="65"/>
    </row>
    <row r="3251" spans="1:19" s="64" customFormat="1">
      <c r="A3251" s="316" t="s">
        <v>439</v>
      </c>
      <c r="B3251" s="123" t="s">
        <v>5072</v>
      </c>
      <c r="C3251" s="256" t="s">
        <v>3302</v>
      </c>
      <c r="D3251" s="256" t="s">
        <v>3301</v>
      </c>
      <c r="E3251" s="339" t="str">
        <f t="shared" si="51"/>
        <v>TR040202 : 우체국 차액결제(오후승)</v>
      </c>
      <c r="K3251" s="65"/>
      <c r="L3251" s="65"/>
      <c r="M3251" s="65"/>
      <c r="N3251" s="65"/>
      <c r="O3251" s="65"/>
      <c r="P3251" s="65"/>
      <c r="Q3251" s="65"/>
      <c r="R3251" s="65"/>
      <c r="S3251" s="65"/>
    </row>
    <row r="3252" spans="1:19" s="64" customFormat="1">
      <c r="A3252" s="316" t="s">
        <v>439</v>
      </c>
      <c r="B3252" s="123" t="s">
        <v>5072</v>
      </c>
      <c r="C3252" s="256" t="s">
        <v>3300</v>
      </c>
      <c r="D3252" s="256" t="s">
        <v>3299</v>
      </c>
      <c r="E3252" s="339" t="str">
        <f t="shared" si="51"/>
        <v>TR040203 : 우체국 차액결제(오후부)</v>
      </c>
      <c r="K3252" s="65"/>
      <c r="L3252" s="65"/>
      <c r="M3252" s="65"/>
      <c r="N3252" s="65"/>
      <c r="O3252" s="65"/>
      <c r="P3252" s="65"/>
      <c r="Q3252" s="65"/>
      <c r="R3252" s="65"/>
      <c r="S3252" s="65"/>
    </row>
    <row r="3253" spans="1:19" s="64" customFormat="1">
      <c r="A3253" s="316" t="s">
        <v>439</v>
      </c>
      <c r="B3253" s="123" t="s">
        <v>5072</v>
      </c>
      <c r="C3253" s="256" t="s">
        <v>3298</v>
      </c>
      <c r="D3253" s="256" t="s">
        <v>3297</v>
      </c>
      <c r="E3253" s="339" t="str">
        <f t="shared" si="51"/>
        <v>TR040204 : 우체국 차액결제(오전부)</v>
      </c>
      <c r="K3253" s="65"/>
      <c r="L3253" s="65"/>
      <c r="M3253" s="65"/>
      <c r="N3253" s="65"/>
      <c r="O3253" s="65"/>
      <c r="P3253" s="65"/>
      <c r="Q3253" s="65"/>
      <c r="R3253" s="65"/>
      <c r="S3253" s="65"/>
    </row>
    <row r="3254" spans="1:19" s="64" customFormat="1">
      <c r="A3254" s="316" t="s">
        <v>439</v>
      </c>
      <c r="B3254" s="123" t="s">
        <v>5072</v>
      </c>
      <c r="C3254" s="256" t="s">
        <v>3296</v>
      </c>
      <c r="D3254" s="256" t="s">
        <v>3295</v>
      </c>
      <c r="E3254" s="339" t="str">
        <f t="shared" si="51"/>
        <v>TR040301 : 국고여유자금 전용</v>
      </c>
      <c r="K3254" s="65"/>
      <c r="L3254" s="65"/>
      <c r="M3254" s="65"/>
      <c r="N3254" s="65"/>
      <c r="O3254" s="65"/>
      <c r="P3254" s="65"/>
      <c r="Q3254" s="65"/>
      <c r="R3254" s="65"/>
      <c r="S3254" s="65"/>
    </row>
    <row r="3255" spans="1:19" s="64" customFormat="1">
      <c r="A3255" s="316" t="s">
        <v>439</v>
      </c>
      <c r="B3255" s="123" t="s">
        <v>5072</v>
      </c>
      <c r="C3255" s="256" t="s">
        <v>3294</v>
      </c>
      <c r="D3255" s="256" t="s">
        <v>3293</v>
      </c>
      <c r="E3255" s="339" t="str">
        <f t="shared" si="51"/>
        <v>TR040302 : 재정차관원리금 결제</v>
      </c>
      <c r="K3255" s="65"/>
      <c r="L3255" s="65"/>
      <c r="M3255" s="65"/>
      <c r="N3255" s="65"/>
      <c r="O3255" s="65"/>
      <c r="P3255" s="65"/>
      <c r="Q3255" s="65"/>
      <c r="R3255" s="65"/>
      <c r="S3255" s="65"/>
    </row>
    <row r="3256" spans="1:19" s="64" customFormat="1">
      <c r="A3256" s="316" t="s">
        <v>439</v>
      </c>
      <c r="B3256" s="123" t="s">
        <v>5072</v>
      </c>
      <c r="C3256" s="256" t="s">
        <v>3292</v>
      </c>
      <c r="D3256" s="256" t="s">
        <v>3291</v>
      </c>
      <c r="E3256" s="339" t="str">
        <f t="shared" si="51"/>
        <v>TR040303 : 채권압류및전부명령금 지급/정리</v>
      </c>
      <c r="K3256" s="65"/>
      <c r="L3256" s="65"/>
      <c r="M3256" s="65"/>
      <c r="N3256" s="65"/>
      <c r="O3256" s="65"/>
      <c r="P3256" s="65"/>
      <c r="Q3256" s="65"/>
      <c r="R3256" s="65"/>
      <c r="S3256" s="65"/>
    </row>
    <row r="3257" spans="1:19" s="64" customFormat="1">
      <c r="A3257" s="316" t="s">
        <v>439</v>
      </c>
      <c r="B3257" s="123" t="s">
        <v>5072</v>
      </c>
      <c r="C3257" s="256" t="s">
        <v>3290</v>
      </c>
      <c r="D3257" s="256" t="s">
        <v>3289</v>
      </c>
      <c r="E3257" s="339" t="str">
        <f t="shared" si="51"/>
        <v>TR040304 : 징발보상교부금 등 지급처리</v>
      </c>
      <c r="K3257" s="65"/>
      <c r="L3257" s="65"/>
      <c r="M3257" s="65"/>
      <c r="N3257" s="65"/>
      <c r="O3257" s="65"/>
      <c r="P3257" s="65"/>
      <c r="Q3257" s="65"/>
      <c r="R3257" s="65"/>
      <c r="S3257" s="65"/>
    </row>
    <row r="3258" spans="1:19" s="64" customFormat="1">
      <c r="A3258" s="316" t="s">
        <v>439</v>
      </c>
      <c r="B3258" s="123" t="s">
        <v>5072</v>
      </c>
      <c r="C3258" s="256" t="s">
        <v>3288</v>
      </c>
      <c r="D3258" s="256" t="s">
        <v>3287</v>
      </c>
      <c r="E3258" s="339" t="str">
        <f t="shared" si="51"/>
        <v>TR040305 : 국고여유자금 반환</v>
      </c>
      <c r="K3258" s="65"/>
      <c r="L3258" s="65"/>
      <c r="M3258" s="65"/>
      <c r="N3258" s="65"/>
      <c r="O3258" s="65"/>
      <c r="P3258" s="65"/>
      <c r="Q3258" s="65"/>
      <c r="R3258" s="65"/>
      <c r="S3258" s="65"/>
    </row>
    <row r="3259" spans="1:19" s="64" customFormat="1">
      <c r="A3259" s="316" t="s">
        <v>439</v>
      </c>
      <c r="B3259" s="123" t="s">
        <v>5072</v>
      </c>
      <c r="C3259" s="256" t="s">
        <v>3286</v>
      </c>
      <c r="D3259" s="256" t="s">
        <v>3285</v>
      </c>
      <c r="E3259" s="339" t="str">
        <f t="shared" si="51"/>
        <v>TR040306 : 선사용자금 교부</v>
      </c>
      <c r="K3259" s="65"/>
      <c r="L3259" s="65"/>
      <c r="M3259" s="65"/>
      <c r="N3259" s="65"/>
      <c r="O3259" s="65"/>
      <c r="P3259" s="65"/>
      <c r="Q3259" s="65"/>
      <c r="R3259" s="65"/>
      <c r="S3259" s="65"/>
    </row>
    <row r="3260" spans="1:19" s="64" customFormat="1">
      <c r="A3260" s="316" t="s">
        <v>439</v>
      </c>
      <c r="B3260" s="123" t="s">
        <v>5072</v>
      </c>
      <c r="C3260" s="256" t="s">
        <v>3284</v>
      </c>
      <c r="D3260" s="256" t="s">
        <v>3283</v>
      </c>
      <c r="E3260" s="339" t="str">
        <f t="shared" si="51"/>
        <v>TR040307 : 선사용자금 반환</v>
      </c>
      <c r="K3260" s="65"/>
      <c r="L3260" s="65"/>
      <c r="M3260" s="65"/>
      <c r="N3260" s="65"/>
      <c r="O3260" s="65"/>
      <c r="P3260" s="65"/>
      <c r="Q3260" s="65"/>
      <c r="R3260" s="65"/>
      <c r="S3260" s="65"/>
    </row>
    <row r="3261" spans="1:19" s="64" customFormat="1">
      <c r="A3261" s="316" t="s">
        <v>439</v>
      </c>
      <c r="B3261" s="123" t="s">
        <v>5072</v>
      </c>
      <c r="C3261" s="256" t="s">
        <v>3282</v>
      </c>
      <c r="D3261" s="256" t="s">
        <v>3281</v>
      </c>
      <c r="E3261" s="339" t="str">
        <f t="shared" si="51"/>
        <v>TR040308 : 세계잉여금 처리</v>
      </c>
      <c r="K3261" s="65"/>
      <c r="L3261" s="65"/>
      <c r="M3261" s="65"/>
      <c r="N3261" s="65"/>
      <c r="O3261" s="65"/>
      <c r="P3261" s="65"/>
      <c r="Q3261" s="65"/>
      <c r="R3261" s="65"/>
      <c r="S3261" s="65"/>
    </row>
    <row r="3262" spans="1:19" s="64" customFormat="1">
      <c r="A3262" s="316" t="s">
        <v>439</v>
      </c>
      <c r="B3262" s="123" t="s">
        <v>5072</v>
      </c>
      <c r="C3262" s="256" t="s">
        <v>3280</v>
      </c>
      <c r="D3262" s="256" t="s">
        <v>3279</v>
      </c>
      <c r="E3262" s="339" t="str">
        <f t="shared" si="51"/>
        <v>TR040309 : 재정자금발행 자금이체</v>
      </c>
      <c r="K3262" s="65"/>
      <c r="L3262" s="65"/>
      <c r="M3262" s="65"/>
      <c r="N3262" s="65"/>
      <c r="O3262" s="65"/>
      <c r="P3262" s="65"/>
      <c r="Q3262" s="65"/>
      <c r="R3262" s="65"/>
      <c r="S3262" s="65"/>
    </row>
    <row r="3263" spans="1:19" s="64" customFormat="1">
      <c r="A3263" s="316" t="s">
        <v>439</v>
      </c>
      <c r="B3263" s="123" t="s">
        <v>5072</v>
      </c>
      <c r="C3263" s="256" t="s">
        <v>3278</v>
      </c>
      <c r="D3263" s="256" t="s">
        <v>3277</v>
      </c>
      <c r="E3263" s="339" t="str">
        <f t="shared" si="51"/>
        <v>TR040310 : 재정자금상환 자금이체</v>
      </c>
      <c r="K3263" s="65"/>
      <c r="L3263" s="65"/>
      <c r="M3263" s="65"/>
      <c r="N3263" s="65"/>
      <c r="O3263" s="65"/>
      <c r="P3263" s="65"/>
      <c r="Q3263" s="65"/>
      <c r="R3263" s="65"/>
      <c r="S3263" s="65"/>
    </row>
    <row r="3264" spans="1:19" s="64" customFormat="1">
      <c r="A3264" s="316" t="s">
        <v>439</v>
      </c>
      <c r="B3264" s="123" t="s">
        <v>5072</v>
      </c>
      <c r="C3264" s="256" t="s">
        <v>3276</v>
      </c>
      <c r="D3264" s="256" t="s">
        <v>3275</v>
      </c>
      <c r="E3264" s="339" t="str">
        <f t="shared" si="51"/>
        <v>TR040311 : 채권압류 및 전부명령금 정리</v>
      </c>
      <c r="K3264" s="65"/>
      <c r="L3264" s="65"/>
      <c r="M3264" s="65"/>
      <c r="N3264" s="65"/>
      <c r="O3264" s="65"/>
      <c r="P3264" s="65"/>
      <c r="Q3264" s="65"/>
      <c r="R3264" s="65"/>
      <c r="S3264" s="65"/>
    </row>
    <row r="3265" spans="1:19" s="64" customFormat="1">
      <c r="A3265" s="316" t="s">
        <v>439</v>
      </c>
      <c r="B3265" s="123" t="s">
        <v>5072</v>
      </c>
      <c r="C3265" s="256" t="s">
        <v>3274</v>
      </c>
      <c r="D3265" s="256" t="s">
        <v>3273</v>
      </c>
      <c r="E3265" s="339" t="str">
        <f t="shared" si="51"/>
        <v>TR051000 : 국고송금취결</v>
      </c>
      <c r="K3265" s="65"/>
      <c r="L3265" s="65"/>
      <c r="M3265" s="65"/>
      <c r="N3265" s="65"/>
      <c r="O3265" s="65"/>
      <c r="P3265" s="65"/>
      <c r="Q3265" s="65"/>
      <c r="R3265" s="65"/>
      <c r="S3265" s="65"/>
    </row>
    <row r="3266" spans="1:19" s="64" customFormat="1">
      <c r="A3266" s="316" t="s">
        <v>439</v>
      </c>
      <c r="B3266" s="123" t="s">
        <v>5072</v>
      </c>
      <c r="C3266" s="256" t="s">
        <v>3272</v>
      </c>
      <c r="D3266" s="256" t="s">
        <v>3271</v>
      </c>
      <c r="E3266" s="339" t="str">
        <f t="shared" si="51"/>
        <v>TR052000 : 국고송금결제</v>
      </c>
      <c r="K3266" s="65"/>
      <c r="L3266" s="65"/>
      <c r="M3266" s="65"/>
      <c r="N3266" s="65"/>
      <c r="O3266" s="65"/>
      <c r="P3266" s="65"/>
      <c r="Q3266" s="65"/>
      <c r="R3266" s="65"/>
      <c r="S3266" s="65"/>
    </row>
    <row r="3267" spans="1:19" s="64" customFormat="1">
      <c r="A3267" s="316" t="s">
        <v>439</v>
      </c>
      <c r="B3267" s="123" t="s">
        <v>5072</v>
      </c>
      <c r="C3267" s="256" t="s">
        <v>3270</v>
      </c>
      <c r="D3267" s="256" t="s">
        <v>3269</v>
      </c>
      <c r="E3267" s="339" t="str">
        <f t="shared" si="51"/>
        <v>TR053000 : 국고송금선지급</v>
      </c>
      <c r="K3267" s="65"/>
      <c r="L3267" s="65"/>
      <c r="M3267" s="65"/>
      <c r="N3267" s="65"/>
      <c r="O3267" s="65"/>
      <c r="P3267" s="65"/>
      <c r="Q3267" s="65"/>
      <c r="R3267" s="65"/>
      <c r="S3267" s="65"/>
    </row>
    <row r="3268" spans="1:19" s="64" customFormat="1">
      <c r="A3268" s="316" t="s">
        <v>439</v>
      </c>
      <c r="B3268" s="123" t="s">
        <v>5072</v>
      </c>
      <c r="C3268" s="256" t="s">
        <v>3268</v>
      </c>
      <c r="D3268" s="256" t="s">
        <v>3267</v>
      </c>
      <c r="E3268" s="339" t="str">
        <f t="shared" si="51"/>
        <v>TR054000 : 국고송금퇴결</v>
      </c>
      <c r="K3268" s="65"/>
      <c r="L3268" s="65"/>
      <c r="M3268" s="65"/>
      <c r="N3268" s="65"/>
      <c r="O3268" s="65"/>
      <c r="P3268" s="65"/>
      <c r="Q3268" s="65"/>
      <c r="R3268" s="65"/>
      <c r="S3268" s="65"/>
    </row>
    <row r="3269" spans="1:19" s="64" customFormat="1">
      <c r="A3269" s="316" t="s">
        <v>439</v>
      </c>
      <c r="B3269" s="123" t="s">
        <v>5072</v>
      </c>
      <c r="C3269" s="256" t="s">
        <v>3266</v>
      </c>
      <c r="D3269" s="256" t="s">
        <v>3265</v>
      </c>
      <c r="E3269" s="339" t="str">
        <f t="shared" si="51"/>
        <v>TR055000 : 국고송금 미결제분 개시처리</v>
      </c>
      <c r="K3269" s="65"/>
      <c r="L3269" s="65"/>
      <c r="M3269" s="65"/>
      <c r="N3269" s="65"/>
      <c r="O3269" s="65"/>
      <c r="P3269" s="65"/>
      <c r="Q3269" s="65"/>
      <c r="R3269" s="65"/>
      <c r="S3269" s="65"/>
    </row>
    <row r="3270" spans="1:19" s="64" customFormat="1">
      <c r="A3270" s="316" t="s">
        <v>439</v>
      </c>
      <c r="B3270" s="123" t="s">
        <v>5072</v>
      </c>
      <c r="C3270" s="256" t="s">
        <v>3264</v>
      </c>
      <c r="D3270" s="256" t="s">
        <v>3263</v>
      </c>
      <c r="E3270" s="339" t="str">
        <f t="shared" si="51"/>
        <v>TR060101 : 일반세입금 자통할점분 수납</v>
      </c>
      <c r="K3270" s="65"/>
      <c r="L3270" s="65"/>
      <c r="M3270" s="65"/>
      <c r="N3270" s="65"/>
      <c r="O3270" s="65"/>
      <c r="P3270" s="65"/>
      <c r="Q3270" s="65"/>
      <c r="R3270" s="65"/>
      <c r="S3270" s="65"/>
    </row>
    <row r="3271" spans="1:19" s="64" customFormat="1">
      <c r="A3271" s="316" t="s">
        <v>439</v>
      </c>
      <c r="B3271" s="123" t="s">
        <v>5072</v>
      </c>
      <c r="C3271" s="256" t="s">
        <v>3262</v>
      </c>
      <c r="D3271" s="256" t="s">
        <v>3261</v>
      </c>
      <c r="E3271" s="339" t="str">
        <f t="shared" si="51"/>
        <v>TR060102 : 보관금에준하는기금 자통할점분 수납</v>
      </c>
      <c r="K3271" s="65"/>
      <c r="L3271" s="65"/>
      <c r="M3271" s="65"/>
      <c r="N3271" s="65"/>
      <c r="O3271" s="65"/>
      <c r="P3271" s="65"/>
      <c r="Q3271" s="65"/>
      <c r="R3271" s="65"/>
      <c r="S3271" s="65"/>
    </row>
    <row r="3272" spans="1:19" s="64" customFormat="1">
      <c r="A3272" s="316" t="s">
        <v>439</v>
      </c>
      <c r="B3272" s="123" t="s">
        <v>5072</v>
      </c>
      <c r="C3272" s="256" t="s">
        <v>3260</v>
      </c>
      <c r="D3272" s="256" t="s">
        <v>3259</v>
      </c>
      <c r="E3272" s="339" t="str">
        <f t="shared" si="51"/>
        <v>TR060103 : 수입대체경비 자통할점분 수납</v>
      </c>
      <c r="K3272" s="65"/>
      <c r="L3272" s="65"/>
      <c r="M3272" s="65"/>
      <c r="N3272" s="65"/>
      <c r="O3272" s="65"/>
      <c r="P3272" s="65"/>
      <c r="Q3272" s="65"/>
      <c r="R3272" s="65"/>
      <c r="S3272" s="65"/>
    </row>
    <row r="3273" spans="1:19" s="64" customFormat="1">
      <c r="A3273" s="316" t="s">
        <v>439</v>
      </c>
      <c r="B3273" s="123" t="s">
        <v>5072</v>
      </c>
      <c r="C3273" s="256" t="s">
        <v>3258</v>
      </c>
      <c r="D3273" s="256" t="s">
        <v>3257</v>
      </c>
      <c r="E3273" s="339" t="str">
        <f t="shared" si="51"/>
        <v>TR060104 : 일반세입금 타통할점분 수납</v>
      </c>
      <c r="K3273" s="65"/>
      <c r="L3273" s="65"/>
      <c r="M3273" s="65"/>
      <c r="N3273" s="65"/>
      <c r="O3273" s="65"/>
      <c r="P3273" s="65"/>
      <c r="Q3273" s="65"/>
      <c r="R3273" s="65"/>
      <c r="S3273" s="65"/>
    </row>
    <row r="3274" spans="1:19" s="64" customFormat="1">
      <c r="A3274" s="316" t="s">
        <v>439</v>
      </c>
      <c r="B3274" s="123" t="s">
        <v>5072</v>
      </c>
      <c r="C3274" s="256" t="s">
        <v>3256</v>
      </c>
      <c r="D3274" s="256" t="s">
        <v>3255</v>
      </c>
      <c r="E3274" s="339" t="str">
        <f t="shared" si="51"/>
        <v>TR060105 : 보관금에준하는기금 타통할점분 수납</v>
      </c>
      <c r="K3274" s="65"/>
      <c r="L3274" s="65"/>
      <c r="M3274" s="65"/>
      <c r="N3274" s="65"/>
      <c r="O3274" s="65"/>
      <c r="P3274" s="65"/>
      <c r="Q3274" s="65"/>
      <c r="R3274" s="65"/>
      <c r="S3274" s="65"/>
    </row>
    <row r="3275" spans="1:19" s="64" customFormat="1">
      <c r="A3275" s="316" t="s">
        <v>439</v>
      </c>
      <c r="B3275" s="123" t="s">
        <v>5072</v>
      </c>
      <c r="C3275" s="256" t="s">
        <v>3254</v>
      </c>
      <c r="D3275" s="256" t="s">
        <v>3253</v>
      </c>
      <c r="E3275" s="339" t="str">
        <f t="shared" si="51"/>
        <v>TR060106 : 수입대체경비 타통할점분 수납</v>
      </c>
      <c r="K3275" s="65"/>
      <c r="L3275" s="65"/>
      <c r="M3275" s="65"/>
      <c r="N3275" s="65"/>
      <c r="O3275" s="65"/>
      <c r="P3275" s="65"/>
      <c r="Q3275" s="65"/>
      <c r="R3275" s="65"/>
      <c r="S3275" s="65"/>
    </row>
    <row r="3276" spans="1:19" s="64" customFormat="1">
      <c r="A3276" s="316" t="s">
        <v>439</v>
      </c>
      <c r="B3276" s="123" t="s">
        <v>5072</v>
      </c>
      <c r="C3276" s="256" t="s">
        <v>3252</v>
      </c>
      <c r="D3276" s="256" t="s">
        <v>3251</v>
      </c>
      <c r="E3276" s="339" t="str">
        <f t="shared" si="51"/>
        <v>TR060107 : 수입대체경비 타국고대리점분 수납</v>
      </c>
      <c r="K3276" s="65"/>
      <c r="L3276" s="65"/>
      <c r="M3276" s="65"/>
      <c r="N3276" s="65"/>
      <c r="O3276" s="65"/>
      <c r="P3276" s="65"/>
      <c r="Q3276" s="65"/>
      <c r="R3276" s="65"/>
      <c r="S3276" s="65"/>
    </row>
    <row r="3277" spans="1:19" s="64" customFormat="1">
      <c r="A3277" s="316" t="s">
        <v>439</v>
      </c>
      <c r="B3277" s="123" t="s">
        <v>5072</v>
      </c>
      <c r="C3277" s="256" t="s">
        <v>3250</v>
      </c>
      <c r="D3277" s="256" t="s">
        <v>3249</v>
      </c>
      <c r="E3277" s="339" t="str">
        <f t="shared" si="51"/>
        <v>TR060201 : 일반,특별,세입세출준기금 지급</v>
      </c>
      <c r="K3277" s="65"/>
      <c r="L3277" s="65"/>
      <c r="M3277" s="65"/>
      <c r="N3277" s="65"/>
      <c r="O3277" s="65"/>
      <c r="P3277" s="65"/>
      <c r="Q3277" s="65"/>
      <c r="R3277" s="65"/>
      <c r="S3277" s="65"/>
    </row>
    <row r="3278" spans="1:19" s="64" customFormat="1">
      <c r="A3278" s="316" t="s">
        <v>439</v>
      </c>
      <c r="B3278" s="123" t="s">
        <v>5072</v>
      </c>
      <c r="C3278" s="256" t="s">
        <v>3248</v>
      </c>
      <c r="D3278" s="256" t="s">
        <v>3247</v>
      </c>
      <c r="E3278" s="339" t="str">
        <f t="shared" si="51"/>
        <v>TR060202 : 보관금준기금,특별계정 연도이월</v>
      </c>
      <c r="K3278" s="65"/>
      <c r="L3278" s="65"/>
      <c r="M3278" s="65"/>
      <c r="N3278" s="65"/>
      <c r="O3278" s="65"/>
      <c r="P3278" s="65"/>
      <c r="Q3278" s="65"/>
      <c r="R3278" s="65"/>
      <c r="S3278" s="65"/>
    </row>
    <row r="3279" spans="1:19" s="64" customFormat="1">
      <c r="A3279" s="316" t="s">
        <v>439</v>
      </c>
      <c r="B3279" s="123" t="s">
        <v>5072</v>
      </c>
      <c r="C3279" s="256" t="s">
        <v>3246</v>
      </c>
      <c r="D3279" s="256" t="s">
        <v>3245</v>
      </c>
      <c r="E3279" s="339" t="str">
        <f t="shared" si="51"/>
        <v>TR060203 : 보관금준기금,특별계정 수입</v>
      </c>
      <c r="K3279" s="65"/>
      <c r="L3279" s="65"/>
      <c r="M3279" s="65"/>
      <c r="N3279" s="65"/>
      <c r="O3279" s="65"/>
      <c r="P3279" s="65"/>
      <c r="Q3279" s="65"/>
      <c r="R3279" s="65"/>
      <c r="S3279" s="65"/>
    </row>
    <row r="3280" spans="1:19" s="64" customFormat="1">
      <c r="A3280" s="316" t="s">
        <v>439</v>
      </c>
      <c r="B3280" s="123" t="s">
        <v>5072</v>
      </c>
      <c r="C3280" s="256" t="s">
        <v>3244</v>
      </c>
      <c r="D3280" s="256" t="s">
        <v>3243</v>
      </c>
      <c r="E3280" s="339" t="str">
        <f t="shared" si="51"/>
        <v>TR060204 : 보관금준기금,특별계정 지급</v>
      </c>
      <c r="K3280" s="65"/>
      <c r="L3280" s="65"/>
      <c r="M3280" s="65"/>
      <c r="N3280" s="65"/>
      <c r="O3280" s="65"/>
      <c r="P3280" s="65"/>
      <c r="Q3280" s="65"/>
      <c r="R3280" s="65"/>
      <c r="S3280" s="65"/>
    </row>
    <row r="3281" spans="1:19" s="64" customFormat="1">
      <c r="A3281" s="316" t="s">
        <v>439</v>
      </c>
      <c r="B3281" s="123" t="s">
        <v>5072</v>
      </c>
      <c r="C3281" s="256" t="s">
        <v>3242</v>
      </c>
      <c r="D3281" s="256" t="s">
        <v>3241</v>
      </c>
      <c r="E3281" s="339" t="str">
        <f t="shared" si="51"/>
        <v>TR060205 : 카드수납특별계정수입</v>
      </c>
      <c r="K3281" s="65"/>
      <c r="L3281" s="65"/>
      <c r="M3281" s="65"/>
      <c r="N3281" s="65"/>
      <c r="O3281" s="65"/>
      <c r="P3281" s="65"/>
      <c r="Q3281" s="65"/>
      <c r="R3281" s="65"/>
      <c r="S3281" s="65"/>
    </row>
    <row r="3282" spans="1:19" s="64" customFormat="1">
      <c r="A3282" s="316" t="s">
        <v>439</v>
      </c>
      <c r="B3282" s="123" t="s">
        <v>5072</v>
      </c>
      <c r="C3282" s="256" t="s">
        <v>3240</v>
      </c>
      <c r="D3282" s="256" t="s">
        <v>3239</v>
      </c>
      <c r="E3282" s="339" t="str">
        <f t="shared" si="51"/>
        <v>TR060206 : 카드수납특별계정지급</v>
      </c>
      <c r="K3282" s="65"/>
      <c r="L3282" s="65"/>
      <c r="M3282" s="65"/>
      <c r="N3282" s="65"/>
      <c r="O3282" s="65"/>
      <c r="P3282" s="65"/>
      <c r="Q3282" s="65"/>
      <c r="R3282" s="65"/>
      <c r="S3282" s="65"/>
    </row>
    <row r="3283" spans="1:19" s="64" customFormat="1">
      <c r="A3283" s="316" t="s">
        <v>439</v>
      </c>
      <c r="B3283" s="123" t="s">
        <v>5072</v>
      </c>
      <c r="C3283" s="256" t="s">
        <v>3238</v>
      </c>
      <c r="D3283" s="256" t="s">
        <v>3237</v>
      </c>
      <c r="E3283" s="339" t="str">
        <f t="shared" si="51"/>
        <v>TR060207 : 우체국수납특별계정수입</v>
      </c>
      <c r="K3283" s="65"/>
      <c r="L3283" s="65"/>
      <c r="M3283" s="65"/>
      <c r="N3283" s="65"/>
      <c r="O3283" s="65"/>
      <c r="P3283" s="65"/>
      <c r="Q3283" s="65"/>
      <c r="R3283" s="65"/>
      <c r="S3283" s="65"/>
    </row>
    <row r="3284" spans="1:19" s="64" customFormat="1">
      <c r="A3284" s="316" t="s">
        <v>439</v>
      </c>
      <c r="B3284" s="123" t="s">
        <v>5072</v>
      </c>
      <c r="C3284" s="256" t="s">
        <v>3236</v>
      </c>
      <c r="D3284" s="256" t="s">
        <v>3235</v>
      </c>
      <c r="E3284" s="339" t="str">
        <f t="shared" si="51"/>
        <v>TR060208 : 우체국수납특별계정지급</v>
      </c>
      <c r="K3284" s="65"/>
      <c r="L3284" s="65"/>
      <c r="M3284" s="65"/>
      <c r="N3284" s="65"/>
      <c r="O3284" s="65"/>
      <c r="P3284" s="65"/>
      <c r="Q3284" s="65"/>
      <c r="R3284" s="65"/>
      <c r="S3284" s="65"/>
    </row>
    <row r="3285" spans="1:19" s="64" customFormat="1">
      <c r="A3285" s="316" t="s">
        <v>439</v>
      </c>
      <c r="B3285" s="123" t="s">
        <v>5072</v>
      </c>
      <c r="C3285" s="256" t="s">
        <v>3234</v>
      </c>
      <c r="D3285" s="256" t="s">
        <v>3233</v>
      </c>
      <c r="E3285" s="339" t="str">
        <f t="shared" si="51"/>
        <v>TR060301 : 국고송금 취결</v>
      </c>
      <c r="K3285" s="65"/>
      <c r="L3285" s="65"/>
      <c r="M3285" s="65"/>
      <c r="N3285" s="65"/>
      <c r="O3285" s="65"/>
      <c r="P3285" s="65"/>
      <c r="Q3285" s="65"/>
      <c r="R3285" s="65"/>
      <c r="S3285" s="65"/>
    </row>
    <row r="3286" spans="1:19" s="64" customFormat="1">
      <c r="A3286" s="316" t="s">
        <v>439</v>
      </c>
      <c r="B3286" s="123" t="s">
        <v>5072</v>
      </c>
      <c r="C3286" s="256" t="s">
        <v>3232</v>
      </c>
      <c r="D3286" s="256" t="s">
        <v>3231</v>
      </c>
      <c r="E3286" s="339" t="str">
        <f t="shared" ref="E3286:E3349" si="52">_xlfn.TEXTJOIN(" : ",FALSE,C3286:D3286)</f>
        <v>TR060302 : 국고송금 지급</v>
      </c>
      <c r="K3286" s="65"/>
      <c r="L3286" s="65"/>
      <c r="M3286" s="65"/>
      <c r="N3286" s="65"/>
      <c r="O3286" s="65"/>
      <c r="P3286" s="65"/>
      <c r="Q3286" s="65"/>
      <c r="R3286" s="65"/>
      <c r="S3286" s="65"/>
    </row>
    <row r="3287" spans="1:19" s="64" customFormat="1">
      <c r="A3287" s="316" t="s">
        <v>439</v>
      </c>
      <c r="B3287" s="123" t="s">
        <v>5072</v>
      </c>
      <c r="C3287" s="256" t="s">
        <v>3230</v>
      </c>
      <c r="D3287" s="256" t="s">
        <v>3229</v>
      </c>
      <c r="E3287" s="339" t="str">
        <f t="shared" si="52"/>
        <v>TR060303 : 국고송금 선지급</v>
      </c>
      <c r="K3287" s="65"/>
      <c r="L3287" s="65"/>
      <c r="M3287" s="65"/>
      <c r="N3287" s="65"/>
      <c r="O3287" s="65"/>
      <c r="P3287" s="65"/>
      <c r="Q3287" s="65"/>
      <c r="R3287" s="65"/>
      <c r="S3287" s="65"/>
    </row>
    <row r="3288" spans="1:19" s="64" customFormat="1">
      <c r="A3288" s="316" t="s">
        <v>439</v>
      </c>
      <c r="B3288" s="123" t="s">
        <v>5072</v>
      </c>
      <c r="C3288" s="256" t="s">
        <v>3228</v>
      </c>
      <c r="D3288" s="256" t="s">
        <v>3227</v>
      </c>
      <c r="E3288" s="339" t="str">
        <f t="shared" si="52"/>
        <v>TR060304 : 국고송금 퇴결</v>
      </c>
      <c r="K3288" s="65"/>
      <c r="L3288" s="65"/>
      <c r="M3288" s="65"/>
      <c r="N3288" s="65"/>
      <c r="O3288" s="65"/>
      <c r="P3288" s="65"/>
      <c r="Q3288" s="65"/>
      <c r="R3288" s="65"/>
      <c r="S3288" s="65"/>
    </row>
    <row r="3289" spans="1:19" s="64" customFormat="1">
      <c r="A3289" s="316" t="s">
        <v>439</v>
      </c>
      <c r="B3289" s="123" t="s">
        <v>5072</v>
      </c>
      <c r="C3289" s="256" t="s">
        <v>3226</v>
      </c>
      <c r="D3289" s="256" t="s">
        <v>3225</v>
      </c>
      <c r="E3289" s="339" t="str">
        <f t="shared" si="52"/>
        <v>TR060305 : 국고송금 취결,결제,수입</v>
      </c>
      <c r="K3289" s="65"/>
      <c r="L3289" s="65"/>
      <c r="M3289" s="65"/>
      <c r="N3289" s="65"/>
      <c r="O3289" s="65"/>
      <c r="P3289" s="65"/>
      <c r="Q3289" s="65"/>
      <c r="R3289" s="65"/>
      <c r="S3289" s="65"/>
    </row>
    <row r="3290" spans="1:19" s="64" customFormat="1">
      <c r="A3290" s="316" t="s">
        <v>439</v>
      </c>
      <c r="B3290" s="123" t="s">
        <v>5072</v>
      </c>
      <c r="C3290" s="256" t="s">
        <v>3224</v>
      </c>
      <c r="D3290" s="256" t="s">
        <v>3223</v>
      </c>
      <c r="E3290" s="339" t="str">
        <f t="shared" si="52"/>
        <v>TR060401 : 우체국과초금(국고증권실)</v>
      </c>
      <c r="K3290" s="65"/>
      <c r="L3290" s="65"/>
      <c r="M3290" s="65"/>
      <c r="N3290" s="65"/>
      <c r="O3290" s="65"/>
      <c r="P3290" s="65"/>
      <c r="Q3290" s="65"/>
      <c r="R3290" s="65"/>
      <c r="S3290" s="65"/>
    </row>
    <row r="3291" spans="1:19" s="64" customFormat="1">
      <c r="A3291" s="316" t="s">
        <v>439</v>
      </c>
      <c r="B3291" s="123" t="s">
        <v>5072</v>
      </c>
      <c r="C3291" s="256" t="s">
        <v>3222</v>
      </c>
      <c r="D3291" s="256" t="s">
        <v>3221</v>
      </c>
      <c r="E3291" s="339" t="str">
        <f t="shared" si="52"/>
        <v>TR060402 : 우체국과초금(국고증권실 이외)</v>
      </c>
      <c r="K3291" s="65"/>
      <c r="L3291" s="65"/>
      <c r="M3291" s="65"/>
      <c r="N3291" s="65"/>
      <c r="O3291" s="65"/>
      <c r="P3291" s="65"/>
      <c r="Q3291" s="65"/>
      <c r="R3291" s="65"/>
      <c r="S3291" s="65"/>
    </row>
    <row r="3292" spans="1:19" s="64" customFormat="1">
      <c r="A3292" s="316" t="s">
        <v>439</v>
      </c>
      <c r="B3292" s="123" t="s">
        <v>5072</v>
      </c>
      <c r="C3292" s="256" t="s">
        <v>3220</v>
      </c>
      <c r="D3292" s="256" t="s">
        <v>3219</v>
      </c>
      <c r="E3292" s="339" t="str">
        <f t="shared" si="52"/>
        <v>TR060403 : 우체국자금(국고증권실)</v>
      </c>
      <c r="K3292" s="65"/>
      <c r="L3292" s="65"/>
      <c r="M3292" s="65"/>
      <c r="N3292" s="65"/>
      <c r="O3292" s="65"/>
      <c r="P3292" s="65"/>
      <c r="Q3292" s="65"/>
      <c r="R3292" s="65"/>
      <c r="S3292" s="65"/>
    </row>
    <row r="3293" spans="1:19" s="64" customFormat="1">
      <c r="A3293" s="316" t="s">
        <v>439</v>
      </c>
      <c r="B3293" s="123" t="s">
        <v>5072</v>
      </c>
      <c r="C3293" s="256" t="s">
        <v>3218</v>
      </c>
      <c r="D3293" s="256" t="s">
        <v>3217</v>
      </c>
      <c r="E3293" s="339" t="str">
        <f t="shared" si="52"/>
        <v>TR060404 : 우체국자금(국고증권실 이외)</v>
      </c>
      <c r="K3293" s="65"/>
      <c r="L3293" s="65"/>
      <c r="M3293" s="65"/>
      <c r="N3293" s="65"/>
      <c r="O3293" s="65"/>
      <c r="P3293" s="65"/>
      <c r="Q3293" s="65"/>
      <c r="R3293" s="65"/>
      <c r="S3293" s="65"/>
    </row>
    <row r="3294" spans="1:19" s="64" customFormat="1">
      <c r="A3294" s="316" t="s">
        <v>439</v>
      </c>
      <c r="B3294" s="123" t="s">
        <v>5072</v>
      </c>
      <c r="C3294" s="256" t="s">
        <v>3216</v>
      </c>
      <c r="D3294" s="256" t="s">
        <v>3215</v>
      </c>
      <c r="E3294" s="339" t="str">
        <f t="shared" si="52"/>
        <v>TR060501 : 국고금수납분 일괄처리(국고증권실)</v>
      </c>
      <c r="K3294" s="65"/>
      <c r="L3294" s="65"/>
      <c r="M3294" s="65"/>
      <c r="N3294" s="65"/>
      <c r="O3294" s="65"/>
      <c r="P3294" s="65"/>
      <c r="Q3294" s="65"/>
      <c r="R3294" s="65"/>
      <c r="S3294" s="65"/>
    </row>
    <row r="3295" spans="1:19" s="64" customFormat="1">
      <c r="A3295" s="316" t="s">
        <v>439</v>
      </c>
      <c r="B3295" s="123" t="s">
        <v>5072</v>
      </c>
      <c r="C3295" s="256" t="s">
        <v>3214</v>
      </c>
      <c r="D3295" s="256" t="s">
        <v>3213</v>
      </c>
      <c r="E3295" s="339" t="str">
        <f t="shared" si="52"/>
        <v>TR060502 : 국고금수납분 일괄처리(지역본부)</v>
      </c>
      <c r="K3295" s="65"/>
      <c r="L3295" s="65"/>
      <c r="M3295" s="65"/>
      <c r="N3295" s="65"/>
      <c r="O3295" s="65"/>
      <c r="P3295" s="65"/>
      <c r="Q3295" s="65"/>
      <c r="R3295" s="65"/>
      <c r="S3295" s="65"/>
    </row>
    <row r="3296" spans="1:19" s="64" customFormat="1">
      <c r="A3296" s="316" t="s">
        <v>439</v>
      </c>
      <c r="B3296" s="123" t="s">
        <v>5072</v>
      </c>
      <c r="C3296" s="256" t="s">
        <v>3212</v>
      </c>
      <c r="D3296" s="256" t="s">
        <v>3211</v>
      </c>
      <c r="E3296" s="339" t="str">
        <f t="shared" si="52"/>
        <v>TR060503 : 일괄처리 공급(국고증권실)</v>
      </c>
      <c r="K3296" s="65"/>
      <c r="L3296" s="65"/>
      <c r="M3296" s="65"/>
      <c r="N3296" s="65"/>
      <c r="O3296" s="65"/>
      <c r="P3296" s="65"/>
      <c r="Q3296" s="65"/>
      <c r="R3296" s="65"/>
      <c r="S3296" s="65"/>
    </row>
    <row r="3297" spans="1:19" s="64" customFormat="1">
      <c r="A3297" s="316" t="s">
        <v>439</v>
      </c>
      <c r="B3297" s="123" t="s">
        <v>5072</v>
      </c>
      <c r="C3297" s="256" t="s">
        <v>3210</v>
      </c>
      <c r="D3297" s="256" t="s">
        <v>3209</v>
      </c>
      <c r="E3297" s="339" t="str">
        <f t="shared" si="52"/>
        <v>TR060504 : 일괄처리 공급(국고증권실 이외)</v>
      </c>
      <c r="K3297" s="65"/>
      <c r="L3297" s="65"/>
      <c r="M3297" s="65"/>
      <c r="N3297" s="65"/>
      <c r="O3297" s="65"/>
      <c r="P3297" s="65"/>
      <c r="Q3297" s="65"/>
      <c r="R3297" s="65"/>
      <c r="S3297" s="65"/>
    </row>
    <row r="3298" spans="1:19" s="64" customFormat="1">
      <c r="A3298" s="316" t="s">
        <v>439</v>
      </c>
      <c r="B3298" s="123" t="s">
        <v>5072</v>
      </c>
      <c r="C3298" s="256" t="s">
        <v>3208</v>
      </c>
      <c r="D3298" s="256" t="s">
        <v>3207</v>
      </c>
      <c r="E3298" s="339" t="str">
        <f t="shared" si="52"/>
        <v>TR060601 : 우체국수납세입금일괄처리</v>
      </c>
      <c r="K3298" s="65"/>
      <c r="L3298" s="65"/>
      <c r="M3298" s="65"/>
      <c r="N3298" s="65"/>
      <c r="O3298" s="65"/>
      <c r="P3298" s="65"/>
      <c r="Q3298" s="65"/>
      <c r="R3298" s="65"/>
      <c r="S3298" s="65"/>
    </row>
    <row r="3299" spans="1:19" s="64" customFormat="1">
      <c r="A3299" s="316" t="s">
        <v>439</v>
      </c>
      <c r="B3299" s="123" t="s">
        <v>5072</v>
      </c>
      <c r="C3299" s="256" t="s">
        <v>3206</v>
      </c>
      <c r="D3299" s="256" t="s">
        <v>3205</v>
      </c>
      <c r="E3299" s="339" t="str">
        <f t="shared" si="52"/>
        <v>TR060701 : 통합지출관이체일괄처리(오전)</v>
      </c>
      <c r="K3299" s="65"/>
      <c r="L3299" s="65"/>
      <c r="M3299" s="65"/>
      <c r="N3299" s="65"/>
      <c r="O3299" s="65"/>
      <c r="P3299" s="65"/>
      <c r="Q3299" s="65"/>
      <c r="R3299" s="65"/>
      <c r="S3299" s="65"/>
    </row>
    <row r="3300" spans="1:19" s="64" customFormat="1">
      <c r="A3300" s="316" t="s">
        <v>439</v>
      </c>
      <c r="B3300" s="123" t="s">
        <v>5072</v>
      </c>
      <c r="C3300" s="256" t="s">
        <v>3204</v>
      </c>
      <c r="D3300" s="256" t="s">
        <v>3203</v>
      </c>
      <c r="E3300" s="339" t="str">
        <f t="shared" si="52"/>
        <v>TR060702 : 통합지출관이체일괄처리(오후)</v>
      </c>
      <c r="K3300" s="65"/>
      <c r="L3300" s="65"/>
      <c r="M3300" s="65"/>
      <c r="N3300" s="65"/>
      <c r="O3300" s="65"/>
      <c r="P3300" s="65"/>
      <c r="Q3300" s="65"/>
      <c r="R3300" s="65"/>
      <c r="S3300" s="65"/>
    </row>
    <row r="3301" spans="1:19" s="64" customFormat="1">
      <c r="A3301" s="316" t="s">
        <v>439</v>
      </c>
      <c r="B3301" s="123" t="s">
        <v>5072</v>
      </c>
      <c r="C3301" s="256" t="s">
        <v>3202</v>
      </c>
      <c r="D3301" s="256" t="s">
        <v>3201</v>
      </c>
      <c r="E3301" s="339" t="str">
        <f t="shared" si="52"/>
        <v>TR060801 : 지출반납 일괄처리 회수</v>
      </c>
      <c r="K3301" s="65"/>
      <c r="L3301" s="65"/>
      <c r="M3301" s="65"/>
      <c r="N3301" s="65"/>
      <c r="O3301" s="65"/>
      <c r="P3301" s="65"/>
      <c r="Q3301" s="65"/>
      <c r="R3301" s="65"/>
      <c r="S3301" s="65"/>
    </row>
    <row r="3302" spans="1:19" s="64" customFormat="1">
      <c r="A3302" s="316" t="s">
        <v>439</v>
      </c>
      <c r="B3302" s="123" t="s">
        <v>5072</v>
      </c>
      <c r="C3302" s="256" t="s">
        <v>3200</v>
      </c>
      <c r="D3302" s="256" t="s">
        <v>3199</v>
      </c>
      <c r="E3302" s="339" t="str">
        <f t="shared" si="52"/>
        <v>TR071100 : 대리점수납액 수동 결제</v>
      </c>
      <c r="K3302" s="65"/>
      <c r="L3302" s="65"/>
      <c r="M3302" s="65"/>
      <c r="N3302" s="65"/>
      <c r="O3302" s="65"/>
      <c r="P3302" s="65"/>
      <c r="Q3302" s="65"/>
      <c r="R3302" s="65"/>
      <c r="S3302" s="65"/>
    </row>
    <row r="3303" spans="1:19" s="64" customFormat="1">
      <c r="A3303" s="316" t="s">
        <v>439</v>
      </c>
      <c r="B3303" s="123" t="s">
        <v>5072</v>
      </c>
      <c r="C3303" s="256" t="s">
        <v>3198</v>
      </c>
      <c r="D3303" s="256" t="s">
        <v>3197</v>
      </c>
      <c r="E3303" s="339" t="str">
        <f t="shared" si="52"/>
        <v>TR071110 : 대리점수납액 대기후 결제</v>
      </c>
      <c r="K3303" s="65"/>
      <c r="L3303" s="65"/>
      <c r="M3303" s="65"/>
      <c r="N3303" s="65"/>
      <c r="O3303" s="65"/>
      <c r="P3303" s="65"/>
      <c r="Q3303" s="65"/>
      <c r="R3303" s="65"/>
      <c r="S3303" s="65"/>
    </row>
    <row r="3304" spans="1:19" s="64" customFormat="1">
      <c r="A3304" s="316" t="s">
        <v>439</v>
      </c>
      <c r="B3304" s="123" t="s">
        <v>5072</v>
      </c>
      <c r="C3304" s="256" t="s">
        <v>3196</v>
      </c>
      <c r="D3304" s="256" t="s">
        <v>3195</v>
      </c>
      <c r="E3304" s="339" t="str">
        <f t="shared" si="52"/>
        <v>TR071120 : 국고금수납액 통상결제</v>
      </c>
      <c r="K3304" s="65"/>
      <c r="L3304" s="65"/>
      <c r="M3304" s="65"/>
      <c r="N3304" s="65"/>
      <c r="O3304" s="65"/>
      <c r="P3304" s="65"/>
      <c r="Q3304" s="65"/>
      <c r="R3304" s="65"/>
      <c r="S3304" s="65"/>
    </row>
    <row r="3305" spans="1:19" s="64" customFormat="1">
      <c r="A3305" s="316" t="s">
        <v>439</v>
      </c>
      <c r="B3305" s="123" t="s">
        <v>5072</v>
      </c>
      <c r="C3305" s="256" t="s">
        <v>3194</v>
      </c>
      <c r="D3305" s="256" t="s">
        <v>3193</v>
      </c>
      <c r="E3305" s="339" t="str">
        <f t="shared" si="52"/>
        <v>TR071130 : 당좌예금결제-당일중간공급</v>
      </c>
      <c r="K3305" s="65"/>
      <c r="L3305" s="65"/>
      <c r="M3305" s="65"/>
      <c r="N3305" s="65"/>
      <c r="O3305" s="65"/>
      <c r="P3305" s="65"/>
      <c r="Q3305" s="65"/>
      <c r="R3305" s="65"/>
      <c r="S3305" s="65"/>
    </row>
    <row r="3306" spans="1:19" s="64" customFormat="1">
      <c r="A3306" s="316" t="s">
        <v>439</v>
      </c>
      <c r="B3306" s="123" t="s">
        <v>5072</v>
      </c>
      <c r="C3306" s="256" t="s">
        <v>3192</v>
      </c>
      <c r="D3306" s="256" t="s">
        <v>3191</v>
      </c>
      <c r="E3306" s="339" t="str">
        <f t="shared" si="52"/>
        <v>TR071140 : 불량대리점 자금조기회수</v>
      </c>
      <c r="K3306" s="65"/>
      <c r="L3306" s="65"/>
      <c r="M3306" s="65"/>
      <c r="N3306" s="65"/>
      <c r="O3306" s="65"/>
      <c r="P3306" s="65"/>
      <c r="Q3306" s="65"/>
      <c r="R3306" s="65"/>
      <c r="S3306" s="65"/>
    </row>
    <row r="3307" spans="1:19" s="64" customFormat="1">
      <c r="A3307" s="316" t="s">
        <v>439</v>
      </c>
      <c r="B3307" s="123" t="s">
        <v>5072</v>
      </c>
      <c r="C3307" s="256" t="s">
        <v>3190</v>
      </c>
      <c r="D3307" s="256" t="s">
        <v>3189</v>
      </c>
      <c r="E3307" s="339" t="str">
        <f t="shared" si="52"/>
        <v>TR071150 : 국고금수납액 조기결제</v>
      </c>
      <c r="K3307" s="65"/>
      <c r="L3307" s="65"/>
      <c r="M3307" s="65"/>
      <c r="N3307" s="65"/>
      <c r="O3307" s="65"/>
      <c r="P3307" s="65"/>
      <c r="Q3307" s="65"/>
      <c r="R3307" s="65"/>
      <c r="S3307" s="65"/>
    </row>
    <row r="3308" spans="1:19" s="64" customFormat="1">
      <c r="A3308" s="316" t="s">
        <v>439</v>
      </c>
      <c r="B3308" s="123" t="s">
        <v>5072</v>
      </c>
      <c r="C3308" s="256" t="s">
        <v>3188</v>
      </c>
      <c r="D3308" s="256" t="s">
        <v>3187</v>
      </c>
      <c r="E3308" s="339" t="str">
        <f t="shared" si="52"/>
        <v>TR071300 : 지급미필 이월금 세입편입</v>
      </c>
      <c r="K3308" s="65"/>
      <c r="L3308" s="65"/>
      <c r="M3308" s="65"/>
      <c r="N3308" s="65"/>
      <c r="O3308" s="65"/>
      <c r="P3308" s="65"/>
      <c r="Q3308" s="65"/>
      <c r="R3308" s="65"/>
      <c r="S3308" s="65"/>
    </row>
    <row r="3309" spans="1:19" s="64" customFormat="1">
      <c r="A3309" s="316" t="s">
        <v>439</v>
      </c>
      <c r="B3309" s="123" t="s">
        <v>5072</v>
      </c>
      <c r="C3309" s="256" t="s">
        <v>3186</v>
      </c>
      <c r="D3309" s="256" t="s">
        <v>3185</v>
      </c>
      <c r="E3309" s="339" t="str">
        <f t="shared" si="52"/>
        <v>TR072100 : 미결제 국고송금 세입편입</v>
      </c>
      <c r="K3309" s="65"/>
      <c r="L3309" s="65"/>
      <c r="M3309" s="65"/>
      <c r="N3309" s="65"/>
      <c r="O3309" s="65"/>
      <c r="P3309" s="65"/>
      <c r="Q3309" s="65"/>
      <c r="R3309" s="65"/>
      <c r="S3309" s="65"/>
    </row>
    <row r="3310" spans="1:19" s="64" customFormat="1">
      <c r="A3310" s="316" t="s">
        <v>439</v>
      </c>
      <c r="B3310" s="123" t="s">
        <v>5072</v>
      </c>
      <c r="C3310" s="256" t="s">
        <v>3184</v>
      </c>
      <c r="D3310" s="256" t="s">
        <v>3183</v>
      </c>
      <c r="E3310" s="339" t="str">
        <f t="shared" si="52"/>
        <v>TR072200 : 특별계정잔액년도이월</v>
      </c>
      <c r="K3310" s="65"/>
      <c r="L3310" s="65"/>
      <c r="M3310" s="65"/>
      <c r="N3310" s="65"/>
      <c r="O3310" s="65"/>
      <c r="P3310" s="65"/>
      <c r="Q3310" s="65"/>
      <c r="R3310" s="65"/>
      <c r="S3310" s="65"/>
    </row>
    <row r="3311" spans="1:19" s="64" customFormat="1">
      <c r="A3311" s="316" t="s">
        <v>439</v>
      </c>
      <c r="B3311" s="123" t="s">
        <v>5072</v>
      </c>
      <c r="C3311" s="256" t="s">
        <v>3182</v>
      </c>
      <c r="D3311" s="256" t="s">
        <v>3181</v>
      </c>
      <c r="E3311" s="339" t="str">
        <f t="shared" si="52"/>
        <v>TR072210 : 전년도 국고송금 잔액정리</v>
      </c>
      <c r="K3311" s="65"/>
      <c r="L3311" s="65"/>
      <c r="M3311" s="65"/>
      <c r="N3311" s="65"/>
      <c r="O3311" s="65"/>
      <c r="P3311" s="65"/>
      <c r="Q3311" s="65"/>
      <c r="R3311" s="65"/>
      <c r="S3311" s="65"/>
    </row>
    <row r="3312" spans="1:19" s="64" customFormat="1">
      <c r="A3312" s="316" t="s">
        <v>439</v>
      </c>
      <c r="B3312" s="123" t="s">
        <v>5072</v>
      </c>
      <c r="C3312" s="256" t="s">
        <v>3180</v>
      </c>
      <c r="D3312" s="256" t="s">
        <v>3179</v>
      </c>
      <c r="E3312" s="339" t="str">
        <f t="shared" si="52"/>
        <v>TR072300 : 국고송금계정잔액년도이월</v>
      </c>
      <c r="K3312" s="65"/>
      <c r="L3312" s="65"/>
      <c r="M3312" s="65"/>
      <c r="N3312" s="65"/>
      <c r="O3312" s="65"/>
      <c r="P3312" s="65"/>
      <c r="Q3312" s="65"/>
      <c r="R3312" s="65"/>
      <c r="S3312" s="65"/>
    </row>
    <row r="3313" spans="1:19" s="64" customFormat="1">
      <c r="A3313" s="316" t="s">
        <v>439</v>
      </c>
      <c r="B3313" s="123" t="s">
        <v>5072</v>
      </c>
      <c r="C3313" s="256" t="s">
        <v>3178</v>
      </c>
      <c r="D3313" s="256" t="s">
        <v>3177</v>
      </c>
      <c r="E3313" s="339" t="str">
        <f t="shared" si="52"/>
        <v>TR072400 : 세출/세관환급/과오납지급미필금이월</v>
      </c>
      <c r="K3313" s="65"/>
      <c r="L3313" s="65"/>
      <c r="M3313" s="65"/>
      <c r="N3313" s="65"/>
      <c r="O3313" s="65"/>
      <c r="P3313" s="65"/>
      <c r="Q3313" s="65"/>
      <c r="R3313" s="65"/>
      <c r="S3313" s="65"/>
    </row>
    <row r="3314" spans="1:19" s="64" customFormat="1">
      <c r="A3314" s="316" t="s">
        <v>439</v>
      </c>
      <c r="B3314" s="123" t="s">
        <v>5072</v>
      </c>
      <c r="C3314" s="256" t="s">
        <v>3176</v>
      </c>
      <c r="D3314" s="256" t="s">
        <v>3175</v>
      </c>
      <c r="E3314" s="339" t="str">
        <f t="shared" si="52"/>
        <v>TR072500 : 특별계정계좌별잔액년도이월</v>
      </c>
      <c r="K3314" s="65"/>
      <c r="L3314" s="65"/>
      <c r="M3314" s="65"/>
      <c r="N3314" s="65"/>
      <c r="O3314" s="65"/>
      <c r="P3314" s="65"/>
      <c r="Q3314" s="65"/>
      <c r="R3314" s="65"/>
      <c r="S3314" s="65"/>
    </row>
    <row r="3315" spans="1:19" s="64" customFormat="1">
      <c r="A3315" s="316" t="s">
        <v>439</v>
      </c>
      <c r="B3315" s="123" t="s">
        <v>5072</v>
      </c>
      <c r="C3315" s="256" t="s">
        <v>3174</v>
      </c>
      <c r="D3315" s="256" t="s">
        <v>3173</v>
      </c>
      <c r="E3315" s="339" t="str">
        <f t="shared" si="52"/>
        <v>TR080101 : 국세환급금이체요구분처리(오전)</v>
      </c>
      <c r="K3315" s="65"/>
      <c r="L3315" s="65"/>
      <c r="M3315" s="65"/>
      <c r="N3315" s="65"/>
      <c r="O3315" s="65"/>
      <c r="P3315" s="65"/>
      <c r="Q3315" s="65"/>
      <c r="R3315" s="65"/>
      <c r="S3315" s="65"/>
    </row>
    <row r="3316" spans="1:19" s="64" customFormat="1">
      <c r="A3316" s="316" t="s">
        <v>439</v>
      </c>
      <c r="B3316" s="123" t="s">
        <v>5072</v>
      </c>
      <c r="C3316" s="256" t="s">
        <v>3172</v>
      </c>
      <c r="D3316" s="256" t="s">
        <v>3171</v>
      </c>
      <c r="E3316" s="339" t="str">
        <f t="shared" si="52"/>
        <v>TR080102 : 국세환급불능,현금취소분처리(오전)</v>
      </c>
      <c r="K3316" s="65"/>
      <c r="L3316" s="65"/>
      <c r="M3316" s="65"/>
      <c r="N3316" s="65"/>
      <c r="O3316" s="65"/>
      <c r="P3316" s="65"/>
      <c r="Q3316" s="65"/>
      <c r="R3316" s="65"/>
      <c r="S3316" s="65"/>
    </row>
    <row r="3317" spans="1:19" s="64" customFormat="1">
      <c r="A3317" s="316" t="s">
        <v>439</v>
      </c>
      <c r="B3317" s="123" t="s">
        <v>5072</v>
      </c>
      <c r="C3317" s="256" t="s">
        <v>3170</v>
      </c>
      <c r="D3317" s="256" t="s">
        <v>3169</v>
      </c>
      <c r="E3317" s="339" t="str">
        <f t="shared" si="52"/>
        <v>TR080103 : 국세환급금통상분처리</v>
      </c>
      <c r="K3317" s="65"/>
      <c r="L3317" s="65"/>
      <c r="M3317" s="65"/>
      <c r="N3317" s="65"/>
      <c r="O3317" s="65"/>
      <c r="P3317" s="65"/>
      <c r="Q3317" s="65"/>
      <c r="R3317" s="65"/>
      <c r="S3317" s="65"/>
    </row>
    <row r="3318" spans="1:19" s="64" customFormat="1">
      <c r="A3318" s="316" t="s">
        <v>439</v>
      </c>
      <c r="B3318" s="123" t="s">
        <v>5072</v>
      </c>
      <c r="C3318" s="256" t="s">
        <v>3168</v>
      </c>
      <c r="D3318" s="256" t="s">
        <v>3167</v>
      </c>
      <c r="E3318" s="339" t="str">
        <f t="shared" si="52"/>
        <v>TR080104 : 조달기금이체요구분일괄처리(오전)</v>
      </c>
      <c r="K3318" s="65"/>
      <c r="L3318" s="65"/>
      <c r="M3318" s="65"/>
      <c r="N3318" s="65"/>
      <c r="O3318" s="65"/>
      <c r="P3318" s="65"/>
      <c r="Q3318" s="65"/>
      <c r="R3318" s="65"/>
      <c r="S3318" s="65"/>
    </row>
    <row r="3319" spans="1:19" s="64" customFormat="1">
      <c r="A3319" s="316" t="s">
        <v>439</v>
      </c>
      <c r="B3319" s="123" t="s">
        <v>5072</v>
      </c>
      <c r="C3319" s="256" t="s">
        <v>3166</v>
      </c>
      <c r="D3319" s="256" t="s">
        <v>3165</v>
      </c>
      <c r="E3319" s="339" t="str">
        <f t="shared" si="52"/>
        <v>TR080105 : 조달기금이체요구분일괄처리(오후)</v>
      </c>
      <c r="K3319" s="65"/>
      <c r="L3319" s="65"/>
      <c r="M3319" s="65"/>
      <c r="N3319" s="65"/>
      <c r="O3319" s="65"/>
      <c r="P3319" s="65"/>
      <c r="Q3319" s="65"/>
      <c r="R3319" s="65"/>
      <c r="S3319" s="65"/>
    </row>
    <row r="3320" spans="1:19" s="64" customFormat="1">
      <c r="A3320" s="316" t="s">
        <v>439</v>
      </c>
      <c r="B3320" s="123" t="s">
        <v>5072</v>
      </c>
      <c r="C3320" s="256" t="s">
        <v>3164</v>
      </c>
      <c r="D3320" s="256" t="s">
        <v>3163</v>
      </c>
      <c r="E3320" s="339" t="str">
        <f t="shared" si="52"/>
        <v>TR080106 : 조달기금불능분처리(오전)</v>
      </c>
      <c r="K3320" s="65"/>
      <c r="L3320" s="65"/>
      <c r="M3320" s="65"/>
      <c r="N3320" s="65"/>
      <c r="O3320" s="65"/>
      <c r="P3320" s="65"/>
      <c r="Q3320" s="65"/>
      <c r="R3320" s="65"/>
      <c r="S3320" s="65"/>
    </row>
    <row r="3321" spans="1:19" s="64" customFormat="1">
      <c r="A3321" s="316" t="s">
        <v>439</v>
      </c>
      <c r="B3321" s="123" t="s">
        <v>5072</v>
      </c>
      <c r="C3321" s="256" t="s">
        <v>3162</v>
      </c>
      <c r="D3321" s="256" t="s">
        <v>3161</v>
      </c>
      <c r="E3321" s="339" t="str">
        <f t="shared" si="52"/>
        <v>TR080107 : 조달기금불능분처리(오후)</v>
      </c>
      <c r="K3321" s="65"/>
      <c r="L3321" s="65"/>
      <c r="M3321" s="65"/>
      <c r="N3321" s="65"/>
      <c r="O3321" s="65"/>
      <c r="P3321" s="65"/>
      <c r="Q3321" s="65"/>
      <c r="R3321" s="65"/>
      <c r="S3321" s="65"/>
    </row>
    <row r="3322" spans="1:19" s="64" customFormat="1">
      <c r="A3322" s="316" t="s">
        <v>439</v>
      </c>
      <c r="B3322" s="123" t="s">
        <v>5072</v>
      </c>
      <c r="C3322" s="256" t="s">
        <v>3160</v>
      </c>
      <c r="D3322" s="256" t="s">
        <v>3159</v>
      </c>
      <c r="E3322" s="339" t="str">
        <f t="shared" si="52"/>
        <v>TR080108 : 조달기금반납처리</v>
      </c>
      <c r="K3322" s="65"/>
      <c r="L3322" s="65"/>
      <c r="M3322" s="65"/>
      <c r="N3322" s="65"/>
      <c r="O3322" s="65"/>
      <c r="P3322" s="65"/>
      <c r="Q3322" s="65"/>
      <c r="R3322" s="65"/>
      <c r="S3322" s="65"/>
    </row>
    <row r="3323" spans="1:19" s="64" customFormat="1">
      <c r="A3323" s="316" t="s">
        <v>439</v>
      </c>
      <c r="B3323" s="123" t="s">
        <v>5072</v>
      </c>
      <c r="C3323" s="256" t="s">
        <v>3158</v>
      </c>
      <c r="D3323" s="256" t="s">
        <v>3157</v>
      </c>
      <c r="E3323" s="339" t="str">
        <f t="shared" si="52"/>
        <v>TR080109 : 세입금오납정정일괄처리</v>
      </c>
      <c r="K3323" s="65"/>
      <c r="L3323" s="65"/>
      <c r="M3323" s="65"/>
      <c r="N3323" s="65"/>
      <c r="O3323" s="65"/>
      <c r="P3323" s="65"/>
      <c r="Q3323" s="65"/>
      <c r="R3323" s="65"/>
      <c r="S3323" s="65"/>
    </row>
    <row r="3324" spans="1:19" s="64" customFormat="1">
      <c r="A3324" s="316" t="s">
        <v>439</v>
      </c>
      <c r="B3324" s="123" t="s">
        <v>5072</v>
      </c>
      <c r="C3324" s="256" t="s">
        <v>3156</v>
      </c>
      <c r="D3324" s="256" t="s">
        <v>3155</v>
      </c>
      <c r="E3324" s="339" t="str">
        <f t="shared" si="52"/>
        <v>TR080110 : 실시간 국고금전자이체 건별거래</v>
      </c>
      <c r="K3324" s="65"/>
      <c r="L3324" s="65"/>
      <c r="M3324" s="65"/>
      <c r="N3324" s="65"/>
      <c r="O3324" s="65"/>
      <c r="P3324" s="65"/>
      <c r="Q3324" s="65"/>
      <c r="R3324" s="65"/>
      <c r="S3324" s="65"/>
    </row>
    <row r="3325" spans="1:19" s="64" customFormat="1">
      <c r="A3325" s="316" t="s">
        <v>439</v>
      </c>
      <c r="B3325" s="123" t="s">
        <v>5072</v>
      </c>
      <c r="C3325" s="256" t="s">
        <v>3154</v>
      </c>
      <c r="D3325" s="256" t="s">
        <v>3153</v>
      </c>
      <c r="E3325" s="339" t="str">
        <f t="shared" si="52"/>
        <v>TR080111 : 실시간 국고금전자이체 일괄거래</v>
      </c>
      <c r="K3325" s="65"/>
      <c r="L3325" s="65"/>
      <c r="M3325" s="65"/>
      <c r="N3325" s="65"/>
      <c r="O3325" s="65"/>
      <c r="P3325" s="65"/>
      <c r="Q3325" s="65"/>
      <c r="R3325" s="65"/>
      <c r="S3325" s="65"/>
    </row>
    <row r="3326" spans="1:19" s="64" customFormat="1">
      <c r="A3326" s="316" t="s">
        <v>439</v>
      </c>
      <c r="B3326" s="123" t="s">
        <v>5072</v>
      </c>
      <c r="C3326" s="256" t="s">
        <v>3152</v>
      </c>
      <c r="D3326" s="256" t="s">
        <v>3151</v>
      </c>
      <c r="E3326" s="339" t="str">
        <f t="shared" si="52"/>
        <v>TR080112 : 실시간국고금전자이체 통상분</v>
      </c>
      <c r="K3326" s="65"/>
      <c r="L3326" s="65"/>
      <c r="M3326" s="65"/>
      <c r="N3326" s="65"/>
      <c r="O3326" s="65"/>
      <c r="P3326" s="65"/>
      <c r="Q3326" s="65"/>
      <c r="R3326" s="65"/>
      <c r="S3326" s="65"/>
    </row>
    <row r="3327" spans="1:19" s="64" customFormat="1">
      <c r="A3327" s="316" t="s">
        <v>439</v>
      </c>
      <c r="B3327" s="123" t="s">
        <v>5072</v>
      </c>
      <c r="C3327" s="256" t="s">
        <v>3150</v>
      </c>
      <c r="D3327" s="256" t="s">
        <v>3149</v>
      </c>
      <c r="E3327" s="339" t="str">
        <f t="shared" si="52"/>
        <v>TR080113 : 과오납금반환금실시간전자이체</v>
      </c>
      <c r="K3327" s="65"/>
      <c r="L3327" s="65"/>
      <c r="M3327" s="65"/>
      <c r="N3327" s="65"/>
      <c r="O3327" s="65"/>
      <c r="P3327" s="65"/>
      <c r="Q3327" s="65"/>
      <c r="R3327" s="65"/>
      <c r="S3327" s="65"/>
    </row>
    <row r="3328" spans="1:19" s="64" customFormat="1">
      <c r="A3328" s="316" t="s">
        <v>439</v>
      </c>
      <c r="B3328" s="123" t="s">
        <v>5072</v>
      </c>
      <c r="C3328" s="256" t="s">
        <v>3148</v>
      </c>
      <c r="D3328" s="256" t="s">
        <v>3147</v>
      </c>
      <c r="E3328" s="339" t="str">
        <f t="shared" si="52"/>
        <v>TR080114 : 지출반납금 일괄처리</v>
      </c>
      <c r="K3328" s="65"/>
      <c r="L3328" s="65"/>
      <c r="M3328" s="65"/>
      <c r="N3328" s="65"/>
      <c r="O3328" s="65"/>
      <c r="P3328" s="65"/>
      <c r="Q3328" s="65"/>
      <c r="R3328" s="65"/>
      <c r="S3328" s="65"/>
    </row>
    <row r="3329" spans="1:19" s="64" customFormat="1">
      <c r="A3329" s="316" t="s">
        <v>439</v>
      </c>
      <c r="B3329" s="123" t="s">
        <v>5072</v>
      </c>
      <c r="C3329" s="256" t="s">
        <v>3146</v>
      </c>
      <c r="D3329" s="256" t="s">
        <v>3145</v>
      </c>
      <c r="E3329" s="339" t="str">
        <f t="shared" si="52"/>
        <v>TR080115 : 실시간이체반납거래(통상)</v>
      </c>
      <c r="K3329" s="65"/>
      <c r="L3329" s="65"/>
      <c r="M3329" s="65"/>
      <c r="N3329" s="65"/>
      <c r="O3329" s="65"/>
      <c r="P3329" s="65"/>
      <c r="Q3329" s="65"/>
      <c r="R3329" s="65"/>
      <c r="S3329" s="65"/>
    </row>
    <row r="3330" spans="1:19" s="64" customFormat="1">
      <c r="A3330" s="316" t="s">
        <v>439</v>
      </c>
      <c r="B3330" s="123" t="s">
        <v>5072</v>
      </c>
      <c r="C3330" s="256" t="s">
        <v>3144</v>
      </c>
      <c r="D3330" s="256" t="s">
        <v>3143</v>
      </c>
      <c r="E3330" s="339" t="str">
        <f t="shared" si="52"/>
        <v>TR080116 : 국고예금이자차기</v>
      </c>
      <c r="K3330" s="65"/>
      <c r="L3330" s="65"/>
      <c r="M3330" s="65"/>
      <c r="N3330" s="65"/>
      <c r="O3330" s="65"/>
      <c r="P3330" s="65"/>
      <c r="Q3330" s="65"/>
      <c r="R3330" s="65"/>
      <c r="S3330" s="65"/>
    </row>
    <row r="3331" spans="1:19" s="64" customFormat="1">
      <c r="A3331" s="316" t="s">
        <v>439</v>
      </c>
      <c r="B3331" s="123" t="s">
        <v>5072</v>
      </c>
      <c r="C3331" s="256" t="s">
        <v>3142</v>
      </c>
      <c r="D3331" s="256" t="s">
        <v>3141</v>
      </c>
      <c r="E3331" s="339" t="str">
        <f t="shared" si="52"/>
        <v>TR080117 : 지출반납금 정정</v>
      </c>
      <c r="K3331" s="65"/>
      <c r="L3331" s="65"/>
      <c r="M3331" s="65"/>
      <c r="N3331" s="65"/>
      <c r="O3331" s="65"/>
      <c r="P3331" s="65"/>
      <c r="Q3331" s="65"/>
      <c r="R3331" s="65"/>
      <c r="S3331" s="65"/>
    </row>
    <row r="3332" spans="1:19" s="64" customFormat="1">
      <c r="A3332" s="316" t="s">
        <v>439</v>
      </c>
      <c r="B3332" s="123" t="s">
        <v>5072</v>
      </c>
      <c r="C3332" s="256" t="s">
        <v>3140</v>
      </c>
      <c r="D3332" s="256" t="s">
        <v>3139</v>
      </c>
      <c r="E3332" s="339" t="str">
        <f t="shared" si="52"/>
        <v>TR080118 : 지출금 정정</v>
      </c>
      <c r="K3332" s="65"/>
      <c r="L3332" s="65"/>
      <c r="M3332" s="65"/>
      <c r="N3332" s="65"/>
      <c r="O3332" s="65"/>
      <c r="P3332" s="65"/>
      <c r="Q3332" s="65"/>
      <c r="R3332" s="65"/>
      <c r="S3332" s="65"/>
    </row>
    <row r="3333" spans="1:19" s="64" customFormat="1">
      <c r="A3333" s="316" t="s">
        <v>439</v>
      </c>
      <c r="B3333" s="123" t="s">
        <v>5072</v>
      </c>
      <c r="C3333" s="256" t="s">
        <v>3138</v>
      </c>
      <c r="D3333" s="256" t="s">
        <v>3137</v>
      </c>
      <c r="E3333" s="339" t="str">
        <f t="shared" si="52"/>
        <v>TR080119 : 실시간이체반납거래(우체국)</v>
      </c>
      <c r="K3333" s="65"/>
      <c r="L3333" s="65"/>
      <c r="M3333" s="65"/>
      <c r="N3333" s="65"/>
      <c r="O3333" s="65"/>
      <c r="P3333" s="65"/>
      <c r="Q3333" s="65"/>
      <c r="R3333" s="65"/>
      <c r="S3333" s="65"/>
    </row>
    <row r="3334" spans="1:19" s="64" customFormat="1">
      <c r="A3334" s="316" t="s">
        <v>439</v>
      </c>
      <c r="B3334" s="123" t="s">
        <v>5072</v>
      </c>
      <c r="C3334" s="256" t="s">
        <v>3136</v>
      </c>
      <c r="D3334" s="256" t="s">
        <v>3135</v>
      </c>
      <c r="E3334" s="339" t="str">
        <f t="shared" si="52"/>
        <v>TR080120 : 세입금오납정정일괄처리(회계처리)</v>
      </c>
      <c r="K3334" s="65"/>
      <c r="L3334" s="65"/>
      <c r="M3334" s="65"/>
      <c r="N3334" s="65"/>
      <c r="O3334" s="65"/>
      <c r="P3334" s="65"/>
      <c r="Q3334" s="65"/>
      <c r="R3334" s="65"/>
      <c r="S3334" s="65"/>
    </row>
    <row r="3335" spans="1:19" s="64" customFormat="1">
      <c r="A3335" s="316" t="s">
        <v>439</v>
      </c>
      <c r="B3335" s="123" t="s">
        <v>5072</v>
      </c>
      <c r="C3335" s="256" t="s">
        <v>3134</v>
      </c>
      <c r="D3335" s="256" t="s">
        <v>3133</v>
      </c>
      <c r="E3335" s="339" t="str">
        <f t="shared" si="52"/>
        <v>TR080121 : 실시간 수입대체 건별처리</v>
      </c>
      <c r="K3335" s="65"/>
      <c r="L3335" s="65"/>
      <c r="M3335" s="65"/>
      <c r="N3335" s="65"/>
      <c r="O3335" s="65"/>
      <c r="P3335" s="65"/>
      <c r="Q3335" s="65"/>
      <c r="R3335" s="65"/>
      <c r="S3335" s="65"/>
    </row>
    <row r="3336" spans="1:19" s="64" customFormat="1">
      <c r="A3336" s="316" t="s">
        <v>439</v>
      </c>
      <c r="B3336" s="123" t="s">
        <v>5072</v>
      </c>
      <c r="C3336" s="256" t="s">
        <v>3132</v>
      </c>
      <c r="D3336" s="256" t="s">
        <v>3131</v>
      </c>
      <c r="E3336" s="339" t="str">
        <f t="shared" si="52"/>
        <v>TR080122 : 실시간(서울시공과)지로납부</v>
      </c>
      <c r="K3336" s="65"/>
      <c r="L3336" s="65"/>
      <c r="M3336" s="65"/>
      <c r="N3336" s="65"/>
      <c r="O3336" s="65"/>
      <c r="P3336" s="65"/>
      <c r="Q3336" s="65"/>
      <c r="R3336" s="65"/>
      <c r="S3336" s="65"/>
    </row>
    <row r="3337" spans="1:19" s="64" customFormat="1">
      <c r="A3337" s="316" t="s">
        <v>439</v>
      </c>
      <c r="B3337" s="123" t="s">
        <v>5072</v>
      </c>
      <c r="C3337" s="256" t="s">
        <v>3130</v>
      </c>
      <c r="D3337" s="256" t="s">
        <v>3129</v>
      </c>
      <c r="E3337" s="339" t="str">
        <f t="shared" si="52"/>
        <v>TR080123 : 실시간(기타기관)지로납부</v>
      </c>
      <c r="K3337" s="65"/>
      <c r="L3337" s="65"/>
      <c r="M3337" s="65"/>
      <c r="N3337" s="65"/>
      <c r="O3337" s="65"/>
      <c r="P3337" s="65"/>
      <c r="Q3337" s="65"/>
      <c r="R3337" s="65"/>
      <c r="S3337" s="65"/>
    </row>
    <row r="3338" spans="1:19" s="64" customFormat="1">
      <c r="A3338" s="316" t="s">
        <v>439</v>
      </c>
      <c r="B3338" s="123" t="s">
        <v>5072</v>
      </c>
      <c r="C3338" s="256" t="s">
        <v>3128</v>
      </c>
      <c r="D3338" s="256" t="s">
        <v>3127</v>
      </c>
      <c r="E3338" s="339" t="str">
        <f t="shared" si="52"/>
        <v>TR080124 : 실시간지로납부일괄회계처리</v>
      </c>
      <c r="K3338" s="65"/>
      <c r="L3338" s="65"/>
      <c r="M3338" s="65"/>
      <c r="N3338" s="65"/>
      <c r="O3338" s="65"/>
      <c r="P3338" s="65"/>
      <c r="Q3338" s="65"/>
      <c r="R3338" s="65"/>
      <c r="S3338" s="65"/>
    </row>
    <row r="3339" spans="1:19" s="64" customFormat="1">
      <c r="A3339" s="316" t="s">
        <v>439</v>
      </c>
      <c r="B3339" s="123" t="s">
        <v>5072</v>
      </c>
      <c r="C3339" s="256" t="s">
        <v>3126</v>
      </c>
      <c r="D3339" s="256" t="s">
        <v>3125</v>
      </c>
      <c r="E3339" s="339" t="str">
        <f t="shared" si="52"/>
        <v>TR080125 : 실시간 자금계획통보</v>
      </c>
      <c r="K3339" s="65"/>
      <c r="L3339" s="65"/>
      <c r="M3339" s="65"/>
      <c r="N3339" s="65"/>
      <c r="O3339" s="65"/>
      <c r="P3339" s="65"/>
      <c r="Q3339" s="65"/>
      <c r="R3339" s="65"/>
      <c r="S3339" s="65"/>
    </row>
    <row r="3340" spans="1:19" s="64" customFormat="1">
      <c r="A3340" s="316" t="s">
        <v>439</v>
      </c>
      <c r="B3340" s="123" t="s">
        <v>5072</v>
      </c>
      <c r="C3340" s="256" t="s">
        <v>3124</v>
      </c>
      <c r="D3340" s="256" t="s">
        <v>3123</v>
      </c>
      <c r="E3340" s="339" t="str">
        <f t="shared" si="52"/>
        <v>TR080126 : 실시간 자금교부업무</v>
      </c>
      <c r="K3340" s="65"/>
      <c r="L3340" s="65"/>
      <c r="M3340" s="65"/>
      <c r="N3340" s="65"/>
      <c r="O3340" s="65"/>
      <c r="P3340" s="65"/>
      <c r="Q3340" s="65"/>
      <c r="R3340" s="65"/>
      <c r="S3340" s="65"/>
    </row>
    <row r="3341" spans="1:19" s="64" customFormat="1">
      <c r="A3341" s="316" t="s">
        <v>439</v>
      </c>
      <c r="B3341" s="123" t="s">
        <v>5072</v>
      </c>
      <c r="C3341" s="256" t="s">
        <v>3122</v>
      </c>
      <c r="D3341" s="256" t="s">
        <v>3121</v>
      </c>
      <c r="E3341" s="339" t="str">
        <f t="shared" si="52"/>
        <v>TR080127 : 실시간 세입금 청구정정</v>
      </c>
      <c r="K3341" s="65"/>
      <c r="L3341" s="65"/>
      <c r="M3341" s="65"/>
      <c r="N3341" s="65"/>
      <c r="O3341" s="65"/>
      <c r="P3341" s="65"/>
      <c r="Q3341" s="65"/>
      <c r="R3341" s="65"/>
      <c r="S3341" s="65"/>
    </row>
    <row r="3342" spans="1:19" s="64" customFormat="1">
      <c r="A3342" s="316" t="s">
        <v>439</v>
      </c>
      <c r="B3342" s="123" t="s">
        <v>5072</v>
      </c>
      <c r="C3342" s="256" t="s">
        <v>3120</v>
      </c>
      <c r="D3342" s="256" t="s">
        <v>3119</v>
      </c>
      <c r="E3342" s="339" t="str">
        <f t="shared" si="52"/>
        <v>TR080128 : 실시간 계정수입거래</v>
      </c>
      <c r="K3342" s="65"/>
      <c r="L3342" s="65"/>
      <c r="M3342" s="65"/>
      <c r="N3342" s="65"/>
      <c r="O3342" s="65"/>
      <c r="P3342" s="65"/>
      <c r="Q3342" s="65"/>
      <c r="R3342" s="65"/>
      <c r="S3342" s="65"/>
    </row>
    <row r="3343" spans="1:19" s="64" customFormat="1">
      <c r="A3343" s="316" t="s">
        <v>439</v>
      </c>
      <c r="B3343" s="123" t="s">
        <v>5072</v>
      </c>
      <c r="C3343" s="256" t="s">
        <v>3118</v>
      </c>
      <c r="D3343" s="256" t="s">
        <v>3117</v>
      </c>
      <c r="E3343" s="339" t="str">
        <f t="shared" si="52"/>
        <v>TR080129 : 실시간 우체국특수계좌수입거래</v>
      </c>
      <c r="K3343" s="65"/>
      <c r="L3343" s="65"/>
      <c r="M3343" s="65"/>
      <c r="N3343" s="65"/>
      <c r="O3343" s="65"/>
      <c r="P3343" s="65"/>
      <c r="Q3343" s="65"/>
      <c r="R3343" s="65"/>
      <c r="S3343" s="65"/>
    </row>
    <row r="3344" spans="1:19" s="64" customFormat="1">
      <c r="A3344" s="316" t="s">
        <v>439</v>
      </c>
      <c r="B3344" s="123" t="s">
        <v>5072</v>
      </c>
      <c r="C3344" s="256" t="s">
        <v>3116</v>
      </c>
      <c r="D3344" s="256" t="s">
        <v>3115</v>
      </c>
      <c r="E3344" s="339" t="str">
        <f t="shared" si="52"/>
        <v>TR080130 : 실시간 지출금정정(반납정정)</v>
      </c>
      <c r="K3344" s="65"/>
      <c r="L3344" s="65"/>
      <c r="M3344" s="65"/>
      <c r="N3344" s="65"/>
      <c r="O3344" s="65"/>
      <c r="P3344" s="65"/>
      <c r="Q3344" s="65"/>
      <c r="R3344" s="65"/>
      <c r="S3344" s="65"/>
    </row>
    <row r="3345" spans="1:19" s="64" customFormat="1">
      <c r="A3345" s="316" t="s">
        <v>439</v>
      </c>
      <c r="B3345" s="123" t="s">
        <v>5072</v>
      </c>
      <c r="C3345" s="256" t="s">
        <v>3114</v>
      </c>
      <c r="D3345" s="256" t="s">
        <v>3113</v>
      </c>
      <c r="E3345" s="339" t="str">
        <f t="shared" si="52"/>
        <v>TR080131 : 실시간 전자이체 대체수입</v>
      </c>
      <c r="K3345" s="65"/>
      <c r="L3345" s="65"/>
      <c r="M3345" s="65"/>
      <c r="N3345" s="65"/>
      <c r="O3345" s="65"/>
      <c r="P3345" s="65"/>
      <c r="Q3345" s="65"/>
      <c r="R3345" s="65"/>
      <c r="S3345" s="65"/>
    </row>
    <row r="3346" spans="1:19" s="64" customFormat="1">
      <c r="A3346" s="316" t="s">
        <v>439</v>
      </c>
      <c r="B3346" s="123" t="s">
        <v>5072</v>
      </c>
      <c r="C3346" s="256" t="s">
        <v>3112</v>
      </c>
      <c r="D3346" s="256" t="s">
        <v>3111</v>
      </c>
      <c r="E3346" s="339" t="str">
        <f t="shared" si="52"/>
        <v>TR080132 : 우체국 일괄처리분 회수</v>
      </c>
      <c r="K3346" s="65"/>
      <c r="L3346" s="65"/>
      <c r="M3346" s="65"/>
      <c r="N3346" s="65"/>
      <c r="O3346" s="65"/>
      <c r="P3346" s="65"/>
      <c r="Q3346" s="65"/>
      <c r="R3346" s="65"/>
      <c r="S3346" s="65"/>
    </row>
    <row r="3347" spans="1:19" s="64" customFormat="1">
      <c r="A3347" s="316" t="s">
        <v>439</v>
      </c>
      <c r="B3347" s="123" t="s">
        <v>5072</v>
      </c>
      <c r="C3347" s="256" t="s">
        <v>3110</v>
      </c>
      <c r="D3347" s="256" t="s">
        <v>3109</v>
      </c>
      <c r="E3347" s="339" t="str">
        <f t="shared" si="52"/>
        <v>TR080133 : 지출관지출 국고계정수입 통상</v>
      </c>
      <c r="K3347" s="65"/>
      <c r="L3347" s="65"/>
      <c r="M3347" s="65"/>
      <c r="N3347" s="65"/>
      <c r="O3347" s="65"/>
      <c r="P3347" s="65"/>
      <c r="Q3347" s="65"/>
      <c r="R3347" s="65"/>
      <c r="S3347" s="65"/>
    </row>
    <row r="3348" spans="1:19" s="64" customFormat="1">
      <c r="A3348" s="316" t="s">
        <v>439</v>
      </c>
      <c r="B3348" s="123" t="s">
        <v>5072</v>
      </c>
      <c r="C3348" s="256" t="s">
        <v>3108</v>
      </c>
      <c r="D3348" s="256" t="s">
        <v>3107</v>
      </c>
      <c r="E3348" s="339" t="str">
        <f t="shared" si="52"/>
        <v>TR080134 : 실시간 지출관앞 과오납금반환</v>
      </c>
      <c r="K3348" s="65"/>
      <c r="L3348" s="65"/>
      <c r="M3348" s="65"/>
      <c r="N3348" s="65"/>
      <c r="O3348" s="65"/>
      <c r="P3348" s="65"/>
      <c r="Q3348" s="65"/>
      <c r="R3348" s="65"/>
      <c r="S3348" s="65"/>
    </row>
    <row r="3349" spans="1:19" s="64" customFormat="1">
      <c r="A3349" s="316" t="s">
        <v>439</v>
      </c>
      <c r="B3349" s="123" t="s">
        <v>5072</v>
      </c>
      <c r="C3349" s="256" t="s">
        <v>3106</v>
      </c>
      <c r="D3349" s="256" t="s">
        <v>3105</v>
      </c>
      <c r="E3349" s="339" t="str">
        <f t="shared" si="52"/>
        <v>TR090000 : 국고계좌 통할점 변경 관련 거래</v>
      </c>
      <c r="K3349" s="65"/>
      <c r="L3349" s="65"/>
      <c r="M3349" s="65"/>
      <c r="N3349" s="65"/>
      <c r="O3349" s="65"/>
      <c r="P3349" s="65"/>
      <c r="Q3349" s="65"/>
      <c r="R3349" s="65"/>
      <c r="S3349" s="65"/>
    </row>
    <row r="3350" spans="1:19" s="221" customFormat="1">
      <c r="A3350" s="111" t="s">
        <v>327</v>
      </c>
      <c r="B3350" s="110" t="s">
        <v>4711</v>
      </c>
      <c r="C3350" s="256" t="s">
        <v>4713</v>
      </c>
      <c r="D3350" s="256" t="s">
        <v>4715</v>
      </c>
      <c r="E3350" s="339" t="str">
        <f t="shared" ref="E3350:E3409" si="53">_xlfn.TEXTJOIN(" : ",FALSE,C3350:D3350)</f>
        <v>1 : 신속</v>
      </c>
      <c r="F3350" s="285"/>
    </row>
    <row r="3351" spans="1:19" s="64" customFormat="1">
      <c r="A3351" s="111" t="s">
        <v>327</v>
      </c>
      <c r="B3351" s="110" t="s">
        <v>4711</v>
      </c>
      <c r="C3351" s="256" t="s">
        <v>4714</v>
      </c>
      <c r="D3351" s="332" t="s">
        <v>4716</v>
      </c>
      <c r="E3351" s="122" t="str">
        <f t="shared" si="53"/>
        <v>2 : 보통</v>
      </c>
    </row>
    <row r="3352" spans="1:19" s="64" customFormat="1">
      <c r="A3352" s="318" t="s">
        <v>4799</v>
      </c>
      <c r="B3352" s="320" t="s">
        <v>4817</v>
      </c>
      <c r="C3352" s="256" t="s">
        <v>4713</v>
      </c>
      <c r="D3352" s="333" t="s">
        <v>4818</v>
      </c>
      <c r="E3352" s="122" t="str">
        <f t="shared" si="53"/>
        <v>1 : 한은금융망 당좌예금계좌</v>
      </c>
    </row>
    <row r="3353" spans="1:19" s="64" customFormat="1">
      <c r="A3353" s="318" t="s">
        <v>217</v>
      </c>
      <c r="B3353" s="320" t="s">
        <v>4817</v>
      </c>
      <c r="C3353" s="256" t="s">
        <v>4714</v>
      </c>
      <c r="D3353" s="333" t="s">
        <v>4819</v>
      </c>
      <c r="E3353" s="122" t="str">
        <f t="shared" si="53"/>
        <v>2 : 금융결제국 당좌예금계좌</v>
      </c>
    </row>
    <row r="3354" spans="1:19" s="64" customFormat="1">
      <c r="A3354" s="318" t="s">
        <v>110</v>
      </c>
      <c r="B3354" s="320" t="s">
        <v>4820</v>
      </c>
      <c r="C3354" s="257" t="s">
        <v>4821</v>
      </c>
      <c r="D3354" s="333" t="s">
        <v>4822</v>
      </c>
      <c r="E3354" s="122" t="str">
        <f t="shared" si="53"/>
        <v>11 : 지정시점예약자금이체</v>
      </c>
    </row>
    <row r="3355" spans="1:19" s="64" customFormat="1">
      <c r="A3355" s="318" t="s">
        <v>110</v>
      </c>
      <c r="B3355" s="320" t="s">
        <v>4820</v>
      </c>
      <c r="C3355" s="257" t="s">
        <v>4823</v>
      </c>
      <c r="D3355" s="333" t="s">
        <v>4824</v>
      </c>
      <c r="E3355" s="122" t="str">
        <f t="shared" si="53"/>
        <v>21 : 일반자금이체</v>
      </c>
    </row>
    <row r="3356" spans="1:19" s="64" customFormat="1">
      <c r="A3356" s="318" t="s">
        <v>110</v>
      </c>
      <c r="B3356" s="320" t="s">
        <v>4820</v>
      </c>
      <c r="C3356" s="257" t="s">
        <v>4825</v>
      </c>
      <c r="D3356" s="333" t="s">
        <v>4826</v>
      </c>
      <c r="E3356" s="122" t="str">
        <f t="shared" si="53"/>
        <v>22 : 수취인지정자금이체</v>
      </c>
    </row>
    <row r="3357" spans="1:19" s="64" customFormat="1">
      <c r="A3357" s="318" t="s">
        <v>110</v>
      </c>
      <c r="B3357" s="320" t="s">
        <v>4820</v>
      </c>
      <c r="C3357" s="257" t="s">
        <v>4827</v>
      </c>
      <c r="D3357" s="333" t="s">
        <v>4828</v>
      </c>
      <c r="E3357" s="122" t="str">
        <f t="shared" si="53"/>
        <v>23 : 콜공급-직거래</v>
      </c>
    </row>
    <row r="3358" spans="1:19" s="64" customFormat="1">
      <c r="A3358" s="318" t="s">
        <v>110</v>
      </c>
      <c r="B3358" s="123" t="s">
        <v>4820</v>
      </c>
      <c r="C3358" s="257" t="s">
        <v>4829</v>
      </c>
      <c r="D3358" s="333" t="s">
        <v>4830</v>
      </c>
      <c r="E3358" s="122" t="str">
        <f t="shared" si="53"/>
        <v>24 : 콜공급-중개거래</v>
      </c>
    </row>
    <row r="3359" spans="1:19" s="64" customFormat="1">
      <c r="A3359" s="318" t="s">
        <v>110</v>
      </c>
      <c r="B3359" s="123" t="s">
        <v>4820</v>
      </c>
      <c r="C3359" s="257" t="s">
        <v>4831</v>
      </c>
      <c r="D3359" s="333" t="s">
        <v>4422</v>
      </c>
      <c r="E3359" s="122" t="str">
        <f t="shared" si="53"/>
        <v>25 : 콜상환</v>
      </c>
    </row>
    <row r="3360" spans="1:19" s="64" customFormat="1">
      <c r="A3360" s="318" t="s">
        <v>337</v>
      </c>
      <c r="B3360" s="312" t="s">
        <v>4832</v>
      </c>
      <c r="C3360" s="257" t="s">
        <v>4833</v>
      </c>
      <c r="D3360" s="333" t="s">
        <v>4834</v>
      </c>
      <c r="E3360" s="122" t="str">
        <f t="shared" si="53"/>
        <v>01 : DVP결제</v>
      </c>
    </row>
    <row r="3361" spans="1:5" s="64" customFormat="1">
      <c r="A3361" s="318" t="s">
        <v>337</v>
      </c>
      <c r="B3361" s="312" t="s">
        <v>4832</v>
      </c>
      <c r="C3361" s="257" t="s">
        <v>4835</v>
      </c>
      <c r="D3361" s="333" t="s">
        <v>4836</v>
      </c>
      <c r="E3361" s="122" t="str">
        <f t="shared" si="53"/>
        <v>02 : DVP결제제외(FOS)</v>
      </c>
    </row>
    <row r="3362" spans="1:5" s="64" customFormat="1">
      <c r="A3362" s="321" t="s">
        <v>5283</v>
      </c>
      <c r="B3362" s="320" t="s">
        <v>4837</v>
      </c>
      <c r="C3362" s="256" t="s">
        <v>4713</v>
      </c>
      <c r="D3362" s="328" t="s">
        <v>4838</v>
      </c>
      <c r="E3362" s="122" t="str">
        <f t="shared" si="53"/>
        <v>1 : PAY-IN</v>
      </c>
    </row>
    <row r="3363" spans="1:5" s="64" customFormat="1">
      <c r="A3363" s="321" t="s">
        <v>5283</v>
      </c>
      <c r="B3363" s="320" t="s">
        <v>4837</v>
      </c>
      <c r="C3363" s="256" t="s">
        <v>4714</v>
      </c>
      <c r="D3363" s="328" t="s">
        <v>4839</v>
      </c>
      <c r="E3363" s="122" t="str">
        <f t="shared" si="53"/>
        <v>2 : 유동성공급</v>
      </c>
    </row>
    <row r="3364" spans="1:5" s="64" customFormat="1">
      <c r="A3364" s="321" t="s">
        <v>5283</v>
      </c>
      <c r="B3364" s="320" t="s">
        <v>4837</v>
      </c>
      <c r="C3364" s="256" t="s">
        <v>4722</v>
      </c>
      <c r="D3364" s="328" t="s">
        <v>4840</v>
      </c>
      <c r="E3364" s="122" t="str">
        <f t="shared" si="53"/>
        <v>3 : BULKING</v>
      </c>
    </row>
    <row r="3365" spans="1:5" s="64" customFormat="1">
      <c r="A3365" s="111" t="s">
        <v>328</v>
      </c>
      <c r="B3365" s="110" t="s">
        <v>4718</v>
      </c>
      <c r="C3365" s="256" t="s">
        <v>4713</v>
      </c>
      <c r="D3365" s="256" t="s">
        <v>4719</v>
      </c>
      <c r="E3365" s="122" t="str">
        <f t="shared" si="53"/>
        <v>1 : 즉시</v>
      </c>
    </row>
    <row r="3366" spans="1:5" s="64" customFormat="1">
      <c r="A3366" s="111" t="s">
        <v>328</v>
      </c>
      <c r="B3366" s="110" t="s">
        <v>4718</v>
      </c>
      <c r="C3366" s="256" t="s">
        <v>4714</v>
      </c>
      <c r="D3366" s="256" t="s">
        <v>4720</v>
      </c>
      <c r="E3366" s="122" t="str">
        <f t="shared" si="53"/>
        <v>2 : 예약</v>
      </c>
    </row>
    <row r="3367" spans="1:5" s="64" customFormat="1">
      <c r="A3367" s="111" t="s">
        <v>339</v>
      </c>
      <c r="B3367" s="110" t="s">
        <v>4721</v>
      </c>
      <c r="C3367" s="256" t="s">
        <v>4713</v>
      </c>
      <c r="D3367" s="332" t="s">
        <v>4720</v>
      </c>
      <c r="E3367" s="122" t="str">
        <f t="shared" si="53"/>
        <v>1 : 예약</v>
      </c>
    </row>
    <row r="3368" spans="1:5" s="64" customFormat="1">
      <c r="A3368" s="111" t="s">
        <v>339</v>
      </c>
      <c r="B3368" s="110" t="s">
        <v>4721</v>
      </c>
      <c r="C3368" s="256" t="s">
        <v>4714</v>
      </c>
      <c r="D3368" s="332" t="s">
        <v>4726</v>
      </c>
      <c r="E3368" s="122" t="str">
        <f t="shared" si="53"/>
        <v>2 : 대기</v>
      </c>
    </row>
    <row r="3369" spans="1:5" s="64" customFormat="1">
      <c r="A3369" s="111" t="s">
        <v>339</v>
      </c>
      <c r="B3369" s="110" t="s">
        <v>4721</v>
      </c>
      <c r="C3369" s="256" t="s">
        <v>4722</v>
      </c>
      <c r="D3369" s="332" t="s">
        <v>4727</v>
      </c>
      <c r="E3369" s="122" t="str">
        <f t="shared" si="53"/>
        <v>3 : 결제</v>
      </c>
    </row>
    <row r="3370" spans="1:5" s="64" customFormat="1">
      <c r="A3370" s="111" t="s">
        <v>339</v>
      </c>
      <c r="B3370" s="110" t="s">
        <v>4721</v>
      </c>
      <c r="C3370" s="256" t="s">
        <v>4723</v>
      </c>
      <c r="D3370" s="332" t="s">
        <v>4728</v>
      </c>
      <c r="E3370" s="122" t="str">
        <f t="shared" si="53"/>
        <v>4 : 취소</v>
      </c>
    </row>
    <row r="3371" spans="1:5" s="64" customFormat="1">
      <c r="A3371" s="111" t="s">
        <v>339</v>
      </c>
      <c r="B3371" s="110" t="s">
        <v>4721</v>
      </c>
      <c r="C3371" s="256" t="s">
        <v>4724</v>
      </c>
      <c r="D3371" s="332" t="s">
        <v>4729</v>
      </c>
      <c r="E3371" s="122" t="str">
        <f t="shared" si="53"/>
        <v>5 : 예약취소</v>
      </c>
    </row>
    <row r="3372" spans="1:5" s="64" customFormat="1">
      <c r="A3372" s="111" t="s">
        <v>339</v>
      </c>
      <c r="B3372" s="110" t="s">
        <v>4721</v>
      </c>
      <c r="C3372" s="256" t="s">
        <v>4725</v>
      </c>
      <c r="D3372" s="332" t="s">
        <v>4730</v>
      </c>
      <c r="E3372" s="122" t="str">
        <f t="shared" si="53"/>
        <v>6 : 실행오류</v>
      </c>
    </row>
    <row r="3373" spans="1:5" s="64" customFormat="1">
      <c r="A3373" s="321" t="s">
        <v>5281</v>
      </c>
      <c r="B3373" s="123" t="s">
        <v>4739</v>
      </c>
      <c r="C3373" s="256" t="s">
        <v>4713</v>
      </c>
      <c r="D3373" s="328" t="s">
        <v>4726</v>
      </c>
      <c r="E3373" s="122" t="str">
        <f>_xlfn.TEXTJOIN(" : ",FALSE,C3373:D3373)</f>
        <v>1 : 대기</v>
      </c>
    </row>
    <row r="3374" spans="1:5" s="64" customFormat="1">
      <c r="A3374" s="321" t="s">
        <v>5281</v>
      </c>
      <c r="B3374" s="123" t="s">
        <v>4739</v>
      </c>
      <c r="C3374" s="256" t="s">
        <v>4714</v>
      </c>
      <c r="D3374" s="328" t="s">
        <v>4860</v>
      </c>
      <c r="E3374" s="122" t="str">
        <f>_xlfn.TEXTJOIN(" : ",FALSE,C3374:D3374)</f>
        <v>2 : 결제</v>
      </c>
    </row>
    <row r="3375" spans="1:5" s="64" customFormat="1">
      <c r="A3375" s="111" t="s">
        <v>54</v>
      </c>
      <c r="B3375" s="110" t="s">
        <v>4731</v>
      </c>
      <c r="C3375" s="256" t="s">
        <v>4713</v>
      </c>
      <c r="D3375" s="332" t="s">
        <v>4733</v>
      </c>
      <c r="E3375" s="122" t="str">
        <f t="shared" si="53"/>
        <v>1 : 총액결제</v>
      </c>
    </row>
    <row r="3376" spans="1:5" s="64" customFormat="1">
      <c r="A3376" s="111" t="s">
        <v>54</v>
      </c>
      <c r="B3376" s="110" t="s">
        <v>4731</v>
      </c>
      <c r="C3376" s="256" t="s">
        <v>4714</v>
      </c>
      <c r="D3376" s="332" t="s">
        <v>4734</v>
      </c>
      <c r="E3376" s="122" t="str">
        <f t="shared" si="53"/>
        <v>2 : 양자간 동시처리</v>
      </c>
    </row>
    <row r="3377" spans="1:5" s="64" customFormat="1">
      <c r="A3377" s="111" t="s">
        <v>54</v>
      </c>
      <c r="B3377" s="110" t="s">
        <v>4731</v>
      </c>
      <c r="C3377" s="256" t="s">
        <v>4722</v>
      </c>
      <c r="D3377" s="332" t="s">
        <v>4735</v>
      </c>
      <c r="E3377" s="122" t="str">
        <f t="shared" si="53"/>
        <v>3 : 다자간 동시처리</v>
      </c>
    </row>
    <row r="3378" spans="1:5" s="64" customFormat="1">
      <c r="A3378" s="111" t="s">
        <v>54</v>
      </c>
      <c r="B3378" s="110" t="s">
        <v>4731</v>
      </c>
      <c r="C3378" s="256" t="s">
        <v>4723</v>
      </c>
      <c r="D3378" s="332" t="s">
        <v>4736</v>
      </c>
      <c r="E3378" s="122" t="str">
        <f>_xlfn.TEXTJOIN(" : ",FALSE,C3378:D3378)</f>
        <v>4 : 콜연결상환</v>
      </c>
    </row>
    <row r="3379" spans="1:5" s="64" customFormat="1">
      <c r="A3379" s="318" t="s">
        <v>5009</v>
      </c>
      <c r="B3379" s="123" t="s">
        <v>4739</v>
      </c>
      <c r="C3379" s="256" t="s">
        <v>4712</v>
      </c>
      <c r="D3379" s="332" t="s">
        <v>4732</v>
      </c>
      <c r="E3379" s="122" t="str">
        <f t="shared" ref="E3379:E3380" si="54">_xlfn.TEXTJOIN(" : ",FALSE,C3379:D3379)</f>
        <v>0 : 해당사항없음</v>
      </c>
    </row>
    <row r="3380" spans="1:5" s="64" customFormat="1">
      <c r="A3380" s="318" t="s">
        <v>5009</v>
      </c>
      <c r="B3380" s="123" t="s">
        <v>4739</v>
      </c>
      <c r="C3380" s="256" t="s">
        <v>4713</v>
      </c>
      <c r="D3380" s="328" t="s">
        <v>4727</v>
      </c>
      <c r="E3380" s="122" t="str">
        <f t="shared" si="54"/>
        <v>1 : 결제</v>
      </c>
    </row>
    <row r="3381" spans="1:5" s="64" customFormat="1">
      <c r="A3381" s="110" t="s">
        <v>4809</v>
      </c>
      <c r="B3381" s="110" t="s">
        <v>4739</v>
      </c>
      <c r="C3381" s="256" t="s">
        <v>4713</v>
      </c>
      <c r="D3381" s="256" t="s">
        <v>4810</v>
      </c>
      <c r="E3381" s="122" t="str">
        <f t="shared" si="53"/>
        <v>1 : 지급지시유형조정</v>
      </c>
    </row>
    <row r="3382" spans="1:5" s="64" customFormat="1">
      <c r="A3382" s="111" t="s">
        <v>4809</v>
      </c>
      <c r="B3382" s="110" t="s">
        <v>4739</v>
      </c>
      <c r="C3382" s="256" t="s">
        <v>4714</v>
      </c>
      <c r="D3382" s="334" t="s">
        <v>4811</v>
      </c>
      <c r="E3382" s="122" t="str">
        <f t="shared" si="53"/>
        <v>2 : 대기순위조정</v>
      </c>
    </row>
    <row r="3383" spans="1:5" s="64" customFormat="1">
      <c r="A3383" s="111" t="s">
        <v>5298</v>
      </c>
      <c r="B3383" s="110" t="s">
        <v>4739</v>
      </c>
      <c r="C3383" s="256" t="s">
        <v>4740</v>
      </c>
      <c r="D3383" s="332" t="s">
        <v>4745</v>
      </c>
      <c r="E3383" s="122" t="str">
        <f t="shared" si="53"/>
        <v>01 : (지급준비금 예치의무가 없는 참가기관만 해당) 한은금융망 마감으로 대기거래가 취소되어 남아있는 당좌잔액을 거래은행앞 이체</v>
      </c>
    </row>
    <row r="3384" spans="1:5" s="64" customFormat="1">
      <c r="A3384" s="111" t="s">
        <v>5297</v>
      </c>
      <c r="B3384" s="110" t="s">
        <v>4739</v>
      </c>
      <c r="C3384" s="256" t="s">
        <v>4741</v>
      </c>
      <c r="D3384" s="332" t="s">
        <v>4746</v>
      </c>
      <c r="E3384" s="122" t="str">
        <f t="shared" si="53"/>
        <v>02 : (지급준비금 예치의무가 없는 참가기관만 해당) 한은금융망 마감직전 수취하여 남아 있는 당좌잔액을 거래은행앞 이체</v>
      </c>
    </row>
    <row r="3385" spans="1:5" s="64" customFormat="1">
      <c r="A3385" s="111" t="s">
        <v>5297</v>
      </c>
      <c r="B3385" s="110" t="s">
        <v>4739</v>
      </c>
      <c r="C3385" s="256" t="s">
        <v>4742</v>
      </c>
      <c r="D3385" s="332" t="s">
        <v>4747</v>
      </c>
      <c r="E3385" s="122" t="str">
        <f t="shared" si="53"/>
        <v>03 : 착오이체자금 반환이체</v>
      </c>
    </row>
    <row r="3386" spans="1:5" s="64" customFormat="1">
      <c r="A3386" s="111" t="s">
        <v>5297</v>
      </c>
      <c r="B3386" s="110" t="s">
        <v>4739</v>
      </c>
      <c r="C3386" s="256" t="s">
        <v>4743</v>
      </c>
      <c r="D3386" s="332" t="s">
        <v>4748</v>
      </c>
      <c r="E3386" s="122" t="str">
        <f t="shared" si="53"/>
        <v>04 : 지준마감 당일 직전일의 지급준비금 부족기관앞 자금이체</v>
      </c>
    </row>
    <row r="3387" spans="1:5" s="64" customFormat="1">
      <c r="A3387" s="111" t="s">
        <v>5297</v>
      </c>
      <c r="B3387" s="110" t="s">
        <v>4739</v>
      </c>
      <c r="C3387" s="256" t="s">
        <v>4744</v>
      </c>
      <c r="D3387" s="332" t="s">
        <v>4749</v>
      </c>
      <c r="E3387" s="122" t="str">
        <f t="shared" si="53"/>
        <v>05 : 기타(사전에 한국은행과 협의가 완료된 경우에 한함)</v>
      </c>
    </row>
    <row r="3388" spans="1:5" s="64" customFormat="1">
      <c r="A3388" s="111" t="s">
        <v>5305</v>
      </c>
      <c r="B3388" s="110" t="s">
        <v>4750</v>
      </c>
      <c r="C3388" s="256" t="s">
        <v>4713</v>
      </c>
      <c r="D3388" s="332" t="s">
        <v>4754</v>
      </c>
      <c r="E3388" s="122" t="str">
        <f t="shared" si="53"/>
        <v>1 : 승인(결제)</v>
      </c>
    </row>
    <row r="3389" spans="1:5" s="64" customFormat="1">
      <c r="A3389" s="111" t="s">
        <v>5305</v>
      </c>
      <c r="B3389" s="110" t="s">
        <v>4750</v>
      </c>
      <c r="C3389" s="256" t="s">
        <v>4714</v>
      </c>
      <c r="D3389" s="332" t="s">
        <v>4755</v>
      </c>
      <c r="E3389" s="122" t="str">
        <f t="shared" si="53"/>
        <v>2 : 승인(오류)</v>
      </c>
    </row>
    <row r="3390" spans="1:5" s="64" customFormat="1">
      <c r="A3390" s="111" t="s">
        <v>5305</v>
      </c>
      <c r="B3390" s="110" t="s">
        <v>4750</v>
      </c>
      <c r="C3390" s="256" t="s">
        <v>4753</v>
      </c>
      <c r="D3390" s="332" t="s">
        <v>4756</v>
      </c>
      <c r="E3390" s="122" t="str">
        <f t="shared" si="53"/>
        <v>9 : 반려</v>
      </c>
    </row>
    <row r="3391" spans="1:5" s="64" customFormat="1" ht="13.5" customHeight="1">
      <c r="A3391" s="111" t="s">
        <v>5308</v>
      </c>
      <c r="B3391" s="110" t="s">
        <v>4757</v>
      </c>
      <c r="C3391" s="256" t="s">
        <v>4758</v>
      </c>
      <c r="D3391" s="328" t="s">
        <v>4759</v>
      </c>
      <c r="E3391" s="122" t="str">
        <f t="shared" si="53"/>
        <v>00 : 해당없음</v>
      </c>
    </row>
    <row r="3392" spans="1:5" s="64" customFormat="1">
      <c r="A3392" s="111" t="s">
        <v>5308</v>
      </c>
      <c r="B3392" s="110" t="s">
        <v>4757</v>
      </c>
      <c r="C3392" s="256" t="s">
        <v>4740</v>
      </c>
      <c r="D3392" s="328" t="s">
        <v>4760</v>
      </c>
      <c r="E3392" s="122" t="str">
        <f t="shared" si="53"/>
        <v>01 : 신청사유와 일치하지 않음</v>
      </c>
    </row>
    <row r="3393" spans="1:5" s="64" customFormat="1">
      <c r="A3393" s="111" t="s">
        <v>5308</v>
      </c>
      <c r="B3393" s="110" t="s">
        <v>4757</v>
      </c>
      <c r="C3393" s="256" t="s">
        <v>4741</v>
      </c>
      <c r="D3393" s="328" t="s">
        <v>4761</v>
      </c>
      <c r="E3393" s="122" t="str">
        <f t="shared" si="53"/>
        <v>02 : 입력내용에 대해 한국은행과 유선상 확인절차를 거치지 않음</v>
      </c>
    </row>
    <row r="3394" spans="1:5" s="64" customFormat="1">
      <c r="A3394" s="111" t="s">
        <v>5308</v>
      </c>
      <c r="B3394" s="110" t="s">
        <v>4757</v>
      </c>
      <c r="C3394" s="256" t="s">
        <v>4742</v>
      </c>
      <c r="D3394" s="328" t="s">
        <v>4762</v>
      </c>
      <c r="E3394" s="122" t="str">
        <f t="shared" si="53"/>
        <v>03 : 기타</v>
      </c>
    </row>
    <row r="3395" spans="1:5" s="64" customFormat="1">
      <c r="A3395" s="111" t="s">
        <v>332</v>
      </c>
      <c r="B3395" s="110" t="s">
        <v>4764</v>
      </c>
      <c r="C3395" s="256" t="s">
        <v>4712</v>
      </c>
      <c r="D3395" s="332" t="s">
        <v>4766</v>
      </c>
      <c r="E3395" s="122" t="str">
        <f t="shared" si="53"/>
        <v>0 : 비수수료거래</v>
      </c>
    </row>
    <row r="3396" spans="1:5" s="64" customFormat="1">
      <c r="A3396" s="111" t="s">
        <v>332</v>
      </c>
      <c r="B3396" s="110" t="s">
        <v>4764</v>
      </c>
      <c r="C3396" s="256" t="s">
        <v>4713</v>
      </c>
      <c r="D3396" s="332" t="s">
        <v>4767</v>
      </c>
      <c r="E3396" s="122" t="str">
        <f t="shared" si="53"/>
        <v>1 : 수수료거래</v>
      </c>
    </row>
    <row r="3397" spans="1:5" s="64" customFormat="1">
      <c r="A3397" s="318" t="s">
        <v>4841</v>
      </c>
      <c r="B3397" s="123" t="s">
        <v>4739</v>
      </c>
      <c r="C3397" s="256" t="s">
        <v>4740</v>
      </c>
      <c r="D3397" s="328" t="s">
        <v>4842</v>
      </c>
      <c r="E3397" s="122" t="str">
        <f t="shared" si="53"/>
        <v>01 : 요구완료</v>
      </c>
    </row>
    <row r="3398" spans="1:5" s="64" customFormat="1">
      <c r="A3398" s="318" t="s">
        <v>4841</v>
      </c>
      <c r="B3398" s="123" t="s">
        <v>4739</v>
      </c>
      <c r="C3398" s="256" t="s">
        <v>4741</v>
      </c>
      <c r="D3398" s="328" t="s">
        <v>4843</v>
      </c>
      <c r="E3398" s="122" t="str">
        <f t="shared" si="53"/>
        <v>02 : 요구응답완료</v>
      </c>
    </row>
    <row r="3399" spans="1:5" s="64" customFormat="1">
      <c r="A3399" s="318" t="s">
        <v>4841</v>
      </c>
      <c r="B3399" s="123" t="s">
        <v>4739</v>
      </c>
      <c r="C3399" s="256" t="s">
        <v>4742</v>
      </c>
      <c r="D3399" s="328" t="s">
        <v>4844</v>
      </c>
      <c r="E3399" s="122" t="str">
        <f t="shared" si="53"/>
        <v>03 : 통보완료</v>
      </c>
    </row>
    <row r="3400" spans="1:5" s="64" customFormat="1">
      <c r="A3400" s="318" t="s">
        <v>4841</v>
      </c>
      <c r="B3400" s="123" t="s">
        <v>4739</v>
      </c>
      <c r="C3400" s="256" t="s">
        <v>4743</v>
      </c>
      <c r="D3400" s="328" t="s">
        <v>4845</v>
      </c>
      <c r="E3400" s="122" t="str">
        <f t="shared" si="53"/>
        <v>04 : 통보응답완료</v>
      </c>
    </row>
    <row r="3401" spans="1:5" s="64" customFormat="1">
      <c r="A3401" s="318" t="s">
        <v>4841</v>
      </c>
      <c r="B3401" s="123" t="s">
        <v>4739</v>
      </c>
      <c r="C3401" s="256" t="s">
        <v>4846</v>
      </c>
      <c r="D3401" s="328" t="s">
        <v>4847</v>
      </c>
      <c r="E3401" s="122" t="str">
        <f t="shared" si="53"/>
        <v>99 : 미확인</v>
      </c>
    </row>
    <row r="3402" spans="1:5" s="64" customFormat="1">
      <c r="A3402" s="318" t="s">
        <v>273</v>
      </c>
      <c r="B3402" s="123" t="s">
        <v>4848</v>
      </c>
      <c r="C3402" s="256" t="s">
        <v>4713</v>
      </c>
      <c r="D3402" s="328" t="s">
        <v>4849</v>
      </c>
      <c r="E3402" s="122" t="str">
        <f t="shared" si="53"/>
        <v>1 : 집계</v>
      </c>
    </row>
    <row r="3403" spans="1:5" s="64" customFormat="1">
      <c r="A3403" s="318" t="s">
        <v>273</v>
      </c>
      <c r="B3403" s="123" t="s">
        <v>4848</v>
      </c>
      <c r="C3403" s="256" t="s">
        <v>4714</v>
      </c>
      <c r="D3403" s="328" t="s">
        <v>4850</v>
      </c>
      <c r="E3403" s="122" t="str">
        <f t="shared" si="53"/>
        <v>2 : 집계취소</v>
      </c>
    </row>
    <row r="3404" spans="1:5" s="64" customFormat="1">
      <c r="A3404" s="318" t="s">
        <v>4851</v>
      </c>
      <c r="B3404" s="123" t="s">
        <v>4852</v>
      </c>
      <c r="C3404" s="256" t="s">
        <v>4713</v>
      </c>
      <c r="D3404" s="328" t="s">
        <v>4853</v>
      </c>
      <c r="E3404" s="122" t="str">
        <f t="shared" si="53"/>
        <v>1 : 한국은행작성</v>
      </c>
    </row>
    <row r="3405" spans="1:5" s="64" customFormat="1">
      <c r="A3405" s="318" t="s">
        <v>4851</v>
      </c>
      <c r="B3405" s="123" t="s">
        <v>4852</v>
      </c>
      <c r="C3405" s="256" t="s">
        <v>4714</v>
      </c>
      <c r="D3405" s="328" t="s">
        <v>4854</v>
      </c>
      <c r="E3405" s="122" t="str">
        <f t="shared" si="53"/>
        <v>2 : 참가기관작성</v>
      </c>
    </row>
    <row r="3406" spans="1:5" s="64" customFormat="1">
      <c r="A3406" s="318" t="s">
        <v>4855</v>
      </c>
      <c r="B3406" s="123" t="s">
        <v>4739</v>
      </c>
      <c r="C3406" s="256" t="s">
        <v>4713</v>
      </c>
      <c r="D3406" s="328" t="s">
        <v>4856</v>
      </c>
      <c r="E3406" s="122" t="str">
        <f t="shared" si="53"/>
        <v>1 : 일치</v>
      </c>
    </row>
    <row r="3407" spans="1:5" s="64" customFormat="1">
      <c r="A3407" s="318" t="s">
        <v>4855</v>
      </c>
      <c r="B3407" s="123" t="s">
        <v>4739</v>
      </c>
      <c r="C3407" s="256" t="s">
        <v>4714</v>
      </c>
      <c r="D3407" s="328" t="s">
        <v>4857</v>
      </c>
      <c r="E3407" s="122" t="str">
        <f t="shared" si="53"/>
        <v>2 : 이체불일치</v>
      </c>
    </row>
    <row r="3408" spans="1:5" s="64" customFormat="1">
      <c r="A3408" s="318" t="s">
        <v>4855</v>
      </c>
      <c r="B3408" s="123" t="s">
        <v>4739</v>
      </c>
      <c r="C3408" s="256" t="s">
        <v>4722</v>
      </c>
      <c r="D3408" s="328" t="s">
        <v>4858</v>
      </c>
      <c r="E3408" s="122" t="str">
        <f t="shared" si="53"/>
        <v>3 : 수취불일치</v>
      </c>
    </row>
    <row r="3409" spans="1:5" s="221" customFormat="1">
      <c r="A3409" s="318" t="s">
        <v>4855</v>
      </c>
      <c r="B3409" s="123" t="s">
        <v>4739</v>
      </c>
      <c r="C3409" s="256" t="s">
        <v>4723</v>
      </c>
      <c r="D3409" s="256" t="s">
        <v>4859</v>
      </c>
      <c r="E3409" s="122" t="str">
        <f t="shared" si="53"/>
        <v>4 : 전체불일치</v>
      </c>
    </row>
    <row r="3410" spans="1:5" s="64" customFormat="1">
      <c r="A3410" s="322" t="s">
        <v>5282</v>
      </c>
      <c r="B3410" s="123" t="s">
        <v>4861</v>
      </c>
      <c r="C3410" s="257" t="s">
        <v>4862</v>
      </c>
      <c r="D3410" s="333" t="s">
        <v>3892</v>
      </c>
      <c r="E3410" s="222" t="str">
        <f>_xlfn.TEXTJOIN(" : ",FALSE,C3410:D3410)</f>
        <v>10 : 자금이체</v>
      </c>
    </row>
    <row r="3411" spans="1:5" s="64" customFormat="1">
      <c r="A3411" s="322" t="s">
        <v>5282</v>
      </c>
      <c r="B3411" s="123" t="s">
        <v>4861</v>
      </c>
      <c r="C3411" s="257" t="s">
        <v>4821</v>
      </c>
      <c r="D3411" s="333" t="s">
        <v>4863</v>
      </c>
      <c r="E3411" s="222" t="str">
        <f t="shared" ref="E3411:E3474" si="55">_xlfn.TEXTJOIN(" : ",FALSE,C3411:D3411)</f>
        <v>11 : 중개거래콜체결</v>
      </c>
    </row>
    <row r="3412" spans="1:5" s="64" customFormat="1">
      <c r="A3412" s="322" t="s">
        <v>5282</v>
      </c>
      <c r="B3412" s="123" t="s">
        <v>4861</v>
      </c>
      <c r="C3412" s="257" t="s">
        <v>4864</v>
      </c>
      <c r="D3412" s="333" t="s">
        <v>4865</v>
      </c>
      <c r="E3412" s="222" t="str">
        <f t="shared" si="55"/>
        <v>12 : 은행간직거래콜체결</v>
      </c>
    </row>
    <row r="3413" spans="1:5" s="64" customFormat="1">
      <c r="A3413" s="322" t="s">
        <v>5282</v>
      </c>
      <c r="B3413" s="123" t="s">
        <v>4861</v>
      </c>
      <c r="C3413" s="257" t="s">
        <v>4866</v>
      </c>
      <c r="D3413" s="333" t="s">
        <v>4867</v>
      </c>
      <c r="E3413" s="222" t="str">
        <f t="shared" si="55"/>
        <v>13 : 중개거래콜상환</v>
      </c>
    </row>
    <row r="3414" spans="1:5" s="64" customFormat="1">
      <c r="A3414" s="322" t="s">
        <v>5282</v>
      </c>
      <c r="B3414" s="123" t="s">
        <v>4861</v>
      </c>
      <c r="C3414" s="257" t="s">
        <v>4868</v>
      </c>
      <c r="D3414" s="333" t="s">
        <v>4869</v>
      </c>
      <c r="E3414" s="222" t="str">
        <f t="shared" si="55"/>
        <v>14 : 은행간직거래콜상환</v>
      </c>
    </row>
    <row r="3415" spans="1:5" s="64" customFormat="1">
      <c r="A3415" s="322" t="s">
        <v>5282</v>
      </c>
      <c r="B3415" s="123" t="s">
        <v>4861</v>
      </c>
      <c r="C3415" s="257" t="s">
        <v>4873</v>
      </c>
      <c r="D3415" s="333" t="s">
        <v>4874</v>
      </c>
      <c r="E3415" s="222" t="str">
        <f t="shared" si="55"/>
        <v>19 : PAY-IN 입력</v>
      </c>
    </row>
    <row r="3416" spans="1:5" s="64" customFormat="1">
      <c r="A3416" s="322" t="s">
        <v>5282</v>
      </c>
      <c r="B3416" s="123" t="s">
        <v>4861</v>
      </c>
      <c r="C3416" s="257" t="s">
        <v>4877</v>
      </c>
      <c r="D3416" s="333" t="s">
        <v>4824</v>
      </c>
      <c r="E3416" s="222" t="str">
        <f t="shared" si="55"/>
        <v>61 : 일반자금이체</v>
      </c>
    </row>
    <row r="3417" spans="1:5" s="64" customFormat="1">
      <c r="A3417" s="322" t="s">
        <v>5282</v>
      </c>
      <c r="B3417" s="123" t="s">
        <v>4861</v>
      </c>
      <c r="C3417" s="257" t="s">
        <v>4878</v>
      </c>
      <c r="D3417" s="333" t="s">
        <v>4826</v>
      </c>
      <c r="E3417" s="222" t="str">
        <f t="shared" si="55"/>
        <v>62 : 수취인지정자금이체</v>
      </c>
    </row>
    <row r="3418" spans="1:5" s="64" customFormat="1">
      <c r="A3418" s="322" t="s">
        <v>5282</v>
      </c>
      <c r="B3418" s="123" t="s">
        <v>4861</v>
      </c>
      <c r="C3418" s="257" t="s">
        <v>4879</v>
      </c>
      <c r="D3418" s="333" t="s">
        <v>4880</v>
      </c>
      <c r="E3418" s="222" t="str">
        <f t="shared" si="55"/>
        <v>65 : 증권대금이체</v>
      </c>
    </row>
    <row r="3419" spans="1:5" s="64" customFormat="1">
      <c r="A3419" s="322" t="s">
        <v>5347</v>
      </c>
      <c r="B3419" s="123" t="s">
        <v>4861</v>
      </c>
      <c r="C3419" s="257" t="s">
        <v>5346</v>
      </c>
      <c r="D3419" s="333" t="s">
        <v>4824</v>
      </c>
      <c r="E3419" s="222" t="str">
        <f t="shared" si="55"/>
        <v>61 : 일반자금이체</v>
      </c>
    </row>
    <row r="3420" spans="1:5" s="64" customFormat="1">
      <c r="A3420" s="322" t="s">
        <v>5347</v>
      </c>
      <c r="B3420" s="123" t="s">
        <v>4861</v>
      </c>
      <c r="C3420" s="257" t="s">
        <v>4878</v>
      </c>
      <c r="D3420" s="333" t="s">
        <v>4826</v>
      </c>
      <c r="E3420" s="222" t="str">
        <f t="shared" si="55"/>
        <v>62 : 수취인지정자금이체</v>
      </c>
    </row>
    <row r="3421" spans="1:5" s="64" customFormat="1">
      <c r="A3421" s="319" t="s">
        <v>4881</v>
      </c>
      <c r="B3421" s="123" t="s">
        <v>4882</v>
      </c>
      <c r="C3421" s="257" t="s">
        <v>4833</v>
      </c>
      <c r="D3421" s="333" t="s">
        <v>4883</v>
      </c>
      <c r="E3421" s="222" t="str">
        <f t="shared" si="55"/>
        <v>01 : PC뱅킹</v>
      </c>
    </row>
    <row r="3422" spans="1:5" s="64" customFormat="1">
      <c r="A3422" s="319" t="s">
        <v>4881</v>
      </c>
      <c r="B3422" s="123" t="s">
        <v>4882</v>
      </c>
      <c r="C3422" s="257" t="s">
        <v>4835</v>
      </c>
      <c r="D3422" s="333" t="s">
        <v>4884</v>
      </c>
      <c r="E3422" s="222" t="str">
        <f t="shared" si="55"/>
        <v>02 : 인터넷벵킹</v>
      </c>
    </row>
    <row r="3423" spans="1:5" s="64" customFormat="1">
      <c r="A3423" s="319" t="s">
        <v>4881</v>
      </c>
      <c r="B3423" s="123" t="s">
        <v>4882</v>
      </c>
      <c r="C3423" s="257" t="s">
        <v>4885</v>
      </c>
      <c r="D3423" s="333" t="s">
        <v>4886</v>
      </c>
      <c r="E3423" s="222" t="str">
        <f t="shared" si="55"/>
        <v>03 : 전화</v>
      </c>
    </row>
    <row r="3424" spans="1:5" s="64" customFormat="1">
      <c r="A3424" s="319" t="s">
        <v>4881</v>
      </c>
      <c r="B3424" s="123" t="s">
        <v>4882</v>
      </c>
      <c r="C3424" s="257" t="s">
        <v>4887</v>
      </c>
      <c r="D3424" s="333" t="s">
        <v>4888</v>
      </c>
      <c r="E3424" s="222" t="str">
        <f t="shared" si="55"/>
        <v>04 : 휴대전화</v>
      </c>
    </row>
    <row r="3425" spans="1:5" s="64" customFormat="1">
      <c r="A3425" s="319" t="s">
        <v>4881</v>
      </c>
      <c r="B3425" s="123" t="s">
        <v>4882</v>
      </c>
      <c r="C3425" s="257" t="s">
        <v>4889</v>
      </c>
      <c r="D3425" s="333" t="s">
        <v>4890</v>
      </c>
      <c r="E3425" s="222" t="str">
        <f t="shared" si="55"/>
        <v>05 : 건별이체</v>
      </c>
    </row>
    <row r="3426" spans="1:5" s="64" customFormat="1">
      <c r="A3426" s="319" t="s">
        <v>4881</v>
      </c>
      <c r="B3426" s="123" t="s">
        <v>4882</v>
      </c>
      <c r="C3426" s="257" t="s">
        <v>4891</v>
      </c>
      <c r="D3426" s="333" t="s">
        <v>4762</v>
      </c>
      <c r="E3426" s="222" t="str">
        <f t="shared" si="55"/>
        <v>06 : 기타</v>
      </c>
    </row>
    <row r="3427" spans="1:5" s="64" customFormat="1">
      <c r="A3427" s="319" t="s">
        <v>4881</v>
      </c>
      <c r="B3427" s="123" t="s">
        <v>4882</v>
      </c>
      <c r="C3427" s="257" t="s">
        <v>4892</v>
      </c>
      <c r="D3427" s="333" t="s">
        <v>4893</v>
      </c>
      <c r="E3427" s="222" t="str">
        <f t="shared" si="55"/>
        <v>07 : 대량이체</v>
      </c>
    </row>
    <row r="3428" spans="1:5" s="64" customFormat="1">
      <c r="A3428" s="319" t="s">
        <v>4881</v>
      </c>
      <c r="B3428" s="123" t="s">
        <v>4882</v>
      </c>
      <c r="C3428" s="257" t="s">
        <v>4894</v>
      </c>
      <c r="D3428" s="333" t="s">
        <v>4895</v>
      </c>
      <c r="E3428" s="222" t="str">
        <f t="shared" si="55"/>
        <v>08 : TV</v>
      </c>
    </row>
    <row r="3429" spans="1:5" s="64" customFormat="1">
      <c r="A3429" s="316" t="s">
        <v>4896</v>
      </c>
      <c r="B3429" s="123" t="s">
        <v>4897</v>
      </c>
      <c r="C3429" s="257" t="s">
        <v>4898</v>
      </c>
      <c r="D3429" s="333" t="s">
        <v>4899</v>
      </c>
      <c r="E3429" s="222" t="str">
        <f t="shared" si="55"/>
        <v>00 : 일반</v>
      </c>
    </row>
    <row r="3430" spans="1:5" s="64" customFormat="1">
      <c r="A3430" s="316" t="s">
        <v>4896</v>
      </c>
      <c r="B3430" s="123" t="s">
        <v>4897</v>
      </c>
      <c r="C3430" s="257" t="s">
        <v>4833</v>
      </c>
      <c r="D3430" s="333" t="s">
        <v>4900</v>
      </c>
      <c r="E3430" s="222" t="str">
        <f t="shared" si="55"/>
        <v>01 : 급여</v>
      </c>
    </row>
    <row r="3431" spans="1:5" s="64" customFormat="1">
      <c r="A3431" s="316" t="s">
        <v>4896</v>
      </c>
      <c r="B3431" s="123" t="s">
        <v>4897</v>
      </c>
      <c r="C3431" s="257" t="s">
        <v>4835</v>
      </c>
      <c r="D3431" s="333" t="s">
        <v>4901</v>
      </c>
      <c r="E3431" s="222" t="str">
        <f t="shared" si="55"/>
        <v>02 : 배당금</v>
      </c>
    </row>
    <row r="3432" spans="1:5" s="64" customFormat="1">
      <c r="A3432" s="316" t="s">
        <v>4896</v>
      </c>
      <c r="B3432" s="123" t="s">
        <v>4897</v>
      </c>
      <c r="C3432" s="257" t="s">
        <v>4885</v>
      </c>
      <c r="D3432" s="333" t="s">
        <v>4762</v>
      </c>
      <c r="E3432" s="222" t="str">
        <f t="shared" si="55"/>
        <v>03 : 기타</v>
      </c>
    </row>
    <row r="3433" spans="1:5" s="64" customFormat="1">
      <c r="A3433" s="316" t="s">
        <v>4896</v>
      </c>
      <c r="B3433" s="123" t="s">
        <v>4897</v>
      </c>
      <c r="C3433" s="257" t="s">
        <v>4887</v>
      </c>
      <c r="D3433" s="333" t="s">
        <v>4902</v>
      </c>
      <c r="E3433" s="222" t="str">
        <f t="shared" si="55"/>
        <v>04 : 타행 자동이체</v>
      </c>
    </row>
    <row r="3434" spans="1:5" s="64" customFormat="1">
      <c r="A3434" s="316" t="s">
        <v>4896</v>
      </c>
      <c r="B3434" s="123" t="s">
        <v>4897</v>
      </c>
      <c r="C3434" s="257" t="s">
        <v>4821</v>
      </c>
      <c r="D3434" s="333" t="s">
        <v>4903</v>
      </c>
      <c r="E3434" s="222" t="str">
        <f t="shared" si="55"/>
        <v>11 : 기초생활보장급여</v>
      </c>
    </row>
    <row r="3435" spans="1:5" s="64" customFormat="1">
      <c r="A3435" s="316" t="s">
        <v>4896</v>
      </c>
      <c r="B3435" s="123" t="s">
        <v>4897</v>
      </c>
      <c r="C3435" s="257" t="s">
        <v>4864</v>
      </c>
      <c r="D3435" s="333" t="s">
        <v>4904</v>
      </c>
      <c r="E3435" s="222" t="str">
        <f t="shared" si="55"/>
        <v>12 : 기초노령연금</v>
      </c>
    </row>
    <row r="3436" spans="1:5" s="64" customFormat="1">
      <c r="A3436" s="316" t="s">
        <v>4896</v>
      </c>
      <c r="B3436" s="123" t="s">
        <v>4897</v>
      </c>
      <c r="C3436" s="257" t="s">
        <v>4866</v>
      </c>
      <c r="D3436" s="333" t="s">
        <v>4905</v>
      </c>
      <c r="E3436" s="222" t="str">
        <f t="shared" si="55"/>
        <v>13 : 장애인연금</v>
      </c>
    </row>
    <row r="3437" spans="1:5" s="64" customFormat="1">
      <c r="A3437" s="316" t="s">
        <v>4896</v>
      </c>
      <c r="B3437" s="123" t="s">
        <v>4897</v>
      </c>
      <c r="C3437" s="257" t="s">
        <v>4870</v>
      </c>
      <c r="D3437" s="333" t="s">
        <v>4906</v>
      </c>
      <c r="E3437" s="222" t="str">
        <f t="shared" si="55"/>
        <v>15 : 장애(아동)수당</v>
      </c>
    </row>
    <row r="3438" spans="1:5" s="64" customFormat="1">
      <c r="A3438" s="316" t="s">
        <v>4896</v>
      </c>
      <c r="B3438" s="123" t="s">
        <v>4897</v>
      </c>
      <c r="C3438" s="257" t="s">
        <v>4871</v>
      </c>
      <c r="D3438" s="333" t="s">
        <v>4907</v>
      </c>
      <c r="E3438" s="222" t="str">
        <f t="shared" si="55"/>
        <v>16 : 한부모가족지원</v>
      </c>
    </row>
    <row r="3439" spans="1:5" s="64" customFormat="1">
      <c r="A3439" s="316" t="s">
        <v>4896</v>
      </c>
      <c r="B3439" s="123" t="s">
        <v>4897</v>
      </c>
      <c r="C3439" s="257" t="s">
        <v>4875</v>
      </c>
      <c r="D3439" s="333" t="s">
        <v>4908</v>
      </c>
      <c r="E3439" s="222" t="str">
        <f t="shared" si="55"/>
        <v>20 : 국민연금</v>
      </c>
    </row>
    <row r="3440" spans="1:5" s="64" customFormat="1">
      <c r="A3440" s="316" t="s">
        <v>4896</v>
      </c>
      <c r="B3440" s="123" t="s">
        <v>4897</v>
      </c>
      <c r="C3440" s="257" t="s">
        <v>4876</v>
      </c>
      <c r="D3440" s="333" t="s">
        <v>4909</v>
      </c>
      <c r="E3440" s="222" t="str">
        <f t="shared" si="55"/>
        <v>30 : 요양비 등 보험급여</v>
      </c>
    </row>
    <row r="3441" spans="1:5" s="64" customFormat="1">
      <c r="A3441" s="316" t="s">
        <v>277</v>
      </c>
      <c r="B3441" s="123" t="s">
        <v>4910</v>
      </c>
      <c r="C3441" s="257" t="s">
        <v>4898</v>
      </c>
      <c r="D3441" s="333" t="s">
        <v>5073</v>
      </c>
      <c r="E3441" s="222" t="str">
        <f t="shared" si="55"/>
        <v>00 : 해당없음</v>
      </c>
    </row>
    <row r="3442" spans="1:5" s="64" customFormat="1">
      <c r="A3442" s="316" t="s">
        <v>277</v>
      </c>
      <c r="B3442" s="123" t="s">
        <v>4910</v>
      </c>
      <c r="C3442" s="257" t="s">
        <v>4833</v>
      </c>
      <c r="D3442" s="333" t="s">
        <v>4824</v>
      </c>
      <c r="E3442" s="222" t="str">
        <f t="shared" si="55"/>
        <v>01 : 일반자금이체</v>
      </c>
    </row>
    <row r="3443" spans="1:5" s="64" customFormat="1">
      <c r="A3443" s="316" t="s">
        <v>277</v>
      </c>
      <c r="B3443" s="123" t="s">
        <v>4910</v>
      </c>
      <c r="C3443" s="257" t="s">
        <v>4835</v>
      </c>
      <c r="D3443" s="333" t="s">
        <v>4826</v>
      </c>
      <c r="E3443" s="222" t="str">
        <f t="shared" si="55"/>
        <v>02 : 수취인지정자금이체</v>
      </c>
    </row>
    <row r="3444" spans="1:5" s="64" customFormat="1">
      <c r="A3444" s="316" t="s">
        <v>277</v>
      </c>
      <c r="B3444" s="123" t="s">
        <v>4910</v>
      </c>
      <c r="C3444" s="257" t="s">
        <v>4885</v>
      </c>
      <c r="D3444" s="333" t="s">
        <v>4911</v>
      </c>
      <c r="E3444" s="222" t="str">
        <f t="shared" si="55"/>
        <v>03 : 콜직거래</v>
      </c>
    </row>
    <row r="3445" spans="1:5" s="64" customFormat="1">
      <c r="A3445" s="316" t="s">
        <v>277</v>
      </c>
      <c r="B3445" s="123" t="s">
        <v>4910</v>
      </c>
      <c r="C3445" s="257" t="s">
        <v>4887</v>
      </c>
      <c r="D3445" s="333" t="s">
        <v>4912</v>
      </c>
      <c r="E3445" s="222" t="str">
        <f t="shared" si="55"/>
        <v>04 : 콜중개거래</v>
      </c>
    </row>
    <row r="3446" spans="1:5" s="64" customFormat="1">
      <c r="A3446" s="316" t="s">
        <v>277</v>
      </c>
      <c r="B3446" s="123" t="s">
        <v>4910</v>
      </c>
      <c r="C3446" s="257" t="s">
        <v>4889</v>
      </c>
      <c r="D3446" s="333" t="s">
        <v>4880</v>
      </c>
      <c r="E3446" s="222" t="str">
        <f t="shared" si="55"/>
        <v>05 : 증권대금이체</v>
      </c>
    </row>
    <row r="3447" spans="1:5" s="64" customFormat="1">
      <c r="A3447" s="316" t="s">
        <v>277</v>
      </c>
      <c r="B3447" s="123" t="s">
        <v>4910</v>
      </c>
      <c r="C3447" s="257" t="s">
        <v>4891</v>
      </c>
      <c r="D3447" s="333" t="s">
        <v>4393</v>
      </c>
      <c r="E3447" s="222" t="str">
        <f t="shared" si="55"/>
        <v>06 : 당좌예금차기</v>
      </c>
    </row>
    <row r="3448" spans="1:5" s="64" customFormat="1">
      <c r="A3448" s="316" t="s">
        <v>277</v>
      </c>
      <c r="B3448" s="123" t="s">
        <v>4910</v>
      </c>
      <c r="C3448" s="257" t="s">
        <v>4892</v>
      </c>
      <c r="D3448" s="333" t="s">
        <v>4913</v>
      </c>
      <c r="E3448" s="222" t="str">
        <f t="shared" si="55"/>
        <v>07 : 콜상환(반환)</v>
      </c>
    </row>
    <row r="3449" spans="1:5" s="64" customFormat="1">
      <c r="A3449" s="323" t="s">
        <v>277</v>
      </c>
      <c r="B3449" s="324" t="s">
        <v>4910</v>
      </c>
      <c r="C3449" s="258" t="s">
        <v>4894</v>
      </c>
      <c r="D3449" s="335" t="s">
        <v>4914</v>
      </c>
      <c r="E3449" s="248" t="str">
        <f t="shared" si="55"/>
        <v>08 : 연계결제</v>
      </c>
    </row>
    <row r="3450" spans="1:5" s="64" customFormat="1">
      <c r="A3450" s="316" t="s">
        <v>5061</v>
      </c>
      <c r="B3450" s="123" t="s">
        <v>5077</v>
      </c>
      <c r="C3450" s="257" t="s">
        <v>4713</v>
      </c>
      <c r="D3450" s="336" t="s">
        <v>5085</v>
      </c>
      <c r="E3450" s="248" t="str">
        <f t="shared" si="55"/>
        <v>1 : 원화자금이체시스템</v>
      </c>
    </row>
    <row r="3451" spans="1:5" s="64" customFormat="1">
      <c r="A3451" s="316" t="s">
        <v>85</v>
      </c>
      <c r="B3451" s="123" t="s">
        <v>5077</v>
      </c>
      <c r="C3451" s="257" t="s">
        <v>4714</v>
      </c>
      <c r="D3451" s="328" t="s">
        <v>5086</v>
      </c>
      <c r="E3451" s="248" t="str">
        <f t="shared" si="55"/>
        <v>2 : CLS거래시스템</v>
      </c>
    </row>
    <row r="3452" spans="1:5" s="64" customFormat="1">
      <c r="A3452" s="316" t="s">
        <v>85</v>
      </c>
      <c r="B3452" s="123" t="s">
        <v>5077</v>
      </c>
      <c r="C3452" s="257" t="s">
        <v>4722</v>
      </c>
      <c r="D3452" s="328" t="s">
        <v>5087</v>
      </c>
      <c r="E3452" s="248" t="str">
        <f t="shared" si="55"/>
        <v>3 : 증권대금이체시스템</v>
      </c>
    </row>
    <row r="3453" spans="1:5" s="64" customFormat="1">
      <c r="A3453" s="316" t="s">
        <v>85</v>
      </c>
      <c r="B3453" s="123" t="s">
        <v>5077</v>
      </c>
      <c r="C3453" s="257" t="s">
        <v>4723</v>
      </c>
      <c r="D3453" s="328" t="s">
        <v>5088</v>
      </c>
      <c r="E3453" s="248" t="str">
        <f t="shared" si="55"/>
        <v>4 : 콜거래시스템</v>
      </c>
    </row>
    <row r="3454" spans="1:5" s="64" customFormat="1">
      <c r="A3454" s="316" t="s">
        <v>5129</v>
      </c>
      <c r="B3454" s="123" t="s">
        <v>5130</v>
      </c>
      <c r="C3454" s="259" t="s">
        <v>5079</v>
      </c>
      <c r="D3454" s="328" t="s">
        <v>5131</v>
      </c>
      <c r="E3454" s="248" t="str">
        <f t="shared" si="55"/>
        <v>2 : 금융기관(연기금포함)</v>
      </c>
    </row>
    <row r="3455" spans="1:5" s="64" customFormat="1">
      <c r="A3455" s="316" t="s">
        <v>5129</v>
      </c>
      <c r="B3455" s="123" t="s">
        <v>5130</v>
      </c>
      <c r="C3455" s="259" t="s">
        <v>5081</v>
      </c>
      <c r="D3455" s="328" t="s">
        <v>4762</v>
      </c>
      <c r="E3455" s="248" t="str">
        <f t="shared" si="55"/>
        <v>3 : 기타</v>
      </c>
    </row>
    <row r="3456" spans="1:5" s="64" customFormat="1">
      <c r="A3456" s="316" t="s">
        <v>5129</v>
      </c>
      <c r="B3456" s="123" t="s">
        <v>5130</v>
      </c>
      <c r="C3456" s="259" t="s">
        <v>5083</v>
      </c>
      <c r="D3456" s="328" t="s">
        <v>5132</v>
      </c>
      <c r="E3456" s="248" t="str">
        <f t="shared" si="55"/>
        <v>4 : 기업</v>
      </c>
    </row>
    <row r="3457" spans="1:5" s="64" customFormat="1">
      <c r="A3457" s="316" t="s">
        <v>5129</v>
      </c>
      <c r="B3457" s="123" t="s">
        <v>5130</v>
      </c>
      <c r="C3457" s="259" t="s">
        <v>5133</v>
      </c>
      <c r="D3457" s="328" t="s">
        <v>5134</v>
      </c>
      <c r="E3457" s="248" t="str">
        <f t="shared" si="55"/>
        <v>5 : 개인</v>
      </c>
    </row>
    <row r="3458" spans="1:5" s="64" customFormat="1">
      <c r="A3458" s="316" t="s">
        <v>193</v>
      </c>
      <c r="B3458" s="123" t="s">
        <v>5130</v>
      </c>
      <c r="C3458" s="259" t="s">
        <v>5079</v>
      </c>
      <c r="D3458" s="328" t="s">
        <v>5131</v>
      </c>
      <c r="E3458" s="248" t="str">
        <f t="shared" si="55"/>
        <v>2 : 금융기관(연기금포함)</v>
      </c>
    </row>
    <row r="3459" spans="1:5" s="64" customFormat="1">
      <c r="A3459" s="316" t="s">
        <v>193</v>
      </c>
      <c r="B3459" s="123" t="s">
        <v>5130</v>
      </c>
      <c r="C3459" s="259" t="s">
        <v>5081</v>
      </c>
      <c r="D3459" s="328" t="s">
        <v>4762</v>
      </c>
      <c r="E3459" s="248" t="str">
        <f t="shared" si="55"/>
        <v>3 : 기타</v>
      </c>
    </row>
    <row r="3460" spans="1:5" s="64" customFormat="1">
      <c r="A3460" s="316" t="s">
        <v>193</v>
      </c>
      <c r="B3460" s="123" t="s">
        <v>5130</v>
      </c>
      <c r="C3460" s="259" t="s">
        <v>5083</v>
      </c>
      <c r="D3460" s="328" t="s">
        <v>5132</v>
      </c>
      <c r="E3460" s="248" t="str">
        <f t="shared" si="55"/>
        <v>4 : 기업</v>
      </c>
    </row>
    <row r="3461" spans="1:5" s="64" customFormat="1">
      <c r="A3461" s="316" t="s">
        <v>193</v>
      </c>
      <c r="B3461" s="123" t="s">
        <v>5130</v>
      </c>
      <c r="C3461" s="259" t="s">
        <v>5133</v>
      </c>
      <c r="D3461" s="328" t="s">
        <v>5134</v>
      </c>
      <c r="E3461" s="248" t="str">
        <f t="shared" si="55"/>
        <v>5 : 개인</v>
      </c>
    </row>
    <row r="3462" spans="1:5" s="64" customFormat="1">
      <c r="A3462" s="316" t="s">
        <v>5135</v>
      </c>
      <c r="B3462" s="123" t="s">
        <v>5136</v>
      </c>
      <c r="C3462" s="259" t="s">
        <v>4833</v>
      </c>
      <c r="D3462" s="328" t="s">
        <v>5137</v>
      </c>
      <c r="E3462" s="248" t="str">
        <f t="shared" si="55"/>
        <v>01 : 서울특별시</v>
      </c>
    </row>
    <row r="3463" spans="1:5" s="64" customFormat="1">
      <c r="A3463" s="316" t="s">
        <v>5135</v>
      </c>
      <c r="B3463" s="123" t="s">
        <v>5136</v>
      </c>
      <c r="C3463" s="259" t="s">
        <v>4835</v>
      </c>
      <c r="D3463" s="328" t="s">
        <v>5138</v>
      </c>
      <c r="E3463" s="248" t="str">
        <f t="shared" si="55"/>
        <v>02 : 부산광역시</v>
      </c>
    </row>
    <row r="3464" spans="1:5" s="64" customFormat="1">
      <c r="A3464" s="316" t="s">
        <v>5135</v>
      </c>
      <c r="B3464" s="123" t="s">
        <v>5136</v>
      </c>
      <c r="C3464" s="259" t="s">
        <v>4885</v>
      </c>
      <c r="D3464" s="328" t="s">
        <v>5139</v>
      </c>
      <c r="E3464" s="248" t="str">
        <f t="shared" si="55"/>
        <v>03 : 대구광역시</v>
      </c>
    </row>
    <row r="3465" spans="1:5" s="64" customFormat="1">
      <c r="A3465" s="316" t="s">
        <v>5135</v>
      </c>
      <c r="B3465" s="123" t="s">
        <v>5136</v>
      </c>
      <c r="C3465" s="259" t="s">
        <v>4887</v>
      </c>
      <c r="D3465" s="328" t="s">
        <v>5140</v>
      </c>
      <c r="E3465" s="248" t="str">
        <f t="shared" si="55"/>
        <v>04 : 인천광역시</v>
      </c>
    </row>
    <row r="3466" spans="1:5" s="64" customFormat="1">
      <c r="A3466" s="316" t="s">
        <v>5135</v>
      </c>
      <c r="B3466" s="123" t="s">
        <v>5136</v>
      </c>
      <c r="C3466" s="259" t="s">
        <v>4889</v>
      </c>
      <c r="D3466" s="328" t="s">
        <v>5141</v>
      </c>
      <c r="E3466" s="248" t="str">
        <f t="shared" si="55"/>
        <v>05 : 광주광역시</v>
      </c>
    </row>
    <row r="3467" spans="1:5" s="64" customFormat="1">
      <c r="A3467" s="316" t="s">
        <v>5135</v>
      </c>
      <c r="B3467" s="123" t="s">
        <v>5136</v>
      </c>
      <c r="C3467" s="259" t="s">
        <v>4891</v>
      </c>
      <c r="D3467" s="328" t="s">
        <v>5142</v>
      </c>
      <c r="E3467" s="248" t="str">
        <f t="shared" si="55"/>
        <v>06 : 대전광역시</v>
      </c>
    </row>
    <row r="3468" spans="1:5" s="64" customFormat="1">
      <c r="A3468" s="316" t="s">
        <v>5135</v>
      </c>
      <c r="B3468" s="123" t="s">
        <v>5136</v>
      </c>
      <c r="C3468" s="259" t="s">
        <v>4892</v>
      </c>
      <c r="D3468" s="328" t="s">
        <v>5143</v>
      </c>
      <c r="E3468" s="248" t="str">
        <f t="shared" si="55"/>
        <v>07 : 울산광역시</v>
      </c>
    </row>
    <row r="3469" spans="1:5" s="64" customFormat="1">
      <c r="A3469" s="316" t="s">
        <v>5135</v>
      </c>
      <c r="B3469" s="123" t="s">
        <v>5136</v>
      </c>
      <c r="C3469" s="259" t="s">
        <v>4894</v>
      </c>
      <c r="D3469" s="328" t="s">
        <v>5144</v>
      </c>
      <c r="E3469" s="248" t="str">
        <f t="shared" si="55"/>
        <v>08 : 경기도</v>
      </c>
    </row>
    <row r="3470" spans="1:5" s="64" customFormat="1">
      <c r="A3470" s="316" t="s">
        <v>5135</v>
      </c>
      <c r="B3470" s="123" t="s">
        <v>5136</v>
      </c>
      <c r="C3470" s="259" t="s">
        <v>5145</v>
      </c>
      <c r="D3470" s="328" t="s">
        <v>5146</v>
      </c>
      <c r="E3470" s="248" t="str">
        <f t="shared" si="55"/>
        <v>09 : 강원도</v>
      </c>
    </row>
    <row r="3471" spans="1:5" s="64" customFormat="1">
      <c r="A3471" s="316" t="s">
        <v>5135</v>
      </c>
      <c r="B3471" s="123" t="s">
        <v>5136</v>
      </c>
      <c r="C3471" s="259" t="s">
        <v>4862</v>
      </c>
      <c r="D3471" s="328" t="s">
        <v>5147</v>
      </c>
      <c r="E3471" s="248" t="str">
        <f t="shared" si="55"/>
        <v>10 : 충청남도</v>
      </c>
    </row>
    <row r="3472" spans="1:5" s="64" customFormat="1">
      <c r="A3472" s="316" t="s">
        <v>5135</v>
      </c>
      <c r="B3472" s="123" t="s">
        <v>5136</v>
      </c>
      <c r="C3472" s="259" t="s">
        <v>4821</v>
      </c>
      <c r="D3472" s="328" t="s">
        <v>5148</v>
      </c>
      <c r="E3472" s="248" t="str">
        <f t="shared" si="55"/>
        <v>11 : 충청북도</v>
      </c>
    </row>
    <row r="3473" spans="1:5" s="64" customFormat="1">
      <c r="A3473" s="316" t="s">
        <v>5135</v>
      </c>
      <c r="B3473" s="123" t="s">
        <v>5136</v>
      </c>
      <c r="C3473" s="259" t="s">
        <v>4864</v>
      </c>
      <c r="D3473" s="328" t="s">
        <v>5149</v>
      </c>
      <c r="E3473" s="248" t="str">
        <f t="shared" si="55"/>
        <v>12 : 전라남도</v>
      </c>
    </row>
    <row r="3474" spans="1:5" s="64" customFormat="1">
      <c r="A3474" s="316" t="s">
        <v>5135</v>
      </c>
      <c r="B3474" s="123" t="s">
        <v>5136</v>
      </c>
      <c r="C3474" s="259" t="s">
        <v>4866</v>
      </c>
      <c r="D3474" s="328" t="s">
        <v>5150</v>
      </c>
      <c r="E3474" s="248" t="str">
        <f t="shared" si="55"/>
        <v>13 : 전라북도</v>
      </c>
    </row>
    <row r="3475" spans="1:5" s="64" customFormat="1">
      <c r="A3475" s="316" t="s">
        <v>5135</v>
      </c>
      <c r="B3475" s="123" t="s">
        <v>5136</v>
      </c>
      <c r="C3475" s="259" t="s">
        <v>4868</v>
      </c>
      <c r="D3475" s="328" t="s">
        <v>5151</v>
      </c>
      <c r="E3475" s="248" t="str">
        <f t="shared" ref="E3475:E3510" si="56">_xlfn.TEXTJOIN(" : ",FALSE,C3475:D3475)</f>
        <v>14 : 경상남도</v>
      </c>
    </row>
    <row r="3476" spans="1:5" s="64" customFormat="1">
      <c r="A3476" s="316" t="s">
        <v>5135</v>
      </c>
      <c r="B3476" s="123" t="s">
        <v>5136</v>
      </c>
      <c r="C3476" s="259" t="s">
        <v>4870</v>
      </c>
      <c r="D3476" s="328" t="s">
        <v>5152</v>
      </c>
      <c r="E3476" s="248" t="str">
        <f t="shared" si="56"/>
        <v>15 : 경상북도</v>
      </c>
    </row>
    <row r="3477" spans="1:5" s="64" customFormat="1">
      <c r="A3477" s="316" t="s">
        <v>5135</v>
      </c>
      <c r="B3477" s="123" t="s">
        <v>5136</v>
      </c>
      <c r="C3477" s="259" t="s">
        <v>4871</v>
      </c>
      <c r="D3477" s="328" t="s">
        <v>5153</v>
      </c>
      <c r="E3477" s="248" t="str">
        <f t="shared" si="56"/>
        <v>16 : 제주도</v>
      </c>
    </row>
    <row r="3478" spans="1:5" s="64" customFormat="1">
      <c r="A3478" s="316" t="s">
        <v>5135</v>
      </c>
      <c r="B3478" s="123" t="s">
        <v>5136</v>
      </c>
      <c r="C3478" s="259" t="s">
        <v>4872</v>
      </c>
      <c r="D3478" s="328" t="s">
        <v>5154</v>
      </c>
      <c r="E3478" s="248" t="str">
        <f t="shared" si="56"/>
        <v>17 : 해외</v>
      </c>
    </row>
    <row r="3479" spans="1:5" s="64" customFormat="1">
      <c r="A3479" s="316" t="s">
        <v>194</v>
      </c>
      <c r="B3479" s="123" t="s">
        <v>5136</v>
      </c>
      <c r="C3479" s="259" t="s">
        <v>4833</v>
      </c>
      <c r="D3479" s="328" t="s">
        <v>5137</v>
      </c>
      <c r="E3479" s="248" t="str">
        <f t="shared" si="56"/>
        <v>01 : 서울특별시</v>
      </c>
    </row>
    <row r="3480" spans="1:5" s="64" customFormat="1">
      <c r="A3480" s="316" t="s">
        <v>194</v>
      </c>
      <c r="B3480" s="123" t="s">
        <v>5136</v>
      </c>
      <c r="C3480" s="259" t="s">
        <v>4835</v>
      </c>
      <c r="D3480" s="328" t="s">
        <v>5138</v>
      </c>
      <c r="E3480" s="248" t="str">
        <f t="shared" si="56"/>
        <v>02 : 부산광역시</v>
      </c>
    </row>
    <row r="3481" spans="1:5" s="64" customFormat="1">
      <c r="A3481" s="316" t="s">
        <v>194</v>
      </c>
      <c r="B3481" s="123" t="s">
        <v>5136</v>
      </c>
      <c r="C3481" s="259" t="s">
        <v>4885</v>
      </c>
      <c r="D3481" s="328" t="s">
        <v>5139</v>
      </c>
      <c r="E3481" s="248" t="str">
        <f t="shared" si="56"/>
        <v>03 : 대구광역시</v>
      </c>
    </row>
    <row r="3482" spans="1:5" s="64" customFormat="1">
      <c r="A3482" s="316" t="s">
        <v>194</v>
      </c>
      <c r="B3482" s="123" t="s">
        <v>5136</v>
      </c>
      <c r="C3482" s="259" t="s">
        <v>4887</v>
      </c>
      <c r="D3482" s="328" t="s">
        <v>5140</v>
      </c>
      <c r="E3482" s="248" t="str">
        <f t="shared" si="56"/>
        <v>04 : 인천광역시</v>
      </c>
    </row>
    <row r="3483" spans="1:5" s="64" customFormat="1">
      <c r="A3483" s="316" t="s">
        <v>194</v>
      </c>
      <c r="B3483" s="123" t="s">
        <v>5136</v>
      </c>
      <c r="C3483" s="259" t="s">
        <v>4889</v>
      </c>
      <c r="D3483" s="328" t="s">
        <v>5141</v>
      </c>
      <c r="E3483" s="248" t="str">
        <f t="shared" si="56"/>
        <v>05 : 광주광역시</v>
      </c>
    </row>
    <row r="3484" spans="1:5" s="64" customFormat="1">
      <c r="A3484" s="316" t="s">
        <v>194</v>
      </c>
      <c r="B3484" s="123" t="s">
        <v>5136</v>
      </c>
      <c r="C3484" s="259" t="s">
        <v>4891</v>
      </c>
      <c r="D3484" s="328" t="s">
        <v>5142</v>
      </c>
      <c r="E3484" s="248" t="str">
        <f t="shared" si="56"/>
        <v>06 : 대전광역시</v>
      </c>
    </row>
    <row r="3485" spans="1:5" s="64" customFormat="1">
      <c r="A3485" s="316" t="s">
        <v>194</v>
      </c>
      <c r="B3485" s="123" t="s">
        <v>5136</v>
      </c>
      <c r="C3485" s="259" t="s">
        <v>4892</v>
      </c>
      <c r="D3485" s="328" t="s">
        <v>5143</v>
      </c>
      <c r="E3485" s="248" t="str">
        <f t="shared" si="56"/>
        <v>07 : 울산광역시</v>
      </c>
    </row>
    <row r="3486" spans="1:5" s="64" customFormat="1">
      <c r="A3486" s="316" t="s">
        <v>194</v>
      </c>
      <c r="B3486" s="123" t="s">
        <v>5136</v>
      </c>
      <c r="C3486" s="259" t="s">
        <v>4894</v>
      </c>
      <c r="D3486" s="328" t="s">
        <v>5144</v>
      </c>
      <c r="E3486" s="248" t="str">
        <f t="shared" si="56"/>
        <v>08 : 경기도</v>
      </c>
    </row>
    <row r="3487" spans="1:5" s="64" customFormat="1">
      <c r="A3487" s="316" t="s">
        <v>194</v>
      </c>
      <c r="B3487" s="123" t="s">
        <v>5136</v>
      </c>
      <c r="C3487" s="259" t="s">
        <v>5145</v>
      </c>
      <c r="D3487" s="328" t="s">
        <v>5146</v>
      </c>
      <c r="E3487" s="248" t="str">
        <f t="shared" si="56"/>
        <v>09 : 강원도</v>
      </c>
    </row>
    <row r="3488" spans="1:5" s="64" customFormat="1">
      <c r="A3488" s="316" t="s">
        <v>194</v>
      </c>
      <c r="B3488" s="123" t="s">
        <v>5136</v>
      </c>
      <c r="C3488" s="259" t="s">
        <v>4862</v>
      </c>
      <c r="D3488" s="328" t="s">
        <v>5147</v>
      </c>
      <c r="E3488" s="248" t="str">
        <f t="shared" si="56"/>
        <v>10 : 충청남도</v>
      </c>
    </row>
    <row r="3489" spans="1:5" s="64" customFormat="1">
      <c r="A3489" s="316" t="s">
        <v>194</v>
      </c>
      <c r="B3489" s="123" t="s">
        <v>5136</v>
      </c>
      <c r="C3489" s="259" t="s">
        <v>4821</v>
      </c>
      <c r="D3489" s="328" t="s">
        <v>5148</v>
      </c>
      <c r="E3489" s="248" t="str">
        <f t="shared" si="56"/>
        <v>11 : 충청북도</v>
      </c>
    </row>
    <row r="3490" spans="1:5" s="64" customFormat="1">
      <c r="A3490" s="316" t="s">
        <v>194</v>
      </c>
      <c r="B3490" s="123" t="s">
        <v>5136</v>
      </c>
      <c r="C3490" s="259" t="s">
        <v>4864</v>
      </c>
      <c r="D3490" s="328" t="s">
        <v>5149</v>
      </c>
      <c r="E3490" s="248" t="str">
        <f t="shared" si="56"/>
        <v>12 : 전라남도</v>
      </c>
    </row>
    <row r="3491" spans="1:5" s="64" customFormat="1">
      <c r="A3491" s="316" t="s">
        <v>194</v>
      </c>
      <c r="B3491" s="123" t="s">
        <v>5136</v>
      </c>
      <c r="C3491" s="259" t="s">
        <v>4866</v>
      </c>
      <c r="D3491" s="328" t="s">
        <v>5150</v>
      </c>
      <c r="E3491" s="248" t="str">
        <f t="shared" si="56"/>
        <v>13 : 전라북도</v>
      </c>
    </row>
    <row r="3492" spans="1:5" s="64" customFormat="1">
      <c r="A3492" s="316" t="s">
        <v>194</v>
      </c>
      <c r="B3492" s="123" t="s">
        <v>5136</v>
      </c>
      <c r="C3492" s="259" t="s">
        <v>4868</v>
      </c>
      <c r="D3492" s="328" t="s">
        <v>5151</v>
      </c>
      <c r="E3492" s="248" t="str">
        <f t="shared" si="56"/>
        <v>14 : 경상남도</v>
      </c>
    </row>
    <row r="3493" spans="1:5" s="64" customFormat="1">
      <c r="A3493" s="316" t="s">
        <v>194</v>
      </c>
      <c r="B3493" s="123" t="s">
        <v>5136</v>
      </c>
      <c r="C3493" s="259" t="s">
        <v>4870</v>
      </c>
      <c r="D3493" s="328" t="s">
        <v>5152</v>
      </c>
      <c r="E3493" s="248" t="str">
        <f t="shared" si="56"/>
        <v>15 : 경상북도</v>
      </c>
    </row>
    <row r="3494" spans="1:5" s="64" customFormat="1">
      <c r="A3494" s="316" t="s">
        <v>194</v>
      </c>
      <c r="B3494" s="123" t="s">
        <v>5136</v>
      </c>
      <c r="C3494" s="259" t="s">
        <v>4871</v>
      </c>
      <c r="D3494" s="328" t="s">
        <v>5153</v>
      </c>
      <c r="E3494" s="248" t="str">
        <f t="shared" si="56"/>
        <v>16 : 제주도</v>
      </c>
    </row>
    <row r="3495" spans="1:5" s="64" customFormat="1">
      <c r="A3495" s="316" t="s">
        <v>194</v>
      </c>
      <c r="B3495" s="123" t="s">
        <v>5136</v>
      </c>
      <c r="C3495" s="259" t="s">
        <v>4872</v>
      </c>
      <c r="D3495" s="328" t="s">
        <v>5154</v>
      </c>
      <c r="E3495" s="248" t="str">
        <f t="shared" si="56"/>
        <v>17 : 해외</v>
      </c>
    </row>
    <row r="3496" spans="1:5" s="64" customFormat="1">
      <c r="A3496" s="316" t="s">
        <v>5300</v>
      </c>
      <c r="B3496" s="123" t="s">
        <v>4739</v>
      </c>
      <c r="C3496" s="257" t="s">
        <v>4713</v>
      </c>
      <c r="D3496" s="333" t="s">
        <v>5303</v>
      </c>
      <c r="E3496" s="248" t="str">
        <f t="shared" si="56"/>
        <v>1 : 타행(사)의 당좌예금(결제전용) 앞 이체</v>
      </c>
    </row>
    <row r="3497" spans="1:5" s="64" customFormat="1">
      <c r="A3497" s="316" t="s">
        <v>5313</v>
      </c>
      <c r="B3497" s="123" t="s">
        <v>5314</v>
      </c>
      <c r="C3497" s="257" t="s">
        <v>4713</v>
      </c>
      <c r="D3497" s="333" t="s">
        <v>5317</v>
      </c>
      <c r="E3497" s="248" t="str">
        <f t="shared" si="56"/>
        <v>1 : CMS계좌 또는 CMS코드 사용</v>
      </c>
    </row>
    <row r="3498" spans="1:5" s="64" customFormat="1">
      <c r="A3498" s="316" t="s">
        <v>5313</v>
      </c>
      <c r="B3498" s="123" t="s">
        <v>5314</v>
      </c>
      <c r="C3498" s="257" t="s">
        <v>4714</v>
      </c>
      <c r="D3498" s="333" t="s">
        <v>5318</v>
      </c>
      <c r="E3498" s="248" t="str">
        <f t="shared" si="56"/>
        <v>2 : 기타계좌 또는 CMS코드 미사용</v>
      </c>
    </row>
    <row r="3499" spans="1:5" s="64" customFormat="1">
      <c r="A3499" s="316" t="s">
        <v>5189</v>
      </c>
      <c r="B3499" s="123" t="s">
        <v>4739</v>
      </c>
      <c r="C3499" s="257" t="s">
        <v>4713</v>
      </c>
      <c r="D3499" s="333" t="s">
        <v>5332</v>
      </c>
      <c r="E3499" s="248" t="str">
        <f t="shared" si="56"/>
        <v>1 : 수취인지정자금 이체 입금결과 통보</v>
      </c>
    </row>
    <row r="3500" spans="1:5" s="64" customFormat="1">
      <c r="A3500" s="316" t="s">
        <v>5189</v>
      </c>
      <c r="B3500" s="123" t="s">
        <v>4739</v>
      </c>
      <c r="C3500" s="257" t="s">
        <v>4714</v>
      </c>
      <c r="D3500" s="333" t="s">
        <v>5333</v>
      </c>
      <c r="E3500" s="248" t="str">
        <f t="shared" si="56"/>
        <v>2 : 수취인지정자금 이체 반환 입금결과 통보</v>
      </c>
    </row>
    <row r="3501" spans="1:5" s="64" customFormat="1">
      <c r="A3501" s="316" t="s">
        <v>197</v>
      </c>
      <c r="B3501" s="123" t="s">
        <v>4739</v>
      </c>
      <c r="C3501" s="257" t="s">
        <v>4712</v>
      </c>
      <c r="D3501" s="333" t="s">
        <v>5335</v>
      </c>
      <c r="E3501" s="248" t="str">
        <f t="shared" si="56"/>
        <v>0 : 수취계좌 입금결과정보 없음</v>
      </c>
    </row>
    <row r="3502" spans="1:5" s="64" customFormat="1">
      <c r="A3502" s="316" t="s">
        <v>197</v>
      </c>
      <c r="B3502" s="123" t="s">
        <v>4739</v>
      </c>
      <c r="C3502" s="257" t="s">
        <v>4713</v>
      </c>
      <c r="D3502" s="333" t="s">
        <v>5336</v>
      </c>
      <c r="E3502" s="248" t="str">
        <f t="shared" si="56"/>
        <v>1 : 수취계좌 입금완료</v>
      </c>
    </row>
    <row r="3503" spans="1:5" s="64" customFormat="1">
      <c r="A3503" s="316" t="s">
        <v>197</v>
      </c>
      <c r="B3503" s="123" t="s">
        <v>4739</v>
      </c>
      <c r="C3503" s="257" t="s">
        <v>4714</v>
      </c>
      <c r="D3503" s="333" t="s">
        <v>5337</v>
      </c>
      <c r="E3503" s="248" t="str">
        <f t="shared" si="56"/>
        <v>2 : 수취계좌 입금실패</v>
      </c>
    </row>
    <row r="3504" spans="1:5" s="64" customFormat="1">
      <c r="A3504" s="316" t="s">
        <v>5342</v>
      </c>
      <c r="B3504" s="123" t="s">
        <v>4739</v>
      </c>
      <c r="C3504" s="257" t="s">
        <v>4713</v>
      </c>
      <c r="D3504" s="333" t="s">
        <v>5339</v>
      </c>
      <c r="E3504" s="248" t="str">
        <f t="shared" si="56"/>
        <v>1 : 수취인지정자금 이체 입금결과 조회</v>
      </c>
    </row>
    <row r="3505" spans="1:5" s="64" customFormat="1">
      <c r="A3505" s="316" t="s">
        <v>5342</v>
      </c>
      <c r="B3505" s="123" t="s">
        <v>4739</v>
      </c>
      <c r="C3505" s="257" t="s">
        <v>4714</v>
      </c>
      <c r="D3505" s="333" t="s">
        <v>5340</v>
      </c>
      <c r="E3505" s="248" t="str">
        <f t="shared" si="56"/>
        <v>2 : 수취인지정자금 이체 반환 입금결과 조회</v>
      </c>
    </row>
    <row r="3506" spans="1:5" s="64" customFormat="1">
      <c r="A3506" s="316" t="s">
        <v>5182</v>
      </c>
      <c r="B3506" s="123" t="s">
        <v>4739</v>
      </c>
      <c r="C3506" s="257" t="s">
        <v>4713</v>
      </c>
      <c r="D3506" s="333" t="s">
        <v>5349</v>
      </c>
      <c r="E3506" s="248" t="str">
        <f t="shared" si="56"/>
        <v>1 : 있음</v>
      </c>
    </row>
    <row r="3507" spans="1:5" s="64" customFormat="1">
      <c r="A3507" s="316" t="s">
        <v>5182</v>
      </c>
      <c r="B3507" s="123" t="s">
        <v>4739</v>
      </c>
      <c r="C3507" s="257" t="s">
        <v>4714</v>
      </c>
      <c r="D3507" s="333" t="s">
        <v>4739</v>
      </c>
      <c r="E3507" s="248" t="str">
        <f t="shared" si="56"/>
        <v>2 : 없음</v>
      </c>
    </row>
    <row r="3508" spans="1:5" s="64" customFormat="1">
      <c r="A3508" s="316"/>
      <c r="B3508" s="123"/>
      <c r="C3508" s="257"/>
      <c r="D3508" s="333"/>
      <c r="E3508" s="248" t="str">
        <f t="shared" si="56"/>
        <v xml:space="preserve"> : </v>
      </c>
    </row>
    <row r="3509" spans="1:5" s="64" customFormat="1">
      <c r="A3509" s="316"/>
      <c r="B3509" s="123"/>
      <c r="C3509" s="257"/>
      <c r="D3509" s="333"/>
      <c r="E3509" s="248" t="str">
        <f t="shared" si="56"/>
        <v xml:space="preserve"> : </v>
      </c>
    </row>
    <row r="3510" spans="1:5" s="64" customFormat="1">
      <c r="A3510" s="316"/>
      <c r="B3510" s="123"/>
      <c r="C3510" s="257"/>
      <c r="D3510" s="333"/>
      <c r="E3510" s="248" t="str">
        <f t="shared" si="56"/>
        <v xml:space="preserve"> : </v>
      </c>
    </row>
    <row r="3511" spans="1:5" ht="14.25" thickBot="1">
      <c r="A3511" s="325"/>
      <c r="B3511" s="326"/>
      <c r="C3511" s="260"/>
      <c r="D3511" s="337"/>
      <c r="E3511" s="252"/>
    </row>
  </sheetData>
  <phoneticPr fontId="1" type="noConversion"/>
  <hyperlinks>
    <hyperlink ref="A1" location="별첨10" display="목록으로 이동" xr:uid="{A77AA33A-CCB6-43B5-8332-071FB4434D2C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45B5-E080-4965-BD90-D860260A68C3}">
  <sheetPr codeName="Sheet11"/>
  <dimension ref="A1:L13"/>
  <sheetViews>
    <sheetView zoomScale="85" zoomScaleNormal="85" workbookViewId="0"/>
  </sheetViews>
  <sheetFormatPr defaultRowHeight="16.5"/>
  <cols>
    <col min="1" max="1" width="4.625" style="10" customWidth="1"/>
    <col min="2" max="2" width="7.75" style="10" customWidth="1"/>
    <col min="3" max="3" width="21.25" style="10" customWidth="1"/>
    <col min="4" max="6" width="4.625" style="10" customWidth="1"/>
    <col min="7" max="8" width="8.25" style="7" bestFit="1" customWidth="1"/>
    <col min="9" max="9" width="9" style="10"/>
    <col min="10" max="10" width="11.5" style="10" customWidth="1"/>
    <col min="11" max="11" width="32.875" style="10" customWidth="1"/>
    <col min="12" max="12" width="22.25" style="10" customWidth="1"/>
    <col min="13" max="16384" width="9" style="10"/>
  </cols>
  <sheetData>
    <row r="1" spans="1:12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9.5" thickBot="1">
      <c r="A2" s="383" t="s">
        <v>5033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15" customHeight="1">
      <c r="A3" s="400" t="s">
        <v>0</v>
      </c>
      <c r="B3" s="401"/>
      <c r="C3" s="407" t="s">
        <v>7624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ht="15" customHeight="1">
      <c r="A4" s="402" t="s">
        <v>31</v>
      </c>
      <c r="B4" s="403"/>
      <c r="C4" s="119" t="s">
        <v>7628</v>
      </c>
      <c r="D4" s="404" t="s">
        <v>32</v>
      </c>
      <c r="E4" s="405"/>
      <c r="F4" s="406"/>
      <c r="G4" s="410" t="s">
        <v>183</v>
      </c>
      <c r="H4" s="411"/>
      <c r="I4" s="412"/>
      <c r="J4" s="115" t="s">
        <v>5263</v>
      </c>
      <c r="K4" s="410"/>
      <c r="L4" s="413"/>
    </row>
    <row r="5" spans="1:12" ht="14.25" customHeight="1" thickBot="1">
      <c r="A5" s="395" t="s">
        <v>34</v>
      </c>
      <c r="B5" s="396"/>
      <c r="C5" s="120">
        <v>264</v>
      </c>
      <c r="D5" s="397" t="s">
        <v>35</v>
      </c>
      <c r="E5" s="398"/>
      <c r="F5" s="399"/>
      <c r="G5" s="414" t="s">
        <v>84</v>
      </c>
      <c r="H5" s="415"/>
      <c r="I5" s="416"/>
      <c r="J5" s="118" t="s">
        <v>36</v>
      </c>
      <c r="K5" s="417" t="str">
        <f>VLOOKUP(G4,목록!E13:$G$82,3,FALSE)</f>
        <v>SLP870902PW</v>
      </c>
      <c r="L5" s="418"/>
    </row>
    <row r="6" spans="1:12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ht="15" customHeight="1">
      <c r="A8" s="62">
        <v>0</v>
      </c>
      <c r="B8" s="377" t="s">
        <v>29</v>
      </c>
      <c r="C8" s="378"/>
      <c r="D8" s="206">
        <v>200</v>
      </c>
      <c r="E8" s="47" t="s">
        <v>30</v>
      </c>
      <c r="F8" s="204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ht="30" customHeight="1">
      <c r="A9" s="210">
        <v>1</v>
      </c>
      <c r="B9" s="427" t="s">
        <v>3</v>
      </c>
      <c r="C9" s="428"/>
      <c r="D9" s="233">
        <v>8</v>
      </c>
      <c r="E9" s="234" t="s">
        <v>4</v>
      </c>
      <c r="F9" s="235" t="s">
        <v>196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ht="15" customHeight="1">
      <c r="A10" s="210">
        <v>2</v>
      </c>
      <c r="B10" s="373" t="s">
        <v>272</v>
      </c>
      <c r="C10" s="373"/>
      <c r="D10" s="233">
        <v>4</v>
      </c>
      <c r="E10" s="234" t="s">
        <v>4</v>
      </c>
      <c r="F10" s="235" t="s">
        <v>196</v>
      </c>
      <c r="G10" s="209" t="s">
        <v>446</v>
      </c>
      <c r="H10" s="209" t="s">
        <v>446</v>
      </c>
      <c r="I10" s="366" t="s">
        <v>4916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ht="15" customHeight="1">
      <c r="A11" s="210">
        <v>3</v>
      </c>
      <c r="B11" s="373" t="s">
        <v>285</v>
      </c>
      <c r="C11" s="373"/>
      <c r="D11" s="233">
        <v>20</v>
      </c>
      <c r="E11" s="234" t="s">
        <v>4</v>
      </c>
      <c r="F11" s="235" t="s">
        <v>196</v>
      </c>
      <c r="G11" s="209" t="s">
        <v>446</v>
      </c>
      <c r="H11" s="209" t="s">
        <v>446</v>
      </c>
      <c r="I11" s="366" t="s">
        <v>5031</v>
      </c>
      <c r="J11" s="367"/>
      <c r="K11" s="429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ht="67.5">
      <c r="A12" s="210">
        <v>4</v>
      </c>
      <c r="B12" s="373" t="s">
        <v>4841</v>
      </c>
      <c r="C12" s="373"/>
      <c r="D12" s="233">
        <v>2</v>
      </c>
      <c r="E12" s="234" t="s">
        <v>4</v>
      </c>
      <c r="F12" s="235" t="s">
        <v>5</v>
      </c>
      <c r="G12" s="209" t="s">
        <v>4690</v>
      </c>
      <c r="H12" s="209" t="s">
        <v>446</v>
      </c>
      <c r="I12" s="374" t="s">
        <v>5032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>01 : 요구완료
02 : 요구응답완료
03 : 통보완료
04 : 통보응답완료
99 : 미확인</v>
      </c>
    </row>
    <row r="13" spans="1:12" ht="15" customHeight="1" thickBot="1">
      <c r="A13" s="213">
        <v>5</v>
      </c>
      <c r="B13" s="425" t="s">
        <v>25</v>
      </c>
      <c r="C13" s="426"/>
      <c r="D13" s="238">
        <v>30</v>
      </c>
      <c r="E13" s="239" t="s">
        <v>80</v>
      </c>
      <c r="F13" s="240" t="s">
        <v>196</v>
      </c>
      <c r="G13" s="108" t="s">
        <v>4690</v>
      </c>
      <c r="H13" s="108" t="s">
        <v>4690</v>
      </c>
      <c r="I13" s="422" t="s">
        <v>254</v>
      </c>
      <c r="J13" s="423"/>
      <c r="K13" s="424"/>
      <c r="L13" s="198" t="str">
        <f ca="1">IFERROR(_xlfn.TEXTJOIN(CHAR(10), TRUE, OFFSET('&lt;별첨9&gt;전체코드'!E:E, MATCH(B13,'&lt;별첨9&gt;전체코드'!A:A,0)-1, 0, COUNTIF('&lt;별첨9&gt;전체코드'!A:A,B13), 1)), "")</f>
        <v/>
      </c>
    </row>
  </sheetData>
  <mergeCells count="25">
    <mergeCell ref="I7:K7"/>
    <mergeCell ref="I8:K8"/>
    <mergeCell ref="I9:K9"/>
    <mergeCell ref="I10:K10"/>
    <mergeCell ref="I13:K13"/>
    <mergeCell ref="I11:K11"/>
    <mergeCell ref="I12:K12"/>
    <mergeCell ref="A2:L2"/>
    <mergeCell ref="D5:F5"/>
    <mergeCell ref="A3:B3"/>
    <mergeCell ref="A4:B4"/>
    <mergeCell ref="D4:F4"/>
    <mergeCell ref="G5:I5"/>
    <mergeCell ref="K5:L5"/>
    <mergeCell ref="A5:B5"/>
    <mergeCell ref="C3:L3"/>
    <mergeCell ref="G4:I4"/>
    <mergeCell ref="K4:L4"/>
    <mergeCell ref="B12:C12"/>
    <mergeCell ref="B13:C13"/>
    <mergeCell ref="B10:C10"/>
    <mergeCell ref="B11:C11"/>
    <mergeCell ref="B7:C7"/>
    <mergeCell ref="B8:C8"/>
    <mergeCell ref="B9:C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AEE8-1DE1-4E8A-9AE5-DA03E2175EFC}">
  <sheetPr codeName="Sheet25">
    <pageSetUpPr fitToPage="1"/>
  </sheetPr>
  <dimension ref="A1:L1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25.25" style="28" customWidth="1"/>
    <col min="12" max="12" width="23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308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0</v>
      </c>
      <c r="B3" s="435"/>
      <c r="C3" s="434" t="s">
        <v>7629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89</v>
      </c>
      <c r="H4" s="411"/>
      <c r="I4" s="412"/>
      <c r="J4" s="115" t="s">
        <v>5263</v>
      </c>
      <c r="K4" s="410" t="s">
        <v>88</v>
      </c>
      <c r="L4" s="413"/>
    </row>
    <row r="5" spans="1:12" s="1" customFormat="1" ht="15" customHeight="1" thickBot="1">
      <c r="A5" s="395" t="s">
        <v>34</v>
      </c>
      <c r="B5" s="439"/>
      <c r="C5" s="117">
        <v>248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VLOOKUP(G4,목록!E13:$G$82,3,FALSE)</f>
        <v>SLP120302SW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7623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3.5" customHeight="1">
      <c r="A8" s="58">
        <v>0</v>
      </c>
      <c r="B8" s="430" t="s">
        <v>29</v>
      </c>
      <c r="C8" s="431"/>
      <c r="D8" s="206">
        <v>200</v>
      </c>
      <c r="E8" s="59" t="s">
        <v>30</v>
      </c>
      <c r="F8" s="60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27" customHeight="1">
      <c r="A9" s="210">
        <v>1</v>
      </c>
      <c r="B9" s="364" t="s">
        <v>3</v>
      </c>
      <c r="C9" s="365"/>
      <c r="D9" s="211">
        <v>8</v>
      </c>
      <c r="E9" s="208" t="s">
        <v>4</v>
      </c>
      <c r="F9" s="209" t="s">
        <v>100</v>
      </c>
      <c r="G9" s="209" t="s">
        <v>446</v>
      </c>
      <c r="H9" s="209" t="s">
        <v>446</v>
      </c>
      <c r="I9" s="374" t="s">
        <v>7611</v>
      </c>
      <c r="J9" s="375"/>
      <c r="K9" s="376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27" customHeight="1">
      <c r="A10" s="210">
        <v>2</v>
      </c>
      <c r="B10" s="364" t="s">
        <v>91</v>
      </c>
      <c r="C10" s="365"/>
      <c r="D10" s="211">
        <v>4</v>
      </c>
      <c r="E10" s="208" t="s">
        <v>4</v>
      </c>
      <c r="F10" s="209" t="s">
        <v>100</v>
      </c>
      <c r="G10" s="209" t="s">
        <v>446</v>
      </c>
      <c r="H10" s="209" t="s">
        <v>446</v>
      </c>
      <c r="I10" s="374" t="s">
        <v>4789</v>
      </c>
      <c r="J10" s="375"/>
      <c r="K10" s="376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45" customHeight="1">
      <c r="A11" s="210">
        <v>3</v>
      </c>
      <c r="B11" s="364" t="s">
        <v>4799</v>
      </c>
      <c r="C11" s="365"/>
      <c r="D11" s="211">
        <v>1</v>
      </c>
      <c r="E11" s="208" t="s">
        <v>4</v>
      </c>
      <c r="F11" s="209" t="s">
        <v>100</v>
      </c>
      <c r="G11" s="209" t="s">
        <v>446</v>
      </c>
      <c r="H11" s="209" t="s">
        <v>446</v>
      </c>
      <c r="I11" s="366" t="s">
        <v>4800</v>
      </c>
      <c r="J11" s="367"/>
      <c r="K11" s="367"/>
      <c r="L11" s="196" t="str">
        <f ca="1">IFERROR(_xlfn.TEXTJOIN(CHAR(10), TRUE, OFFSET('&lt;별첨9&gt;전체코드'!E:E, MATCH(B11,'&lt;별첨9&gt;전체코드'!A:A,0)-1, 0, COUNTIF('&lt;별첨9&gt;전체코드'!A:A,B11), 1)), "")</f>
        <v>1 : 한은금융망 당좌예금계좌
2 : 금융결제국 당좌예금계좌</v>
      </c>
    </row>
    <row r="12" spans="1:12" s="1" customFormat="1" ht="27" customHeight="1">
      <c r="A12" s="210">
        <v>4</v>
      </c>
      <c r="B12" s="364" t="s">
        <v>20</v>
      </c>
      <c r="C12" s="365"/>
      <c r="D12" s="211">
        <v>5</v>
      </c>
      <c r="E12" s="208" t="s">
        <v>4</v>
      </c>
      <c r="F12" s="209" t="s">
        <v>100</v>
      </c>
      <c r="G12" s="209" t="s">
        <v>446</v>
      </c>
      <c r="H12" s="209" t="s">
        <v>446</v>
      </c>
      <c r="I12" s="374" t="s">
        <v>4790</v>
      </c>
      <c r="J12" s="375"/>
      <c r="K12" s="376"/>
      <c r="L12" s="196" t="str">
        <f ca="1">IFERROR(_xlfn.TEXTJOIN(CHAR(10), TRUE, OFFSET('&lt;별첨9&gt;전체코드'!E:E, MATCH(B12,'&lt;별첨9&gt;전체코드'!A:A,0)-1, 0, COUNTIF('&lt;별첨9&gt;전체코드'!A:A,B12), 1)), "")</f>
        <v/>
      </c>
    </row>
    <row r="13" spans="1:12" s="1" customFormat="1" ht="27" customHeight="1">
      <c r="A13" s="210">
        <v>5</v>
      </c>
      <c r="B13" s="364" t="s">
        <v>111</v>
      </c>
      <c r="C13" s="365"/>
      <c r="D13" s="211">
        <v>6</v>
      </c>
      <c r="E13" s="208" t="s">
        <v>4</v>
      </c>
      <c r="F13" s="209" t="s">
        <v>78</v>
      </c>
      <c r="G13" s="209" t="s">
        <v>4690</v>
      </c>
      <c r="H13" s="209" t="s">
        <v>446</v>
      </c>
      <c r="I13" s="374" t="s">
        <v>7634</v>
      </c>
      <c r="J13" s="375"/>
      <c r="K13" s="376"/>
      <c r="L13" s="196" t="str">
        <f ca="1">IFERROR(_xlfn.TEXTJOIN(CHAR(10), TRUE, OFFSET('&lt;별첨9&gt;전체코드'!E:E, MATCH(B13,'&lt;별첨9&gt;전체코드'!A:A,0)-1, 0, COUNTIF('&lt;별첨9&gt;전체코드'!A:A,B13), 1)), "")</f>
        <v/>
      </c>
    </row>
    <row r="14" spans="1:12" s="1" customFormat="1" ht="13.5">
      <c r="A14" s="210">
        <v>6</v>
      </c>
      <c r="B14" s="364" t="s">
        <v>99</v>
      </c>
      <c r="C14" s="365"/>
      <c r="D14" s="212">
        <v>4</v>
      </c>
      <c r="E14" s="208" t="s">
        <v>4</v>
      </c>
      <c r="F14" s="209" t="s">
        <v>100</v>
      </c>
      <c r="G14" s="209" t="s">
        <v>446</v>
      </c>
      <c r="H14" s="209" t="s">
        <v>446</v>
      </c>
      <c r="I14" s="366" t="s">
        <v>4801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15" customHeight="1" thickBot="1">
      <c r="A15" s="213">
        <v>7</v>
      </c>
      <c r="B15" s="432" t="s">
        <v>25</v>
      </c>
      <c r="C15" s="433"/>
      <c r="D15" s="214">
        <v>20</v>
      </c>
      <c r="E15" s="107" t="s">
        <v>80</v>
      </c>
      <c r="F15" s="108" t="s">
        <v>100</v>
      </c>
      <c r="G15" s="108" t="s">
        <v>4690</v>
      </c>
      <c r="H15" s="108" t="s">
        <v>4690</v>
      </c>
      <c r="I15" s="422" t="s">
        <v>254</v>
      </c>
      <c r="J15" s="423"/>
      <c r="K15" s="424"/>
      <c r="L15" s="198" t="str">
        <f ca="1">IFERROR(_xlfn.TEXTJOIN(CHAR(10), TRUE, OFFSET('&lt;별첨9&gt;전체코드'!E:E, MATCH(B15,'&lt;별첨9&gt;전체코드'!A:A,0)-1, 0, COUNTIF('&lt;별첨9&gt;전체코드'!A:A,B15), 1)), "")</f>
        <v/>
      </c>
    </row>
  </sheetData>
  <mergeCells count="29">
    <mergeCell ref="C3:L3"/>
    <mergeCell ref="A2:L2"/>
    <mergeCell ref="A3:B3"/>
    <mergeCell ref="G5:I5"/>
    <mergeCell ref="K5:L5"/>
    <mergeCell ref="A4:B4"/>
    <mergeCell ref="D4:F4"/>
    <mergeCell ref="G4:I4"/>
    <mergeCell ref="K4:L4"/>
    <mergeCell ref="A5:B5"/>
    <mergeCell ref="D5:F5"/>
    <mergeCell ref="B14:C14"/>
    <mergeCell ref="B15:C15"/>
    <mergeCell ref="I14:K14"/>
    <mergeCell ref="B9:C9"/>
    <mergeCell ref="B12:C12"/>
    <mergeCell ref="B10:C10"/>
    <mergeCell ref="B11:C11"/>
    <mergeCell ref="I9:K9"/>
    <mergeCell ref="I10:K10"/>
    <mergeCell ref="I11:K11"/>
    <mergeCell ref="I12:K12"/>
    <mergeCell ref="I13:K13"/>
    <mergeCell ref="I15:K15"/>
    <mergeCell ref="B7:C7"/>
    <mergeCell ref="B8:C8"/>
    <mergeCell ref="I7:K7"/>
    <mergeCell ref="I8:K8"/>
    <mergeCell ref="B13:C13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9CBC-B90C-48C6-85AB-1F2FFEB4AB7C}">
  <sheetPr codeName="Sheet27"/>
  <dimension ref="A1:L45"/>
  <sheetViews>
    <sheetView zoomScale="85" zoomScaleNormal="85" workbookViewId="0"/>
  </sheetViews>
  <sheetFormatPr defaultRowHeight="12"/>
  <cols>
    <col min="1" max="1" width="4.5" style="28" customWidth="1"/>
    <col min="2" max="2" width="9" style="28"/>
    <col min="3" max="3" width="12.5" style="28" customWidth="1"/>
    <col min="4" max="6" width="5" style="28" bestFit="1" customWidth="1"/>
    <col min="7" max="8" width="8.25" style="28" bestFit="1" customWidth="1"/>
    <col min="9" max="9" width="15" style="28" customWidth="1"/>
    <col min="10" max="10" width="12.5" style="28" customWidth="1"/>
    <col min="11" max="11" width="37" style="28" customWidth="1"/>
    <col min="12" max="12" width="18.625" style="28" customWidth="1"/>
    <col min="13" max="16384" width="9" style="2"/>
  </cols>
  <sheetData>
    <row r="1" spans="1:12" ht="16.5">
      <c r="A1" s="27" t="str">
        <f>HYPERLINK("#목록!H" &amp; MATCH(G4,목록!E:E,0),"목록으로 이동")</f>
        <v>목록으로 이동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0" customFormat="1" ht="19.5" thickBot="1">
      <c r="A2" s="383" t="s">
        <v>309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15" customHeight="1">
      <c r="A3" s="400" t="s">
        <v>76</v>
      </c>
      <c r="B3" s="435"/>
      <c r="C3" s="434" t="s">
        <v>7625</v>
      </c>
      <c r="D3" s="408"/>
      <c r="E3" s="408"/>
      <c r="F3" s="408"/>
      <c r="G3" s="408"/>
      <c r="H3" s="408"/>
      <c r="I3" s="408"/>
      <c r="J3" s="408"/>
      <c r="K3" s="408"/>
      <c r="L3" s="409"/>
    </row>
    <row r="4" spans="1:12" s="1" customFormat="1" ht="15" customHeight="1">
      <c r="A4" s="402" t="s">
        <v>31</v>
      </c>
      <c r="B4" s="438"/>
      <c r="C4" s="116" t="s">
        <v>7627</v>
      </c>
      <c r="D4" s="404" t="s">
        <v>32</v>
      </c>
      <c r="E4" s="405"/>
      <c r="F4" s="406"/>
      <c r="G4" s="410" t="s">
        <v>101</v>
      </c>
      <c r="H4" s="411"/>
      <c r="I4" s="412"/>
      <c r="J4" s="115" t="s">
        <v>33</v>
      </c>
      <c r="K4" s="410"/>
      <c r="L4" s="413"/>
    </row>
    <row r="5" spans="1:12" s="1" customFormat="1" ht="15" customHeight="1" thickBot="1">
      <c r="A5" s="395" t="s">
        <v>34</v>
      </c>
      <c r="B5" s="439"/>
      <c r="C5" s="117">
        <v>312</v>
      </c>
      <c r="D5" s="397" t="s">
        <v>35</v>
      </c>
      <c r="E5" s="398"/>
      <c r="F5" s="399"/>
      <c r="G5" s="417" t="s">
        <v>1</v>
      </c>
      <c r="H5" s="436"/>
      <c r="I5" s="437"/>
      <c r="J5" s="118" t="s">
        <v>36</v>
      </c>
      <c r="K5" s="417" t="str">
        <f>VLOOKUP(G4,목록!E13:$G$82,3,FALSE)</f>
        <v>SLP120101BW</v>
      </c>
      <c r="L5" s="418"/>
    </row>
    <row r="6" spans="1:12" s="1" customFormat="1" ht="15" customHeight="1" thickBot="1">
      <c r="A6" s="30" t="s">
        <v>30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s="1" customFormat="1" ht="15" customHeight="1" thickBot="1">
      <c r="A7" s="33" t="s">
        <v>2</v>
      </c>
      <c r="B7" s="381" t="s">
        <v>37</v>
      </c>
      <c r="C7" s="419"/>
      <c r="D7" s="200" t="s">
        <v>28</v>
      </c>
      <c r="E7" s="202" t="s">
        <v>38</v>
      </c>
      <c r="F7" s="200" t="s">
        <v>39</v>
      </c>
      <c r="G7" s="200" t="s">
        <v>7621</v>
      </c>
      <c r="H7" s="345" t="s">
        <v>7622</v>
      </c>
      <c r="I7" s="381" t="s">
        <v>40</v>
      </c>
      <c r="J7" s="382"/>
      <c r="K7" s="382"/>
      <c r="L7" s="109" t="s">
        <v>4708</v>
      </c>
    </row>
    <row r="8" spans="1:12" s="1" customFormat="1" ht="15" customHeight="1">
      <c r="A8" s="58">
        <v>0</v>
      </c>
      <c r="B8" s="373" t="s">
        <v>29</v>
      </c>
      <c r="C8" s="373"/>
      <c r="D8" s="206">
        <v>200</v>
      </c>
      <c r="E8" s="59" t="s">
        <v>30</v>
      </c>
      <c r="F8" s="60" t="s">
        <v>30</v>
      </c>
      <c r="G8" s="209"/>
      <c r="H8" s="209"/>
      <c r="I8" s="379" t="s">
        <v>4665</v>
      </c>
      <c r="J8" s="380"/>
      <c r="K8" s="380"/>
      <c r="L8" s="199" t="str">
        <f ca="1">IFERROR(_xlfn.TEXTJOIN(CHAR(10), TRUE, OFFSET('&lt;별첨9&gt;전체코드'!E:E, MATCH(B8,'&lt;별첨9&gt;전체코드'!A:A,0)-1, 0, COUNTIF('&lt;별첨9&gt;전체코드'!A:A,B8), 1)), "")</f>
        <v/>
      </c>
    </row>
    <row r="9" spans="1:12" s="1" customFormat="1" ht="30" customHeight="1">
      <c r="A9" s="210">
        <v>1</v>
      </c>
      <c r="B9" s="373" t="s">
        <v>3</v>
      </c>
      <c r="C9" s="373"/>
      <c r="D9" s="206">
        <v>8</v>
      </c>
      <c r="E9" s="228" t="s">
        <v>4</v>
      </c>
      <c r="F9" s="209" t="s">
        <v>5</v>
      </c>
      <c r="G9" s="209" t="s">
        <v>446</v>
      </c>
      <c r="H9" s="209" t="s">
        <v>446</v>
      </c>
      <c r="I9" s="366" t="s">
        <v>7611</v>
      </c>
      <c r="J9" s="367"/>
      <c r="K9" s="367"/>
      <c r="L9" s="196" t="str">
        <f ca="1">IFERROR(_xlfn.TEXTJOIN(CHAR(10), TRUE, OFFSET('&lt;별첨9&gt;전체코드'!E:E, MATCH(B9,'&lt;별첨9&gt;전체코드'!A:A,0)-1, 0, COUNTIF('&lt;별첨9&gt;전체코드'!A:A,B9), 1)), "")</f>
        <v/>
      </c>
    </row>
    <row r="10" spans="1:12" s="1" customFormat="1" ht="30" customHeight="1">
      <c r="A10" s="210">
        <v>2</v>
      </c>
      <c r="B10" s="373" t="s">
        <v>91</v>
      </c>
      <c r="C10" s="373"/>
      <c r="D10" s="206">
        <v>4</v>
      </c>
      <c r="E10" s="228" t="s">
        <v>4</v>
      </c>
      <c r="F10" s="209" t="s">
        <v>5</v>
      </c>
      <c r="G10" s="209" t="s">
        <v>446</v>
      </c>
      <c r="H10" s="209" t="s">
        <v>446</v>
      </c>
      <c r="I10" s="366" t="s">
        <v>4923</v>
      </c>
      <c r="J10" s="367"/>
      <c r="K10" s="367"/>
      <c r="L10" s="196" t="str">
        <f ca="1">IFERROR(_xlfn.TEXTJOIN(CHAR(10), TRUE, OFFSET('&lt;별첨9&gt;전체코드'!E:E, MATCH(B10,'&lt;별첨9&gt;전체코드'!A:A,0)-1, 0, COUNTIF('&lt;별첨9&gt;전체코드'!A:A,B10), 1)), "")</f>
        <v>&lt;별첨3&gt; 참조</v>
      </c>
    </row>
    <row r="11" spans="1:12" s="1" customFormat="1" ht="15" customHeight="1">
      <c r="A11" s="210">
        <v>3</v>
      </c>
      <c r="B11" s="373" t="s">
        <v>20</v>
      </c>
      <c r="C11" s="373"/>
      <c r="D11" s="206">
        <v>5</v>
      </c>
      <c r="E11" s="228" t="s">
        <v>4</v>
      </c>
      <c r="F11" s="209" t="s">
        <v>5</v>
      </c>
      <c r="G11" s="209" t="s">
        <v>446</v>
      </c>
      <c r="H11" s="209" t="s">
        <v>446</v>
      </c>
      <c r="I11" s="374" t="s">
        <v>4790</v>
      </c>
      <c r="J11" s="375"/>
      <c r="K11" s="376"/>
      <c r="L11" s="196" t="str">
        <f ca="1">IFERROR(_xlfn.TEXTJOIN(CHAR(10), TRUE, OFFSET('&lt;별첨9&gt;전체코드'!E:E, MATCH(B11,'&lt;별첨9&gt;전체코드'!A:A,0)-1, 0, COUNTIF('&lt;별첨9&gt;전체코드'!A:A,B11), 1)), "")</f>
        <v/>
      </c>
    </row>
    <row r="12" spans="1:12" s="1" customFormat="1" ht="121.5">
      <c r="A12" s="210">
        <v>4</v>
      </c>
      <c r="B12" s="374" t="s">
        <v>5284</v>
      </c>
      <c r="C12" s="376"/>
      <c r="D12" s="206">
        <v>2</v>
      </c>
      <c r="E12" s="228" t="s">
        <v>4</v>
      </c>
      <c r="F12" s="209" t="s">
        <v>5</v>
      </c>
      <c r="G12" s="209" t="s">
        <v>446</v>
      </c>
      <c r="H12" s="209" t="s">
        <v>446</v>
      </c>
      <c r="I12" s="366" t="s">
        <v>4924</v>
      </c>
      <c r="J12" s="367"/>
      <c r="K12" s="367"/>
      <c r="L12" s="196" t="str">
        <f ca="1">IFERROR(_xlfn.TEXTJOIN(CHAR(10), TRUE, OFFSET('&lt;별첨9&gt;전체코드'!E:E, MATCH(B12,'&lt;별첨9&gt;전체코드'!A:A,0)-1, 0, COUNTIF('&lt;별첨9&gt;전체코드'!A:A,B12), 1)), "")</f>
        <v>10 : 자금이체
11 : 중개거래콜체결
12 : 은행간직거래콜체결
13 : 중개거래콜상환
14 : 은행간직거래콜상환
19 : PAY-IN 입력
61 : 일반자금이체
62 : 수취인지정자금이체
65 : 증권대금이체</v>
      </c>
    </row>
    <row r="13" spans="1:12" s="1" customFormat="1" ht="30" customHeight="1">
      <c r="A13" s="210">
        <v>5</v>
      </c>
      <c r="B13" s="373" t="s">
        <v>92</v>
      </c>
      <c r="C13" s="373"/>
      <c r="D13" s="206">
        <v>4</v>
      </c>
      <c r="E13" s="228" t="s">
        <v>4</v>
      </c>
      <c r="F13" s="209" t="s">
        <v>5</v>
      </c>
      <c r="G13" s="209" t="s">
        <v>446</v>
      </c>
      <c r="H13" s="209" t="s">
        <v>446</v>
      </c>
      <c r="I13" s="366" t="s">
        <v>4925</v>
      </c>
      <c r="J13" s="367"/>
      <c r="K13" s="367"/>
      <c r="L13" s="196" t="str">
        <f ca="1">IFERROR(_xlfn.TEXTJOIN(CHAR(10), TRUE, OFFSET('&lt;별첨9&gt;전체코드'!E:E, MATCH(B13,'&lt;별첨9&gt;전체코드'!A:A,0)-1, 0, COUNTIF('&lt;별첨9&gt;전체코드'!A:A,B13), 1)), "")</f>
        <v>&lt;별첨3&gt; 참조</v>
      </c>
    </row>
    <row r="14" spans="1:12" s="1" customFormat="1" ht="15" customHeight="1">
      <c r="A14" s="210">
        <v>6</v>
      </c>
      <c r="B14" s="372" t="s">
        <v>93</v>
      </c>
      <c r="C14" s="372"/>
      <c r="D14" s="206">
        <v>12</v>
      </c>
      <c r="E14" s="228" t="s">
        <v>4</v>
      </c>
      <c r="F14" s="209" t="s">
        <v>5</v>
      </c>
      <c r="G14" s="209" t="s">
        <v>4661</v>
      </c>
      <c r="H14" s="209" t="s">
        <v>4661</v>
      </c>
      <c r="I14" s="366" t="s">
        <v>4926</v>
      </c>
      <c r="J14" s="367"/>
      <c r="K14" s="367"/>
      <c r="L14" s="196" t="str">
        <f ca="1">IFERROR(_xlfn.TEXTJOIN(CHAR(10), TRUE, OFFSET('&lt;별첨9&gt;전체코드'!E:E, MATCH(B14,'&lt;별첨9&gt;전체코드'!A:A,0)-1, 0, COUNTIF('&lt;별첨9&gt;전체코드'!A:A,B14), 1)), "")</f>
        <v/>
      </c>
    </row>
    <row r="15" spans="1:12" s="1" customFormat="1" ht="27">
      <c r="A15" s="210">
        <v>7</v>
      </c>
      <c r="B15" s="372" t="s">
        <v>94</v>
      </c>
      <c r="C15" s="372"/>
      <c r="D15" s="211">
        <v>2</v>
      </c>
      <c r="E15" s="224" t="s">
        <v>4</v>
      </c>
      <c r="F15" s="209" t="s">
        <v>5</v>
      </c>
      <c r="G15" s="209" t="s">
        <v>4661</v>
      </c>
      <c r="H15" s="209" t="s">
        <v>4661</v>
      </c>
      <c r="I15" s="366" t="s">
        <v>4927</v>
      </c>
      <c r="J15" s="367"/>
      <c r="K15" s="367"/>
      <c r="L15" s="196" t="str">
        <f ca="1">IFERROR(_xlfn.TEXTJOIN(CHAR(10), TRUE, OFFSET('&lt;별첨9&gt;전체코드'!E:E, MATCH(B15,'&lt;별첨9&gt;전체코드'!A:A,0)-1, 0, COUNTIF('&lt;별첨9&gt;전체코드'!A:A,B15), 1)), "")</f>
        <v>01 : DVP결제
02 : DVP결제제외(FOS)</v>
      </c>
    </row>
    <row r="16" spans="1:12" s="1" customFormat="1" ht="15" customHeight="1">
      <c r="A16" s="210">
        <v>8</v>
      </c>
      <c r="B16" s="374" t="s">
        <v>338</v>
      </c>
      <c r="C16" s="376"/>
      <c r="D16" s="206">
        <v>2</v>
      </c>
      <c r="E16" s="228" t="s">
        <v>4</v>
      </c>
      <c r="F16" s="209" t="s">
        <v>5</v>
      </c>
      <c r="G16" s="209" t="s">
        <v>4661</v>
      </c>
      <c r="H16" s="209" t="s">
        <v>4661</v>
      </c>
      <c r="I16" s="366" t="s">
        <v>4928</v>
      </c>
      <c r="J16" s="367"/>
      <c r="K16" s="367"/>
      <c r="L16" s="196" t="str">
        <f ca="1">IFERROR(_xlfn.TEXTJOIN(CHAR(10), TRUE, OFFSET('&lt;별첨9&gt;전체코드'!E:E, MATCH(B16,'&lt;별첨9&gt;전체코드'!A:A,0)-1, 0, COUNTIF('&lt;별첨9&gt;전체코드'!A:A,B16), 1)), "")</f>
        <v>&lt;별첨5&gt; 참조</v>
      </c>
    </row>
    <row r="17" spans="1:12" s="1" customFormat="1" ht="15" customHeight="1">
      <c r="A17" s="210">
        <v>9</v>
      </c>
      <c r="B17" s="372" t="s">
        <v>95</v>
      </c>
      <c r="C17" s="372"/>
      <c r="D17" s="206">
        <v>12</v>
      </c>
      <c r="E17" s="228" t="s">
        <v>4</v>
      </c>
      <c r="F17" s="209" t="s">
        <v>5</v>
      </c>
      <c r="G17" s="209" t="s">
        <v>4661</v>
      </c>
      <c r="H17" s="209" t="s">
        <v>4661</v>
      </c>
      <c r="I17" s="366" t="s">
        <v>4929</v>
      </c>
      <c r="J17" s="367"/>
      <c r="K17" s="367"/>
      <c r="L17" s="196" t="str">
        <f ca="1">IFERROR(_xlfn.TEXTJOIN(CHAR(10), TRUE, OFFSET('&lt;별첨9&gt;전체코드'!E:E, MATCH(B17,'&lt;별첨9&gt;전체코드'!A:A,0)-1, 0, COUNTIF('&lt;별첨9&gt;전체코드'!A:A,B17), 1)), "")</f>
        <v/>
      </c>
    </row>
    <row r="18" spans="1:12" s="1" customFormat="1" ht="15" customHeight="1">
      <c r="A18" s="210">
        <v>10</v>
      </c>
      <c r="B18" s="372" t="s">
        <v>96</v>
      </c>
      <c r="C18" s="372"/>
      <c r="D18" s="206">
        <v>5</v>
      </c>
      <c r="E18" s="228" t="s">
        <v>4</v>
      </c>
      <c r="F18" s="209" t="s">
        <v>5</v>
      </c>
      <c r="G18" s="209" t="s">
        <v>4661</v>
      </c>
      <c r="H18" s="209" t="s">
        <v>4661</v>
      </c>
      <c r="I18" s="366" t="s">
        <v>4930</v>
      </c>
      <c r="J18" s="367"/>
      <c r="K18" s="367"/>
      <c r="L18" s="196" t="str">
        <f ca="1">IFERROR(_xlfn.TEXTJOIN(CHAR(10), TRUE, OFFSET('&lt;별첨9&gt;전체코드'!E:E, MATCH(B18,'&lt;별첨9&gt;전체코드'!A:A,0)-1, 0, COUNTIF('&lt;별첨9&gt;전체코드'!A:A,B18), 1)), "")</f>
        <v/>
      </c>
    </row>
    <row r="19" spans="1:12" s="1" customFormat="1" ht="15" customHeight="1">
      <c r="A19" s="210">
        <v>11</v>
      </c>
      <c r="B19" s="372" t="s">
        <v>97</v>
      </c>
      <c r="C19" s="372"/>
      <c r="D19" s="206">
        <v>4</v>
      </c>
      <c r="E19" s="228" t="s">
        <v>4</v>
      </c>
      <c r="F19" s="209" t="s">
        <v>5</v>
      </c>
      <c r="G19" s="209" t="s">
        <v>4661</v>
      </c>
      <c r="H19" s="209" t="s">
        <v>4661</v>
      </c>
      <c r="I19" s="366" t="s">
        <v>4931</v>
      </c>
      <c r="J19" s="367"/>
      <c r="K19" s="367"/>
      <c r="L19" s="196" t="str">
        <f ca="1">IFERROR(_xlfn.TEXTJOIN(CHAR(10), TRUE, OFFSET('&lt;별첨9&gt;전체코드'!E:E, MATCH(B19,'&lt;별첨9&gt;전체코드'!A:A,0)-1, 0, COUNTIF('&lt;별첨9&gt;전체코드'!A:A,B19), 1)), "")</f>
        <v/>
      </c>
    </row>
    <row r="20" spans="1:12" s="1" customFormat="1" ht="15" customHeight="1">
      <c r="A20" s="210">
        <v>12</v>
      </c>
      <c r="B20" s="372" t="s">
        <v>10</v>
      </c>
      <c r="C20" s="372"/>
      <c r="D20" s="211">
        <v>18</v>
      </c>
      <c r="E20" s="228" t="s">
        <v>4</v>
      </c>
      <c r="F20" s="209" t="s">
        <v>5</v>
      </c>
      <c r="G20" s="209" t="s">
        <v>446</v>
      </c>
      <c r="H20" s="209" t="s">
        <v>446</v>
      </c>
      <c r="I20" s="366" t="s">
        <v>4932</v>
      </c>
      <c r="J20" s="367"/>
      <c r="K20" s="367"/>
      <c r="L20" s="196" t="str">
        <f ca="1">IFERROR(_xlfn.TEXTJOIN(CHAR(10), TRUE, OFFSET('&lt;별첨9&gt;전체코드'!E:E, MATCH(B20,'&lt;별첨9&gt;전체코드'!A:A,0)-1, 0, COUNTIF('&lt;별첨9&gt;전체코드'!A:A,B20), 1)), "")</f>
        <v/>
      </c>
    </row>
    <row r="21" spans="1:12" s="1" customFormat="1" ht="15" customHeight="1">
      <c r="A21" s="210">
        <v>13</v>
      </c>
      <c r="B21" s="372" t="s">
        <v>98</v>
      </c>
      <c r="C21" s="372"/>
      <c r="D21" s="211">
        <v>6</v>
      </c>
      <c r="E21" s="228" t="s">
        <v>4</v>
      </c>
      <c r="F21" s="209" t="s">
        <v>5</v>
      </c>
      <c r="G21" s="209" t="s">
        <v>446</v>
      </c>
      <c r="H21" s="209" t="s">
        <v>446</v>
      </c>
      <c r="I21" s="366" t="s">
        <v>4933</v>
      </c>
      <c r="J21" s="367"/>
      <c r="K21" s="367"/>
      <c r="L21" s="196" t="str">
        <f ca="1">IFERROR(_xlfn.TEXTJOIN(CHAR(10), TRUE, OFFSET('&lt;별첨9&gt;전체코드'!E:E, MATCH(B21,'&lt;별첨9&gt;전체코드'!A:A,0)-1, 0, COUNTIF('&lt;별첨9&gt;전체코드'!A:A,B21), 1)), "")</f>
        <v/>
      </c>
    </row>
    <row r="22" spans="1:12" s="1" customFormat="1" ht="15" customHeight="1">
      <c r="A22" s="210">
        <v>14</v>
      </c>
      <c r="B22" s="364" t="s">
        <v>99</v>
      </c>
      <c r="C22" s="365"/>
      <c r="D22" s="212">
        <v>4</v>
      </c>
      <c r="E22" s="228" t="s">
        <v>4</v>
      </c>
      <c r="F22" s="209" t="s">
        <v>100</v>
      </c>
      <c r="G22" s="209" t="s">
        <v>4661</v>
      </c>
      <c r="H22" s="209" t="s">
        <v>4661</v>
      </c>
      <c r="I22" s="366" t="s">
        <v>4934</v>
      </c>
      <c r="J22" s="367"/>
      <c r="K22" s="367"/>
      <c r="L22" s="196" t="str">
        <f ca="1">IFERROR(_xlfn.TEXTJOIN(CHAR(10), TRUE, OFFSET('&lt;별첨9&gt;전체코드'!E:E, MATCH(B22,'&lt;별첨9&gt;전체코드'!A:A,0)-1, 0, COUNTIF('&lt;별첨9&gt;전체코드'!A:A,B22), 1)), "")</f>
        <v/>
      </c>
    </row>
    <row r="23" spans="1:12" s="1" customFormat="1" ht="15" customHeight="1" thickBot="1">
      <c r="A23" s="213">
        <v>15</v>
      </c>
      <c r="B23" s="440" t="s">
        <v>25</v>
      </c>
      <c r="C23" s="440"/>
      <c r="D23" s="214">
        <v>24</v>
      </c>
      <c r="E23" s="229" t="s">
        <v>26</v>
      </c>
      <c r="F23" s="108" t="s">
        <v>5</v>
      </c>
      <c r="G23" s="108" t="s">
        <v>4690</v>
      </c>
      <c r="H23" s="108" t="s">
        <v>4690</v>
      </c>
      <c r="I23" s="422" t="s">
        <v>254</v>
      </c>
      <c r="J23" s="423"/>
      <c r="K23" s="424"/>
      <c r="L23" s="198" t="str">
        <f ca="1">IFERROR(_xlfn.TEXTJOIN(CHAR(10), TRUE, OFFSET('&lt;별첨9&gt;전체코드'!E:E, MATCH(B23,'&lt;별첨9&gt;전체코드'!A:A,0)-1, 0, COUNTIF('&lt;별첨9&gt;전체코드'!A:A,B23), 1)), "")</f>
        <v/>
      </c>
    </row>
    <row r="24" spans="1:12" ht="15" customHeight="1"/>
    <row r="25" spans="1:12" ht="15" customHeight="1"/>
    <row r="26" spans="1:12" ht="15" customHeight="1"/>
    <row r="27" spans="1:12" ht="15" customHeight="1"/>
    <row r="28" spans="1:12" ht="15" customHeight="1"/>
    <row r="29" spans="1:12" ht="13.5" customHeight="1"/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33.75" customHeight="1"/>
    <row r="45" ht="32.25" customHeight="1"/>
  </sheetData>
  <mergeCells count="45">
    <mergeCell ref="B23:C23"/>
    <mergeCell ref="I23:K23"/>
    <mergeCell ref="A2:L2"/>
    <mergeCell ref="I22:K22"/>
    <mergeCell ref="I20:K20"/>
    <mergeCell ref="B12:C12"/>
    <mergeCell ref="I12:K12"/>
    <mergeCell ref="B14:C14"/>
    <mergeCell ref="I14:K14"/>
    <mergeCell ref="B16:C16"/>
    <mergeCell ref="I16:K16"/>
    <mergeCell ref="C3:L3"/>
    <mergeCell ref="B20:C20"/>
    <mergeCell ref="B21:C21"/>
    <mergeCell ref="B7:C7"/>
    <mergeCell ref="B9:C9"/>
    <mergeCell ref="B10:C10"/>
    <mergeCell ref="B8:C8"/>
    <mergeCell ref="I7:K7"/>
    <mergeCell ref="I9:K9"/>
    <mergeCell ref="A3:B3"/>
    <mergeCell ref="A4:B4"/>
    <mergeCell ref="D4:F4"/>
    <mergeCell ref="A5:B5"/>
    <mergeCell ref="D5:F5"/>
    <mergeCell ref="K4:L4"/>
    <mergeCell ref="I10:K10"/>
    <mergeCell ref="K5:L5"/>
    <mergeCell ref="I8:K8"/>
    <mergeCell ref="G4:I4"/>
    <mergeCell ref="G5:I5"/>
    <mergeCell ref="B22:C22"/>
    <mergeCell ref="I21:K21"/>
    <mergeCell ref="B11:C11"/>
    <mergeCell ref="I11:K11"/>
    <mergeCell ref="B13:C13"/>
    <mergeCell ref="I13:K13"/>
    <mergeCell ref="B15:C15"/>
    <mergeCell ref="I15:K15"/>
    <mergeCell ref="B17:C17"/>
    <mergeCell ref="I17:K17"/>
    <mergeCell ref="B19:C19"/>
    <mergeCell ref="I19:K19"/>
    <mergeCell ref="B18:C18"/>
    <mergeCell ref="I18:K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65</vt:i4>
      </vt:variant>
      <vt:variant>
        <vt:lpstr>이름 지정된 범위</vt:lpstr>
      </vt:variant>
      <vt:variant>
        <vt:i4>15</vt:i4>
      </vt:variant>
    </vt:vector>
  </HeadingPairs>
  <TitlesOfParts>
    <vt:vector size="80" baseType="lpstr">
      <vt:lpstr>목록</vt:lpstr>
      <vt:lpstr>mapping</vt:lpstr>
      <vt:lpstr>속성, SET, 필수</vt:lpstr>
      <vt:lpstr>전문 공통부</vt:lpstr>
      <vt:lpstr>BKS20F030</vt:lpstr>
      <vt:lpstr>BKS20F040</vt:lpstr>
      <vt:lpstr>BKS10F060</vt:lpstr>
      <vt:lpstr>BKS10E070</vt:lpstr>
      <vt:lpstr>BKS20E090</vt:lpstr>
      <vt:lpstr>BKS20E110</vt:lpstr>
      <vt:lpstr>BKS10E150</vt:lpstr>
      <vt:lpstr>BKS20E190</vt:lpstr>
      <vt:lpstr>BKS10A011</vt:lpstr>
      <vt:lpstr>BKS20A020</vt:lpstr>
      <vt:lpstr>BKS20A030</vt:lpstr>
      <vt:lpstr>BKS20A040</vt:lpstr>
      <vt:lpstr>BKS10B011</vt:lpstr>
      <vt:lpstr>BKS20B020</vt:lpstr>
      <vt:lpstr>BKS20B030</vt:lpstr>
      <vt:lpstr>BKS20B040</vt:lpstr>
      <vt:lpstr>BKS20B050</vt:lpstr>
      <vt:lpstr>BKS20B060</vt:lpstr>
      <vt:lpstr>BKS20B070</vt:lpstr>
      <vt:lpstr>BKS20B080</vt:lpstr>
      <vt:lpstr>BKS10B021</vt:lpstr>
      <vt:lpstr>BKS10B031</vt:lpstr>
      <vt:lpstr>BKS20B360</vt:lpstr>
      <vt:lpstr>BKS20B370</vt:lpstr>
      <vt:lpstr>BKS10B091</vt:lpstr>
      <vt:lpstr>BKS20B100</vt:lpstr>
      <vt:lpstr>BKS20B110</vt:lpstr>
      <vt:lpstr>BKS20B120</vt:lpstr>
      <vt:lpstr>BKS20B130</vt:lpstr>
      <vt:lpstr>BKS20B140</vt:lpstr>
      <vt:lpstr>BKS10B081</vt:lpstr>
      <vt:lpstr>BKS20B150</vt:lpstr>
      <vt:lpstr>BKS20B160</vt:lpstr>
      <vt:lpstr>BKS20B170</vt:lpstr>
      <vt:lpstr>BKS10E300</vt:lpstr>
      <vt:lpstr>BKS20E300</vt:lpstr>
      <vt:lpstr>BKS10E310</vt:lpstr>
      <vt:lpstr>BKS10E060</vt:lpstr>
      <vt:lpstr>BKS20E130</vt:lpstr>
      <vt:lpstr>BKS10B170</vt:lpstr>
      <vt:lpstr>BKS20B180</vt:lpstr>
      <vt:lpstr>BKS20B190</vt:lpstr>
      <vt:lpstr>BKS20B200</vt:lpstr>
      <vt:lpstr>BKS20E220</vt:lpstr>
      <vt:lpstr>BKS10E120</vt:lpstr>
      <vt:lpstr>BKF101011</vt:lpstr>
      <vt:lpstr>BKS20G010</vt:lpstr>
      <vt:lpstr>BKS20G020</vt:lpstr>
      <vt:lpstr>BKF101021</vt:lpstr>
      <vt:lpstr>BKS20G210</vt:lpstr>
      <vt:lpstr>BKS20G220</vt:lpstr>
      <vt:lpstr>&lt;별첨1&gt;응답코드</vt:lpstr>
      <vt:lpstr>&lt;별첨2&gt;계정개설처코드</vt:lpstr>
      <vt:lpstr>&lt;별첨3&gt;거래기관코드</vt:lpstr>
      <vt:lpstr>&lt;별첨4&gt;일반자금이체 자금코드</vt:lpstr>
      <vt:lpstr>&lt;별첨5&gt;증권대금이체 증권대금코드</vt:lpstr>
      <vt:lpstr>&lt;별첨6&gt; 혼합형결제 결제실패원인코드</vt:lpstr>
      <vt:lpstr>&lt;별첨7&gt; 수수료종류코드</vt:lpstr>
      <vt:lpstr>&lt;별첨8&gt;거래유형코드</vt:lpstr>
      <vt:lpstr>&lt;별첨9&gt;전체코드</vt:lpstr>
      <vt:lpstr>&lt;별첨10&gt;ISO20022 전체코드</vt:lpstr>
      <vt:lpstr>개요</vt:lpstr>
      <vt:lpstr>목록</vt:lpstr>
      <vt:lpstr>목록으로_이동</vt:lpstr>
      <vt:lpstr>'&lt;별첨1&gt;응답코드'!별첨1</vt:lpstr>
      <vt:lpstr>별첨1</vt:lpstr>
      <vt:lpstr>별첨10</vt:lpstr>
      <vt:lpstr>별첨11</vt:lpstr>
      <vt:lpstr>별첨2</vt:lpstr>
      <vt:lpstr>별첨3</vt:lpstr>
      <vt:lpstr>별첨4</vt:lpstr>
      <vt:lpstr>별첨5</vt:lpstr>
      <vt:lpstr>별첨6</vt:lpstr>
      <vt:lpstr>별첨7</vt:lpstr>
      <vt:lpstr>별첨8</vt:lpstr>
      <vt:lpstr>별첨9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cp:lastPrinted>2023-07-11T08:41:16Z</cp:lastPrinted>
  <dcterms:created xsi:type="dcterms:W3CDTF">2022-05-02T04:38:18Z</dcterms:created>
  <dcterms:modified xsi:type="dcterms:W3CDTF">2023-08-07T09:10:45Z</dcterms:modified>
</cp:coreProperties>
</file>