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5.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drawings/drawing6.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ivotTables/pivotTable2.xml" ContentType="application/vnd.openxmlformats-officedocument.spreadsheetml.pivotTable+xml"/>
  <Override PartName="/xl/drawings/drawing7.xml" ContentType="application/vnd.openxmlformats-officedocument.drawing+xml"/>
  <Override PartName="/xl/tables/table17.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fileSharing readOnlyRecommended="1"/>
  <workbookPr codeName="ThisWorkbook" defaultThemeVersion="166925"/>
  <mc:AlternateContent xmlns:mc="http://schemas.openxmlformats.org/markup-compatibility/2006">
    <mc:Choice Requires="x15">
      <x15ac:absPath xmlns:x15ac="http://schemas.microsoft.com/office/spreadsheetml/2010/11/ac" url="F:\Cultivation\Records\2020\"/>
    </mc:Choice>
  </mc:AlternateContent>
  <xr:revisionPtr revIDLastSave="0" documentId="13_ncr:1_{D3898902-066A-48A5-A0C0-E1246FAAD402}" xr6:coauthVersionLast="45" xr6:coauthVersionMax="45" xr10:uidLastSave="{00000000-0000-0000-0000-000000000000}"/>
  <bookViews>
    <workbookView xWindow="-120" yWindow="-120" windowWidth="20730" windowHeight="11160" activeTab="4" xr2:uid="{F66EE820-1DB0-4463-A333-A28DA4FAD05B}"/>
  </bookViews>
  <sheets>
    <sheet name="Booklet.cult" sheetId="12" r:id="rId1"/>
    <sheet name="InfoSheets" sheetId="8" state="hidden" r:id="rId2"/>
    <sheet name="Booklet.post" sheetId="14" r:id="rId3"/>
    <sheet name="Pivot" sheetId="6" r:id="rId4"/>
    <sheet name="Master" sheetId="1" r:id="rId5"/>
    <sheet name="IDEAS" sheetId="10" state="hidden" r:id="rId6"/>
    <sheet name="TerpeneList" sheetId="11" state="hidden" r:id="rId7"/>
    <sheet name="PMindex" sheetId="7" r:id="rId8"/>
    <sheet name="YieldBins" sheetId="15" r:id="rId9"/>
    <sheet name="TimeBins" sheetId="16" r:id="rId10"/>
    <sheet name="DryTimes" sheetId="17" r:id="rId11"/>
    <sheet name="RetiredPhenos2" sheetId="13" state="hidden" r:id="rId12"/>
    <sheet name="RetiredPhenos1" sheetId="9" state="hidden" r:id="rId13"/>
    <sheet name="FinalBins" sheetId="5" state="hidden" r:id="rId14"/>
    <sheet name="AvgV2F" sheetId="3" state="hidden" r:id="rId15"/>
  </sheets>
  <externalReferences>
    <externalReference r:id="rId16"/>
    <externalReference r:id="rId17"/>
    <externalReference r:id="rId18"/>
  </externalReferences>
  <definedNames>
    <definedName name="_Hlk1478226" localSheetId="4">Master!$C$8</definedName>
    <definedName name="_Hlk1478226" localSheetId="11">RetiredPhenos2!#REF!</definedName>
    <definedName name="_Hlk1478728" localSheetId="4">Master!#REF!</definedName>
    <definedName name="_Hlk1478728" localSheetId="11">RetiredPhenos2!#REF!</definedName>
    <definedName name="_Hlk38631411" localSheetId="4">Master!$C$7</definedName>
    <definedName name="_Hlk38631411" localSheetId="11">RetiredPhenos2!#REF!</definedName>
    <definedName name="_Hlk38631434" localSheetId="4">Master!$C$3</definedName>
    <definedName name="_Hlk8307326" localSheetId="4">Master!$C$12</definedName>
    <definedName name="_Hlk8307326" localSheetId="11">RetiredPhenos2!$C$2</definedName>
    <definedName name="_Hlk8307373" localSheetId="4">Master!$C$16</definedName>
    <definedName name="_Hlk8307373" localSheetId="11">RetiredPhenos2!#REF!</definedName>
    <definedName name="_xlcn.WorksheetConnection_PhenoRef.xlsxTable3" hidden="1">Table3[]</definedName>
    <definedName name="Slicer_1._Phenotype">#N/A</definedName>
    <definedName name="Slicer_Round">#N/A</definedName>
    <definedName name="Slicer_Time_requirement">#N/A</definedName>
  </definedNames>
  <calcPr calcId="191029"/>
  <pivotCaches>
    <pivotCache cacheId="24" r:id="rId19"/>
    <pivotCache cacheId="25" r:id="rId20"/>
  </pivotCaches>
  <extLst>
    <ext xmlns:x14="http://schemas.microsoft.com/office/spreadsheetml/2009/9/main" uri="{876F7934-8845-4945-9796-88D515C7AA90}">
      <x14:pivotCaches>
        <pivotCache cacheId="26"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PhenoRef.xlsx!Table3"/>
        </x15:modelTables>
      </x15:dataModel>
    </ext>
  </extLst>
</workbook>
</file>

<file path=xl/calcChain.xml><?xml version="1.0" encoding="utf-8"?>
<calcChain xmlns="http://schemas.openxmlformats.org/spreadsheetml/2006/main">
  <c r="H2" i="1" l="1"/>
  <c r="H3" i="1"/>
  <c r="H5" i="1"/>
  <c r="H6" i="1"/>
  <c r="H8" i="1"/>
  <c r="H9" i="1"/>
  <c r="H10" i="1"/>
  <c r="H11" i="1"/>
  <c r="H12" i="1"/>
  <c r="H13" i="1"/>
  <c r="H14" i="1"/>
  <c r="H15" i="1"/>
  <c r="H17" i="1"/>
  <c r="H16" i="1"/>
  <c r="H21" i="1"/>
  <c r="H22" i="1"/>
  <c r="H18" i="1"/>
  <c r="H19" i="1"/>
  <c r="H20" i="1"/>
  <c r="H4" i="1"/>
  <c r="H7" i="1"/>
  <c r="H23" i="1"/>
  <c r="H24" i="1"/>
  <c r="H25" i="1"/>
  <c r="H26" i="1"/>
  <c r="Z2" i="1" l="1"/>
  <c r="Z3" i="1"/>
  <c r="Z5" i="1"/>
  <c r="Z6" i="1"/>
  <c r="Z8" i="1"/>
  <c r="Z9" i="1"/>
  <c r="Z10" i="1"/>
  <c r="Z11" i="1"/>
  <c r="Z12" i="1"/>
  <c r="Z14" i="1"/>
  <c r="Z15" i="1"/>
  <c r="Z17" i="1"/>
  <c r="Z16" i="1"/>
  <c r="Z21" i="1"/>
  <c r="Z22" i="1"/>
  <c r="Z18" i="1"/>
  <c r="Z19" i="1"/>
  <c r="Z20" i="1"/>
  <c r="Z4" i="1"/>
  <c r="Z7" i="1"/>
  <c r="Z23" i="1"/>
  <c r="Z24" i="1"/>
  <c r="Z25" i="1"/>
  <c r="Z26" i="1"/>
  <c r="C38" i="16"/>
  <c r="D38" i="16"/>
  <c r="E38" i="16"/>
  <c r="F38" i="16"/>
  <c r="G38" i="16"/>
  <c r="H38" i="16"/>
  <c r="I38" i="16"/>
  <c r="J38" i="16"/>
  <c r="K38" i="16"/>
  <c r="L38" i="16"/>
  <c r="M38" i="16"/>
  <c r="N38" i="16"/>
  <c r="O38" i="16"/>
  <c r="P38" i="16"/>
  <c r="Q38" i="16"/>
  <c r="R38" i="16"/>
  <c r="B38" i="16"/>
  <c r="G4" i="7" l="1"/>
  <c r="G5" i="7"/>
  <c r="G6" i="7"/>
  <c r="G7" i="7"/>
  <c r="G8" i="7"/>
  <c r="G9" i="7"/>
  <c r="G10" i="7"/>
  <c r="G11" i="7"/>
  <c r="G12" i="7"/>
  <c r="G13" i="7"/>
  <c r="G14" i="7"/>
  <c r="G15" i="7"/>
  <c r="G16" i="7"/>
  <c r="G17" i="7"/>
  <c r="E8" i="12" l="1"/>
  <c r="C8" i="14"/>
  <c r="C11" i="14" s="1"/>
  <c r="B17" i="14" l="1"/>
  <c r="C13" i="14"/>
  <c r="C10" i="14"/>
  <c r="C15" i="14"/>
  <c r="C14" i="14"/>
  <c r="J37" i="12"/>
  <c r="J36" i="12"/>
  <c r="J35" i="12"/>
  <c r="E15" i="12"/>
  <c r="B18" i="14"/>
  <c r="C6" i="12"/>
  <c r="E14" i="12"/>
  <c r="C6" i="14"/>
  <c r="AJ26" i="1" l="1"/>
  <c r="AJ20" i="1" l="1"/>
  <c r="AJ25" i="1"/>
  <c r="AJ24" i="1"/>
  <c r="AJ23" i="1"/>
  <c r="AJ19" i="1"/>
  <c r="AJ18" i="1"/>
  <c r="AB4" i="13" l="1"/>
  <c r="J4" i="13"/>
  <c r="I4" i="13"/>
  <c r="H4" i="13"/>
  <c r="J3" i="13"/>
  <c r="I3" i="13"/>
  <c r="H3" i="13"/>
  <c r="AB2" i="13"/>
  <c r="J2" i="13"/>
  <c r="I2" i="13"/>
  <c r="H2" i="13"/>
  <c r="AJ6" i="1" l="1"/>
  <c r="AJ13" i="1" l="1"/>
  <c r="J40" i="12" l="1"/>
  <c r="J39" i="12"/>
  <c r="J43" i="12"/>
  <c r="J42" i="12"/>
  <c r="E20" i="12"/>
  <c r="E25" i="12"/>
  <c r="E12" i="12"/>
  <c r="E24" i="12"/>
  <c r="E27" i="12"/>
  <c r="E17" i="12"/>
  <c r="E18" i="12"/>
  <c r="E10" i="12"/>
  <c r="E11" i="12"/>
  <c r="C63" i="11"/>
  <c r="C64" i="11"/>
  <c r="C65" i="11"/>
  <c r="C66" i="11"/>
  <c r="C67" i="11"/>
  <c r="C68" i="11"/>
  <c r="C69" i="11"/>
  <c r="C70" i="11"/>
  <c r="C71" i="11"/>
  <c r="C72" i="11"/>
  <c r="C73" i="11"/>
  <c r="C74" i="11"/>
  <c r="C75" i="11"/>
  <c r="C76" i="11"/>
  <c r="C77" i="11"/>
  <c r="C78" i="11"/>
  <c r="C79" i="11"/>
  <c r="C80" i="11"/>
  <c r="C62" i="11" l="1"/>
  <c r="J7" i="8" l="1"/>
  <c r="W50" i="9" l="1"/>
  <c r="Q50" i="9"/>
  <c r="D50" i="9"/>
  <c r="C50" i="9"/>
  <c r="B50" i="9"/>
  <c r="W35" i="9"/>
  <c r="D35" i="9"/>
  <c r="C35" i="9"/>
  <c r="B35" i="9"/>
  <c r="W23" i="9"/>
  <c r="Q23" i="9"/>
  <c r="D23" i="9"/>
  <c r="C23" i="9"/>
  <c r="B23" i="9"/>
  <c r="Q22" i="9"/>
  <c r="D22" i="9"/>
  <c r="C22" i="9"/>
  <c r="B22" i="9"/>
  <c r="D20" i="9"/>
  <c r="C20" i="9"/>
  <c r="B20" i="9"/>
  <c r="Q9" i="9"/>
  <c r="D9" i="9"/>
  <c r="C9" i="9"/>
  <c r="B9" i="9"/>
  <c r="W29" i="9"/>
  <c r="Q29" i="9"/>
  <c r="D29" i="9"/>
  <c r="C29" i="9"/>
  <c r="B29" i="9"/>
  <c r="W43" i="9"/>
  <c r="D43" i="9"/>
  <c r="C43" i="9"/>
  <c r="B43" i="9"/>
  <c r="Q14" i="9"/>
  <c r="D14" i="9"/>
  <c r="C14" i="9"/>
  <c r="B14" i="9"/>
  <c r="D2" i="9"/>
  <c r="C2" i="9"/>
  <c r="B2" i="9"/>
  <c r="W47" i="9"/>
  <c r="Q47" i="9"/>
  <c r="D47" i="9"/>
  <c r="C47" i="9"/>
  <c r="B47" i="9"/>
  <c r="Q18" i="9"/>
  <c r="D18" i="9"/>
  <c r="C18" i="9"/>
  <c r="B18" i="9"/>
  <c r="Q12" i="9"/>
  <c r="D12" i="9"/>
  <c r="C12" i="9"/>
  <c r="B12" i="9"/>
  <c r="W30" i="9"/>
  <c r="Q30" i="9"/>
  <c r="D30" i="9"/>
  <c r="C30" i="9"/>
  <c r="B30" i="9"/>
  <c r="W27" i="9"/>
  <c r="Q27" i="9"/>
  <c r="D27" i="9"/>
  <c r="C27" i="9"/>
  <c r="B27" i="9"/>
  <c r="Q3" i="9"/>
  <c r="D3" i="9"/>
  <c r="C3" i="9"/>
  <c r="B3" i="9"/>
  <c r="Q13" i="9"/>
  <c r="D13" i="9"/>
  <c r="C13" i="9"/>
  <c r="B13" i="9"/>
  <c r="W32" i="9"/>
  <c r="Q32" i="9"/>
  <c r="D32" i="9"/>
  <c r="C32" i="9"/>
  <c r="B32" i="9"/>
  <c r="W26" i="9"/>
  <c r="Q26" i="9"/>
  <c r="D26" i="9"/>
  <c r="C26" i="9"/>
  <c r="B26" i="9"/>
  <c r="W25" i="9"/>
  <c r="Q25" i="9"/>
  <c r="B25" i="9"/>
  <c r="W31" i="9"/>
  <c r="Q31" i="9"/>
  <c r="D31" i="9"/>
  <c r="C31" i="9"/>
  <c r="B31" i="9"/>
  <c r="D4" i="9"/>
  <c r="C4" i="9"/>
  <c r="B4" i="9"/>
  <c r="W28" i="9"/>
  <c r="Q28" i="9"/>
  <c r="D28" i="9"/>
  <c r="C28" i="9"/>
  <c r="B28" i="9"/>
  <c r="W48" i="9"/>
  <c r="Q48" i="9"/>
  <c r="D48" i="9"/>
  <c r="C48" i="9"/>
  <c r="B48" i="9"/>
  <c r="Q8" i="9"/>
  <c r="D8" i="9"/>
  <c r="C8" i="9"/>
  <c r="B8" i="9"/>
  <c r="W37" i="9"/>
  <c r="Q37" i="9"/>
  <c r="D37" i="9"/>
  <c r="C37" i="9"/>
  <c r="B37" i="9"/>
  <c r="Q16" i="9"/>
  <c r="D16" i="9"/>
  <c r="C16" i="9"/>
  <c r="B16" i="9"/>
  <c r="Q19" i="9"/>
  <c r="D19" i="9"/>
  <c r="C19" i="9"/>
  <c r="B19" i="9"/>
  <c r="W34" i="9"/>
  <c r="Q34" i="9"/>
  <c r="D34" i="9"/>
  <c r="C34" i="9"/>
  <c r="B34" i="9"/>
  <c r="W49" i="9"/>
  <c r="Q49" i="9"/>
  <c r="D49" i="9"/>
  <c r="C49" i="9"/>
  <c r="B49" i="9"/>
  <c r="W44" i="9"/>
  <c r="Q44" i="9"/>
  <c r="D44" i="9"/>
  <c r="C44" i="9"/>
  <c r="B44" i="9"/>
  <c r="W40" i="9"/>
  <c r="Q40" i="9"/>
  <c r="D40" i="9"/>
  <c r="C40" i="9"/>
  <c r="B40" i="9"/>
  <c r="W46" i="9"/>
  <c r="Q46" i="9"/>
  <c r="D46" i="9"/>
  <c r="C46" i="9"/>
  <c r="B46" i="9"/>
  <c r="D15" i="9"/>
  <c r="C15" i="9"/>
  <c r="B15" i="9"/>
  <c r="W33" i="9"/>
  <c r="Q33" i="9"/>
  <c r="D33" i="9"/>
  <c r="C33" i="9"/>
  <c r="B33" i="9"/>
  <c r="W38" i="9"/>
  <c r="Q38" i="9"/>
  <c r="D38" i="9"/>
  <c r="C38" i="9"/>
  <c r="B38" i="9"/>
  <c r="Q17" i="9"/>
  <c r="D17" i="9"/>
  <c r="C17" i="9"/>
  <c r="B17" i="9"/>
  <c r="W42" i="9"/>
  <c r="Q42" i="9"/>
  <c r="B42" i="9"/>
  <c r="W36" i="9"/>
  <c r="Q36" i="9"/>
  <c r="D36" i="9"/>
  <c r="C36" i="9"/>
  <c r="B36" i="9"/>
  <c r="W45" i="9"/>
  <c r="Q45" i="9"/>
  <c r="D45" i="9"/>
  <c r="C45" i="9"/>
  <c r="B45" i="9"/>
  <c r="W41" i="9"/>
  <c r="Q41" i="9"/>
  <c r="B41" i="9"/>
  <c r="W24" i="9"/>
  <c r="Q24" i="9"/>
  <c r="B24" i="9"/>
  <c r="Q5" i="9"/>
  <c r="D5" i="9"/>
  <c r="C5" i="9"/>
  <c r="B5" i="9"/>
  <c r="D10" i="9"/>
  <c r="C10" i="9"/>
  <c r="B10" i="9"/>
  <c r="D11" i="9"/>
  <c r="C11" i="9"/>
  <c r="B11" i="9"/>
  <c r="Q7" i="9"/>
  <c r="D7" i="9"/>
  <c r="C7" i="9"/>
  <c r="B7" i="9"/>
  <c r="Q6" i="9"/>
  <c r="D6" i="9"/>
  <c r="C6" i="9"/>
  <c r="B6" i="9"/>
  <c r="D21" i="9"/>
  <c r="C21" i="9"/>
  <c r="B21" i="9"/>
  <c r="W39" i="9"/>
  <c r="Q39" i="9"/>
  <c r="C39" i="9"/>
  <c r="B39" i="9"/>
  <c r="D6" i="8"/>
  <c r="I17" i="8" l="1"/>
  <c r="I16" i="8"/>
  <c r="I10" i="8"/>
  <c r="I7" i="8"/>
  <c r="D24" i="8"/>
  <c r="I22" i="8"/>
  <c r="I25" i="8"/>
  <c r="I18" i="8"/>
  <c r="D19" i="8"/>
  <c r="I21" i="8"/>
  <c r="D25" i="8"/>
  <c r="I9" i="8"/>
  <c r="I11" i="8"/>
  <c r="E15" i="8"/>
  <c r="D16" i="8"/>
  <c r="D20" i="8"/>
  <c r="E17" i="8"/>
  <c r="D21" i="8"/>
  <c r="D14" i="8"/>
  <c r="D9" i="8" l="1"/>
  <c r="AJ5" i="1" l="1"/>
  <c r="AJ21" i="1"/>
  <c r="D14" i="7" l="1"/>
  <c r="E14" i="7" s="1"/>
  <c r="D16" i="7"/>
  <c r="E16" i="7" s="1"/>
  <c r="D17" i="7"/>
  <c r="E17" i="7" s="1"/>
  <c r="D10" i="7"/>
  <c r="E10" i="7" s="1"/>
  <c r="D5" i="7"/>
  <c r="E5" i="7" s="1"/>
  <c r="D11" i="7"/>
  <c r="E11" i="7" s="1"/>
  <c r="D15" i="7"/>
  <c r="E15" i="7" s="1"/>
  <c r="D4" i="7"/>
  <c r="E4" i="7" s="1"/>
  <c r="D8" i="7"/>
  <c r="E8" i="7" s="1"/>
  <c r="E13" i="7"/>
  <c r="D6" i="7"/>
  <c r="E6" i="7" s="1"/>
  <c r="D12" i="7"/>
  <c r="E12" i="7" s="1"/>
  <c r="D7" i="7"/>
  <c r="E7" i="7" s="1"/>
  <c r="D9" i="7"/>
  <c r="E9" i="7" s="1"/>
  <c r="F9" i="7" l="1"/>
  <c r="F4" i="7"/>
  <c r="W10" i="9" s="1"/>
  <c r="F7" i="7"/>
  <c r="F15" i="7"/>
  <c r="W9" i="9" s="1"/>
  <c r="F17" i="7"/>
  <c r="F13" i="7"/>
  <c r="W14" i="9" s="1"/>
  <c r="F10" i="7"/>
  <c r="W6" i="9" s="1"/>
  <c r="F12" i="7"/>
  <c r="W16" i="9" s="1"/>
  <c r="F8" i="7"/>
  <c r="W12" i="9" s="1"/>
  <c r="F11" i="7"/>
  <c r="W8" i="9" s="1"/>
  <c r="F16" i="7"/>
  <c r="AK4" i="13"/>
  <c r="F6" i="7"/>
  <c r="W15" i="9" s="1"/>
  <c r="F5" i="7"/>
  <c r="W7" i="9" s="1"/>
  <c r="F14" i="7"/>
  <c r="W2" i="9" l="1"/>
  <c r="AJ2" i="1"/>
  <c r="W19" i="9"/>
  <c r="W3" i="9"/>
  <c r="W5" i="9"/>
  <c r="W21" i="9"/>
  <c r="W4" i="9"/>
  <c r="W22" i="9"/>
  <c r="W11" i="9"/>
  <c r="AK2" i="13"/>
  <c r="W18" i="9"/>
  <c r="W17" i="9"/>
  <c r="W13" i="9"/>
  <c r="AK3" i="13"/>
  <c r="W20" i="9"/>
  <c r="AJ4" i="1"/>
  <c r="AJ15" i="1"/>
  <c r="AJ10" i="1"/>
  <c r="AJ12" i="1"/>
  <c r="AJ7" i="1"/>
  <c r="AJ11" i="1"/>
  <c r="I26" i="8" l="1"/>
  <c r="AJ16" i="1"/>
  <c r="AJ14" i="1"/>
  <c r="AJ9" i="1"/>
  <c r="AJ17" i="1"/>
  <c r="AJ8" i="1"/>
  <c r="AJ22" i="1"/>
  <c r="AJ3" i="1"/>
  <c r="E22" i="12" l="1"/>
  <c r="L26" i="8"/>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M32" i="5"/>
  <c r="L32" i="5"/>
  <c r="D32" i="5"/>
  <c r="M31" i="5"/>
  <c r="L31" i="5"/>
  <c r="D31" i="5"/>
  <c r="M30" i="5"/>
  <c r="L30" i="5"/>
  <c r="D30" i="5"/>
  <c r="M29" i="5"/>
  <c r="L29" i="5"/>
  <c r="D29" i="5"/>
  <c r="M28" i="5"/>
  <c r="L28" i="5"/>
  <c r="D28" i="5"/>
  <c r="D27" i="5"/>
  <c r="D26" i="5"/>
  <c r="M25" i="5"/>
  <c r="L25" i="5"/>
  <c r="D25" i="5"/>
  <c r="M24" i="5"/>
  <c r="L24" i="5"/>
  <c r="D24" i="5"/>
  <c r="M23" i="5"/>
  <c r="L23" i="5"/>
  <c r="D23" i="5"/>
  <c r="M22" i="5"/>
  <c r="L22" i="5"/>
  <c r="D22" i="5"/>
  <c r="M21" i="5"/>
  <c r="L21" i="5"/>
  <c r="D21" i="5"/>
  <c r="D20" i="5"/>
  <c r="D19" i="5"/>
  <c r="D18" i="5"/>
  <c r="D17" i="5"/>
  <c r="D16" i="5"/>
  <c r="D15" i="5"/>
  <c r="D14" i="5"/>
  <c r="D13" i="5"/>
  <c r="D12" i="5"/>
  <c r="D11" i="5"/>
  <c r="D10" i="5"/>
  <c r="D9" i="5"/>
  <c r="D8" i="5"/>
  <c r="K7" i="5"/>
  <c r="J7" i="5"/>
  <c r="I7" i="5"/>
  <c r="H7" i="5"/>
  <c r="G7" i="5"/>
  <c r="D7" i="5"/>
  <c r="K6" i="5"/>
  <c r="J6" i="5"/>
  <c r="I6" i="5"/>
  <c r="H6" i="5"/>
  <c r="G6" i="5"/>
  <c r="D6" i="5"/>
  <c r="K5" i="5"/>
  <c r="J5" i="5"/>
  <c r="I5" i="5"/>
  <c r="H5" i="5"/>
  <c r="G5" i="5"/>
  <c r="D5" i="5"/>
  <c r="K4" i="5"/>
  <c r="J4" i="5"/>
  <c r="I4" i="5"/>
  <c r="H4" i="5"/>
  <c r="G4" i="5"/>
  <c r="D4" i="5"/>
  <c r="K3" i="5"/>
  <c r="J3" i="5"/>
  <c r="I3" i="5"/>
  <c r="H3" i="5"/>
  <c r="G3" i="5"/>
  <c r="D3" i="5"/>
  <c r="D2" i="5"/>
  <c r="G9" i="5" l="1"/>
  <c r="I10" i="5"/>
  <c r="G11" i="5"/>
  <c r="I12" i="5"/>
  <c r="G13" i="5"/>
  <c r="K13" i="5"/>
  <c r="I13" i="5"/>
  <c r="K9" i="5"/>
  <c r="K11" i="5"/>
  <c r="H12" i="5"/>
  <c r="E12" i="8"/>
  <c r="J12" i="5"/>
  <c r="H9" i="5"/>
  <c r="E11" i="8"/>
  <c r="H11" i="5"/>
  <c r="H13" i="5"/>
  <c r="I9" i="5"/>
  <c r="G10" i="5"/>
  <c r="I11" i="5"/>
  <c r="K12" i="5"/>
  <c r="J9" i="5"/>
  <c r="J13" i="5"/>
  <c r="J10" i="5"/>
  <c r="K10" i="5"/>
  <c r="G12" i="5"/>
  <c r="H10" i="5"/>
  <c r="J11" i="5"/>
  <c r="AB51" i="3"/>
  <c r="AB17" i="3"/>
  <c r="AB30" i="3"/>
  <c r="AB56" i="3"/>
  <c r="AB11" i="3"/>
  <c r="AB21" i="3"/>
  <c r="AB47" i="3"/>
  <c r="AB44" i="3"/>
  <c r="AB57" i="3"/>
  <c r="AB31" i="3"/>
  <c r="AB42" i="3"/>
  <c r="AB32" i="3"/>
  <c r="AB26" i="3"/>
  <c r="AB53" i="3"/>
  <c r="AB37" i="3"/>
  <c r="AB23" i="3"/>
  <c r="AB22" i="3"/>
  <c r="AB55" i="3"/>
  <c r="AB48" i="3"/>
  <c r="AB20" i="3"/>
  <c r="AB33" i="3"/>
  <c r="AB46" i="3"/>
  <c r="AB8" i="3"/>
  <c r="AB9" i="3"/>
  <c r="AB35" i="3"/>
  <c r="AB15" i="3"/>
  <c r="AB7" i="3"/>
  <c r="AB52" i="3"/>
  <c r="AB14" i="3"/>
  <c r="AB39" i="3"/>
  <c r="AB27" i="3"/>
  <c r="AB40" i="3"/>
  <c r="AB50" i="3"/>
  <c r="AB41" i="3"/>
  <c r="AB54" i="3"/>
  <c r="AB16" i="3"/>
  <c r="AB36" i="3"/>
  <c r="AB49" i="3"/>
  <c r="AB19" i="3"/>
  <c r="AB34" i="3"/>
  <c r="AB24" i="3"/>
  <c r="AB18" i="3"/>
  <c r="AB12" i="3"/>
  <c r="AB25" i="3"/>
  <c r="AB38" i="3"/>
  <c r="AB29" i="3"/>
  <c r="AB43" i="3"/>
  <c r="AB13" i="3"/>
  <c r="AB6" i="3"/>
  <c r="AB28" i="3"/>
  <c r="AB10" i="3"/>
  <c r="AB45" i="3"/>
  <c r="H37" i="3" l="1"/>
  <c r="H26" i="3"/>
  <c r="H36" i="3"/>
  <c r="H31" i="3"/>
  <c r="H25" i="3"/>
  <c r="H27" i="3"/>
  <c r="H5" i="3"/>
  <c r="H34" i="3"/>
  <c r="H38" i="3"/>
  <c r="H22" i="3"/>
  <c r="H24" i="3"/>
  <c r="H11" i="3"/>
  <c r="H29" i="3"/>
  <c r="H30" i="3"/>
  <c r="H16" i="3"/>
  <c r="H39" i="3"/>
  <c r="H28" i="3"/>
  <c r="H32" i="3"/>
  <c r="H35" i="3"/>
  <c r="H14" i="3"/>
  <c r="H18" i="3"/>
  <c r="H8" i="3"/>
  <c r="H12" i="3"/>
  <c r="H33" i="3"/>
  <c r="H20" i="3"/>
  <c r="H4" i="3"/>
  <c r="H6" i="3"/>
  <c r="H9" i="3"/>
  <c r="H23" i="3"/>
  <c r="H13" i="3"/>
  <c r="H21" i="3"/>
  <c r="H17" i="3"/>
  <c r="H15" i="3"/>
  <c r="H3" i="3"/>
  <c r="H2" i="3"/>
  <c r="H19" i="3"/>
  <c r="H40" i="3"/>
  <c r="H7" i="3"/>
  <c r="H10" i="3"/>
  <c r="H62" i="3"/>
  <c r="H54" i="3"/>
  <c r="H67" i="3"/>
  <c r="H60" i="3"/>
  <c r="H73" i="3"/>
  <c r="H75" i="3"/>
  <c r="H71" i="3"/>
  <c r="H58" i="3"/>
  <c r="H72" i="3"/>
  <c r="H44" i="3"/>
  <c r="H65" i="3"/>
  <c r="H66" i="3"/>
  <c r="H57" i="3"/>
  <c r="H74" i="3"/>
  <c r="H59" i="3"/>
  <c r="H51" i="3"/>
  <c r="H53" i="3"/>
  <c r="H50" i="3"/>
  <c r="H46" i="3"/>
  <c r="H63" i="3"/>
  <c r="H48" i="3"/>
  <c r="H55" i="3"/>
  <c r="H68" i="3"/>
  <c r="H64" i="3"/>
  <c r="H45" i="3"/>
  <c r="H69" i="3"/>
  <c r="H56" i="3"/>
  <c r="H47" i="3"/>
  <c r="H52" i="3"/>
  <c r="H49" i="3"/>
  <c r="H61" i="3"/>
  <c r="H70" i="3"/>
  <c r="H43" i="3"/>
  <c r="H42" i="3"/>
  <c r="H41" i="3"/>
  <c r="H104" i="3"/>
  <c r="H93" i="3"/>
  <c r="H88" i="3"/>
  <c r="H90" i="3"/>
  <c r="H87" i="3"/>
  <c r="H101" i="3"/>
  <c r="H100" i="3"/>
  <c r="H102" i="3"/>
  <c r="H84" i="3"/>
  <c r="H95" i="3"/>
  <c r="H81" i="3"/>
  <c r="H92" i="3"/>
  <c r="H78" i="3"/>
  <c r="H103" i="3"/>
  <c r="H98" i="3"/>
  <c r="H83" i="3"/>
  <c r="H76" i="3"/>
  <c r="H79" i="3"/>
  <c r="H99" i="3"/>
  <c r="H77" i="3"/>
  <c r="H97" i="3"/>
  <c r="H86" i="3"/>
  <c r="H85" i="3"/>
  <c r="H91" i="3"/>
  <c r="H82" i="3"/>
  <c r="H94" i="3"/>
  <c r="H96" i="3"/>
  <c r="H89" i="3"/>
  <c r="H80" i="3"/>
  <c r="H119" i="3"/>
  <c r="H124" i="3"/>
  <c r="H116" i="3"/>
  <c r="H110" i="3"/>
  <c r="H107" i="3"/>
  <c r="H127" i="3"/>
  <c r="H133" i="3"/>
  <c r="H109" i="3"/>
  <c r="H132" i="3"/>
  <c r="H123" i="3"/>
  <c r="H126" i="3"/>
  <c r="H108" i="3"/>
  <c r="H117" i="3"/>
  <c r="H130" i="3"/>
  <c r="H122" i="3"/>
  <c r="H128" i="3"/>
  <c r="H114" i="3"/>
  <c r="H111" i="3"/>
  <c r="H129" i="3"/>
  <c r="H106" i="3"/>
  <c r="H125" i="3"/>
  <c r="H112" i="3"/>
  <c r="H131" i="3"/>
  <c r="H118" i="3"/>
  <c r="H115" i="3"/>
  <c r="H120" i="3"/>
  <c r="H113" i="3"/>
  <c r="H121" i="3"/>
  <c r="H105" i="3"/>
  <c r="H153" i="3"/>
  <c r="H149" i="3"/>
  <c r="H154" i="3"/>
  <c r="H156" i="3"/>
  <c r="H142" i="3"/>
  <c r="H143" i="3"/>
  <c r="H150" i="3"/>
  <c r="H160" i="3"/>
  <c r="H159" i="3"/>
  <c r="H146" i="3"/>
  <c r="H161" i="3"/>
  <c r="H134" i="3"/>
  <c r="H145" i="3"/>
  <c r="H144" i="3"/>
  <c r="H147" i="3"/>
  <c r="H158" i="3"/>
  <c r="H141" i="3"/>
  <c r="H157" i="3"/>
  <c r="H151" i="3"/>
  <c r="H136" i="3"/>
  <c r="H140" i="3"/>
  <c r="H138" i="3"/>
  <c r="H137" i="3"/>
  <c r="H148" i="3"/>
  <c r="H152" i="3"/>
  <c r="H139" i="3"/>
  <c r="H155" i="3"/>
  <c r="H135" i="3"/>
  <c r="H191" i="3"/>
  <c r="H195" i="3"/>
  <c r="H175" i="3"/>
  <c r="H173" i="3"/>
  <c r="H194" i="3"/>
  <c r="H188" i="3"/>
  <c r="H179" i="3"/>
  <c r="H196" i="3"/>
  <c r="H174" i="3"/>
  <c r="H192" i="3"/>
  <c r="H183" i="3"/>
  <c r="H178" i="3"/>
  <c r="H186" i="3"/>
  <c r="H187" i="3"/>
  <c r="H181" i="3"/>
  <c r="H172" i="3"/>
  <c r="H184" i="3"/>
  <c r="H177" i="3"/>
  <c r="H165" i="3"/>
  <c r="H190" i="3"/>
  <c r="H162" i="3"/>
  <c r="H185" i="3"/>
  <c r="H180" i="3"/>
  <c r="H167" i="3"/>
  <c r="H164" i="3"/>
  <c r="H169" i="3"/>
  <c r="H189" i="3"/>
  <c r="H193" i="3"/>
  <c r="H168" i="3"/>
  <c r="H182" i="3"/>
  <c r="H166" i="3"/>
  <c r="H163" i="3"/>
  <c r="H176" i="3"/>
  <c r="H170" i="3"/>
  <c r="H171" i="3"/>
  <c r="H216" i="3"/>
  <c r="H220" i="3"/>
  <c r="H223" i="3"/>
  <c r="H227" i="3"/>
  <c r="H212" i="3"/>
  <c r="H219" i="3"/>
  <c r="H207" i="3"/>
  <c r="H229" i="3"/>
  <c r="H197" i="3"/>
  <c r="H213" i="3"/>
  <c r="H204" i="3"/>
  <c r="H202" i="3"/>
  <c r="H200" i="3"/>
  <c r="H205" i="3"/>
  <c r="H199" i="3"/>
  <c r="H231" i="3"/>
  <c r="H210" i="3"/>
  <c r="H209" i="3"/>
  <c r="H226" i="3"/>
  <c r="H214" i="3"/>
  <c r="H228" i="3"/>
  <c r="H222" i="3"/>
  <c r="H208" i="3"/>
  <c r="H206" i="3"/>
  <c r="H217" i="3"/>
  <c r="H211" i="3"/>
  <c r="H230" i="3"/>
  <c r="H198" i="3"/>
  <c r="H221" i="3"/>
  <c r="H218" i="3"/>
  <c r="H215" i="3"/>
  <c r="H224" i="3"/>
  <c r="H201" i="3"/>
  <c r="H225" i="3"/>
  <c r="H203" i="3"/>
  <c r="G37" i="3"/>
  <c r="G26" i="3"/>
  <c r="G36" i="3"/>
  <c r="G31" i="3"/>
  <c r="G25" i="3"/>
  <c r="G27" i="3"/>
  <c r="G5" i="3"/>
  <c r="G34" i="3"/>
  <c r="G38" i="3"/>
  <c r="G22" i="3"/>
  <c r="G24" i="3"/>
  <c r="G11" i="3"/>
  <c r="G29" i="3"/>
  <c r="G30" i="3"/>
  <c r="G16" i="3"/>
  <c r="G39" i="3"/>
  <c r="G28" i="3"/>
  <c r="G32" i="3"/>
  <c r="G35" i="3"/>
  <c r="G14" i="3"/>
  <c r="G18" i="3"/>
  <c r="G8" i="3"/>
  <c r="G12" i="3"/>
  <c r="G33" i="3"/>
  <c r="G20" i="3"/>
  <c r="G4" i="3"/>
  <c r="G6" i="3"/>
  <c r="G9" i="3"/>
  <c r="G23" i="3"/>
  <c r="G13" i="3"/>
  <c r="G21" i="3"/>
  <c r="G17" i="3"/>
  <c r="G15" i="3"/>
  <c r="G3" i="3"/>
  <c r="G2" i="3"/>
  <c r="G19" i="3"/>
  <c r="G40" i="3"/>
  <c r="G7" i="3"/>
  <c r="G10" i="3"/>
  <c r="G62" i="3"/>
  <c r="G54" i="3"/>
  <c r="G67" i="3"/>
  <c r="G60" i="3"/>
  <c r="G73" i="3"/>
  <c r="G75" i="3"/>
  <c r="G71" i="3"/>
  <c r="G58" i="3"/>
  <c r="G72" i="3"/>
  <c r="G44" i="3"/>
  <c r="G65" i="3"/>
  <c r="G66" i="3"/>
  <c r="G57" i="3"/>
  <c r="G74" i="3"/>
  <c r="G59" i="3"/>
  <c r="G51" i="3"/>
  <c r="G53" i="3"/>
  <c r="G50" i="3"/>
  <c r="G46" i="3"/>
  <c r="G63" i="3"/>
  <c r="G48" i="3"/>
  <c r="G55" i="3"/>
  <c r="G68" i="3"/>
  <c r="G64" i="3"/>
  <c r="G45" i="3"/>
  <c r="G69" i="3"/>
  <c r="G56" i="3"/>
  <c r="G47" i="3"/>
  <c r="G52" i="3"/>
  <c r="G49" i="3"/>
  <c r="G61" i="3"/>
  <c r="G70" i="3"/>
  <c r="G43" i="3"/>
  <c r="G42" i="3"/>
  <c r="G41" i="3"/>
  <c r="G104" i="3"/>
  <c r="G93" i="3"/>
  <c r="G88" i="3"/>
  <c r="G90" i="3"/>
  <c r="G87" i="3"/>
  <c r="G101" i="3"/>
  <c r="G100" i="3"/>
  <c r="G102" i="3"/>
  <c r="G84" i="3"/>
  <c r="G95" i="3"/>
  <c r="G81" i="3"/>
  <c r="G92" i="3"/>
  <c r="G78" i="3"/>
  <c r="G103" i="3"/>
  <c r="G98" i="3"/>
  <c r="G83" i="3"/>
  <c r="G76" i="3"/>
  <c r="G79" i="3"/>
  <c r="G99" i="3"/>
  <c r="G77" i="3"/>
  <c r="G97" i="3"/>
  <c r="G86" i="3"/>
  <c r="G85" i="3"/>
  <c r="G91" i="3"/>
  <c r="G82" i="3"/>
  <c r="G94" i="3"/>
  <c r="G96" i="3"/>
  <c r="G89" i="3"/>
  <c r="G80" i="3"/>
  <c r="G119" i="3"/>
  <c r="G124" i="3"/>
  <c r="G116" i="3"/>
  <c r="G110" i="3"/>
  <c r="G107" i="3"/>
  <c r="G127" i="3"/>
  <c r="G133" i="3"/>
  <c r="G109" i="3"/>
  <c r="G132" i="3"/>
  <c r="G123" i="3"/>
  <c r="G126" i="3"/>
  <c r="G108" i="3"/>
  <c r="G117" i="3"/>
  <c r="G130" i="3"/>
  <c r="G122" i="3"/>
  <c r="G128" i="3"/>
  <c r="G114" i="3"/>
  <c r="G111" i="3"/>
  <c r="G129" i="3"/>
  <c r="G106" i="3"/>
  <c r="G125" i="3"/>
  <c r="G112" i="3"/>
  <c r="G131" i="3"/>
  <c r="G118" i="3"/>
  <c r="G115" i="3"/>
  <c r="G120" i="3"/>
  <c r="G113" i="3"/>
  <c r="G121" i="3"/>
  <c r="G105" i="3"/>
  <c r="G153" i="3"/>
  <c r="G149" i="3"/>
  <c r="G154" i="3"/>
  <c r="G156" i="3"/>
  <c r="G142" i="3"/>
  <c r="G143" i="3"/>
  <c r="G150" i="3"/>
  <c r="G160" i="3"/>
  <c r="G159" i="3"/>
  <c r="G146" i="3"/>
  <c r="G161" i="3"/>
  <c r="G134" i="3"/>
  <c r="G145" i="3"/>
  <c r="G144" i="3"/>
  <c r="G147" i="3"/>
  <c r="G158" i="3"/>
  <c r="G141" i="3"/>
  <c r="G157" i="3"/>
  <c r="G151" i="3"/>
  <c r="G136" i="3"/>
  <c r="G140" i="3"/>
  <c r="G138" i="3"/>
  <c r="G137" i="3"/>
  <c r="G148" i="3"/>
  <c r="G152" i="3"/>
  <c r="G139" i="3"/>
  <c r="G155" i="3"/>
  <c r="G135" i="3"/>
  <c r="G191" i="3"/>
  <c r="G195" i="3"/>
  <c r="G175" i="3"/>
  <c r="G173" i="3"/>
  <c r="G194" i="3"/>
  <c r="G188" i="3"/>
  <c r="G179" i="3"/>
  <c r="G196" i="3"/>
  <c r="G174" i="3"/>
  <c r="G192" i="3"/>
  <c r="G183" i="3"/>
  <c r="G178" i="3"/>
  <c r="G186" i="3"/>
  <c r="G187" i="3"/>
  <c r="G181" i="3"/>
  <c r="G172" i="3"/>
  <c r="G184" i="3"/>
  <c r="G177" i="3"/>
  <c r="G165" i="3"/>
  <c r="G190" i="3"/>
  <c r="G162" i="3"/>
  <c r="G185" i="3"/>
  <c r="G180" i="3"/>
  <c r="G167" i="3"/>
  <c r="G164" i="3"/>
  <c r="G169" i="3"/>
  <c r="G189" i="3"/>
  <c r="G193" i="3"/>
  <c r="G168" i="3"/>
  <c r="G182" i="3"/>
  <c r="G166" i="3"/>
  <c r="G163" i="3"/>
  <c r="G176" i="3"/>
  <c r="G170" i="3"/>
  <c r="G171" i="3"/>
  <c r="G216" i="3"/>
  <c r="G220" i="3"/>
  <c r="G223" i="3"/>
  <c r="G227" i="3"/>
  <c r="G212" i="3"/>
  <c r="G219" i="3"/>
  <c r="G207" i="3"/>
  <c r="G229" i="3"/>
  <c r="G197" i="3"/>
  <c r="G213" i="3"/>
  <c r="G204" i="3"/>
  <c r="G202" i="3"/>
  <c r="G200" i="3"/>
  <c r="G205" i="3"/>
  <c r="G199" i="3"/>
  <c r="G231" i="3"/>
  <c r="G210" i="3"/>
  <c r="G209" i="3"/>
  <c r="G226" i="3"/>
  <c r="G214" i="3"/>
  <c r="G228" i="3"/>
  <c r="G222" i="3"/>
  <c r="G208" i="3"/>
  <c r="G206" i="3"/>
  <c r="G217" i="3"/>
  <c r="G211" i="3"/>
  <c r="G230" i="3"/>
  <c r="G198" i="3"/>
  <c r="G221" i="3"/>
  <c r="G218" i="3"/>
  <c r="G215" i="3"/>
  <c r="G224" i="3"/>
  <c r="G201" i="3"/>
  <c r="G225" i="3"/>
  <c r="G203" i="3"/>
  <c r="I15"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0BBFB0-E34C-45AA-BA0C-CF6C574FF04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6FE14A0-956F-47C6-89C3-FD2160DF5AE6}" name="WorksheetConnection_PhenoRef.xlsx!Table3" type="102" refreshedVersion="6" minRefreshableVersion="5">
    <extLst>
      <ext xmlns:x15="http://schemas.microsoft.com/office/spreadsheetml/2010/11/main" uri="{DE250136-89BD-433C-8126-D09CA5730AF9}">
        <x15:connection id="Table3" autoDelete="1">
          <x15:rangePr sourceName="_xlcn.WorksheetConnection_PhenoRef.xlsxTable3"/>
        </x15:connection>
      </ext>
    </extLst>
  </connection>
</connections>
</file>

<file path=xl/sharedStrings.xml><?xml version="1.0" encoding="utf-8"?>
<sst xmlns="http://schemas.openxmlformats.org/spreadsheetml/2006/main" count="3347" uniqueCount="707">
  <si>
    <t>YZUP005</t>
  </si>
  <si>
    <t>YZUP003</t>
  </si>
  <si>
    <t>TAHL003</t>
  </si>
  <si>
    <t>TAHL001</t>
  </si>
  <si>
    <t>SUNL016</t>
  </si>
  <si>
    <t>SUNL011</t>
  </si>
  <si>
    <t>SUNL006</t>
  </si>
  <si>
    <t>STR8017</t>
  </si>
  <si>
    <t>STR8014</t>
  </si>
  <si>
    <t>SOUR011</t>
  </si>
  <si>
    <t>SOUR007</t>
  </si>
  <si>
    <t>SOUR004</t>
  </si>
  <si>
    <t>SOUR002</t>
  </si>
  <si>
    <t>SKNK012</t>
  </si>
  <si>
    <t>SKNK009</t>
  </si>
  <si>
    <t>SKNK007</t>
  </si>
  <si>
    <t>SKNK005</t>
  </si>
  <si>
    <t>SKNK004</t>
  </si>
  <si>
    <t>SECF009</t>
  </si>
  <si>
    <t>POTN017</t>
  </si>
  <si>
    <t>PLAN017</t>
  </si>
  <si>
    <t>PLAN008</t>
  </si>
  <si>
    <t>PLAN004</t>
  </si>
  <si>
    <t>OROB054</t>
  </si>
  <si>
    <t>ONED026</t>
  </si>
  <si>
    <t>NYFL014</t>
  </si>
  <si>
    <t>MABK007</t>
  </si>
  <si>
    <t>LDOS041</t>
  </si>
  <si>
    <t>LDOS040</t>
  </si>
  <si>
    <t>LDOS025</t>
  </si>
  <si>
    <t>LDOS024</t>
  </si>
  <si>
    <t>LDOS018</t>
  </si>
  <si>
    <t>KOKO030</t>
  </si>
  <si>
    <t>KOKO011</t>
  </si>
  <si>
    <t>KOIX034</t>
  </si>
  <si>
    <t>KOIX007</t>
  </si>
  <si>
    <t>KOIX004</t>
  </si>
  <si>
    <t>KLFR055</t>
  </si>
  <si>
    <t>KING008</t>
  </si>
  <si>
    <t>KING002</t>
  </si>
  <si>
    <t>JK99030</t>
  </si>
  <si>
    <t>JACK021</t>
  </si>
  <si>
    <t>HTWV003</t>
  </si>
  <si>
    <t>HAMA021</t>
  </si>
  <si>
    <t>HAMA013</t>
  </si>
  <si>
    <t>GFSD207</t>
  </si>
  <si>
    <t>GFSD193</t>
  </si>
  <si>
    <t>GFSD189</t>
  </si>
  <si>
    <t>GFSD014</t>
  </si>
  <si>
    <t>DSLD016</t>
  </si>
  <si>
    <t>DSLD015</t>
  </si>
  <si>
    <t>DSLD010</t>
  </si>
  <si>
    <t>DRMC001</t>
  </si>
  <si>
    <t>DD22016</t>
  </si>
  <si>
    <t>DD22005</t>
  </si>
  <si>
    <t>BMKO011</t>
  </si>
  <si>
    <t>BHZD002</t>
  </si>
  <si>
    <t>BGCH014</t>
  </si>
  <si>
    <t>BGCH010</t>
  </si>
  <si>
    <t>BGCH007</t>
  </si>
  <si>
    <t>BBGM007</t>
  </si>
  <si>
    <t>BBGM004</t>
  </si>
  <si>
    <t>92CK119</t>
  </si>
  <si>
    <t>92CK082</t>
  </si>
  <si>
    <t>Orthotropic</t>
  </si>
  <si>
    <t>Weak</t>
  </si>
  <si>
    <t>Set second trellis at an average height, while setting the third trellis quite high. This will provide a net to stabilize tertiary branches while supporting the weak secondary branches</t>
  </si>
  <si>
    <t>Week 1, Week 4, Week 6</t>
  </si>
  <si>
    <t>Spread into first trellis but focus on setting them on a vertical parth into the second and third trellis. After hard prune, set and stretch tertiary branches into second and third trellis where possible.</t>
  </si>
  <si>
    <t>Plagiotropic</t>
  </si>
  <si>
    <t>Strong</t>
  </si>
  <si>
    <t>Spread into both the first and the second trellis until table is no longer visible from above. Try to position taller branches in a way that does not shade out lower ones.</t>
  </si>
  <si>
    <t>Week 1, Week 4</t>
  </si>
  <si>
    <t>Moderate</t>
  </si>
  <si>
    <t>Moderate/Heavy</t>
  </si>
  <si>
    <t>Heavy</t>
  </si>
  <si>
    <t>Mesotropic</t>
  </si>
  <si>
    <t>Light</t>
  </si>
  <si>
    <t>Second trellis should be placed low in order to promote heavy use of the spreading technique</t>
  </si>
  <si>
    <t>Spread plant as far as possible into both the first and second trellis.</t>
  </si>
  <si>
    <t>Light/Moderate</t>
  </si>
  <si>
    <t>Second trellis should be placed low in order to promote moderate use of the spreading technique</t>
  </si>
  <si>
    <t>Spread plant widely into the first trellis, but set branches into the second trellis mindful of its preferred vertical growth habit.</t>
  </si>
  <si>
    <t>Each trellis can be set to average expectation, as this plant supports its own weight very well.</t>
  </si>
  <si>
    <t>forest</t>
  </si>
  <si>
    <t>blue</t>
  </si>
  <si>
    <t>green</t>
  </si>
  <si>
    <t>red</t>
  </si>
  <si>
    <t>yellow</t>
  </si>
  <si>
    <t>Veg Category</t>
  </si>
  <si>
    <t>Flower Category</t>
  </si>
  <si>
    <t>VLOOKUP</t>
  </si>
  <si>
    <t>Pheno</t>
  </si>
  <si>
    <t>Veg 5</t>
  </si>
  <si>
    <t>Flower 5</t>
  </si>
  <si>
    <t>Ratio</t>
  </si>
  <si>
    <t>VEStDev</t>
  </si>
  <si>
    <t>FLStDev</t>
  </si>
  <si>
    <t>92CK066</t>
  </si>
  <si>
    <t>92CK083</t>
  </si>
  <si>
    <t>BBGM009</t>
  </si>
  <si>
    <t>DRMC004</t>
  </si>
  <si>
    <t>FLOG004</t>
  </si>
  <si>
    <t>HTWV016</t>
  </si>
  <si>
    <t>ISLA010</t>
  </si>
  <si>
    <t>JK99007</t>
  </si>
  <si>
    <t>JK99042</t>
  </si>
  <si>
    <t>JK99064</t>
  </si>
  <si>
    <t>MDGE001</t>
  </si>
  <si>
    <t>ONED037</t>
  </si>
  <si>
    <t>ONED038</t>
  </si>
  <si>
    <t>ONED041</t>
  </si>
  <si>
    <t>OROB047</t>
  </si>
  <si>
    <t>PHGW020</t>
  </si>
  <si>
    <t>PHGW023</t>
  </si>
  <si>
    <t>PLAN027</t>
  </si>
  <si>
    <t>POLO012</t>
  </si>
  <si>
    <t>POLO046</t>
  </si>
  <si>
    <t>SECF017</t>
  </si>
  <si>
    <t>Round</t>
  </si>
  <si>
    <t>C15</t>
  </si>
  <si>
    <t>C16</t>
  </si>
  <si>
    <t>92CK088</t>
  </si>
  <si>
    <t>BHZD008</t>
  </si>
  <si>
    <t>DRMC022</t>
  </si>
  <si>
    <t>JK99058</t>
  </si>
  <si>
    <t>JK99075</t>
  </si>
  <si>
    <t>KOKO012</t>
  </si>
  <si>
    <t>NYFL004</t>
  </si>
  <si>
    <t>PLKO004</t>
  </si>
  <si>
    <t>PLKO025</t>
  </si>
  <si>
    <t>RBOG002</t>
  </si>
  <si>
    <t>STRC017</t>
  </si>
  <si>
    <t>STRC018</t>
  </si>
  <si>
    <t>STRC022</t>
  </si>
  <si>
    <t>92CK116</t>
  </si>
  <si>
    <t>SWTS024</t>
  </si>
  <si>
    <t>SWTS035</t>
  </si>
  <si>
    <t>C17</t>
  </si>
  <si>
    <t>C18</t>
  </si>
  <si>
    <t>DD22008</t>
  </si>
  <si>
    <t>DD22009</t>
  </si>
  <si>
    <t>GFSD187</t>
  </si>
  <si>
    <t>NYFL011</t>
  </si>
  <si>
    <t>OROB028</t>
  </si>
  <si>
    <t>POTN028</t>
  </si>
  <si>
    <t>GFSD159</t>
  </si>
  <si>
    <t>MABK008</t>
  </si>
  <si>
    <t>PLKO030</t>
  </si>
  <si>
    <t>SUNL013</t>
  </si>
  <si>
    <t>C19</t>
  </si>
  <si>
    <t>C20</t>
  </si>
  <si>
    <t>KOIX015</t>
  </si>
  <si>
    <t>LDOS049</t>
  </si>
  <si>
    <t>POTN025</t>
  </si>
  <si>
    <t>SUNL019</t>
  </si>
  <si>
    <t>C21</t>
  </si>
  <si>
    <t>STR8009</t>
  </si>
  <si>
    <t>Row Labels</t>
  </si>
  <si>
    <t>Grand Total</t>
  </si>
  <si>
    <t>Average of Ratio</t>
  </si>
  <si>
    <t>alive</t>
  </si>
  <si>
    <t>dead or alive</t>
  </si>
  <si>
    <t>Column Labels</t>
  </si>
  <si>
    <t>spread branches into both the first and second trellis, exposing as many lower nodes and branches as possible</t>
  </si>
  <si>
    <t>Set first trellis as low as possible. Do not add a second trellis.</t>
  </si>
  <si>
    <t>Spread branches as far as possible into the first trellis. No further training is required</t>
  </si>
  <si>
    <t>Total Average of Ratio</t>
  </si>
  <si>
    <t>Total StdDev of Ratio</t>
  </si>
  <si>
    <t>StdDev of Ratio</t>
  </si>
  <si>
    <t>Set first trellis low, do not add a second trellis</t>
  </si>
  <si>
    <t>Spread as far as possible into the first trellis</t>
  </si>
  <si>
    <t>VEG</t>
  </si>
  <si>
    <t>FLOWER</t>
  </si>
  <si>
    <t>POLO028</t>
  </si>
  <si>
    <t>POTN010</t>
  </si>
  <si>
    <t>SWTS006</t>
  </si>
  <si>
    <t>SWTS027</t>
  </si>
  <si>
    <t/>
  </si>
  <si>
    <t>set trellis above the canopy</t>
  </si>
  <si>
    <t>set trellis just in the canopy, training tall branches</t>
  </si>
  <si>
    <t>set trelllis below the canopy, training the majority of branches</t>
  </si>
  <si>
    <t>Spread into first trellis, but not as severely as you might with 003. This plant naturally will spread as it grows, and extreme training can lead tertiary branches to flop late in flower. Gently guide as many branches vertically into the trellis in week 4 as possible.</t>
  </si>
  <si>
    <t xml:space="preserve">More prone to leaning than 003, with thicker stems, the trellis should be set relatively lower to aim for about a quarter of the plant above the second trellis. Low tertiary branches should be supported as much as possible. </t>
  </si>
  <si>
    <t>Train as far as possible out into each of the trellises to promote the growth of buds and branches beneath the canopy</t>
  </si>
  <si>
    <t>This plant does stretch a little, but not much. Has a much more vertical growth pattern than 006 does, while still having very strong branches. Set each trellis low so as to best spread these plants out</t>
  </si>
  <si>
    <t xml:space="preserve">These plants will stretch above the second trellis significantly, but it should be set low so as to catch the tertiary branches that tend to flop flat in late flower. </t>
  </si>
  <si>
    <t>Train moderately outward into the first trellis, and then upwards as much as possible into the low second trellis.</t>
  </si>
  <si>
    <t>Spread into both the first and the second trellis (if it is there) until table is no longer visible from above. Try to position taller branches in a way that does not shade out lower ones.</t>
  </si>
  <si>
    <t>If using a second trellis a little lower than expected on average. Tall, thick stems can support their own weight and should be trained outwards, better exposing the lower branches to light.</t>
  </si>
  <si>
    <t>Very prone to flopping between the trellises - set the second one nice and low to best support and catch the inner canopy. The tallest branches support their own weight</t>
  </si>
  <si>
    <t>Spread moderately into the first trellis, and focus on setting branches into the second trellis in a way that will support them as they grow heavier</t>
  </si>
  <si>
    <t>Less prone to flopping in between the trellises than 034, but is still served weill by a lower set second trellis, especially on harder-pruned tables with less neighbor branches to provide support in the inner plant.</t>
  </si>
  <si>
    <t>Spread widely into the first trellis and focus on vertical training into the second trellis</t>
  </si>
  <si>
    <t>Trellis should be set moderately low, as the weak stems of tertiary and low secondary branches tend to give under the weight of buds in late flower</t>
  </si>
  <si>
    <t>Training should spread branches moderately into the first trellis, and focus on propping branches up into the second trellis</t>
  </si>
  <si>
    <t>Set second trellis low in order to use as a template for extra outwards training</t>
  </si>
  <si>
    <t>Spread plant well into both the first and second trellis in order to expose inner branches and nodes to light</t>
  </si>
  <si>
    <t>No second trellis</t>
  </si>
  <si>
    <t>Set first trellis as low as possible to provide better training</t>
  </si>
  <si>
    <t>Week 1</t>
  </si>
  <si>
    <t>Second trellis should be low enough to provide support for the tertiary and low secondary branches that tend to twist under the weight of late stage buds</t>
  </si>
  <si>
    <t>Despite these plants being very tall, their second trellis should be set even more relatively low so as to catch their finnicky tertiary and low secondary branches</t>
  </si>
  <si>
    <t>Minimal spreading into both the first and second trellis</t>
  </si>
  <si>
    <t>set trellis into the canopy, training the majority of branches</t>
  </si>
  <si>
    <t>Branches hold up their weight well, and the strongest branches just need upper support to keep from toppling.</t>
  </si>
  <si>
    <t>Spread slightly into first trellis, and maintain vertical growth in the second</t>
  </si>
  <si>
    <t>Spread moderately into the first trellis, and prop tallest branches into second trellis. This plant spreads into the second one on its own</t>
  </si>
  <si>
    <t>prune more lightly due to less branching and/or longer internode structure</t>
  </si>
  <si>
    <t>Prune more lightly due to small size</t>
  </si>
  <si>
    <t>Prune more heavily due to large size and potential for future growth</t>
  </si>
  <si>
    <t>Should be topped less than average to encourage tertiary branch development on main stems</t>
  </si>
  <si>
    <t>Normal</t>
  </si>
  <si>
    <t>Tables fill out nicely after the hard defoliation if the majority of branches between the trellises are left on the plants</t>
  </si>
  <si>
    <t>set first trellis as low as possible, spreading branches out to expose inner nodes. The tall secondary branches support their own weight, but the lowest/late topped tertiary branches tend to flop late in flower due to bud weight.  Trellis should settle far into the fully mature canopy.</t>
  </si>
  <si>
    <t>Inner canopy branches are important for providing support to weak stemmed neighbor branches late in flower.</t>
  </si>
  <si>
    <t>Focus on training the naturally spreading branches to grow more upwards into the second trellis. This will help prevent branch flopping later on. Trained branches should rest on a string of the trellis.</t>
  </si>
  <si>
    <t>Secondary branches maintain a good strength with more frequent topping. Since this pheno will have three trellises anyway, it should be topped more frequently.</t>
  </si>
  <si>
    <t>Set second trellis a little lower than expected on average. This phenotype has not had any problems with droopy branches yet, and is not picky about trellis height. However, the canopy is quite thick, so trellis should be a little low so that the majority of mature branches can be trained.</t>
  </si>
  <si>
    <t>Frequent</t>
  </si>
  <si>
    <t>Branches are quite thick, but do not maintain their elasticity and strength through the end of the flowering phase. Adding a third trellis supports the upper branch weight on these very tall plants, and the second trellis provides a stronger foundation for those tall branches to gain support from.</t>
  </si>
  <si>
    <t>Train vertically. As thick as these plants are, there could be little benefit to spreading their branches - only added headache during harvest.</t>
  </si>
  <si>
    <t>A good goal for this plant is to wind up with about half of it (or less) underneath the first trellis, and a quarter (up to about a third) of it above the second trellis. There should be a balance between setting that second trellis low to support tertiary branches, and not setting it so low as to not provide enough support to the tallest secondary branches - though it performs considerably well with a low second trellis.</t>
  </si>
  <si>
    <t>Normal. Bowl shape works quite well on this pheno.</t>
  </si>
  <si>
    <t>Light. Leave more lower nodes than is conventional.</t>
  </si>
  <si>
    <t>Frequent - tertiary branches are short and not very productive, and topped branches maintain their strength well.</t>
  </si>
  <si>
    <t>There should not be much removed from the plant besides what is below the first trellis and foliage in between the two trellises. Remove as many leaves from between the trellises as possible, as the growth is dense and hard to scout.</t>
  </si>
  <si>
    <t>Less frequent - they have productive tertiary branches</t>
  </si>
  <si>
    <t xml:space="preserve">The low set second trellis supports tertiary branches well. Branches that grow above the second trellis support their own weight. </t>
  </si>
  <si>
    <t>Spread into first trellis, and let branches fall naturally on whatever trellis string will support their weight as they mature. Because of this plant's spreading growth pattern, there's less of a need to spread branches manually.</t>
  </si>
  <si>
    <t>Standard</t>
  </si>
  <si>
    <t>Standard bowl works well.</t>
  </si>
  <si>
    <t>These plants are small, but they have some of the prettiest buds. They also spread out their branches well on their own, though there typically isn't too much to spread. Leave as much above the first trellis as possible.</t>
  </si>
  <si>
    <t>Leave enough lower nodes to create green coverage after spreading into trellis</t>
  </si>
  <si>
    <t>Top only the apex on the last topping day in veg.</t>
  </si>
  <si>
    <t>The first trellis will act as the foundation that holds together the weight of the secondary branches, but should still be low enough to sufficently spread all branches.</t>
  </si>
  <si>
    <t>Spread as widely as possible into the first trellis.</t>
  </si>
  <si>
    <t>COMPLETE</t>
  </si>
  <si>
    <t>set second trellis to split the distance between 1st and 3rd evenly, and add third trellis just above the canopy.</t>
  </si>
  <si>
    <t>Leave enough branches between the two trellises for neighbor branch support late in flower. These branches do tend to flop under their own weight, unlike other SUNL varieties.</t>
  </si>
  <si>
    <t>Top more heavily to shorten plant and reduce tertiary branching in flower</t>
  </si>
  <si>
    <t>This pheno has wekaer stems and considerable tertiary branch growth, and having a shorter second trellis will help to catch the lower weak branches. Secondary branches remain strong enough to support heavy upper weight..</t>
  </si>
  <si>
    <t>This plant has a slight spread to it. It is fine to spread branches into the first trellis, but training into the second trellis should focus on catching lower tertiary branches and supporting the secondary stems.</t>
  </si>
  <si>
    <t>Top less often - branches do not stretch well in veg, and it's nearly impossible to top in the first place.</t>
  </si>
  <si>
    <t>Set the first trellis a little higher than you would normally - this will help give a better foundation of support to the long upper branches</t>
  </si>
  <si>
    <t>Week 4</t>
  </si>
  <si>
    <t>Train branches suitably into the first trellis, making sure they have support. Do not force a spreading technique here.</t>
  </si>
  <si>
    <t>Top more frequently - cola formatiion is more visually appealing on the branches that come from topped stems than those that were left to run wild and free.</t>
  </si>
  <si>
    <t>There is considerable stretch from the tertiary branches, but they support their own weight well. As long as the second trellis is low enough to catch the longest stems of the inner canopy, this pheno is not too picky about trellising.</t>
  </si>
  <si>
    <t>Though the branches appear strong, they do not hold their weight upright and will twist and flop late in flower if second trellis is too high.</t>
  </si>
  <si>
    <t>Spread branches slightly when training into first trellis, then focus on vertical training as many branches as possible for the second trellis.</t>
  </si>
  <si>
    <t>Tertiary branches support their own weight, so setting a high second trellis reigns in the spreading secondary branches while preventing them from twisting and falling. A higher second trellis also provides ease of access and harvest.</t>
  </si>
  <si>
    <t>Light/Moderate, leaving lower nodes</t>
  </si>
  <si>
    <t>Standard, leaving lower nodes for a fuller inner canopy</t>
  </si>
  <si>
    <t xml:space="preserve">Spread widely into the first trellis, and spread branches with discretion into the second trellis. The integrity of their already wide growth pattern shpuldn't be pushed too much. </t>
  </si>
  <si>
    <t>Leave plenty of nodes on these plants to develop as much as possible. Branches above the first trellis will support themselves with no issue.</t>
  </si>
  <si>
    <t>Leave enough of a support network within the canopy to not have to rely on a second trellis to hold the upper branches. They usually support themselves well, but having more lower branches to train and lean on is beneficial for this plant's form.</t>
  </si>
  <si>
    <t>Neighboring branches in between the trellises provide some leaning support. Leave as many small branches to develop between the trellises as is reasonable.</t>
  </si>
  <si>
    <t xml:space="preserve">Leave many lower and inner nodes for a fuller table canopy. </t>
  </si>
  <si>
    <t>Leave enough of the inner canopy to give the remaining branches better support, but prune enough away so that scouting this pheno is more straightforward.</t>
  </si>
  <si>
    <t>Set second trellis quite low so as to best support the shorter secondary branches as well as the tertiary ones. This phenotype is extremely prone to bud flopping, so extra care should be taken to have an even canopy</t>
  </si>
  <si>
    <t>With weak stems and tertiary branches that aren't too stretchy, it is important to set this trellis low so as to catch and support the lowest branches to prevent bud flop. The upper secondary branches shouldn’t get so heavy that they fall with the weight.</t>
  </si>
  <si>
    <t>Leave plenty of inner nodes.</t>
  </si>
  <si>
    <t xml:space="preserve">While the main secondary branches appear sturdy, the tertiary branches of this pheno are very weak, and will flop with the heavy weight of the buds late in flower. Prune with discretion - there should be enough branches between the trellises to provide a network of support, but not so many as to prevent efficient scouting or to cause airflow problems. Leave plenty of branches, but defoliate heavily. </t>
  </si>
  <si>
    <t>Strong tertiary branches support their own weight for the most part without twisting or flopping, even though they stretch considerably. A high set second trellis reigns in the lowest branches while providing a foundation for those that will stretch far past it.</t>
  </si>
  <si>
    <t>as frequent as possible</t>
  </si>
  <si>
    <t>Leave nodes in center</t>
  </si>
  <si>
    <t>Spread branches far in a low set first trellis. The second trellis is low enough to best train the spreading secondary branches upwards into.</t>
  </si>
  <si>
    <t>Spread as far as possible into the first trellis, while spreading slightly with the growth into the second. Plants may need to have branches guided vertically.</t>
  </si>
  <si>
    <t>Clear enough space for sufficient air flow and light, in addition to better scouting. Smaller branches support their weight very well and do not flop, so leave these on as is reasonable - especially in the exposed center of the plant.</t>
  </si>
  <si>
    <t>Infrequent. Upper buds do not crowd eachother into a "fat cola", so they are less of an IPM concern in this feature, though fairly PM prone. Leaving the secondary branches to grow strong and upright with many tertiary branches may be the best direction to take.</t>
  </si>
  <si>
    <t>This plant does not stretch much at all and can withstand all types of training, so setting the first and second trellis to reasonable working heights is best.</t>
  </si>
  <si>
    <t>Because of its vertical growth habit, this plant requires outwards training into the first trellis. Allow plant to remain vertical growing into second trellis</t>
  </si>
  <si>
    <t>These plants will not stretch much after the trellising event occurs, but they have little need for a low set second trellis. With strong branches, they do great work supporting their own weight. Therefore, the second trellis should be just low enough for the upper colas to poke through. The high set second trellis reigns in branches, supports the length of the secondary branches and all those attached, and allows for ease of access to the inner canopy.</t>
  </si>
  <si>
    <t>Has large and dense buds, with slightly spreading, but not sprawling, growth. It is not as prone to PM as other SOUR phenos, and usually has only 12 plants per table, so leaving the inner canopy a little thicker than usual will boost yield.</t>
  </si>
  <si>
    <t>A relatively low second trellis allows training to spread the plants out well .</t>
  </si>
  <si>
    <t>Train secondary branches outwards into the first and second trellis, while propping the tertiary branches from the inner nodes upwards as much as possible.</t>
  </si>
  <si>
    <t xml:space="preserve">This pheno does have strong secondary branches, and while the tertiary branches are strong enough, having a low set second trellis allows better spreading in training, which can be crucial for more efficient scouting of this PM prone plant. </t>
  </si>
  <si>
    <t>Average of Severity</t>
  </si>
  <si>
    <t>TABLE UPDATED ON:</t>
  </si>
  <si>
    <t>Sum of Number of Infected Plants</t>
  </si>
  <si>
    <t>Index</t>
  </si>
  <si>
    <t>Rating</t>
  </si>
  <si>
    <t>RATING: 1 = MOST PM PRONE</t>
  </si>
  <si>
    <t>Branches that are not divided by tops are vigorous and have plenty of nodes. A late first top and secondary tops only where necessary may work well.</t>
  </si>
  <si>
    <t>Prune more heavily due to PM concern.</t>
  </si>
  <si>
    <t>very susceptible</t>
  </si>
  <si>
    <t>very resistant</t>
  </si>
  <si>
    <t>susceptible due to structure</t>
  </si>
  <si>
    <t>resistant</t>
  </si>
  <si>
    <t>Descriptor</t>
  </si>
  <si>
    <t>Index Factor</t>
  </si>
  <si>
    <t>Second and third layers of trellis should seem a little lower than one might expect for a plant that needs three layers. Catching and being able to train the lower tertiary branches is important in this pheno if those branches are to be left on the plant.</t>
  </si>
  <si>
    <t>Frequent and early</t>
  </si>
  <si>
    <t>Week 1, Week 2, Week 4</t>
  </si>
  <si>
    <t>Spread well into first trellis early in the flowering phase, but do not spread any further into the second trellis. Branches should be gently trained upwards vertically into the second trellis to prevent branch bending - mostly, they will train themselves.</t>
  </si>
  <si>
    <t>Tertiary branches are extremely weak while the relatively short secondary branches are fine with a low foundation of support. A low set second trellis helps to guide their spreading growth, as well as provide support to the tertiary branches.</t>
  </si>
  <si>
    <t>Week 1, Week 2</t>
  </si>
  <si>
    <t>Qualitative Factor</t>
  </si>
  <si>
    <t>Description</t>
  </si>
  <si>
    <t>Qualitative Factor VLOOKUP table</t>
  </si>
  <si>
    <t>D/A</t>
  </si>
  <si>
    <t>Qualitative Factor Index</t>
  </si>
  <si>
    <t xml:space="preserve">Prune more heavily due to their potential for future growth and dense inner canopy. </t>
  </si>
  <si>
    <t>Leave enough branches to build a "support network" within the canopy. In doing so, these plants will not have to rely on a second trellis to hold the upper branches. Due to the very low risk for PM, much of it's growth can be left on.</t>
  </si>
  <si>
    <t>Do not remove lower nodes of plant in veg or flower. Leave as many nodes as possible.</t>
  </si>
  <si>
    <t>Buds will become large and heavy on weak stems, so remove lowest branches and leave more nodes on strongest of branches. This pheno is prone to PM, so defoliate well. Leave nodes in the center of the plant to fill out table when plants are trained outwards.</t>
  </si>
  <si>
    <t>Prune heavily due to high PM concern, as well as their large size and potential for future growth.</t>
  </si>
  <si>
    <t>Plants will grow significantly after hard prune. Given their relatively low PM risk, and their tendency to flop if stripped of too many inner canopy branches, a moderate amount of growth can be left during the prune.</t>
  </si>
  <si>
    <t>A PM concern, growth should be thinned out enough to scout well but not so much as to critically reduce yield, and defoliated well. If possible, remove nodes from the undersides of leftover weak branches to help prevent branch flop.</t>
  </si>
  <si>
    <t>The dense growth on STR8014 allows for a moderate approach to pruning; however, because of its wider growth habit, nodes should be left on the lower center branches to better fill out the table's canopy. Any remaining branches will not flop late in flower.</t>
  </si>
  <si>
    <t>Prune more lightly due to smaller plant size and strong branch structure, but be wary of PM index.</t>
  </si>
  <si>
    <t xml:space="preserve">Branches that grow between the trellises are strong and can stand on their own, even late in flower. Due to the higher PM concern of this plant, the inner canopy should be thinned out by removing growth, especially from the underside of branches. While this plant does grow much taller after the hard prune, much of it can be attributed to stretch and internode length, so do not remove so much from the inner canopy as to hurt yield. </t>
  </si>
  <si>
    <t>Tables should be left with space in the inner canopy for air flow. Inner canopy growth tends to be dense with small sized buds on tertiary branches that stretch well. While the majority of nodes and branches above the first trellis could be left to mature, by removing nodes where buds/branches could overlap in a restrictive way, the risk for PM can be reduced.</t>
  </si>
  <si>
    <t>PLAN008 has a wider growth pattern than PLAN004,  so while these two phenos have similar pruning requirements, nodes should be left in the center of 008 to fill out the middle canopy - these lower branches do not tend to flop. When removing lower nodes, the ones that are found on the underside of the branches should be the first to go.</t>
  </si>
  <si>
    <t xml:space="preserve">Branches may need to be trained more vertically to prevent overlapping, so a trellis that’s a little low on these plants can help. </t>
  </si>
  <si>
    <t>Train branches so as to prevent overlapping, as these plants do tend to spread.</t>
  </si>
  <si>
    <t>With a very strong stem structure and a thick, semi-spreading growth pattern, these plants can be pruned more heavily without concern for floppy branches. Potential PM hotspots should be considered carefully, though some inner nodes can be left on plants that are trained outwards.</t>
  </si>
  <si>
    <t>Trellis should be set relatively high on the final height of the plant so as to train some of those wide-set branches upwards. Most branches will support their own weight with a trellis late in flower.</t>
  </si>
  <si>
    <t>Long internodes allow ample space for bud development on strong stems, so leave as much growth on these plants as is reasonable. Try to avoid removing as many lower tertiary branches as possible, since the plant as a whole won't be putting on very many buds and the branch strength prevents inner canopy drooping.</t>
  </si>
  <si>
    <t>This plant has growth that is dense enough to handle a heavier pruning. Leave the strongest of tertiary branches in the inner canopy to develop, keeping the PM index in mind. Be wary of hot spots that occur in between plants.</t>
  </si>
  <si>
    <t>These plants should be thinned out enough to scout well. Leave nodes in the center to cover table space when plants are trained outwards. Remove many lower/outer tertiary branches due to their weak structure.</t>
  </si>
  <si>
    <t>Add second trellis while first trellis is being applied, at a height that is about the length of a hand. Add third trellis at an equidistant height from the second layer of trellis. Nets need to be low to promote better spread training.</t>
  </si>
  <si>
    <t>Third trellises are necessary for tallest of plants, both the second and third trellises can be set fairly high - at about the length of a forearm above the trellis below itt. Branches tend to support their own weight late in flower.</t>
  </si>
  <si>
    <t>Week 1, Week 3, Week 6</t>
  </si>
  <si>
    <t>Week 1, Week 3</t>
  </si>
  <si>
    <t>Week 1, Week 2, Week 3</t>
  </si>
  <si>
    <t>Spread into first trellis but focus on setting them on a vertical path into the second and third trellis. During or after hard prune, set and stretch tertiary branches into second and third trellis where possible.</t>
  </si>
  <si>
    <t>Spread into first trellis, and prop tallest branches into the second trellis in a way where they are supported. This does not need to necessarily be vertical. Branches of this phenotype do not droop late in flower.</t>
  </si>
  <si>
    <t>Spread widely into the first trellis, and spread branches with discretion into the second trellis. Their wide growth pattern shouldn't be pushed too much, but it is important to open up the canopy for efficient scouting of this pheno. Prop tertiary branches from the center of the plant into the second trellis when possible.</t>
  </si>
  <si>
    <t>Plants are prone to developing hot spots in canopy after generative growth has finished beyond week 4. Branch flopping begins early. Training should focus on spreading into first trellis, propping into second and third trellis, and organizing branches that are crowded.</t>
  </si>
  <si>
    <t>Plants will most likely spread themselves into first trellis with little assistance.Extra outwards training is not recommended due to the very floppy habit of this phenotype.  Care should be taken to train as many tertiary branches as possible vertically into the second net after plant stops growing.</t>
  </si>
  <si>
    <t>Spread into the first trellis and prop tall secondary branches into the second trellis for some weight support. These plants can be manipulated for better canopy coverage as long as one is cautious with their branches. The edges of the first trellis can be flipped up in late flower to contain plants better.</t>
  </si>
  <si>
    <t>Train plant slightly outwards into the first trellis to allow any lower tertiary branches left behind after the hard prune to fill in the center of the canopy. Second and third training events should focus on guiding those branches into the trellis to be propped up vertically, minimizing the leaning that could happen in late flower.</t>
  </si>
  <si>
    <t>Spread into first trellis well. Prop branches into the second trellis as vertically as possible. Spreading will happen naturally as these plants grow into the second net, and the week 6 training event will focus mostly on propping tertiary branches into the second trellis to prevent a floppy inner canopy.</t>
  </si>
  <si>
    <t>Train widely into the first trellis, and gently guiding branches upwards into the second trellis. This plant can be trained outward into the both nets for maximum canopy coverage.</t>
  </si>
  <si>
    <t>Spread widely into the first trellis and focus on vertical training into the second trellis. A late training event is necessary to prop up tertiary branches and flip up the edges of first trellises.</t>
  </si>
  <si>
    <t>Phenotype</t>
  </si>
  <si>
    <t>Dead or Alive</t>
  </si>
  <si>
    <t>Growth Habit</t>
  </si>
  <si>
    <t>Stem Structure</t>
  </si>
  <si>
    <t>Topping Strategy</t>
  </si>
  <si>
    <t>Pruning Technique</t>
  </si>
  <si>
    <t>How many trellises</t>
  </si>
  <si>
    <t>Trellis Instructions</t>
  </si>
  <si>
    <t>Trellising Technique</t>
  </si>
  <si>
    <t>Training Technique</t>
  </si>
  <si>
    <t>PM INDEX</t>
  </si>
  <si>
    <t>Final Veg Height Variability</t>
  </si>
  <si>
    <t>Final Flower Height Variability</t>
  </si>
  <si>
    <t>Tertiary Branch Length</t>
  </si>
  <si>
    <t>Pruning Requirements (Veg)</t>
  </si>
  <si>
    <t>Pruning Requirements (Flower)</t>
  </si>
  <si>
    <t>Recommended training times</t>
  </si>
  <si>
    <t>Plants per Flower Table</t>
  </si>
  <si>
    <t>Status of Description</t>
  </si>
  <si>
    <t>Early/Late First Top</t>
  </si>
  <si>
    <t>Early</t>
  </si>
  <si>
    <t>Late</t>
  </si>
  <si>
    <t>Final Veg Height (C19-C28)</t>
  </si>
  <si>
    <t>Final Flower Height (C19-C28, excl. C27)</t>
  </si>
  <si>
    <t>Number of Trellises</t>
  </si>
  <si>
    <t>±</t>
  </si>
  <si>
    <t>not determined</t>
  </si>
  <si>
    <t>Phenotype:</t>
  </si>
  <si>
    <t>in progress</t>
  </si>
  <si>
    <t>Final Flower Height</t>
  </si>
  <si>
    <t>Main branches have significant growth after hard prune, and are able to support themselves well on their own/without the "network of support". Because this phenotype is relatively immune to powdery mildew infections, more growth can be left on than ordinarily with larger plants.</t>
  </si>
  <si>
    <t>PHENOTYPE CLASSIFICATIONS</t>
  </si>
  <si>
    <t>set second trellis at slightly more than a hands length above the first, and add third trellis just above the canopy.</t>
  </si>
  <si>
    <t>set second trellis at slightly more than the length of a forearm above the first, and add third trellis just above the canopy.</t>
  </si>
  <si>
    <t>set second trellis at the length of a forearm above the first, and add third trellis just above the canopy.</t>
  </si>
  <si>
    <t>Set second trellis very low, at about hand away from the first trellis. The third trellis can be set just above the canopy so that only tall branches poke through.</t>
  </si>
  <si>
    <t>set second trellis at slightly more than a hands length above the first, and add third trellis just into the canopy.</t>
  </si>
  <si>
    <t>long</t>
  </si>
  <si>
    <t>short</t>
  </si>
  <si>
    <t>medium</t>
  </si>
  <si>
    <t>Ideas for more columns</t>
  </si>
  <si>
    <t>average clones per mom</t>
  </si>
  <si>
    <t>max mom age</t>
  </si>
  <si>
    <t>clone thirst</t>
  </si>
  <si>
    <t>best clone flat location</t>
  </si>
  <si>
    <t>average percent loss in clone</t>
  </si>
  <si>
    <t>veg thirst</t>
  </si>
  <si>
    <t>flower thirst</t>
  </si>
  <si>
    <t>veg-to-flower ratio</t>
  </si>
  <si>
    <t>genetics</t>
  </si>
  <si>
    <t>smells</t>
  </si>
  <si>
    <t>(description</t>
  </si>
  <si>
    <t>set trellis below the canopy, training the majority of branches</t>
  </si>
  <si>
    <t>Bins</t>
  </si>
  <si>
    <t>Height</t>
  </si>
  <si>
    <t>Characteristics</t>
  </si>
  <si>
    <t>Pinching</t>
  </si>
  <si>
    <t>Pruning</t>
  </si>
  <si>
    <t>Trellising</t>
  </si>
  <si>
    <t>Training</t>
  </si>
  <si>
    <t>Other</t>
  </si>
  <si>
    <t>out of</t>
  </si>
  <si>
    <t>(1 = highest risk)</t>
  </si>
  <si>
    <t>yes</t>
  </si>
  <si>
    <t>no</t>
  </si>
  <si>
    <t>Early Second</t>
  </si>
  <si>
    <t>Flower Event Time Estimate</t>
  </si>
  <si>
    <t>Lineage</t>
  </si>
  <si>
    <t>Classification</t>
  </si>
  <si>
    <t>Potency</t>
  </si>
  <si>
    <t>Terpene</t>
  </si>
  <si>
    <t>Primary Terpenes</t>
  </si>
  <si>
    <t>Sativa-dominant</t>
  </si>
  <si>
    <t>92 COOKIES</t>
  </si>
  <si>
    <t>GRAPEFRUIT SOUR DREAM</t>
  </si>
  <si>
    <t>Girl Scout Cookies x Blue Dream x Ghost OG x 92 OG</t>
  </si>
  <si>
    <t>Menu Description</t>
  </si>
  <si>
    <t>MYR, bPNE, LME, aPNE, CAR</t>
  </si>
  <si>
    <t>Strain Name</t>
  </si>
  <si>
    <t>Girl Scout Cookies x Face Off OG</t>
  </si>
  <si>
    <t>Indica-dominant</t>
  </si>
  <si>
    <t>CAR, MYR, LME, LIN</t>
  </si>
  <si>
    <t>Olive-green sugar leaves with lots of tiny orange hairs and a coating of sticky amber crystal trichomes. As you pull apart each little nugget, aromas of spicy herbs and sweet coffee are released.</t>
  </si>
  <si>
    <t xml:space="preserve">Musky, earthy, and slightly sweet. Dense big buds are covered with glittering trichomes, bright pistils, and lime green lavender leaves. </t>
  </si>
  <si>
    <t>LME, CAR, TPLNE, OCM, MYR</t>
  </si>
  <si>
    <t>Grapefruit Sour Diesel x (Cookies and Dream x Ghost OG BX)</t>
  </si>
  <si>
    <t xml:space="preserve">Bright, uplifting, diesel/skunky, sweet, and sour. Medium-sized plants with round chunky buds that finish with a light green and peach color. Nose is grapefruit zest forward with a citrus and haze follow. </t>
  </si>
  <si>
    <t xml:space="preserve">Louis XIII OG x Dosidos </t>
  </si>
  <si>
    <t>LME, MYR, LIN, aPNE, CAR</t>
  </si>
  <si>
    <t>Frosty, light green, bright,and  savory. Extremely dense trichome-laden buds with intoxicating sour notes and hints of cheese; a strain fit for a king.</t>
  </si>
  <si>
    <t>KINGS MUSTACHE</t>
  </si>
  <si>
    <t>Hybrid</t>
  </si>
  <si>
    <t>KOKO</t>
  </si>
  <si>
    <t xml:space="preserve">GG4 x Koffee </t>
  </si>
  <si>
    <t>MYR, bPNE, LME, LIN</t>
  </si>
  <si>
    <t>Nice round buds, hints of purple and dark green, with regular spots of bright purple and abundant trichomes. Grainy, nutty notes, and small hints of berry.</t>
  </si>
  <si>
    <t>LEMON DOSIDOS</t>
  </si>
  <si>
    <t>Lemon Lime x Dosidos 19</t>
  </si>
  <si>
    <t>MYR, LME, CAR, LIN, bPNE</t>
  </si>
  <si>
    <t>Dense buds covered in dark green leaves with accents of red and dark blues. Sweet-smelling aroma is accented by fresh lime and pine.</t>
  </si>
  <si>
    <t>NYC Chem x Flo</t>
  </si>
  <si>
    <t xml:space="preserve">LME, aPNE, MYR, bPNE, CAR, </t>
  </si>
  <si>
    <t>Floral, earthy, and fresh. These are large buds, and one of our more unique strains on the market; some phenos present higher amounts of CBD.</t>
  </si>
  <si>
    <t>NYC FLO</t>
  </si>
  <si>
    <t>ORO BLANCO</t>
  </si>
  <si>
    <t>WiFi 43 x citrusy indica-dominant strain</t>
  </si>
  <si>
    <t xml:space="preserve">MYR, bPNE, LME, LIN </t>
  </si>
  <si>
    <t xml:space="preserve">Very fruity, sweet, and bright. Dense colas are caked in sticky resin and produce a pungent haze aroma. </t>
  </si>
  <si>
    <t>Silver Kush x Platinum OG</t>
  </si>
  <si>
    <t>LME, MYR, bPNE, CAR</t>
  </si>
  <si>
    <t>Floral, gassy, and skunky. Medium-sized buds with a dense sponge-like feel and a soft sweet aroma</t>
  </si>
  <si>
    <t>PLATA NUBE</t>
  </si>
  <si>
    <t>THE POTION</t>
  </si>
  <si>
    <t>Malawi x (95’ Northern Lights 5 x Haze) x Dosidos</t>
  </si>
  <si>
    <t>Floral and peppery. This unique strain has a strong spicy aroma and trichome-laden buds.</t>
  </si>
  <si>
    <t>MYR, bPNE, aPNE</t>
  </si>
  <si>
    <t>Schrom x Dosidos</t>
  </si>
  <si>
    <t>bPNE, TPLNE, OCM, aPNE, LME</t>
  </si>
  <si>
    <t>Strong orange citrus aroma with undertones of diesel and skunk. Its buds are long and narrow like peppers when ready to harvest.</t>
  </si>
  <si>
    <t>SUPER SOUR ORANGE</t>
  </si>
  <si>
    <t xml:space="preserve">Super Sour Diesel x African Orange  </t>
  </si>
  <si>
    <t>MYR, bPNE, LME, CAR, LIN</t>
  </si>
  <si>
    <t>Medium-sized chunky plants with rotund conical shaped buds that finish with a lime green color. Deep, dark, naturally-charged green color with fiery blazing orange red hairs. A surprisingly soft aroma with a nice mellow orange citrus smell and just a dash of funk.</t>
  </si>
  <si>
    <t>SUNSHINE LIME</t>
  </si>
  <si>
    <t>Sherbet x citrusy indica-dominant strain</t>
  </si>
  <si>
    <t>MYR, bPNE, LME, LIN, CAR</t>
  </si>
  <si>
    <t xml:space="preserve">Citrus, sweet, and fruity. Large, dense buds have light mint green hue with sparkling trichomes coating nearly every surface of the flower. Aroma calls to mind a tropical breeze with a diesel undertone. </t>
  </si>
  <si>
    <t xml:space="preserve">Gelato x citrusy indica-dominant strain </t>
  </si>
  <si>
    <t>YUZU PURPLE</t>
  </si>
  <si>
    <t>MYR, aPNE, LME, LIN, CAR</t>
  </si>
  <si>
    <t>House favorite! Extremely frosty dark purple buds. Unique fruity aroma and incredibly dense bud structure. Purple, sweet, floral, with beautiful looking buds.</t>
  </si>
  <si>
    <t>Tier 2: &gt;23% THC</t>
  </si>
  <si>
    <t>DOSI005</t>
  </si>
  <si>
    <t>Alpha-Pinene</t>
  </si>
  <si>
    <t>Beta-Pinene</t>
  </si>
  <si>
    <t>Myrcene</t>
  </si>
  <si>
    <t>Beta-Caryophyllene</t>
  </si>
  <si>
    <t>Alpha-Bisabolol</t>
  </si>
  <si>
    <t>Linalool</t>
  </si>
  <si>
    <t>Delta-3-Carene</t>
  </si>
  <si>
    <t>Camphene</t>
  </si>
  <si>
    <t>Geraniol</t>
  </si>
  <si>
    <t>Alpha-Humulene</t>
  </si>
  <si>
    <t>Terpinolene</t>
  </si>
  <si>
    <t>Eucalyptol</t>
  </si>
  <si>
    <t>Borneol</t>
  </si>
  <si>
    <t>Terpineol</t>
  </si>
  <si>
    <t>MYR</t>
  </si>
  <si>
    <t>bPNE</t>
  </si>
  <si>
    <t>LME</t>
  </si>
  <si>
    <t>CAR</t>
  </si>
  <si>
    <t>aPNE</t>
  </si>
  <si>
    <t>LIN</t>
  </si>
  <si>
    <t>OCM</t>
  </si>
  <si>
    <t>TPLNE</t>
  </si>
  <si>
    <t>Limonene</t>
  </si>
  <si>
    <t>Ocimene</t>
  </si>
  <si>
    <t>anti-inflammatory, antidepressant, antiseptic, antioxidant, mental clarity, memory retention</t>
  </si>
  <si>
    <t>antibiotic, antimutagenic, analgesic, anti-inflammatory, and sedative effects</t>
  </si>
  <si>
    <t>management of mental fatigue and moods</t>
  </si>
  <si>
    <t>management of pain and sleep disorders</t>
  </si>
  <si>
    <t>anti-inflammatory</t>
  </si>
  <si>
    <t>promotes relaxation, has a calming effect</t>
  </si>
  <si>
    <t>antimicrobial</t>
  </si>
  <si>
    <t>antifungal, antibacterial</t>
  </si>
  <si>
    <t>elevates mood, promotes relaxation</t>
  </si>
  <si>
    <t>uplifting</t>
  </si>
  <si>
    <t>anti-inflammatory, antifungal, antiviral</t>
  </si>
  <si>
    <t>congestion relief</t>
  </si>
  <si>
    <t>ABBV</t>
  </si>
  <si>
    <t>Benefit</t>
  </si>
  <si>
    <t>Effect</t>
  </si>
  <si>
    <t>Column1</t>
  </si>
  <si>
    <t>PHENO</t>
  </si>
  <si>
    <t>TERPS</t>
  </si>
  <si>
    <t>CONCAT</t>
  </si>
  <si>
    <t>soothes aches</t>
  </si>
  <si>
    <t>EFFECTS</t>
  </si>
  <si>
    <t>benefits and effect</t>
  </si>
  <si>
    <t xml:space="preserve"> =TEXTJOIN(", ", TRUE, IF(MATCH(G20:N20, G20:N20, 0)=MATCH(ROW(G20:N20), ROW(G20:N20)), "",G20:N20))</t>
  </si>
  <si>
    <t xml:space="preserve"> =IF(ISNUMBER(SEARCH(G$19,$F20)),VLOOKUP(G$19,Table9[[ABBV]:[Effect]],3,FALSE),"")</t>
  </si>
  <si>
    <t>Tier 1: ≤23% THC</t>
  </si>
  <si>
    <t>Myrcene, beta-Pinene, Limonene, alpha-Pinene, beta-Caryophyllene</t>
  </si>
  <si>
    <t>beta-Caryophyllene, Myrcene, Limonene, Linalool</t>
  </si>
  <si>
    <t>Limonene, Myrcene, Linalool, alpha-Pinene, beta-Caryophyllene</t>
  </si>
  <si>
    <t>Myrcene, beta-Pinene, Limonene, Linalool</t>
  </si>
  <si>
    <t>Myrcene, Limonene, beta-Caryophyllene, Linalool, beta-Pinene</t>
  </si>
  <si>
    <t xml:space="preserve">Limonene, alpha-Pinene, Myrcene, beta-Pinene, beta-Caryophyllene, </t>
  </si>
  <si>
    <t xml:space="preserve">Myrcene, beta-Pinene, Limonene, Linalool </t>
  </si>
  <si>
    <t>Limonene, Myrcene, beta-Pinene, beta-Caryophyllene</t>
  </si>
  <si>
    <t>Myrcene, beta-Pinene, alpha-Pinene</t>
  </si>
  <si>
    <t>Myrcene, beta-Pinene, Limonene, beta-Caryophyllene, Linalool</t>
  </si>
  <si>
    <t>Myrcene, beta-Pinene, Limonene, Linalool, beta-Caryophyllene</t>
  </si>
  <si>
    <t>Myrcene, alpha-Pinene, Limonene, Linalool, beta-Caryophyllene</t>
  </si>
  <si>
    <t>Limonene, beta-Caryophyllene, Terpinolene, Ocimene, Myrcene</t>
  </si>
  <si>
    <t>beta-Pinene, Terpinolene, Ocimene, alpha-Pinene, Limonene</t>
  </si>
  <si>
    <t>PHENOTYPE:</t>
  </si>
  <si>
    <t>Soothes aches, elevates mood, promotes relaxation, management of pain and sleep disorders</t>
  </si>
  <si>
    <t>Soothes aches, promotes relaxation, has a calming effect, elevates mood, management of pain and sleep disorders</t>
  </si>
  <si>
    <t>Soothes aches, elevates mood, promotes relaxation, management of pain and sleep disorders, congestion relief, uplifting</t>
  </si>
  <si>
    <t>Management of mental fatigue and moods, promotes relaxation, has a calming effect, elevates mood, management of pain and sleep disorders</t>
  </si>
  <si>
    <t>Management of mental fatigue and moods, soothes aches, promotes relaxation, has a calming effect, elevates mood, management of pain and sleep disorders</t>
  </si>
  <si>
    <t>Management of mental fatigue and moods, soothes aches, elevates mood, promotes relaxation, management of pain and sleep disorders</t>
  </si>
  <si>
    <t>Management of pain and sleep disorders</t>
  </si>
  <si>
    <t>Elevates mood, promotes relaxation, congestion relief, uplifting</t>
  </si>
  <si>
    <t>Anti-inflammatory, antifungal, antibacterial, antimutagenic, analgesic, and sedative effects</t>
  </si>
  <si>
    <t>Anti-inflammatory, antifungal, antibacterial, , antiviral, antimutagenic, analgesic, and sedative effects.</t>
  </si>
  <si>
    <t>Anti-inflammatory, antimicrobial, antifungal, antibacterial, antimutagenic, analgesic, and sedative effects</t>
  </si>
  <si>
    <t>Anti-inflammatory, antidepressant, antioxidant,  antimutagenic, mental clarity, memory retention, antimicrobial, antifungal, antibacterial, analgesic, and sedative effects</t>
  </si>
  <si>
    <t>Anti-inflammatory, antidepressant, antioxidant, anti-inflammatory, antimutagenic, mental clarity, memory retention, antimicrobial, antifungal, antibacterial, analgesic, and sedative effects</t>
  </si>
  <si>
    <t>Anti-inflammatory, antidepressant, antioxidant, mental clarity, memory retention, antimicrobial, antifungal, antibacterial, antimutagenic, analgesic, and sedative effects</t>
  </si>
  <si>
    <t>Anti-inflammatory, antidepressant, antioxidant, mental clarity, memory retention, antifungal, antibacterial, antimutagenic, analgesic, and sedative effects</t>
  </si>
  <si>
    <t>Antibiotic, antimutagenic, analgesic, anti-inflammatory, and sedative effects</t>
  </si>
  <si>
    <t>Anti-inflammatory, antidepressant, antiseptic, antioxidant, mental clarity, memory retention, antimicrobial, antifungal, antibacterial, antimutagenic, analgesic, and sedative effects</t>
  </si>
  <si>
    <t>Antifungal, antibacterial, anti-inflammatory, antiviral effects</t>
  </si>
  <si>
    <t>STEM STRENGTH</t>
  </si>
  <si>
    <t>GROWTH HABIT</t>
  </si>
  <si>
    <t>TERTIARY BRANCH LENGTH</t>
  </si>
  <si>
    <t>FINAL VEG HEIGHT</t>
  </si>
  <si>
    <t>FINAL FLOWER HEIGHT</t>
  </si>
  <si>
    <t>FLOWER TABLE DENSITY</t>
  </si>
  <si>
    <t>PM INDEX VALUE</t>
  </si>
  <si>
    <t>Veg thirst</t>
  </si>
  <si>
    <t>Flower thirst</t>
  </si>
  <si>
    <t>thirsty</t>
  </si>
  <si>
    <t>Percent loss in clone (C23-C33)</t>
  </si>
  <si>
    <t>not available</t>
  </si>
  <si>
    <t>Average number of clones from prime moms (C23-C33)</t>
  </si>
  <si>
    <t>Prune</t>
  </si>
  <si>
    <t>Trellis</t>
  </si>
  <si>
    <t>Train</t>
  </si>
  <si>
    <t>Time requirement</t>
  </si>
  <si>
    <t>PINE001</t>
  </si>
  <si>
    <t>no value</t>
  </si>
  <si>
    <t>wet</t>
  </si>
  <si>
    <t>DURP006</t>
  </si>
  <si>
    <t>DURBAN POISON</t>
  </si>
  <si>
    <t>While this plant could stand on its own without a second trellis, it is best to add a second one in order to prop up the longest, heaviest branches to prevent them from twisting late in flower.</t>
  </si>
  <si>
    <t>Second and Third Trellis Instructions</t>
  </si>
  <si>
    <t>First Trellis Instructions</t>
  </si>
  <si>
    <t>Set at canopy level</t>
  </si>
  <si>
    <t>When setting second trellis early, set at a height that is a forearm-and-a-half above the first trellis. If setting trellis at week 3, set trellis just in the canopy, training tall branches</t>
  </si>
  <si>
    <t>BLDS207</t>
  </si>
  <si>
    <t>DOSIDOS</t>
  </si>
  <si>
    <t>SOUR BLUE DIESEL</t>
  </si>
  <si>
    <t>SHRM014</t>
  </si>
  <si>
    <t>SCHROMULAN</t>
  </si>
  <si>
    <t>BERT016</t>
  </si>
  <si>
    <t>LIME SHERBET</t>
  </si>
  <si>
    <t>STRAIGHT SAUCE</t>
  </si>
  <si>
    <t>PINEAPPLE UPSIDE DOWN CAKE</t>
  </si>
  <si>
    <t>DITO001</t>
  </si>
  <si>
    <t>DITO007</t>
  </si>
  <si>
    <t>FIRE012</t>
  </si>
  <si>
    <t>FIRE007</t>
  </si>
  <si>
    <t>FIRE001</t>
  </si>
  <si>
    <t>RAIN001</t>
  </si>
  <si>
    <t>In order to maintain the integrity of the canopy without a second trellis, leave plenty of neighbor branches on.</t>
  </si>
  <si>
    <t>2</t>
  </si>
  <si>
    <t>No second trellis.</t>
  </si>
  <si>
    <t xml:space="preserve">Spread into the first trellis in a way that fills holes in the canopy cover, without causing branches to grow sideways. </t>
  </si>
  <si>
    <t>Spread slightly into first trellis.</t>
  </si>
  <si>
    <t>The second trellis is there to hold the very tops of the long branches. This plant is very strong, but due to the weight of the buds, the longest of the branches will twist and flop without the net to hold them up.</t>
  </si>
  <si>
    <t>Spread slightly into frist trellis, prop longest branches into the second.</t>
  </si>
  <si>
    <t>Spread branches slightly into the first trellis, propping them up into the second later on.</t>
  </si>
  <si>
    <t>Main branches are strong, and the overall plant structure is orthotropic. While the second trellis could be skipped overall, it is useful to prevent the heavy branches from flopping late into flower. Therefore, it can be set pretty high.</t>
  </si>
  <si>
    <t>JMAC016</t>
  </si>
  <si>
    <t>Leave enough branches on to prevent flopping out of the second trellis.</t>
  </si>
  <si>
    <t>The growth habit of this plant will need to be maintained with a relatively low set second trellis.</t>
  </si>
  <si>
    <t>CLONES PER PROPER MOM</t>
  </si>
  <si>
    <t>% LOSS IN CLONE</t>
  </si>
  <si>
    <t>TOP TIME</t>
  </si>
  <si>
    <t>VEG THIRST</t>
  </si>
  <si>
    <t>FLOWER THIRST</t>
  </si>
  <si>
    <t>STRATEGY</t>
  </si>
  <si>
    <t>TECHNIQUE</t>
  </si>
  <si>
    <t>TIMING</t>
  </si>
  <si>
    <t>LINEAGE</t>
  </si>
  <si>
    <t>CATEGORY</t>
  </si>
  <si>
    <t>Average THC Potency</t>
  </si>
  <si>
    <t>Final Veg Height (C27-C36)</t>
  </si>
  <si>
    <t>Final Flower Height (C28-C34)</t>
  </si>
  <si>
    <t>12 or 16</t>
  </si>
  <si>
    <t>Percent loss in clone (C23-C37)</t>
  </si>
  <si>
    <t>SODA011</t>
  </si>
  <si>
    <t>KEL'S ORANGE SODA</t>
  </si>
  <si>
    <t>(THC POTENCY:</t>
  </si>
  <si>
    <t>Strain Book  Description</t>
  </si>
  <si>
    <t>: Strong orange citrus aroma with undertones of diesel and skunk. Its buds are long and narrow like peppers when ready to harvest.</t>
  </si>
  <si>
    <t>Pineapple Train Wreck x (OG Kush x GSC)</t>
  </si>
  <si>
    <t>IBL Landrace</t>
  </si>
  <si>
    <t>Bright, uplifting, diesel/skunky, sweet, and sour. Medium-sized plants with round chunky buds that finish with a light green and peach color. Nose is grapefruit zest forward with a citrus and haze follow.</t>
  </si>
  <si>
    <t>Strain</t>
  </si>
  <si>
    <t>bin</t>
  </si>
  <si>
    <t>KING</t>
  </si>
  <si>
    <t>STR8</t>
  </si>
  <si>
    <t>DOSI</t>
  </si>
  <si>
    <t>92CK</t>
  </si>
  <si>
    <t>SOUR</t>
  </si>
  <si>
    <t>NYFL</t>
  </si>
  <si>
    <t>SUNL</t>
  </si>
  <si>
    <t>DURP</t>
  </si>
  <si>
    <t>DITO</t>
  </si>
  <si>
    <t>GFSD</t>
  </si>
  <si>
    <t>FIRE</t>
  </si>
  <si>
    <t>LDOS</t>
  </si>
  <si>
    <t>OROB</t>
  </si>
  <si>
    <t>PLAN</t>
  </si>
  <si>
    <t>RAIN</t>
  </si>
  <si>
    <t>Yield Category</t>
  </si>
  <si>
    <t>Yield Average</t>
  </si>
  <si>
    <t>Harvest</t>
  </si>
  <si>
    <t>DD22</t>
  </si>
  <si>
    <t>POTN</t>
  </si>
  <si>
    <t>YZUP</t>
  </si>
  <si>
    <t>JACK</t>
  </si>
  <si>
    <t>DSLD</t>
  </si>
  <si>
    <t>SKNK</t>
  </si>
  <si>
    <t>DRMC</t>
  </si>
  <si>
    <t>H26</t>
  </si>
  <si>
    <t>H27</t>
  </si>
  <si>
    <t>H28</t>
  </si>
  <si>
    <t>H29</t>
  </si>
  <si>
    <t>H30</t>
  </si>
  <si>
    <t>NL#5</t>
  </si>
  <si>
    <t>PINE</t>
  </si>
  <si>
    <t>H31</t>
  </si>
  <si>
    <t>H32</t>
  </si>
  <si>
    <t>CHWY</t>
  </si>
  <si>
    <t>H33</t>
  </si>
  <si>
    <t>BERT</t>
  </si>
  <si>
    <t>SHRM</t>
  </si>
  <si>
    <t>Dry Time</t>
  </si>
  <si>
    <t>&lt;7 days</t>
  </si>
  <si>
    <t>8-10days</t>
  </si>
  <si>
    <t>&gt;10 days</t>
  </si>
  <si>
    <t>EST. TIME</t>
  </si>
  <si>
    <t>Timestamp</t>
  </si>
  <si>
    <t>Long time</t>
  </si>
  <si>
    <t>Short time</t>
  </si>
  <si>
    <t>Average time</t>
  </si>
  <si>
    <t>Total</t>
  </si>
  <si>
    <t>Time Rating</t>
  </si>
  <si>
    <t>Category</t>
  </si>
  <si>
    <t>Short Time</t>
  </si>
  <si>
    <t>Short/Average Time</t>
  </si>
  <si>
    <t>Average Time</t>
  </si>
  <si>
    <t>Average/Long Time</t>
  </si>
  <si>
    <t>Long Time</t>
  </si>
  <si>
    <t>not determined yet</t>
  </si>
  <si>
    <t>Dry Times Key</t>
  </si>
  <si>
    <t>SODA</t>
  </si>
  <si>
    <t>BLDS</t>
  </si>
  <si>
    <t>List of Phenos</t>
  </si>
  <si>
    <t>KOKO011          SHRM014          BLDS207          GFSD189</t>
  </si>
  <si>
    <t>NYFL014          PLAN008          STR8017</t>
  </si>
  <si>
    <t>92CK119          DURP006          OROB054          SOUR007          SODA011</t>
  </si>
  <si>
    <t>BERT016          LDOS040</t>
  </si>
  <si>
    <t>DOSI005          KING002          SUNL006</t>
  </si>
  <si>
    <t>55+</t>
  </si>
  <si>
    <t>40 or lower</t>
  </si>
  <si>
    <t>40 - 45</t>
  </si>
  <si>
    <t>45 - 50</t>
  </si>
  <si>
    <t>grams per sq.ft. of tested flower</t>
  </si>
  <si>
    <t>average of g/sq.ft tested flower</t>
  </si>
  <si>
    <t>Below 30 g/sq.ft tested flower</t>
  </si>
  <si>
    <t>Around 30 g/sq.ft. tested flower</t>
  </si>
  <si>
    <t>30-35 g/sq.ft. tested flower</t>
  </si>
  <si>
    <t>Above 35 f/sq.ft. tested flower</t>
  </si>
  <si>
    <t>Trellis should be set slightly above canopy level (2-3 squares on PIPP rack). Plants should still be close enough to the trellis to be able to be trained outwards within the next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</si>
</sst>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2" x14ac:knownFonts="1">
    <font>
      <sz val="11"/>
      <color theme="1"/>
      <name val="Calibri"/>
      <family val="2"/>
      <scheme val="minor"/>
    </font>
    <font>
      <sz val="8"/>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sz val="10"/>
      <color theme="1"/>
      <name val="Calibri"/>
      <family val="2"/>
      <scheme val="minor"/>
    </font>
    <font>
      <u/>
      <sz val="28"/>
      <color theme="1"/>
      <name val="Calibri"/>
      <family val="2"/>
      <scheme val="minor"/>
    </font>
    <font>
      <b/>
      <sz val="11"/>
      <color theme="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16"/>
      <color rgb="FF4D5156"/>
      <name val="Arial"/>
      <family val="2"/>
    </font>
    <font>
      <b/>
      <sz val="14"/>
      <color theme="1"/>
      <name val="Calibri"/>
      <family val="2"/>
      <scheme val="minor"/>
    </font>
    <font>
      <u/>
      <sz val="48"/>
      <color theme="1"/>
      <name val="Calibri"/>
      <family val="2"/>
      <scheme val="minor"/>
    </font>
    <font>
      <sz val="12"/>
      <color theme="1"/>
      <name val="Calibri"/>
      <family val="2"/>
    </font>
    <font>
      <sz val="12"/>
      <color rgb="FF000000"/>
      <name val="Calibri"/>
      <family val="2"/>
    </font>
    <font>
      <sz val="11"/>
      <color theme="1"/>
      <name val="Arial"/>
      <family val="2"/>
    </font>
    <font>
      <sz val="10"/>
      <color theme="1"/>
      <name val="Arial"/>
      <family val="2"/>
    </font>
    <font>
      <sz val="11"/>
      <color theme="0"/>
      <name val="Arial"/>
      <family val="2"/>
    </font>
    <font>
      <sz val="26"/>
      <color theme="1"/>
      <name val="Arial"/>
      <family val="2"/>
    </font>
    <font>
      <u/>
      <sz val="48"/>
      <color theme="1"/>
      <name val="Arial"/>
      <family val="2"/>
    </font>
    <font>
      <u/>
      <sz val="28"/>
      <color theme="1"/>
      <name val="Arial"/>
      <family val="2"/>
    </font>
    <font>
      <u/>
      <sz val="11"/>
      <color theme="2" tint="-0.499984740745262"/>
      <name val="Arial"/>
      <family val="2"/>
    </font>
    <font>
      <sz val="36"/>
      <color theme="1"/>
      <name val="Arial"/>
      <family val="2"/>
    </font>
    <font>
      <i/>
      <sz val="48"/>
      <color theme="2" tint="-0.749992370372631"/>
      <name val="Arial"/>
      <family val="2"/>
    </font>
    <font>
      <sz val="48"/>
      <color theme="1"/>
      <name val="Calibri"/>
      <family val="2"/>
      <scheme val="minor"/>
    </font>
    <font>
      <sz val="48"/>
      <color theme="1"/>
      <name val="Arial"/>
      <family val="2"/>
    </font>
    <font>
      <u/>
      <sz val="48"/>
      <color theme="0"/>
      <name val="Arial"/>
      <family val="2"/>
    </font>
    <font>
      <b/>
      <sz val="18"/>
      <color theme="0"/>
      <name val="Calibri"/>
      <family val="2"/>
      <scheme val="minor"/>
    </font>
    <font>
      <i/>
      <sz val="11"/>
      <color theme="2" tint="-0.499984740745262"/>
      <name val="Calibri"/>
      <family val="2"/>
      <scheme val="minor"/>
    </font>
    <font>
      <i/>
      <sz val="36"/>
      <color theme="2" tint="-0.749992370372631"/>
      <name val="Arial"/>
      <family val="2"/>
    </font>
    <font>
      <b/>
      <sz val="10"/>
      <color theme="1"/>
      <name val="Arial"/>
      <family val="2"/>
    </font>
  </fonts>
  <fills count="35">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
      <patternFill patternType="solid">
        <fgColor theme="0" tint="-0.14999847407452621"/>
        <bgColor theme="0" tint="-0.14999847407452621"/>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rgb="FFFFFF00"/>
        <bgColor theme="0" tint="-0.14999847407452621"/>
      </patternFill>
    </fill>
    <fill>
      <patternFill patternType="solid">
        <fgColor theme="9"/>
        <bgColor indexed="64"/>
      </patternFill>
    </fill>
    <fill>
      <patternFill patternType="solid">
        <fgColor theme="9"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4" tint="0.79998168889431442"/>
        <bgColor theme="4" tint="0.79998168889431442"/>
      </patternFill>
    </fill>
    <fill>
      <patternFill patternType="solid">
        <fgColor theme="4"/>
        <bgColor indexed="64"/>
      </patternFill>
    </fill>
    <fill>
      <patternFill patternType="solid">
        <fgColor theme="2"/>
        <bgColor indexed="64"/>
      </patternFill>
    </fill>
    <fill>
      <patternFill patternType="solid">
        <fgColor rgb="FFFFFF66"/>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4A86E8"/>
        <bgColor indexed="64"/>
      </patternFill>
    </fill>
    <fill>
      <patternFill patternType="solid">
        <fgColor rgb="FF9FC5E8"/>
        <bgColor indexed="64"/>
      </patternFill>
    </fill>
    <fill>
      <patternFill patternType="solid">
        <fgColor rgb="FFF6B26B"/>
        <bgColor indexed="64"/>
      </patternFill>
    </fill>
    <fill>
      <patternFill patternType="solid">
        <fgColor rgb="FFFF9900"/>
        <bgColor indexed="64"/>
      </patternFill>
    </fill>
    <fill>
      <patternFill patternType="solid">
        <fgColor rgb="FFB45F06"/>
        <bgColor indexed="64"/>
      </patternFill>
    </fill>
    <fill>
      <patternFill patternType="solid">
        <fgColor rgb="FFFF0000"/>
        <bgColor indexed="64"/>
      </patternFill>
    </fill>
    <fill>
      <patternFill patternType="solid">
        <fgColor rgb="FF00B0F0"/>
        <bgColor indexed="64"/>
      </patternFill>
    </fill>
  </fills>
  <borders count="40">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style="thin">
        <color theme="1"/>
      </right>
      <top style="thin">
        <color theme="1"/>
      </top>
      <bottom style="thin">
        <color theme="1"/>
      </bottom>
      <diagonal/>
    </border>
    <border>
      <left/>
      <right style="thin">
        <color theme="1"/>
      </right>
      <top style="thin">
        <color theme="1"/>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bottom style="medium">
        <color theme="1"/>
      </bottom>
      <diagonal/>
    </border>
    <border>
      <left style="thin">
        <color theme="1"/>
      </left>
      <right style="thin">
        <color theme="1"/>
      </right>
      <top/>
      <bottom style="medium">
        <color theme="1"/>
      </bottom>
      <diagonal/>
    </border>
    <border>
      <left style="thin">
        <color theme="1"/>
      </left>
      <right/>
      <top/>
      <bottom style="medium">
        <color theme="1"/>
      </bottom>
      <diagonal/>
    </border>
    <border>
      <left style="thin">
        <color theme="1"/>
      </left>
      <right style="thin">
        <color theme="1"/>
      </right>
      <top style="thin">
        <color theme="1"/>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284">
    <xf numFmtId="0" fontId="0" fillId="0" borderId="0" xfId="0"/>
    <xf numFmtId="0" fontId="0" fillId="0" borderId="0" xfId="0" applyAlignment="1">
      <alignment wrapText="1"/>
    </xf>
    <xf numFmtId="0" fontId="0" fillId="0" borderId="0" xfId="0"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0" fillId="0" borderId="1" xfId="0" applyBorder="1"/>
    <xf numFmtId="10" fontId="0" fillId="0" borderId="0" xfId="0" applyNumberFormat="1"/>
    <xf numFmtId="0" fontId="0" fillId="0" borderId="2" xfId="0" applyBorder="1"/>
    <xf numFmtId="0" fontId="0" fillId="0" borderId="0" xfId="0" applyAlignment="1">
      <alignment horizontal="right"/>
    </xf>
    <xf numFmtId="0" fontId="0" fillId="0" borderId="3" xfId="0" applyBorder="1"/>
    <xf numFmtId="0" fontId="0" fillId="0" borderId="0" xfId="0" applyAlignment="1">
      <alignment horizontal="lef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0" fillId="8" borderId="0" xfId="0" applyFill="1" applyAlignment="1">
      <alignment wrapText="1"/>
    </xf>
    <xf numFmtId="0" fontId="0" fillId="3" borderId="0" xfId="0" applyFill="1" applyAlignment="1">
      <alignment wrapText="1"/>
    </xf>
    <xf numFmtId="0" fontId="0" fillId="0" borderId="0" xfId="0" applyFill="1" applyAlignment="1">
      <alignment wrapText="1"/>
    </xf>
    <xf numFmtId="164" fontId="0" fillId="0" borderId="0" xfId="0" applyNumberFormat="1" applyAlignment="1">
      <alignment wrapText="1"/>
    </xf>
    <xf numFmtId="164" fontId="0" fillId="0" borderId="0" xfId="0" applyNumberFormat="1" applyFill="1" applyAlignment="1">
      <alignment wrapText="1"/>
    </xf>
    <xf numFmtId="164" fontId="0" fillId="2" borderId="0" xfId="0" applyNumberFormat="1" applyFill="1" applyAlignment="1">
      <alignment wrapText="1"/>
    </xf>
    <xf numFmtId="0" fontId="0" fillId="0" borderId="0" xfId="0" applyAlignment="1">
      <alignment vertical="center" wrapText="1"/>
    </xf>
    <xf numFmtId="0" fontId="0" fillId="3" borderId="0" xfId="0" applyFill="1" applyAlignment="1">
      <alignment vertical="center" wrapText="1"/>
    </xf>
    <xf numFmtId="0" fontId="0" fillId="0" borderId="0" xfId="0" applyFill="1" applyAlignment="1">
      <alignment vertical="center" wrapText="1"/>
    </xf>
    <xf numFmtId="0" fontId="0" fillId="9" borderId="0" xfId="0" applyFill="1" applyAlignment="1">
      <alignment wrapText="1"/>
    </xf>
    <xf numFmtId="0" fontId="0" fillId="11" borderId="0" xfId="0" applyFill="1" applyAlignment="1">
      <alignment wrapText="1"/>
    </xf>
    <xf numFmtId="0" fontId="0" fillId="12" borderId="0" xfId="0" applyFill="1" applyAlignment="1">
      <alignment wrapText="1"/>
    </xf>
    <xf numFmtId="0" fontId="0" fillId="0" borderId="0" xfId="0" applyFill="1" applyAlignment="1">
      <alignment horizont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0" fillId="0" borderId="0" xfId="0" applyNumberFormat="1" applyAlignment="1">
      <alignment horizontal="center" vertical="center" wrapText="1"/>
    </xf>
    <xf numFmtId="164" fontId="0" fillId="0" borderId="0" xfId="0" applyNumberFormat="1"/>
    <xf numFmtId="0" fontId="0" fillId="0" borderId="0" xfId="0" applyFont="1" applyBorder="1" applyAlignment="1">
      <alignment horizontal="right"/>
    </xf>
    <xf numFmtId="0" fontId="0" fillId="0" borderId="0" xfId="0" applyFill="1"/>
    <xf numFmtId="0" fontId="0" fillId="0" borderId="0" xfId="0" applyBorder="1"/>
    <xf numFmtId="0" fontId="0" fillId="0" borderId="10" xfId="0" applyFont="1" applyBorder="1" applyAlignment="1">
      <alignment wrapText="1"/>
    </xf>
    <xf numFmtId="164" fontId="0" fillId="0" borderId="10" xfId="0" applyNumberFormat="1" applyFont="1" applyBorder="1" applyAlignment="1">
      <alignment wrapText="1"/>
    </xf>
    <xf numFmtId="0" fontId="0" fillId="0" borderId="10" xfId="0" applyFont="1" applyBorder="1" applyAlignment="1">
      <alignment horizontal="center" wrapText="1"/>
    </xf>
    <xf numFmtId="0" fontId="0" fillId="0" borderId="10" xfId="0" applyFont="1" applyBorder="1" applyAlignment="1">
      <alignment vertical="center" wrapText="1"/>
    </xf>
    <xf numFmtId="0" fontId="0" fillId="4" borderId="10" xfId="0" applyFont="1" applyFill="1" applyBorder="1" applyAlignment="1">
      <alignment wrapText="1"/>
    </xf>
    <xf numFmtId="164" fontId="0" fillId="4" borderId="10" xfId="0" applyNumberFormat="1" applyFont="1" applyFill="1" applyBorder="1" applyAlignment="1">
      <alignment wrapText="1"/>
    </xf>
    <xf numFmtId="0" fontId="0" fillId="4" borderId="10" xfId="0" applyFont="1" applyFill="1" applyBorder="1" applyAlignment="1">
      <alignment horizontal="center" wrapText="1"/>
    </xf>
    <xf numFmtId="0" fontId="0" fillId="4" borderId="10" xfId="0" applyFont="1" applyFill="1" applyBorder="1" applyAlignment="1">
      <alignment vertical="center" wrapText="1"/>
    </xf>
    <xf numFmtId="0" fontId="0" fillId="4" borderId="10" xfId="0" applyFont="1" applyFill="1" applyBorder="1" applyAlignment="1">
      <alignment horizontal="center" vertical="center" wrapText="1"/>
    </xf>
    <xf numFmtId="0" fontId="0" fillId="0" borderId="10" xfId="0" applyFont="1" applyBorder="1" applyAlignment="1">
      <alignment horizontal="left" wrapText="1"/>
    </xf>
    <xf numFmtId="0" fontId="0" fillId="3" borderId="10" xfId="0" applyFont="1" applyFill="1" applyBorder="1" applyAlignment="1">
      <alignment vertical="center" wrapText="1"/>
    </xf>
    <xf numFmtId="0" fontId="0" fillId="0" borderId="10" xfId="0" applyFont="1" applyBorder="1" applyAlignment="1">
      <alignment horizontal="center" vertical="center" wrapText="1"/>
    </xf>
    <xf numFmtId="0" fontId="0" fillId="4" borderId="10" xfId="0" applyNumberFormat="1" applyFont="1" applyFill="1" applyBorder="1" applyAlignment="1">
      <alignment wrapText="1"/>
    </xf>
    <xf numFmtId="0" fontId="0" fillId="4" borderId="10" xfId="0" applyNumberFormat="1" applyFont="1" applyFill="1" applyBorder="1" applyAlignment="1">
      <alignment vertical="center" wrapText="1"/>
    </xf>
    <xf numFmtId="0" fontId="0" fillId="4" borderId="10" xfId="0" applyFont="1" applyFill="1" applyBorder="1" applyAlignment="1">
      <alignment horizontal="left" wrapText="1"/>
    </xf>
    <xf numFmtId="0" fontId="0" fillId="0" borderId="10" xfId="0" applyNumberFormat="1" applyFont="1" applyBorder="1" applyAlignment="1">
      <alignment wrapText="1"/>
    </xf>
    <xf numFmtId="0" fontId="0" fillId="3" borderId="10" xfId="0" applyFont="1" applyFill="1" applyBorder="1" applyAlignment="1">
      <alignment wrapText="1"/>
    </xf>
    <xf numFmtId="0" fontId="0" fillId="0" borderId="10" xfId="0" applyNumberFormat="1" applyFont="1" applyBorder="1" applyAlignment="1">
      <alignment vertical="center" wrapText="1"/>
    </xf>
    <xf numFmtId="0" fontId="0" fillId="0" borderId="10" xfId="0" applyNumberFormat="1" applyFont="1" applyBorder="1" applyAlignment="1">
      <alignment horizontal="center" wrapText="1"/>
    </xf>
    <xf numFmtId="164" fontId="0" fillId="2" borderId="10" xfId="0" applyNumberFormat="1" applyFont="1" applyFill="1" applyBorder="1" applyAlignment="1">
      <alignment wrapText="1"/>
    </xf>
    <xf numFmtId="0" fontId="0" fillId="0" borderId="4" xfId="0" applyFont="1" applyBorder="1" applyAlignment="1">
      <alignment wrapText="1"/>
    </xf>
    <xf numFmtId="0" fontId="0" fillId="4" borderId="4" xfId="0" applyFont="1" applyFill="1" applyBorder="1" applyAlignment="1">
      <alignment wrapText="1"/>
    </xf>
    <xf numFmtId="0" fontId="0" fillId="10" borderId="4" xfId="0" applyFont="1" applyFill="1" applyBorder="1" applyAlignment="1">
      <alignment wrapText="1"/>
    </xf>
    <xf numFmtId="0" fontId="0" fillId="3" borderId="4" xfId="0" applyFont="1" applyFill="1" applyBorder="1" applyAlignment="1">
      <alignment wrapText="1"/>
    </xf>
    <xf numFmtId="0" fontId="0" fillId="0" borderId="11" xfId="0" applyFont="1" applyBorder="1" applyAlignment="1">
      <alignment wrapText="1"/>
    </xf>
    <xf numFmtId="0" fontId="0" fillId="4" borderId="11" xfId="0" applyFont="1" applyFill="1" applyBorder="1" applyAlignment="1">
      <alignment wrapText="1"/>
    </xf>
    <xf numFmtId="0" fontId="2" fillId="0" borderId="12" xfId="0" applyFont="1" applyBorder="1" applyAlignment="1">
      <alignment wrapText="1"/>
    </xf>
    <xf numFmtId="0" fontId="2" fillId="8" borderId="13" xfId="0" applyFont="1" applyFill="1" applyBorder="1" applyAlignment="1">
      <alignment wrapText="1"/>
    </xf>
    <xf numFmtId="0" fontId="2" fillId="5" borderId="13" xfId="0" applyFont="1" applyFill="1" applyBorder="1" applyAlignment="1">
      <alignment wrapText="1"/>
    </xf>
    <xf numFmtId="0" fontId="2" fillId="11" borderId="13" xfId="0" applyFont="1" applyFill="1" applyBorder="1" applyAlignment="1">
      <alignment wrapText="1"/>
    </xf>
    <xf numFmtId="0" fontId="2" fillId="12" borderId="13" xfId="0" applyFont="1" applyFill="1" applyBorder="1" applyAlignment="1">
      <alignment wrapText="1"/>
    </xf>
    <xf numFmtId="0" fontId="2" fillId="6" borderId="13" xfId="0" applyFont="1" applyFill="1" applyBorder="1" applyAlignment="1">
      <alignment wrapText="1"/>
    </xf>
    <xf numFmtId="0" fontId="2" fillId="7" borderId="13" xfId="0" applyFont="1" applyFill="1" applyBorder="1" applyAlignment="1">
      <alignment wrapText="1"/>
    </xf>
    <xf numFmtId="0" fontId="2" fillId="9" borderId="13" xfId="0" applyFont="1" applyFill="1" applyBorder="1" applyAlignment="1">
      <alignment wrapText="1"/>
    </xf>
    <xf numFmtId="0" fontId="2" fillId="0" borderId="14" xfId="0" applyFont="1" applyBorder="1" applyAlignment="1">
      <alignment wrapText="1"/>
    </xf>
    <xf numFmtId="0" fontId="0" fillId="0" borderId="5" xfId="0" applyFont="1" applyBorder="1" applyAlignment="1">
      <alignment wrapText="1"/>
    </xf>
    <xf numFmtId="0" fontId="0" fillId="0" borderId="15" xfId="0" applyFont="1" applyBorder="1" applyAlignment="1">
      <alignment wrapText="1"/>
    </xf>
    <xf numFmtId="164" fontId="0" fillId="0" borderId="15" xfId="0" applyNumberFormat="1" applyFont="1" applyBorder="1" applyAlignment="1">
      <alignment wrapText="1"/>
    </xf>
    <xf numFmtId="0" fontId="0" fillId="0" borderId="15" xfId="0" applyFont="1" applyBorder="1" applyAlignment="1">
      <alignment horizontal="center" wrapText="1"/>
    </xf>
    <xf numFmtId="0" fontId="0" fillId="0" borderId="15" xfId="0" applyFont="1" applyBorder="1" applyAlignment="1">
      <alignment horizontal="left" wrapText="1"/>
    </xf>
    <xf numFmtId="0" fontId="0" fillId="0" borderId="0" xfId="0" applyFill="1" applyBorder="1" applyAlignment="1">
      <alignment horizontal="left" vertical="center" wrapText="1"/>
    </xf>
    <xf numFmtId="0" fontId="3" fillId="0" borderId="0" xfId="0" applyFont="1" applyBorder="1"/>
    <xf numFmtId="0" fontId="0" fillId="0" borderId="0" xfId="0" applyFill="1" applyBorder="1"/>
    <xf numFmtId="0" fontId="8"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6" fillId="0" borderId="0" xfId="0" applyFont="1" applyFill="1" applyBorder="1" applyAlignment="1">
      <alignment horizontal="left" vertical="center" wrapText="1"/>
    </xf>
    <xf numFmtId="0" fontId="9" fillId="0" borderId="0" xfId="0" applyFont="1" applyBorder="1"/>
    <xf numFmtId="0" fontId="9" fillId="0" borderId="20" xfId="0" applyFont="1" applyFill="1" applyBorder="1" applyAlignment="1">
      <alignment wrapText="1"/>
    </xf>
    <xf numFmtId="0" fontId="9" fillId="0" borderId="16" xfId="0" applyFont="1" applyFill="1" applyBorder="1" applyAlignment="1">
      <alignment horizontal="left" vertical="center" wrapText="1"/>
    </xf>
    <xf numFmtId="0" fontId="9" fillId="0" borderId="22" xfId="0" applyFont="1" applyFill="1" applyBorder="1" applyAlignment="1">
      <alignment wrapText="1"/>
    </xf>
    <xf numFmtId="0" fontId="9" fillId="0" borderId="23" xfId="0" applyFont="1" applyFill="1" applyBorder="1" applyAlignment="1">
      <alignment horizontal="left" vertical="center" wrapText="1"/>
    </xf>
    <xf numFmtId="0" fontId="9" fillId="0" borderId="24" xfId="0" applyFont="1" applyFill="1" applyBorder="1" applyAlignment="1">
      <alignment horizontal="left" vertical="center" wrapText="1"/>
    </xf>
    <xf numFmtId="0" fontId="9" fillId="0" borderId="17" xfId="0" applyFont="1" applyBorder="1"/>
    <xf numFmtId="0" fontId="9" fillId="14" borderId="16" xfId="0" applyFont="1" applyFill="1" applyBorder="1" applyAlignment="1">
      <alignment horizontal="left" vertical="center" wrapText="1"/>
    </xf>
    <xf numFmtId="0" fontId="9" fillId="14" borderId="17" xfId="0" applyFont="1" applyFill="1" applyBorder="1" applyAlignment="1">
      <alignment horizontal="left" vertical="center" wrapText="1"/>
    </xf>
    <xf numFmtId="2" fontId="9" fillId="14" borderId="22" xfId="0" applyNumberFormat="1" applyFont="1" applyFill="1" applyBorder="1" applyAlignment="1">
      <alignment horizontal="left" vertical="center" wrapText="1"/>
    </xf>
    <xf numFmtId="0" fontId="9" fillId="14" borderId="23" xfId="0" applyFont="1" applyFill="1" applyBorder="1" applyAlignment="1">
      <alignment horizontal="left" vertical="center" wrapText="1"/>
    </xf>
    <xf numFmtId="0" fontId="9" fillId="14" borderId="24" xfId="0" applyFont="1" applyFill="1" applyBorder="1" applyAlignment="1">
      <alignment horizontal="left" vertical="center" wrapText="1"/>
    </xf>
    <xf numFmtId="0" fontId="11" fillId="14" borderId="22" xfId="0" applyFont="1" applyFill="1" applyBorder="1" applyAlignment="1">
      <alignment horizontal="left" vertical="center" wrapText="1"/>
    </xf>
    <xf numFmtId="2" fontId="9" fillId="14" borderId="23" xfId="0" applyNumberFormat="1" applyFont="1" applyFill="1" applyBorder="1" applyAlignment="1">
      <alignment horizontal="left" vertical="center" wrapText="1"/>
    </xf>
    <xf numFmtId="0" fontId="11" fillId="14" borderId="20" xfId="0" applyFont="1" applyFill="1" applyBorder="1" applyAlignment="1">
      <alignment horizontal="left" vertical="top" wrapText="1"/>
    </xf>
    <xf numFmtId="2" fontId="9" fillId="14" borderId="16" xfId="0" applyNumberFormat="1" applyFont="1" applyFill="1" applyBorder="1" applyAlignment="1">
      <alignment horizontal="left" vertical="top" wrapText="1"/>
    </xf>
    <xf numFmtId="0" fontId="9" fillId="14" borderId="17" xfId="0" applyFont="1" applyFill="1" applyBorder="1" applyAlignment="1">
      <alignment horizontal="left" vertical="top" wrapText="1"/>
    </xf>
    <xf numFmtId="0" fontId="9" fillId="14" borderId="16" xfId="0" applyFont="1" applyFill="1" applyBorder="1" applyAlignment="1">
      <alignment horizontal="center" vertical="center" wrapText="1"/>
    </xf>
    <xf numFmtId="0" fontId="9" fillId="14" borderId="20" xfId="0" applyFont="1" applyFill="1" applyBorder="1" applyAlignment="1">
      <alignment horizontal="center" vertical="center" wrapText="1"/>
    </xf>
    <xf numFmtId="0" fontId="9" fillId="0" borderId="16" xfId="0" applyFont="1" applyFill="1" applyBorder="1" applyAlignment="1">
      <alignment vertical="center" wrapText="1"/>
    </xf>
    <xf numFmtId="0" fontId="9" fillId="0" borderId="17" xfId="0" applyFont="1" applyFill="1" applyBorder="1" applyAlignment="1">
      <alignment vertical="center" wrapText="1"/>
    </xf>
    <xf numFmtId="0" fontId="9" fillId="14" borderId="23" xfId="0" applyFont="1" applyFill="1" applyBorder="1" applyAlignment="1">
      <alignment horizontal="left" vertical="center" wrapText="1"/>
    </xf>
    <xf numFmtId="0" fontId="9" fillId="14" borderId="24" xfId="0" applyFont="1" applyFill="1" applyBorder="1" applyAlignment="1">
      <alignment horizontal="left" vertical="center" wrapText="1"/>
    </xf>
    <xf numFmtId="0" fontId="12" fillId="8" borderId="19" xfId="0" applyFont="1" applyFill="1" applyBorder="1" applyAlignment="1">
      <alignment vertical="center" wrapText="1"/>
    </xf>
    <xf numFmtId="0" fontId="12" fillId="5" borderId="20" xfId="0" applyFont="1" applyFill="1" applyBorder="1" applyAlignment="1">
      <alignment vertical="center" wrapText="1"/>
    </xf>
    <xf numFmtId="0" fontId="12" fillId="16" borderId="20" xfId="0" applyFont="1" applyFill="1" applyBorder="1" applyAlignment="1">
      <alignment vertical="center" wrapText="1"/>
    </xf>
    <xf numFmtId="0" fontId="12" fillId="16" borderId="20" xfId="0" applyFont="1" applyFill="1" applyBorder="1" applyAlignment="1">
      <alignment vertical="top" wrapText="1"/>
    </xf>
    <xf numFmtId="0" fontId="4" fillId="0" borderId="0" xfId="0" applyFont="1" applyBorder="1" applyAlignment="1"/>
    <xf numFmtId="0" fontId="12" fillId="11" borderId="19" xfId="0" applyFont="1" applyFill="1" applyBorder="1" applyAlignment="1">
      <alignment vertical="center" wrapText="1"/>
    </xf>
    <xf numFmtId="0" fontId="12" fillId="15" borderId="19" xfId="0" applyFont="1" applyFill="1" applyBorder="1" applyAlignment="1">
      <alignment vertical="center" wrapText="1"/>
    </xf>
    <xf numFmtId="0" fontId="12" fillId="12" borderId="20" xfId="0" applyFont="1" applyFill="1" applyBorder="1" applyAlignment="1">
      <alignment horizontal="left" vertical="center" wrapText="1"/>
    </xf>
    <xf numFmtId="0" fontId="12" fillId="6" borderId="20" xfId="0" applyFont="1" applyFill="1" applyBorder="1" applyAlignment="1">
      <alignment horizontal="left" vertical="center" wrapText="1"/>
    </xf>
    <xf numFmtId="0" fontId="12" fillId="6" borderId="19" xfId="0" applyFont="1" applyFill="1" applyBorder="1" applyAlignment="1">
      <alignment horizontal="left" vertical="center" wrapText="1"/>
    </xf>
    <xf numFmtId="0" fontId="12" fillId="5" borderId="20" xfId="0" applyFont="1" applyFill="1" applyBorder="1" applyAlignment="1">
      <alignment horizontal="left" vertical="center" wrapText="1"/>
    </xf>
    <xf numFmtId="0" fontId="8" fillId="0" borderId="0" xfId="0" applyFont="1" applyBorder="1" applyAlignment="1">
      <alignment horizontal="right" vertical="center" wrapText="1"/>
    </xf>
    <xf numFmtId="14" fontId="8" fillId="0" borderId="0" xfId="0" applyNumberFormat="1" applyFont="1" applyBorder="1" applyAlignment="1">
      <alignment horizontal="left" vertical="center"/>
    </xf>
    <xf numFmtId="0" fontId="10" fillId="0" borderId="0" xfId="0" applyFont="1" applyBorder="1" applyAlignment="1">
      <alignment horizontal="left"/>
    </xf>
    <xf numFmtId="0" fontId="10" fillId="0" borderId="0" xfId="0" applyFont="1" applyBorder="1"/>
    <xf numFmtId="0" fontId="10" fillId="0" borderId="0" xfId="0" applyFont="1" applyBorder="1" applyAlignment="1"/>
    <xf numFmtId="0" fontId="9" fillId="14" borderId="22" xfId="0" applyFont="1" applyFill="1" applyBorder="1" applyAlignment="1">
      <alignment vertical="center" wrapText="1"/>
    </xf>
    <xf numFmtId="0" fontId="9" fillId="14" borderId="23" xfId="0" applyFont="1" applyFill="1" applyBorder="1" applyAlignment="1">
      <alignment vertical="center" wrapText="1"/>
    </xf>
    <xf numFmtId="0" fontId="9" fillId="14" borderId="16" xfId="0" applyFont="1" applyFill="1" applyBorder="1" applyAlignment="1">
      <alignment vertical="center" wrapText="1"/>
    </xf>
    <xf numFmtId="0" fontId="9" fillId="14" borderId="17" xfId="0" applyFont="1" applyFill="1" applyBorder="1" applyAlignment="1">
      <alignment vertical="center" wrapText="1"/>
    </xf>
    <xf numFmtId="0" fontId="12" fillId="7" borderId="20" xfId="0" applyFont="1" applyFill="1" applyBorder="1" applyAlignment="1">
      <alignment horizontal="left" vertical="center" wrapText="1"/>
    </xf>
    <xf numFmtId="0" fontId="14" fillId="0" borderId="0" xfId="0" applyFont="1" applyAlignment="1">
      <alignment horizontal="left" wrapText="1"/>
    </xf>
    <xf numFmtId="0" fontId="14" fillId="0" borderId="0" xfId="0" applyFont="1" applyFill="1" applyAlignment="1">
      <alignment horizontal="left" wrapText="1"/>
    </xf>
    <xf numFmtId="0" fontId="15" fillId="0" borderId="0" xfId="0" applyFont="1" applyAlignment="1">
      <alignment horizontal="left" wrapText="1"/>
    </xf>
    <xf numFmtId="0" fontId="14" fillId="0" borderId="0" xfId="0" applyFont="1" applyBorder="1" applyAlignment="1">
      <alignment horizontal="left" wrapText="1"/>
    </xf>
    <xf numFmtId="0" fontId="0" fillId="0" borderId="1" xfId="0" applyFont="1" applyFill="1" applyBorder="1" applyAlignment="1">
      <alignment wrapText="1"/>
    </xf>
    <xf numFmtId="0" fontId="0" fillId="0" borderId="0" xfId="0" applyFont="1" applyFill="1" applyAlignment="1">
      <alignment wrapText="1"/>
    </xf>
    <xf numFmtId="0" fontId="0" fillId="18" borderId="1" xfId="0" applyFont="1" applyFill="1" applyBorder="1" applyAlignment="1">
      <alignment wrapText="1"/>
    </xf>
    <xf numFmtId="0" fontId="0" fillId="0" borderId="1" xfId="0" applyFont="1" applyBorder="1" applyAlignment="1">
      <alignment wrapText="1"/>
    </xf>
    <xf numFmtId="0" fontId="0" fillId="18" borderId="2" xfId="0" applyFont="1" applyFill="1" applyBorder="1" applyAlignment="1">
      <alignment wrapText="1"/>
    </xf>
    <xf numFmtId="0" fontId="0" fillId="18" borderId="3" xfId="0" applyFont="1" applyFill="1" applyBorder="1" applyAlignment="1">
      <alignment wrapText="1"/>
    </xf>
    <xf numFmtId="0" fontId="16" fillId="0" borderId="0" xfId="0" applyFont="1"/>
    <xf numFmtId="0" fontId="17" fillId="0" borderId="0" xfId="0" applyFont="1"/>
    <xf numFmtId="0" fontId="16" fillId="0" borderId="0" xfId="0" applyFont="1" applyBorder="1"/>
    <xf numFmtId="0" fontId="16" fillId="0" borderId="0" xfId="0" applyFont="1" applyFill="1" applyBorder="1" applyAlignment="1">
      <alignment vertical="center" wrapText="1"/>
    </xf>
    <xf numFmtId="0" fontId="16" fillId="0" borderId="0" xfId="0" applyFont="1" applyFill="1" applyBorder="1" applyAlignment="1">
      <alignment vertical="center"/>
    </xf>
    <xf numFmtId="0" fontId="16" fillId="0" borderId="0" xfId="0" applyFont="1" applyFill="1"/>
    <xf numFmtId="0" fontId="16" fillId="0" borderId="0" xfId="0" applyFont="1" applyFill="1" applyBorder="1" applyAlignment="1">
      <alignment horizontal="right"/>
    </xf>
    <xf numFmtId="0" fontId="16" fillId="0" borderId="0" xfId="0" applyFont="1" applyFill="1" applyBorder="1"/>
    <xf numFmtId="0" fontId="0" fillId="19" borderId="0" xfId="0" applyFill="1" applyAlignment="1">
      <alignment wrapText="1"/>
    </xf>
    <xf numFmtId="0" fontId="16" fillId="0" borderId="0" xfId="0" applyFont="1" applyFill="1" applyAlignment="1">
      <alignment vertical="center"/>
    </xf>
    <xf numFmtId="0" fontId="18" fillId="0" borderId="0" xfId="0" applyFont="1" applyBorder="1"/>
    <xf numFmtId="0" fontId="19" fillId="0" borderId="0" xfId="0" applyFont="1" applyFill="1"/>
    <xf numFmtId="0" fontId="20" fillId="0" borderId="0" xfId="0" applyFont="1" applyFill="1" applyBorder="1" applyAlignment="1">
      <alignment vertical="center" wrapText="1"/>
    </xf>
    <xf numFmtId="0" fontId="21" fillId="0" borderId="0" xfId="0" applyFont="1" applyFill="1" applyBorder="1" applyAlignment="1">
      <alignment horizontal="left" vertical="center" wrapText="1"/>
    </xf>
    <xf numFmtId="0" fontId="17" fillId="0" borderId="0" xfId="0" applyFont="1" applyAlignment="1">
      <alignment vertical="center"/>
    </xf>
    <xf numFmtId="0" fontId="0" fillId="17" borderId="0" xfId="0" applyFill="1" applyAlignment="1">
      <alignment wrapText="1"/>
    </xf>
    <xf numFmtId="165" fontId="0" fillId="0" borderId="0" xfId="0" applyNumberFormat="1" applyAlignment="1">
      <alignment wrapText="1"/>
    </xf>
    <xf numFmtId="2" fontId="0" fillId="0" borderId="0" xfId="0" applyNumberFormat="1" applyAlignment="1">
      <alignment wrapText="1"/>
    </xf>
    <xf numFmtId="0" fontId="22" fillId="0" borderId="0" xfId="0" applyFont="1" applyAlignment="1">
      <alignment vertical="center" textRotation="90"/>
    </xf>
    <xf numFmtId="0" fontId="0" fillId="0" borderId="0" xfId="0" applyNumberFormat="1" applyAlignment="1">
      <alignment wrapText="1"/>
    </xf>
    <xf numFmtId="0" fontId="0" fillId="0" borderId="0" xfId="0" applyNumberFormat="1" applyAlignment="1">
      <alignment horizontal="center" wrapText="1"/>
    </xf>
    <xf numFmtId="0" fontId="14" fillId="16" borderId="0" xfId="0" applyFont="1" applyFill="1" applyAlignment="1">
      <alignment horizontal="left" wrapText="1"/>
    </xf>
    <xf numFmtId="0" fontId="0" fillId="16" borderId="0" xfId="0" applyFill="1" applyAlignment="1">
      <alignment wrapText="1"/>
    </xf>
    <xf numFmtId="164" fontId="0" fillId="16" borderId="0" xfId="0" applyNumberFormat="1" applyFill="1" applyAlignment="1">
      <alignment wrapText="1"/>
    </xf>
    <xf numFmtId="165" fontId="0" fillId="16" borderId="0" xfId="0" applyNumberFormat="1" applyFill="1" applyAlignment="1">
      <alignment wrapText="1"/>
    </xf>
    <xf numFmtId="2" fontId="0" fillId="16" borderId="0" xfId="0" applyNumberFormat="1" applyFill="1" applyAlignment="1">
      <alignment wrapText="1"/>
    </xf>
    <xf numFmtId="0" fontId="0" fillId="16" borderId="0" xfId="0" applyFill="1" applyAlignment="1">
      <alignment horizontal="center" wrapText="1"/>
    </xf>
    <xf numFmtId="0" fontId="0" fillId="16" borderId="0" xfId="0" applyFill="1" applyAlignment="1">
      <alignment vertical="center" wrapText="1"/>
    </xf>
    <xf numFmtId="0" fontId="0" fillId="16" borderId="0" xfId="0" applyFill="1" applyAlignment="1">
      <alignment horizontal="center" vertical="center" wrapText="1"/>
    </xf>
    <xf numFmtId="0" fontId="0" fillId="3" borderId="0" xfId="0" applyFill="1" applyAlignment="1">
      <alignment horizontal="center" wrapText="1"/>
    </xf>
    <xf numFmtId="0" fontId="0" fillId="0" borderId="0" xfId="0" applyAlignment="1">
      <alignment vertical="center"/>
    </xf>
    <xf numFmtId="0" fontId="0" fillId="12" borderId="0" xfId="0" applyFill="1"/>
    <xf numFmtId="0" fontId="0" fillId="21" borderId="0" xfId="0" applyFill="1"/>
    <xf numFmtId="0" fontId="23" fillId="0" borderId="0" xfId="0" applyFont="1"/>
    <xf numFmtId="0" fontId="24" fillId="20" borderId="0" xfId="0" applyFont="1" applyFill="1" applyAlignment="1">
      <alignment vertical="center"/>
    </xf>
    <xf numFmtId="0" fontId="25" fillId="0" borderId="0" xfId="0" applyFont="1"/>
    <xf numFmtId="0" fontId="26" fillId="0" borderId="0" xfId="0" applyFont="1" applyFill="1" applyAlignment="1">
      <alignment vertical="center"/>
    </xf>
    <xf numFmtId="0" fontId="26" fillId="0" borderId="0" xfId="0" applyFont="1" applyAlignment="1">
      <alignment vertical="center"/>
    </xf>
    <xf numFmtId="0" fontId="26" fillId="0" borderId="0" xfId="0" applyFont="1"/>
    <xf numFmtId="0" fontId="26" fillId="0" borderId="0" xfId="0" applyFont="1" applyFill="1" applyAlignment="1">
      <alignment horizontal="left" vertical="center"/>
    </xf>
    <xf numFmtId="0" fontId="26" fillId="0" borderId="0" xfId="0" applyFont="1" applyFill="1" applyAlignment="1">
      <alignment horizontal="center" vertical="center"/>
    </xf>
    <xf numFmtId="0" fontId="25" fillId="14" borderId="0" xfId="0" applyFont="1" applyFill="1" applyBorder="1" applyAlignment="1">
      <alignment horizontal="center" vertical="center" wrapText="1"/>
    </xf>
    <xf numFmtId="2" fontId="26" fillId="0" borderId="0" xfId="0" applyNumberFormat="1" applyFont="1" applyAlignment="1">
      <alignment horizontal="left"/>
    </xf>
    <xf numFmtId="165" fontId="26" fillId="0" borderId="0" xfId="0" applyNumberFormat="1" applyFont="1" applyAlignment="1">
      <alignment horizontal="left"/>
    </xf>
    <xf numFmtId="0" fontId="26" fillId="0" borderId="0" xfId="0" applyFont="1" applyFill="1" applyAlignment="1">
      <alignment vertical="center" wrapText="1"/>
    </xf>
    <xf numFmtId="0" fontId="26" fillId="0" borderId="0" xfId="0" applyFont="1" applyFill="1" applyBorder="1" applyAlignment="1">
      <alignment vertical="center" wrapText="1"/>
    </xf>
    <xf numFmtId="0" fontId="26" fillId="23" borderId="0" xfId="0" applyFont="1" applyFill="1" applyBorder="1" applyAlignment="1">
      <alignment horizontal="left" vertical="center" wrapText="1"/>
    </xf>
    <xf numFmtId="0" fontId="26" fillId="0" borderId="0" xfId="0" applyFont="1" applyFill="1" applyBorder="1" applyAlignment="1">
      <alignment vertical="center"/>
    </xf>
    <xf numFmtId="0" fontId="26" fillId="0" borderId="0" xfId="0" applyFont="1" applyFill="1"/>
    <xf numFmtId="0" fontId="3" fillId="24" borderId="25" xfId="0" applyFont="1" applyFill="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29" fillId="0" borderId="30" xfId="0" applyFont="1" applyBorder="1" applyAlignment="1">
      <alignment vertical="center" wrapText="1"/>
    </xf>
    <xf numFmtId="0" fontId="7" fillId="17" borderId="23" xfId="0" applyFont="1" applyFill="1" applyBorder="1" applyAlignment="1">
      <alignment vertical="center" wrapText="1"/>
    </xf>
    <xf numFmtId="0" fontId="7" fillId="16" borderId="23" xfId="0" applyFont="1" applyFill="1" applyBorder="1" applyAlignment="1">
      <alignment vertical="center" wrapText="1"/>
    </xf>
    <xf numFmtId="0" fontId="7" fillId="2" borderId="23" xfId="0" applyFont="1" applyFill="1" applyBorder="1" applyAlignment="1">
      <alignment vertical="center" wrapText="1"/>
    </xf>
    <xf numFmtId="0" fontId="7" fillId="26" borderId="23" xfId="0" applyFont="1" applyFill="1" applyBorder="1" applyAlignment="1">
      <alignment vertical="center" wrapText="1"/>
    </xf>
    <xf numFmtId="0" fontId="7" fillId="27" borderId="24" xfId="0" applyFont="1" applyFill="1" applyBorder="1" applyAlignment="1">
      <alignment vertical="center" wrapText="1"/>
    </xf>
    <xf numFmtId="0" fontId="3" fillId="24" borderId="23" xfId="0" applyFont="1" applyFill="1" applyBorder="1" applyAlignment="1">
      <alignment vertical="center"/>
    </xf>
    <xf numFmtId="0" fontId="28" fillId="24" borderId="22" xfId="0" applyFont="1" applyFill="1" applyBorder="1" applyAlignment="1">
      <alignment vertical="center"/>
    </xf>
    <xf numFmtId="0" fontId="3" fillId="24" borderId="24" xfId="0" applyFont="1" applyFill="1" applyBorder="1" applyAlignment="1">
      <alignment vertical="center"/>
    </xf>
    <xf numFmtId="0" fontId="0" fillId="25" borderId="19" xfId="0" applyFill="1" applyBorder="1" applyAlignment="1">
      <alignment vertical="center"/>
    </xf>
    <xf numFmtId="0" fontId="0" fillId="25" borderId="16" xfId="0" applyFill="1" applyBorder="1" applyAlignment="1">
      <alignment vertical="center"/>
    </xf>
    <xf numFmtId="0" fontId="0" fillId="25" borderId="17" xfId="0" applyFill="1" applyBorder="1" applyAlignment="1">
      <alignment vertical="center"/>
    </xf>
    <xf numFmtId="0" fontId="29" fillId="0" borderId="30" xfId="0" applyFont="1" applyBorder="1" applyAlignment="1">
      <alignment vertical="center"/>
    </xf>
    <xf numFmtId="0" fontId="0" fillId="0" borderId="0" xfId="0" applyBorder="1" applyAlignment="1">
      <alignment vertical="center"/>
    </xf>
    <xf numFmtId="0" fontId="0" fillId="0" borderId="18" xfId="0" applyBorder="1" applyAlignment="1">
      <alignment vertical="center"/>
    </xf>
    <xf numFmtId="0" fontId="29" fillId="0" borderId="21" xfId="0" applyFont="1" applyBorder="1" applyAlignment="1">
      <alignment vertical="center"/>
    </xf>
    <xf numFmtId="0" fontId="0" fillId="0" borderId="27" xfId="0" applyBorder="1" applyAlignment="1">
      <alignment vertical="center"/>
    </xf>
    <xf numFmtId="0" fontId="0" fillId="0" borderId="28" xfId="0" applyBorder="1" applyAlignment="1">
      <alignment vertical="center"/>
    </xf>
    <xf numFmtId="0" fontId="23" fillId="0" borderId="0" xfId="0" applyFont="1" applyFill="1" applyAlignment="1">
      <alignment vertical="center" wrapText="1"/>
    </xf>
    <xf numFmtId="0" fontId="30" fillId="20" borderId="0" xfId="0" applyFont="1" applyFill="1" applyAlignment="1">
      <alignment horizontal="right" vertical="center"/>
    </xf>
    <xf numFmtId="0" fontId="30" fillId="20" borderId="0" xfId="0" applyFont="1" applyFill="1" applyAlignment="1">
      <alignment vertical="center"/>
    </xf>
    <xf numFmtId="165" fontId="14" fillId="0" borderId="0" xfId="0" applyNumberFormat="1" applyFont="1" applyAlignment="1">
      <alignment horizontal="left" wrapText="1"/>
    </xf>
    <xf numFmtId="0" fontId="27" fillId="22" borderId="0" xfId="0" applyFont="1" applyFill="1" applyAlignment="1">
      <alignment horizontal="center" vertical="center" textRotation="90"/>
    </xf>
    <xf numFmtId="0" fontId="8" fillId="0" borderId="0" xfId="0" applyFont="1"/>
    <xf numFmtId="0" fontId="14" fillId="0" borderId="0" xfId="0" applyFont="1" applyAlignment="1">
      <alignment vertical="center"/>
    </xf>
    <xf numFmtId="2" fontId="0" fillId="0" borderId="0" xfId="0" applyNumberFormat="1"/>
    <xf numFmtId="0" fontId="24" fillId="0" borderId="0" xfId="0" applyFont="1" applyFill="1" applyAlignment="1">
      <alignment vertical="center"/>
    </xf>
    <xf numFmtId="0" fontId="17" fillId="0" borderId="31" xfId="0" applyFont="1" applyBorder="1" applyAlignment="1">
      <alignment wrapText="1"/>
    </xf>
    <xf numFmtId="22" fontId="0" fillId="0" borderId="0" xfId="0" applyNumberFormat="1"/>
    <xf numFmtId="22" fontId="17" fillId="0" borderId="32" xfId="0" applyNumberFormat="1" applyFont="1" applyBorder="1" applyAlignment="1">
      <alignment horizontal="right" wrapText="1"/>
    </xf>
    <xf numFmtId="0" fontId="17" fillId="0" borderId="33" xfId="0" applyFont="1" applyBorder="1" applyAlignment="1">
      <alignment wrapText="1"/>
    </xf>
    <xf numFmtId="0" fontId="17" fillId="0" borderId="34" xfId="0" applyFont="1" applyBorder="1" applyAlignment="1">
      <alignment wrapText="1"/>
    </xf>
    <xf numFmtId="0" fontId="17" fillId="0" borderId="35" xfId="0" applyFont="1" applyBorder="1" applyAlignment="1">
      <alignment wrapText="1"/>
    </xf>
    <xf numFmtId="0" fontId="17" fillId="0" borderId="36" xfId="0" applyFont="1" applyBorder="1" applyAlignment="1">
      <alignment wrapText="1"/>
    </xf>
    <xf numFmtId="22" fontId="17" fillId="0" borderId="37" xfId="0" applyNumberFormat="1" applyFont="1" applyBorder="1" applyAlignment="1">
      <alignment horizontal="right" wrapText="1"/>
    </xf>
    <xf numFmtId="0" fontId="17" fillId="0" borderId="38" xfId="0" applyFont="1" applyBorder="1" applyAlignment="1">
      <alignment wrapText="1"/>
    </xf>
    <xf numFmtId="0" fontId="17" fillId="0" borderId="39" xfId="0" applyFont="1" applyBorder="1" applyAlignment="1">
      <alignment wrapText="1"/>
    </xf>
    <xf numFmtId="0" fontId="17" fillId="0" borderId="31" xfId="0" applyFont="1" applyBorder="1" applyAlignment="1">
      <alignment horizontal="right" wrapText="1"/>
    </xf>
    <xf numFmtId="0" fontId="17" fillId="28" borderId="32" xfId="0" applyFont="1" applyFill="1" applyBorder="1" applyAlignment="1">
      <alignment wrapText="1"/>
    </xf>
    <xf numFmtId="0" fontId="17" fillId="29" borderId="32" xfId="0" applyFont="1" applyFill="1" applyBorder="1" applyAlignment="1">
      <alignment wrapText="1"/>
    </xf>
    <xf numFmtId="0" fontId="17" fillId="30" borderId="32" xfId="0" applyFont="1" applyFill="1" applyBorder="1" applyAlignment="1">
      <alignment wrapText="1"/>
    </xf>
    <xf numFmtId="0" fontId="17" fillId="31" borderId="32" xfId="0" applyFont="1" applyFill="1" applyBorder="1" applyAlignment="1">
      <alignment wrapText="1"/>
    </xf>
    <xf numFmtId="0" fontId="17" fillId="32" borderId="32" xfId="0" applyFont="1" applyFill="1" applyBorder="1" applyAlignment="1">
      <alignment wrapText="1"/>
    </xf>
    <xf numFmtId="0" fontId="31" fillId="0" borderId="34" xfId="0" applyFont="1" applyBorder="1" applyAlignment="1">
      <alignment wrapText="1"/>
    </xf>
    <xf numFmtId="0" fontId="31" fillId="0" borderId="35" xfId="0" applyFont="1" applyBorder="1" applyAlignment="1">
      <alignment wrapText="1"/>
    </xf>
    <xf numFmtId="0" fontId="31" fillId="0" borderId="36" xfId="0" applyFont="1" applyBorder="1" applyAlignment="1">
      <alignment wrapText="1"/>
    </xf>
    <xf numFmtId="0" fontId="17" fillId="32" borderId="37" xfId="0" applyFont="1" applyFill="1" applyBorder="1" applyAlignment="1">
      <alignment wrapText="1"/>
    </xf>
    <xf numFmtId="0" fontId="17" fillId="0" borderId="38" xfId="0" applyFont="1" applyBorder="1" applyAlignment="1">
      <alignment horizontal="right" wrapText="1"/>
    </xf>
    <xf numFmtId="0" fontId="0" fillId="33" borderId="0" xfId="0" applyFill="1"/>
    <xf numFmtId="0" fontId="0" fillId="3" borderId="0" xfId="0" applyFill="1"/>
    <xf numFmtId="0" fontId="0" fillId="34" borderId="0" xfId="0" applyFill="1"/>
    <xf numFmtId="0" fontId="24" fillId="20" borderId="0" xfId="0" applyFont="1" applyFill="1" applyAlignment="1">
      <alignment horizontal="left" vertical="center"/>
    </xf>
    <xf numFmtId="14" fontId="0" fillId="0" borderId="0" xfId="0" applyNumberFormat="1" applyAlignment="1">
      <alignment horizontal="left"/>
    </xf>
    <xf numFmtId="0" fontId="0" fillId="0" borderId="0" xfId="0" applyFill="1" applyAlignment="1">
      <alignment horizontal="left"/>
    </xf>
    <xf numFmtId="0" fontId="23" fillId="0" borderId="0" xfId="0" applyFont="1" applyFill="1" applyAlignment="1">
      <alignment horizontal="left" vertical="center" wrapText="1"/>
    </xf>
    <xf numFmtId="0" fontId="26" fillId="0" borderId="0" xfId="0" applyFont="1" applyFill="1" applyAlignment="1">
      <alignment horizontal="left" vertical="center" wrapText="1"/>
    </xf>
    <xf numFmtId="0" fontId="19" fillId="0" borderId="0" xfId="0" applyFont="1" applyFill="1" applyBorder="1" applyAlignment="1">
      <alignment vertical="center" wrapText="1"/>
    </xf>
    <xf numFmtId="0" fontId="27" fillId="22" borderId="0" xfId="0" applyFont="1" applyFill="1" applyAlignment="1">
      <alignment horizontal="center" vertical="center" textRotation="90"/>
    </xf>
    <xf numFmtId="0" fontId="12" fillId="6" borderId="25"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9" fillId="14" borderId="29" xfId="0" applyFont="1" applyFill="1" applyBorder="1" applyAlignment="1">
      <alignment horizontal="left" vertical="center" wrapText="1"/>
    </xf>
    <xf numFmtId="0" fontId="9" fillId="14" borderId="0" xfId="0" applyFont="1" applyFill="1" applyBorder="1" applyAlignment="1">
      <alignment horizontal="left" vertical="center" wrapText="1"/>
    </xf>
    <xf numFmtId="0" fontId="9" fillId="14" borderId="18" xfId="0" applyFont="1" applyFill="1" applyBorder="1" applyAlignment="1">
      <alignment horizontal="left" vertical="center" wrapText="1"/>
    </xf>
    <xf numFmtId="0" fontId="9" fillId="14" borderId="26" xfId="0" applyFont="1" applyFill="1" applyBorder="1" applyAlignment="1">
      <alignment horizontal="left" vertical="center" wrapText="1"/>
    </xf>
    <xf numFmtId="0" fontId="9" fillId="14" borderId="27" xfId="0" applyFont="1" applyFill="1" applyBorder="1" applyAlignment="1">
      <alignment horizontal="left" vertical="center" wrapText="1"/>
    </xf>
    <xf numFmtId="0" fontId="9" fillId="14" borderId="28" xfId="0" applyFont="1" applyFill="1" applyBorder="1" applyAlignment="1">
      <alignment horizontal="left" vertical="center" wrapText="1"/>
    </xf>
    <xf numFmtId="0" fontId="9" fillId="0" borderId="20" xfId="0" applyFont="1" applyFill="1" applyBorder="1" applyAlignment="1">
      <alignment horizontal="left" vertical="center" wrapText="1"/>
    </xf>
    <xf numFmtId="0" fontId="9" fillId="0" borderId="16" xfId="0" applyFont="1" applyFill="1" applyBorder="1" applyAlignment="1">
      <alignment horizontal="left" vertical="center" wrapText="1"/>
    </xf>
    <xf numFmtId="0" fontId="9" fillId="0" borderId="17" xfId="0" applyFont="1" applyFill="1" applyBorder="1" applyAlignment="1">
      <alignment horizontal="left" vertical="center" wrapText="1"/>
    </xf>
    <xf numFmtId="0" fontId="12" fillId="7" borderId="25" xfId="0" applyFont="1" applyFill="1" applyBorder="1" applyAlignment="1">
      <alignment horizontal="left" vertical="center" wrapText="1"/>
    </xf>
    <xf numFmtId="0" fontId="12" fillId="7" borderId="21" xfId="0" applyFont="1" applyFill="1" applyBorder="1" applyAlignment="1">
      <alignment horizontal="left" vertical="center" wrapText="1"/>
    </xf>
    <xf numFmtId="0" fontId="9" fillId="0" borderId="22" xfId="0" applyFont="1" applyFill="1" applyBorder="1" applyAlignment="1">
      <alignment horizontal="left" vertical="center" wrapText="1"/>
    </xf>
    <xf numFmtId="0" fontId="9" fillId="0" borderId="23" xfId="0" applyFont="1" applyFill="1" applyBorder="1" applyAlignment="1">
      <alignment horizontal="left" vertical="center" wrapText="1"/>
    </xf>
    <xf numFmtId="0" fontId="9" fillId="0" borderId="24" xfId="0" applyFont="1" applyFill="1" applyBorder="1" applyAlignment="1">
      <alignment horizontal="left" vertical="center" wrapText="1"/>
    </xf>
    <xf numFmtId="0" fontId="9" fillId="0" borderId="26" xfId="0" applyFont="1" applyFill="1" applyBorder="1" applyAlignment="1">
      <alignment horizontal="left" vertical="center" wrapText="1"/>
    </xf>
    <xf numFmtId="0" fontId="9" fillId="0" borderId="27" xfId="0" applyFont="1" applyFill="1" applyBorder="1" applyAlignment="1">
      <alignment horizontal="left" vertical="center" wrapText="1"/>
    </xf>
    <xf numFmtId="0" fontId="9" fillId="0" borderId="28" xfId="0" applyFont="1" applyFill="1" applyBorder="1" applyAlignment="1">
      <alignment horizontal="left" vertical="center" wrapText="1"/>
    </xf>
    <xf numFmtId="0" fontId="9" fillId="14" borderId="20" xfId="0" applyFont="1" applyFill="1" applyBorder="1" applyAlignment="1">
      <alignment horizontal="center" vertical="center" wrapText="1"/>
    </xf>
    <xf numFmtId="0" fontId="9" fillId="14" borderId="16" xfId="0" applyFont="1" applyFill="1" applyBorder="1" applyAlignment="1">
      <alignment horizontal="center" vertical="center" wrapText="1"/>
    </xf>
    <xf numFmtId="0" fontId="9" fillId="14" borderId="17" xfId="0" applyFont="1" applyFill="1" applyBorder="1" applyAlignment="1">
      <alignment horizontal="center" vertical="center" wrapText="1"/>
    </xf>
    <xf numFmtId="0" fontId="12" fillId="13" borderId="0" xfId="0" applyFont="1" applyFill="1" applyBorder="1" applyAlignment="1">
      <alignment horizontal="center" vertical="center" wrapText="1"/>
    </xf>
    <xf numFmtId="0" fontId="13" fillId="0" borderId="0" xfId="0" applyFont="1" applyBorder="1" applyAlignment="1">
      <alignment horizontal="left" vertical="center" wrapText="1"/>
    </xf>
    <xf numFmtId="0" fontId="9" fillId="14" borderId="19" xfId="0" applyFont="1" applyFill="1" applyBorder="1" applyAlignment="1">
      <alignment horizontal="left" vertical="center" wrapText="1"/>
    </xf>
    <xf numFmtId="0" fontId="9" fillId="0" borderId="20"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12" fillId="12" borderId="19" xfId="0" applyFont="1" applyFill="1" applyBorder="1" applyAlignment="1">
      <alignment horizontal="left" vertical="center" wrapText="1"/>
    </xf>
    <xf numFmtId="0" fontId="9" fillId="14" borderId="30" xfId="0" applyFont="1" applyFill="1" applyBorder="1" applyAlignment="1">
      <alignment horizontal="left" vertical="center" wrapText="1"/>
    </xf>
    <xf numFmtId="0" fontId="9" fillId="0" borderId="21" xfId="0" applyFont="1" applyFill="1" applyBorder="1" applyAlignment="1">
      <alignment horizontal="left" vertical="center" wrapText="1"/>
    </xf>
    <xf numFmtId="0" fontId="9" fillId="0" borderId="19" xfId="0" applyFont="1" applyFill="1" applyBorder="1" applyAlignment="1">
      <alignment horizontal="left" vertical="center" wrapText="1"/>
    </xf>
    <xf numFmtId="0" fontId="9" fillId="0" borderId="17" xfId="0" applyFont="1" applyFill="1" applyBorder="1" applyAlignment="1">
      <alignment horizontal="center" vertical="center" wrapText="1"/>
    </xf>
    <xf numFmtId="0" fontId="0" fillId="3" borderId="6" xfId="0" applyFill="1" applyBorder="1" applyAlignment="1">
      <alignment horizontal="center"/>
    </xf>
    <xf numFmtId="0" fontId="0" fillId="3" borderId="7" xfId="0" applyFill="1" applyBorder="1" applyAlignment="1">
      <alignment horizontal="center"/>
    </xf>
    <xf numFmtId="14" fontId="0" fillId="0" borderId="8" xfId="0" applyNumberFormat="1" applyBorder="1" applyAlignment="1">
      <alignment horizontal="center"/>
    </xf>
    <xf numFmtId="14" fontId="0" fillId="0" borderId="9" xfId="0" applyNumberFormat="1" applyBorder="1" applyAlignment="1">
      <alignment horizontal="center"/>
    </xf>
    <xf numFmtId="0" fontId="0" fillId="3" borderId="0" xfId="0" applyFill="1" applyAlignment="1">
      <alignment horizontal="center"/>
    </xf>
    <xf numFmtId="0" fontId="0" fillId="0" borderId="0" xfId="0" applyAlignment="1">
      <alignment horizontal="center"/>
    </xf>
  </cellXfs>
  <cellStyles count="1">
    <cellStyle name="Normal" xfId="0" builtinId="0"/>
  </cellStyles>
  <dxfs count="236">
    <dxf>
      <numFmt numFmtId="0" formatCode="General"/>
    </dxf>
    <dxf>
      <numFmt numFmtId="0" formatCode="Genera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0.0"/>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0.0"/>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0.0"/>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0.0"/>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right style="thin">
          <color theme="1"/>
        </right>
        <top style="thin">
          <color theme="1"/>
        </top>
        <bottom style="thin">
          <color theme="1"/>
        </bottom>
        <vertical/>
        <horizontal/>
      </border>
    </dxf>
    <dxf>
      <border outline="0">
        <top style="thin">
          <color theme="1"/>
        </top>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border outline="0">
        <bottom style="medium">
          <color theme="1"/>
        </bottom>
      </border>
    </dxf>
    <dxf>
      <fill>
        <patternFill>
          <bgColor theme="9" tint="0.39994506668294322"/>
        </patternFill>
      </fill>
    </dxf>
    <dxf>
      <fill>
        <patternFill>
          <bgColor theme="0"/>
        </patternFill>
      </fill>
    </dxf>
    <dxf>
      <fill>
        <patternFill>
          <bgColor rgb="FFFF0000"/>
        </patternFill>
      </fill>
    </dxf>
    <dxf>
      <fill>
        <patternFill>
          <bgColor theme="7" tint="0.39994506668294322"/>
        </patternFill>
      </fill>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2" formatCode="0.00"/>
      <alignment horizontal="general" vertical="bottom" textRotation="0" wrapText="1" indent="0" justifyLastLine="0" shrinkToFit="0" readingOrder="0"/>
    </dxf>
    <dxf>
      <numFmt numFmtId="165"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0.0"/>
      <fill>
        <patternFill patternType="none">
          <fgColor indexed="64"/>
          <bgColor auto="1"/>
        </patternFill>
      </fill>
      <alignment horizontal="general" vertical="bottom" textRotation="0" wrapText="1" indent="0" justifyLastLine="0" shrinkToFit="0" readingOrder="0"/>
    </dxf>
    <dxf>
      <numFmt numFmtId="164" formatCode="0.0"/>
      <fill>
        <patternFill patternType="none">
          <fgColor indexed="64"/>
          <bgColor auto="1"/>
        </patternFill>
      </fil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9" tint="0.39994506668294322"/>
        </patternFill>
      </fill>
    </dxf>
    <dxf>
      <fill>
        <patternFill>
          <bgColor theme="0"/>
        </patternFill>
      </fill>
    </dxf>
    <dxf>
      <fill>
        <patternFill>
          <bgColor rgb="FFDD6D3B"/>
        </patternFill>
      </fill>
    </dxf>
    <dxf>
      <fill>
        <patternFill>
          <bgColor theme="7" tint="0.39994506668294322"/>
        </patternFill>
      </fill>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B45F06"/>
        </patternFill>
      </fill>
      <alignment horizontal="general"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font>
        <b/>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
      <numFmt numFmtId="27" formatCode="m/d/yyyy\ h:mm"/>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27" formatCode="m/d/yyyy\ h:mm"/>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border outline="0">
        <bottom style="medium">
          <color rgb="FFCCCCCC"/>
        </bottom>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
      <numFmt numFmtId="2" formatCode="0.00"/>
    </dxf>
    <dxf>
      <numFmt numFmtId="2" formatCode="0.00"/>
    </dxf>
    <dxf>
      <fill>
        <patternFill patternType="none">
          <fgColor indexed="64"/>
          <bgColor auto="1"/>
        </patternFill>
      </fill>
      <alignment horizontal="left" vertical="bottom" textRotation="0" wrapText="0" indent="0" justifyLastLine="0" shrinkToFit="0" readingOrder="0"/>
    </dxf>
    <dxf>
      <alignment horizontal="general" vertical="bottom" textRotation="0" wrapText="1" indent="0" justifyLastLine="0" shrinkToFit="0" readingOrder="0"/>
    </dxf>
    <dxf>
      <alignment horizontal="right" vertical="bottom" textRotation="0" wrapText="0" indent="0" justifyLastLine="0" shrinkToFit="0" readingOrder="0"/>
    </dxf>
    <dxf>
      <numFmt numFmtId="0" formatCode="General"/>
    </dxf>
    <dxf>
      <numFmt numFmtId="0" formatCode="General"/>
      <fill>
        <patternFill patternType="none">
          <fgColor indexed="64"/>
          <bgColor auto="1"/>
        </patternFill>
      </fill>
    </dxf>
    <dxf>
      <numFmt numFmtId="0" formatCode="General"/>
    </dxf>
    <dxf>
      <numFmt numFmtId="0" formatCode="General"/>
      <alignment horizontal="general" vertical="bottom" textRotation="0" wrapText="1" indent="0" justifyLastLine="0" shrinkToFit="0" readingOrder="0"/>
    </dxf>
    <dxf>
      <numFmt numFmtId="164" formatCode="0.0"/>
    </dxf>
    <dxf>
      <alignment horizontal="left" vertical="bottom" textRotation="0" wrapText="0" indent="0" justifyLastLine="0" shrinkToFit="0" readingOrder="0"/>
    </dxf>
    <dxf>
      <alignment vertical="bottom" textRotation="0" wrapText="1" indent="0" justifyLastLine="0" shrinkToFit="0" readingOrder="0"/>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2" formatCode="0.00"/>
      <alignment horizontal="general" vertical="bottom" textRotation="0" wrapText="1" indent="0" justifyLastLine="0" shrinkToFit="0" readingOrder="0"/>
    </dxf>
    <dxf>
      <numFmt numFmtId="165"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0.0"/>
      <fill>
        <patternFill patternType="none">
          <fgColor indexed="64"/>
          <bgColor indexed="65"/>
        </patternFill>
      </fill>
      <alignment horizontal="general" vertical="bottom" textRotation="0" wrapText="1" indent="0" justifyLastLine="0" shrinkToFit="0" readingOrder="0"/>
    </dxf>
    <dxf>
      <numFmt numFmtId="164" formatCode="0.0"/>
      <fill>
        <patternFill patternType="none">
          <fgColor indexed="64"/>
          <bgColor indexed="65"/>
        </patternFill>
      </fil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none"/>
      </font>
      <numFmt numFmtId="0" formatCode="General"/>
      <alignment horizontal="left" vertical="bottom" textRotation="0" wrapText="1" indent="0" justifyLastLine="0" shrinkToFit="0" readingOrder="0"/>
    </dxf>
    <dxf>
      <font>
        <b val="0"/>
        <i val="0"/>
        <strike val="0"/>
        <condense val="0"/>
        <extend val="0"/>
        <outline val="0"/>
        <shadow val="0"/>
        <u val="none"/>
        <vertAlign val="baseline"/>
        <sz val="12"/>
        <color theme="1"/>
        <name val="Calibri"/>
        <family val="2"/>
        <scheme val="none"/>
      </font>
      <numFmt numFmtId="0" formatCode="General"/>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font>
        <strike val="0"/>
        <outline val="0"/>
        <shadow val="0"/>
        <u val="none"/>
        <vertAlign val="baseline"/>
        <sz val="12"/>
        <name val="Calibri"/>
        <family val="2"/>
        <scheme val="none"/>
      </font>
      <numFmt numFmtId="165" formatCode="0.0%"/>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font>
        <strike val="0"/>
        <outline val="0"/>
        <shadow val="0"/>
        <u val="none"/>
        <vertAlign val="baseline"/>
        <sz val="12"/>
        <name val="Calibri"/>
        <family val="2"/>
        <scheme val="none"/>
      </font>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7" tint="0.39994506668294322"/>
        </patternFill>
      </fill>
    </dxf>
    <dxf>
      <fill>
        <patternFill>
          <bgColor theme="5" tint="-0.24994659260841701"/>
        </patternFill>
      </fill>
    </dxf>
    <dxf>
      <fill>
        <patternFill>
          <bgColor theme="5" tint="0.39994506668294322"/>
        </patternFill>
      </fill>
    </dxf>
    <dxf>
      <fill>
        <patternFill>
          <bgColor theme="9" tint="0.39994506668294322"/>
        </patternFill>
      </fill>
    </dxf>
    <dxf>
      <fill>
        <patternFill>
          <bgColor theme="9" tint="-0.24994659260841701"/>
        </patternFill>
      </fill>
    </dxf>
    <dxf>
      <font>
        <color rgb="FF9C0006"/>
      </font>
      <fill>
        <patternFill>
          <bgColor rgb="FFFFC7CE"/>
        </patternFill>
      </fill>
    </dxf>
    <dxf>
      <fill>
        <patternFill>
          <bgColor theme="9" tint="0.39994506668294322"/>
        </patternFill>
      </fill>
    </dxf>
    <dxf>
      <fill>
        <patternFill>
          <bgColor theme="0"/>
        </patternFill>
      </fill>
    </dxf>
    <dxf>
      <fill>
        <patternFill>
          <bgColor rgb="FFDD6D3B"/>
        </patternFill>
      </fill>
    </dxf>
    <dxf>
      <fill>
        <patternFill>
          <bgColor theme="7" tint="0.39994506668294322"/>
        </patternFill>
      </fill>
    </dxf>
    <dxf>
      <alignment wrapText="1"/>
    </dxf>
    <dxf>
      <fill>
        <patternFill>
          <bgColor rgb="FFE26832"/>
        </patternFill>
      </fill>
    </dxf>
    <dxf>
      <fill>
        <patternFill>
          <bgColor rgb="FFEDC96F"/>
        </patternFill>
      </fill>
    </dxf>
    <dxf>
      <fill>
        <patternFill>
          <bgColor rgb="FF81C187"/>
        </patternFill>
      </fill>
    </dxf>
    <dxf>
      <fill>
        <patternFill>
          <bgColor rgb="FFE26832"/>
        </patternFill>
      </fill>
    </dxf>
    <dxf>
      <fill>
        <patternFill>
          <bgColor rgb="FFEDC96F"/>
        </patternFill>
      </fill>
    </dxf>
    <dxf>
      <fill>
        <patternFill>
          <bgColor rgb="FF81C187"/>
        </patternFill>
      </fill>
    </dxf>
  </dxfs>
  <tableStyles count="0" defaultTableStyle="TableStyleMedium2" defaultPivotStyle="PivotStyleLight16"/>
  <colors>
    <mruColors>
      <color rgb="FFFFFF66"/>
      <color rgb="FF81C187"/>
      <color rgb="FFEDC96F"/>
      <color rgb="FFE26832"/>
      <color rgb="FFDD6D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pivotCacheDefinition" Target="pivotCache/pivotCacheDefinition2.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TimeBins!$U$4:$U$20</c:f>
              <c:strCache>
                <c:ptCount val="17"/>
                <c:pt idx="0">
                  <c:v>LDOS040</c:v>
                </c:pt>
                <c:pt idx="1">
                  <c:v>BERT016</c:v>
                </c:pt>
                <c:pt idx="2">
                  <c:v>SUNL006</c:v>
                </c:pt>
                <c:pt idx="3">
                  <c:v>DOSI005</c:v>
                </c:pt>
                <c:pt idx="4">
                  <c:v>KING002</c:v>
                </c:pt>
                <c:pt idx="5">
                  <c:v>KOKO011</c:v>
                </c:pt>
                <c:pt idx="6">
                  <c:v>BLDS207</c:v>
                </c:pt>
                <c:pt idx="7">
                  <c:v>SHRM014</c:v>
                </c:pt>
                <c:pt idx="8">
                  <c:v>GFSD189</c:v>
                </c:pt>
                <c:pt idx="9">
                  <c:v>STR8017</c:v>
                </c:pt>
                <c:pt idx="10">
                  <c:v>NYFL014</c:v>
                </c:pt>
                <c:pt idx="11">
                  <c:v>PLAN008</c:v>
                </c:pt>
                <c:pt idx="12">
                  <c:v>OROB054</c:v>
                </c:pt>
                <c:pt idx="13">
                  <c:v>SODA011</c:v>
                </c:pt>
                <c:pt idx="14">
                  <c:v>SOUR007</c:v>
                </c:pt>
                <c:pt idx="15">
                  <c:v>DURP006</c:v>
                </c:pt>
                <c:pt idx="16">
                  <c:v>92CK119</c:v>
                </c:pt>
              </c:strCache>
            </c:strRef>
          </c:cat>
          <c:val>
            <c:numRef>
              <c:f>TimeBins!$V$4:$V$20</c:f>
              <c:numCache>
                <c:formatCode>General</c:formatCode>
                <c:ptCount val="17"/>
                <c:pt idx="0">
                  <c:v>1.1200000000000001</c:v>
                </c:pt>
                <c:pt idx="1">
                  <c:v>2.06</c:v>
                </c:pt>
                <c:pt idx="2">
                  <c:v>2.29</c:v>
                </c:pt>
                <c:pt idx="3">
                  <c:v>2.29</c:v>
                </c:pt>
                <c:pt idx="4">
                  <c:v>2.29</c:v>
                </c:pt>
                <c:pt idx="5">
                  <c:v>3.12</c:v>
                </c:pt>
                <c:pt idx="6">
                  <c:v>3.24</c:v>
                </c:pt>
                <c:pt idx="7">
                  <c:v>3.24</c:v>
                </c:pt>
                <c:pt idx="8">
                  <c:v>3.35</c:v>
                </c:pt>
                <c:pt idx="9">
                  <c:v>3.71</c:v>
                </c:pt>
                <c:pt idx="10">
                  <c:v>3.82</c:v>
                </c:pt>
                <c:pt idx="11">
                  <c:v>4.0599999999999996</c:v>
                </c:pt>
                <c:pt idx="12">
                  <c:v>4.0599999999999996</c:v>
                </c:pt>
                <c:pt idx="13">
                  <c:v>4.29</c:v>
                </c:pt>
                <c:pt idx="14">
                  <c:v>4.29</c:v>
                </c:pt>
                <c:pt idx="15">
                  <c:v>4.41</c:v>
                </c:pt>
                <c:pt idx="16">
                  <c:v>4.76</c:v>
                </c:pt>
              </c:numCache>
            </c:numRef>
          </c:val>
          <c:extLst>
            <c:ext xmlns:c16="http://schemas.microsoft.com/office/drawing/2014/chart" uri="{C3380CC4-5D6E-409C-BE32-E72D297353CC}">
              <c16:uniqueId val="{00000000-800F-48C3-8F8D-59CD6F279D67}"/>
            </c:ext>
          </c:extLst>
        </c:ser>
        <c:dLbls>
          <c:showLegendKey val="0"/>
          <c:showVal val="0"/>
          <c:showCatName val="0"/>
          <c:showSerName val="0"/>
          <c:showPercent val="0"/>
          <c:showBubbleSize val="0"/>
        </c:dLbls>
        <c:gapWidth val="219"/>
        <c:overlap val="-27"/>
        <c:axId val="1311922975"/>
        <c:axId val="1311912159"/>
      </c:barChart>
      <c:catAx>
        <c:axId val="131192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912159"/>
        <c:crosses val="autoZero"/>
        <c:auto val="1"/>
        <c:lblAlgn val="ctr"/>
        <c:lblOffset val="100"/>
        <c:noMultiLvlLbl val="0"/>
      </c:catAx>
      <c:valAx>
        <c:axId val="131191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92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22" fmlaLink="C5" fmlaRange="Master!$A$2:$A$26" noThreeD="1" sel="3" val="0"/>
</file>

<file path=xl/ctrlProps/ctrlProp2.xml><?xml version="1.0" encoding="utf-8"?>
<formControlPr xmlns="http://schemas.microsoft.com/office/spreadsheetml/2009/9/main" objectType="Spin" dx="22" fmlaLink="$C$5" max="19" min="1" page="10" val="3"/>
</file>

<file path=xl/ctrlProps/ctrlProp3.xml><?xml version="1.0" encoding="utf-8"?>
<formControlPr xmlns="http://schemas.microsoft.com/office/spreadsheetml/2009/9/main" objectType="List" dx="22" fmlaLink="C5" fmlaRange="Master!$A$2:$A$26" noThreeD="1" sel="1" val="13"/>
</file>

<file path=xl/ctrlProps/ctrlProp4.xml><?xml version="1.0" encoding="utf-8"?>
<formControlPr xmlns="http://schemas.microsoft.com/office/spreadsheetml/2009/9/main" objectType="Spin" dx="22" fmlaLink="$C$5" max="19" min="1" page="10"/>
</file>

<file path=xl/ctrlProps/ctrlProp5.xml><?xml version="1.0" encoding="utf-8"?>
<formControlPr xmlns="http://schemas.microsoft.com/office/spreadsheetml/2009/9/main" objectType="List" dx="22" fmlaLink="C5" fmlaRange="Master!$A$2:$A$26" noThreeD="1" sel="21" val="18"/>
</file>

<file path=xl/ctrlProps/ctrlProp6.xml><?xml version="1.0" encoding="utf-8"?>
<formControlPr xmlns="http://schemas.microsoft.com/office/spreadsheetml/2009/9/main" objectType="Spin" dx="22" fmlaLink="$C$5" max="19" min="1" page="10" val="19"/>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219075</xdr:colOff>
          <xdr:row>0</xdr:row>
          <xdr:rowOff>66675</xdr:rowOff>
        </xdr:from>
        <xdr:to>
          <xdr:col>2</xdr:col>
          <xdr:colOff>1076325</xdr:colOff>
          <xdr:row>3</xdr:row>
          <xdr:rowOff>85725</xdr:rowOff>
        </xdr:to>
        <xdr:sp macro="" textlink="">
          <xdr:nvSpPr>
            <xdr:cNvPr id="12289" name="List Box 1"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276225</xdr:colOff>
          <xdr:row>0</xdr:row>
          <xdr:rowOff>123825</xdr:rowOff>
        </xdr:from>
        <xdr:to>
          <xdr:col>6</xdr:col>
          <xdr:colOff>771525</xdr:colOff>
          <xdr:row>3</xdr:row>
          <xdr:rowOff>85725</xdr:rowOff>
        </xdr:to>
        <xdr:sp macro="" textlink="">
          <xdr:nvSpPr>
            <xdr:cNvPr id="12290" name="Spinner 2" hidden="1">
              <a:extLst>
                <a:ext uri="{63B3BB69-23CF-44E3-9099-C40C66FF867C}">
                  <a14:compatExt spid="_x0000_s12290"/>
                </a:ext>
                <a:ext uri="{FF2B5EF4-FFF2-40B4-BE49-F238E27FC236}">
                  <a16:creationId xmlns:a16="http://schemas.microsoft.com/office/drawing/2014/main" id="{00000000-0008-0000-0000-000002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219075</xdr:colOff>
          <xdr:row>0</xdr:row>
          <xdr:rowOff>66675</xdr:rowOff>
        </xdr:from>
        <xdr:to>
          <xdr:col>2</xdr:col>
          <xdr:colOff>904875</xdr:colOff>
          <xdr:row>3</xdr:row>
          <xdr:rowOff>85725</xdr:rowOff>
        </xdr:to>
        <xdr:sp macro="" textlink="">
          <xdr:nvSpPr>
            <xdr:cNvPr id="3073" name="List Box 1"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276225</xdr:colOff>
          <xdr:row>0</xdr:row>
          <xdr:rowOff>123825</xdr:rowOff>
        </xdr:from>
        <xdr:to>
          <xdr:col>5</xdr:col>
          <xdr:colOff>771525</xdr:colOff>
          <xdr:row>3</xdr:row>
          <xdr:rowOff>85725</xdr:rowOff>
        </xdr:to>
        <xdr:sp macro="" textlink="">
          <xdr:nvSpPr>
            <xdr:cNvPr id="3075" name="Spinner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219075</xdr:colOff>
          <xdr:row>0</xdr:row>
          <xdr:rowOff>66675</xdr:rowOff>
        </xdr:from>
        <xdr:to>
          <xdr:col>1</xdr:col>
          <xdr:colOff>1428750</xdr:colOff>
          <xdr:row>3</xdr:row>
          <xdr:rowOff>85725</xdr:rowOff>
        </xdr:to>
        <xdr:sp macro="" textlink="">
          <xdr:nvSpPr>
            <xdr:cNvPr id="23553" name="List Box 1" hidden="1">
              <a:extLst>
                <a:ext uri="{63B3BB69-23CF-44E3-9099-C40C66FF867C}">
                  <a14:compatExt spid="_x0000_s23553"/>
                </a:ext>
                <a:ext uri="{FF2B5EF4-FFF2-40B4-BE49-F238E27FC236}">
                  <a16:creationId xmlns:a16="http://schemas.microsoft.com/office/drawing/2014/main" id="{00000000-0008-0000-02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276225</xdr:colOff>
          <xdr:row>0</xdr:row>
          <xdr:rowOff>123825</xdr:rowOff>
        </xdr:from>
        <xdr:to>
          <xdr:col>5</xdr:col>
          <xdr:colOff>771525</xdr:colOff>
          <xdr:row>3</xdr:row>
          <xdr:rowOff>85725</xdr:rowOff>
        </xdr:to>
        <xdr:sp macro="" textlink="">
          <xdr:nvSpPr>
            <xdr:cNvPr id="23554" name="Spinner 2" hidden="1">
              <a:extLst>
                <a:ext uri="{63B3BB69-23CF-44E3-9099-C40C66FF867C}">
                  <a14:compatExt spid="_x0000_s23554"/>
                </a:ext>
                <a:ext uri="{FF2B5EF4-FFF2-40B4-BE49-F238E27FC236}">
                  <a16:creationId xmlns:a16="http://schemas.microsoft.com/office/drawing/2014/main" id="{00000000-0008-0000-0200-0000025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4</xdr:col>
      <xdr:colOff>639027</xdr:colOff>
      <xdr:row>14</xdr:row>
      <xdr:rowOff>75116</xdr:rowOff>
    </xdr:from>
    <xdr:to>
      <xdr:col>5</xdr:col>
      <xdr:colOff>1131546</xdr:colOff>
      <xdr:row>27</xdr:row>
      <xdr:rowOff>129669</xdr:rowOff>
    </xdr:to>
    <mc:AlternateContent xmlns:mc="http://schemas.openxmlformats.org/markup-compatibility/2006" xmlns:a14="http://schemas.microsoft.com/office/drawing/2010/main">
      <mc:Choice Requires="a14">
        <xdr:graphicFrame macro="">
          <xdr:nvGraphicFramePr>
            <xdr:cNvPr id="2" name="1. Phenotype">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1. Phenotype"/>
            </a:graphicData>
          </a:graphic>
        </xdr:graphicFrame>
      </mc:Choice>
      <mc:Fallback xmlns="">
        <xdr:sp macro="" textlink="">
          <xdr:nvSpPr>
            <xdr:cNvPr id="0" name=""/>
            <xdr:cNvSpPr>
              <a:spLocks noTextEdit="1"/>
            </xdr:cNvSpPr>
          </xdr:nvSpPr>
          <xdr:spPr>
            <a:xfrm>
              <a:off x="5610612" y="2862921"/>
              <a:ext cx="1815552" cy="247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301626</xdr:colOff>
      <xdr:row>4</xdr:row>
      <xdr:rowOff>451908</xdr:rowOff>
    </xdr:from>
    <xdr:to>
      <xdr:col>8</xdr:col>
      <xdr:colOff>860426</xdr:colOff>
      <xdr:row>15</xdr:row>
      <xdr:rowOff>118533</xdr:rowOff>
    </xdr:to>
    <mc:AlternateContent xmlns:mc="http://schemas.openxmlformats.org/markup-compatibility/2006" xmlns:a14="http://schemas.microsoft.com/office/drawing/2010/main">
      <mc:Choice Requires="a14">
        <xdr:graphicFrame macro="">
          <xdr:nvGraphicFramePr>
            <xdr:cNvPr id="3" name="Time requiremen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Time requirement"/>
            </a:graphicData>
          </a:graphic>
        </xdr:graphicFrame>
      </mc:Choice>
      <mc:Fallback xmlns="">
        <xdr:sp macro="" textlink="">
          <xdr:nvSpPr>
            <xdr:cNvPr id="0" name=""/>
            <xdr:cNvSpPr>
              <a:spLocks noTextEdit="1"/>
            </xdr:cNvSpPr>
          </xdr:nvSpPr>
          <xdr:spPr>
            <a:xfrm>
              <a:off x="8937626" y="1393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300789</xdr:colOff>
      <xdr:row>0</xdr:row>
      <xdr:rowOff>50132</xdr:rowOff>
    </xdr:from>
    <xdr:to>
      <xdr:col>12</xdr:col>
      <xdr:colOff>221200</xdr:colOff>
      <xdr:row>32</xdr:row>
      <xdr:rowOff>21956</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4043947" y="50132"/>
          <a:ext cx="8400000" cy="61714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23</xdr:col>
      <xdr:colOff>314325</xdr:colOff>
      <xdr:row>1</xdr:row>
      <xdr:rowOff>166687</xdr:rowOff>
    </xdr:from>
    <xdr:to>
      <xdr:col>31</xdr:col>
      <xdr:colOff>9525</xdr:colOff>
      <xdr:row>10</xdr:row>
      <xdr:rowOff>252412</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28</xdr:col>
      <xdr:colOff>354231</xdr:colOff>
      <xdr:row>2</xdr:row>
      <xdr:rowOff>79264</xdr:rowOff>
    </xdr:from>
    <xdr:to>
      <xdr:col>31</xdr:col>
      <xdr:colOff>331140</xdr:colOff>
      <xdr:row>15</xdr:row>
      <xdr:rowOff>126889</xdr:rowOff>
    </xdr:to>
    <mc:AlternateContent xmlns:mc="http://schemas.openxmlformats.org/markup-compatibility/2006" xmlns:a14="http://schemas.microsoft.com/office/drawing/2010/main">
      <mc:Choice Requires="a14">
        <xdr:graphicFrame macro="">
          <xdr:nvGraphicFramePr>
            <xdr:cNvPr id="2" name="Round">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microsoft.com/office/drawing/2010/slicer">
              <sle:slicer xmlns:sle="http://schemas.microsoft.com/office/drawing/2010/slicer" name="Round"/>
            </a:graphicData>
          </a:graphic>
        </xdr:graphicFrame>
      </mc:Choice>
      <mc:Fallback xmlns="">
        <xdr:sp macro="" textlink="">
          <xdr:nvSpPr>
            <xdr:cNvPr id="0" name=""/>
            <xdr:cNvSpPr>
              <a:spLocks noTextEdit="1"/>
            </xdr:cNvSpPr>
          </xdr:nvSpPr>
          <xdr:spPr>
            <a:xfrm>
              <a:off x="25194428" y="455251"/>
              <a:ext cx="1819245" cy="2491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ive%20Phenotype%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ive%20Pheno%20Referenc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Hannah\Desktop\Trellis%20Observations%20weekend%20of%203-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6.30.2020"/>
      <sheetName val="6.9.20"/>
      <sheetName val="Live Phenotype Reference"/>
    </sheetNames>
    <sheetDataSet>
      <sheetData sheetId="0"/>
      <sheetData sheetId="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6.30.2020"/>
      <sheetName val="6.9.20"/>
      <sheetName val="Live Pheno Reference"/>
    </sheetNames>
    <sheetDataSet>
      <sheetData sheetId="0"/>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7 F3"/>
      <sheetName val="C7 pivot"/>
      <sheetName val="stuff about C7"/>
      <sheetName val="C13notrellis"/>
      <sheetName val="Sheet1"/>
      <sheetName val="C14notrellis"/>
      <sheetName val="-1 MASTER LIST old"/>
      <sheetName val="+1 MASTER LIST old"/>
      <sheetName val="+1, -1"/>
      <sheetName val="ObsvPivot"/>
      <sheetName val="MasterObsv"/>
      <sheetName val="WhoGetsOneTrellis"/>
      <sheetName val="Observations C20"/>
      <sheetName val="Observations C19"/>
      <sheetName val="Observations C18"/>
      <sheetName val="Observations C17"/>
      <sheetName val="Observations C16"/>
      <sheetName val="Observations C15"/>
      <sheetName val="Trellis Observations weekend o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nah Blice" refreshedDate="43900.441218981483" createdVersion="6" refreshedVersion="6" minRefreshableVersion="3" recordCount="230" xr:uid="{6715EB48-167B-4091-989B-DA060292AC39}">
  <cacheSource type="worksheet">
    <worksheetSource name="AvgV2F"/>
  </cacheSource>
  <cacheFields count="8">
    <cacheField name="Round" numFmtId="0">
      <sharedItems count="8">
        <s v="C15"/>
        <s v="C16"/>
        <s v="C17"/>
        <s v="C18"/>
        <s v="C19"/>
        <s v="C20"/>
        <s v="C21"/>
        <s v="C22" u="1"/>
      </sharedItems>
    </cacheField>
    <cacheField name="Pheno" numFmtId="0">
      <sharedItems count="116">
        <s v="PLAN027"/>
        <s v="PLAN017"/>
        <s v="ONED026"/>
        <s v="BMKO011"/>
        <s v="ONED037"/>
        <s v="SECF009"/>
        <s v="KOIX034"/>
        <s v="ONED038"/>
        <s v="SECF017"/>
        <s v="HAMA013"/>
        <s v="LDOS018"/>
        <s v="OROB047"/>
        <s v="KING002"/>
        <s v="PHGW023"/>
        <s v="HTWV016"/>
        <s v="PHGW020"/>
        <s v="KING008"/>
        <s v="POLO012"/>
        <s v="MDGE001"/>
        <s v="OROB054"/>
        <s v="FLOG004"/>
        <s v="ONED041"/>
        <s v="GFSD014"/>
        <s v="BBGM007"/>
        <s v="92CK082"/>
        <s v="BBGM009"/>
        <s v="JK99007"/>
        <s v="HAMA021"/>
        <s v="HTWV003"/>
        <s v="BBGM004"/>
        <s v="JK99042"/>
        <s v="LDOS024"/>
        <s v="DRMC001"/>
        <s v="JK99064"/>
        <s v="92CK083"/>
        <s v="92CK066"/>
        <s v="DRMC004"/>
        <s v="ISLA010"/>
        <s v="POLO046"/>
        <s v="YZUP005"/>
        <s v="YZUP003"/>
        <s v="SUNL006"/>
        <s v="KOKO030"/>
        <s v="STRC017"/>
        <s v="JK99075"/>
        <s v="RBOG002"/>
        <s v="BHZD002"/>
        <s v="STRC018"/>
        <s v="KOKO012"/>
        <s v="NYFL004"/>
        <s v="JK99030"/>
        <s v="92CK088"/>
        <s v="STRC022"/>
        <s v="DRMC022"/>
        <s v="BHZD008"/>
        <s v="JK99058"/>
        <s v="GFSD189"/>
        <s v="POTN017"/>
        <s v="SWTS035"/>
        <s v="92CK119"/>
        <s v="GFSD207"/>
        <s v="SWTS024"/>
        <s v="PLAN004"/>
        <s v="DD22016"/>
        <s v="92CK116"/>
        <s v="DD22008"/>
        <s v="GFSD187"/>
        <s v="DD22005"/>
        <s v="TAHL001"/>
        <s v="OROB028"/>
        <s v="STR8017"/>
        <s v="TAHL003"/>
        <s v="POTN028"/>
        <s v="DD22009"/>
        <s v="NYFL011"/>
        <s v="LDOS040"/>
        <s v="STR8014"/>
        <s v="JACK021"/>
        <s v="SUNL013"/>
        <s v="PLKO030"/>
        <s v="PLKO025"/>
        <s v="PLKO004"/>
        <s v="NYFL014"/>
        <s v="BGCH010"/>
        <s v="BGCH014"/>
        <s v="MABK008"/>
        <s v="MABK007"/>
        <s v="SOUR002"/>
        <s v="PLAN008"/>
        <s v="SOUR011"/>
        <s v="SUNL011"/>
        <s v="BGCH007"/>
        <s v="GFSD159"/>
        <s v="LDOS049"/>
        <s v="SOUR007"/>
        <s v="SUNL016"/>
        <s v="SUNL019"/>
        <s v="KOIX007"/>
        <s v="KOKO011"/>
        <s v="SOUR004"/>
        <s v="GFSD193"/>
        <s v="KOIX015"/>
        <s v="POTN025"/>
        <s v="LDOS041"/>
        <s v="DSLD010"/>
        <s v="SKNK012"/>
        <s v="DSLD015"/>
        <s v="STR8009"/>
        <s v="LDOS025" u="1"/>
        <s v="SWTS006" u="1"/>
        <s v="SKNK004" u="1"/>
        <s v="SKNK005" u="1"/>
        <s v="SWTS027" u="1"/>
        <s v="DSLD016" u="1"/>
        <s v="POLO028" u="1"/>
        <s v="POTN010" u="1"/>
      </sharedItems>
    </cacheField>
    <cacheField name="Veg 5" numFmtId="0">
      <sharedItems containsSemiMixedTypes="0" containsString="0" containsNumber="1" minValue="10" maxValue="26"/>
    </cacheField>
    <cacheField name="VEStDev" numFmtId="0">
      <sharedItems containsString="0" containsBlank="1" containsNumber="1" minValue="0.28867513459478006" maxValue="5.5075705472861056"/>
    </cacheField>
    <cacheField name="Flower 5" numFmtId="0">
      <sharedItems containsSemiMixedTypes="0" containsString="0" containsNumber="1" minValue="17" maxValue="55.25"/>
    </cacheField>
    <cacheField name="FLStDev" numFmtId="0">
      <sharedItems containsString="0" containsBlank="1" containsNumber="1" minValue="0" maxValue="6.9282032302755088"/>
    </cacheField>
    <cacheField name="Ratio" numFmtId="0">
      <sharedItems containsSemiMixedTypes="0" containsString="0" containsNumber="1" minValue="1.2678571428571428" maxValue="3.0249999999999999" count="223">
        <n v="1.2678571428571428"/>
        <n v="1.3728813559322033"/>
        <n v="1.4166666666666667"/>
        <n v="1.4267515923566878"/>
        <n v="1.5"/>
        <n v="1.5130434782608695"/>
        <n v="1.5158730158730158"/>
        <n v="1.5833333333333333"/>
        <n v="1.5862068965517242"/>
        <n v="1.5886699507389161"/>
        <n v="1.5903614457831325"/>
        <n v="1.6338028169014085"/>
        <n v="1.6440677966101696"/>
        <n v="1.6538461538461537"/>
        <n v="1.6625000000000001"/>
        <n v="1.6759259259259258"/>
        <n v="1.709090909090909"/>
        <n v="1.7317073170731707"/>
        <n v="1.744360902255639"/>
        <n v="1.8013100436681224"/>
        <n v="1.808080808080808"/>
        <n v="1.8085106382978724"/>
        <n v="1.8571428571428572"/>
        <n v="1.8686131386861313"/>
        <n v="1.8734177215189873"/>
        <n v="1.8992805755395683"/>
        <n v="1.9047619047619047"/>
        <n v="1.9076923076923078"/>
        <n v="1.9473684210526316"/>
        <n v="1.9490196078431372"/>
        <n v="2"/>
        <n v="2.0289855072463769"/>
        <n v="2.0350877192982457"/>
        <n v="2.0449897750511248"/>
        <n v="2.0689655172413794"/>
        <n v="2.1142857142857143"/>
        <n v="2.1325301204819276"/>
        <n v="2.1504424778761062"/>
        <n v="2.2295321637426899"/>
        <n v="1.447999968"/>
        <n v="1.4573643410852712"/>
        <n v="1.4705882352941178"/>
        <n v="1.486842105263158"/>
        <n v="1.5080213903743316"/>
        <n v="1.5182926829268293"/>
        <n v="1.5277777777777777"/>
        <n v="1.5677966101694916"/>
        <n v="1.5680473372781063"/>
        <n v="1.5909090909090908"/>
        <n v="1.6363636363636362"/>
        <n v="1.6551724137931034"/>
        <n v="1.6756756756756757"/>
        <n v="1.7"/>
        <n v="1.7071823204419887"/>
        <n v="1.7142857142857142"/>
        <n v="1.71875"/>
        <n v="1.7380952380952381"/>
        <n v="1.7515151515151515"/>
        <n v="1.7575757575757576"/>
        <n v="1.7692307692307692"/>
        <n v="1.7777777777777777"/>
        <n v="1.7812500000000002"/>
        <n v="1.7983870967741933"/>
        <n v="1.8292682926829269"/>
        <n v="1.8305084745762712"/>
        <n v="1.9078947368421053"/>
        <n v="1.9385474860335199"/>
        <n v="1.9411764705882353"/>
        <n v="1.9714285714285715"/>
        <n v="1.9722222222222223"/>
        <n v="2.0294117647058822"/>
        <n v="2.0754716981132075"/>
        <n v="1.4631578947368422"/>
        <n v="1.5726708074534164"/>
        <n v="1.5731707317073171"/>
        <n v="1.5960784313725491"/>
        <n v="1.7165898617511521"/>
        <n v="1.7373949579831935"/>
        <n v="1.7934782608695652"/>
        <n v="1.7986577181208054"/>
        <n v="1.8660714285714286"/>
        <n v="1.8756476683937824"/>
        <n v="1.8805970149253732"/>
        <n v="1.9039548022598873"/>
        <n v="1.9411764705882351"/>
        <n v="1.9929078014184398"/>
        <n v="1.999269005847953"/>
        <n v="2.0085106382978726"/>
        <n v="2.035326086956522"/>
        <n v="2.068548387096774"/>
        <n v="2.0700636942675161"/>
        <n v="2.1696428571428572"/>
        <n v="2.1800000000000002"/>
        <n v="2.1983122362869203"/>
        <n v="2.2071428571428573"/>
        <n v="2.2169312169312168"/>
        <n v="2.2302631578947367"/>
        <n v="2.2580769230769233"/>
        <n v="2.3199999999999998"/>
        <n v="2.3494897959183674"/>
        <n v="2.665137614678899"/>
        <n v="1.7927710843373494"/>
        <n v="1.9219219219219219"/>
        <n v="1.955457227138643"/>
        <n v="1.9905956112852665"/>
        <n v="2.1231527093596059"/>
        <n v="2.1310344827586207"/>
        <n v="2.1417582417582417"/>
        <n v="2.1428571428571428"/>
        <n v="2.15625"/>
        <n v="2.2413793103448274"/>
        <n v="2.2506738544474394"/>
        <n v="2.2524875621890548"/>
        <n v="2.2663551401869158"/>
        <n v="2.2745098039215685"/>
        <n v="2.3380281690140845"/>
        <n v="2.3388429752066116"/>
        <n v="2.3607843137254902"/>
        <n v="2.3728813559322033"/>
        <n v="2.4310344827586206"/>
        <n v="2.4487917146144995"/>
        <n v="2.4940476190476191"/>
        <n v="2.5027090694935219"/>
        <n v="2.65"/>
        <n v="2.6883116883116882"/>
        <n v="2.7133027522935782"/>
        <n v="2.731182795698925"/>
        <n v="2.7606679035250465"/>
        <n v="3"/>
        <n v="3.0249999999999999"/>
        <n v="1.803921568627451"/>
        <n v="1.8547717842323652"/>
        <n v="1.8861081370449679"/>
        <n v="2.0240384615384617"/>
        <n v="2.0443156320119673"/>
        <n v="2.1185567010309279"/>
        <n v="2.162848297213622"/>
        <n v="2.1805555555555558"/>
        <n v="2.2400000000000002"/>
        <n v="2.2440476190476191"/>
        <n v="2.2602739726027399"/>
        <n v="2.2873563218390802"/>
        <n v="2.2999999999999998"/>
        <n v="2.3030303030303032"/>
        <n v="2.3036093418259025"/>
        <n v="2.3070422535211268"/>
        <n v="2.3477564102564101"/>
        <n v="2.3571428571428572"/>
        <n v="2.3711340206185567"/>
        <n v="2.4000000000000004"/>
        <n v="2.4024390243902438"/>
        <n v="2.4253246753246751"/>
        <n v="2.4474393530997305"/>
        <n v="2.4916666666666667"/>
        <n v="2.5632653061224491"/>
        <n v="2.6365638766519823"/>
        <n v="2.6886597938144332"/>
        <n v="1.7518518518518518"/>
        <n v="1.84"/>
        <n v="1.9081632653061225"/>
        <n v="1.9393939393939394"/>
        <n v="1.945054945054945"/>
        <n v="1.9698658410732715"/>
        <n v="1.982142857142857"/>
        <n v="2.0047619047619047"/>
        <n v="2.039790996784566"/>
        <n v="2.045899804086202"/>
        <n v="2.069010416666667"/>
        <n v="2.0759856630824371"/>
        <n v="2.1183673469387756"/>
        <n v="2.1364275668073138"/>
        <n v="2.1556886227544911"/>
        <n v="2.1742160278745644"/>
        <n v="2.18546365914787"/>
        <n v="2.197222222222222"/>
        <n v="2.2196969696969697"/>
        <n v="2.2286821705426356"/>
        <n v="2.2419354838709675"/>
        <n v="2.2748538011695905"/>
        <n v="2.304761904761905"/>
        <n v="2.3678571428571429"/>
        <n v="2.3684210526315788"/>
        <n v="2.3736263736263736"/>
        <n v="2.3763440860215055"/>
        <n v="2.4236111111111112"/>
        <n v="2.5"/>
        <n v="2.5150641865339267"/>
        <n v="2.5227272727272725"/>
        <n v="2.5982905982905984"/>
        <n v="2.7307692307692308"/>
        <n v="1.3559322033898304"/>
        <n v="1.7316176470588234"/>
        <n v="1.7900199600798403"/>
        <n v="1.7923728813559323"/>
        <n v="1.8018648018648018"/>
        <n v="1.8196078431372549"/>
        <n v="1.825825825825826"/>
        <n v="1.8505050505050504"/>
        <n v="1.8553427419354838"/>
        <n v="1.8591042824452437"/>
        <n v="1.8662674650698605"/>
        <n v="1.8666994589276933"/>
        <n v="1.8684563758389261"/>
        <n v="1.8715596330275228"/>
        <n v="1.8828947368421052"/>
        <n v="1.8926174496644297"/>
        <n v="1.9135802469135801"/>
        <n v="1.9198312236286919"/>
        <n v="1.9230769230769231"/>
        <n v="1.9350708733424784"/>
        <n v="1.9513991163475699"/>
        <n v="1.9803370786516854"/>
        <n v="1.992"/>
        <n v="2.0959394904458599"/>
        <n v="2.1057692307692308"/>
        <n v="2.1547445255474451"/>
        <n v="2.1730769230769229"/>
        <n v="2.1842546063651591"/>
        <n v="2.2871287128712869"/>
        <n v="2.3405940594059409"/>
        <n v="2.3833333333333333"/>
        <n v="2.5217391304347827"/>
        <n v="2.5294117647058822"/>
      </sharedItems>
    </cacheField>
    <cacheField name="dead or alive" numFmtId="0">
      <sharedItems count="2">
        <s v="DEAD"/>
        <s v="alive"/>
      </sharedItems>
    </cacheField>
  </cacheFields>
  <extLst>
    <ext xmlns:x14="http://schemas.microsoft.com/office/spreadsheetml/2009/9/main" uri="{725AE2AE-9491-48be-B2B4-4EB974FC3084}">
      <x14:pivotCacheDefinition pivotCacheId="8256384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nah Blice" refreshedDate="44188.432672222225" backgroundQuery="1" createdVersion="6" refreshedVersion="6" minRefreshableVersion="3" recordCount="0" supportSubquery="1" supportAdvancedDrill="1" xr:uid="{49AF3248-4D4F-4DAC-83F2-A6FAEB0130CE}">
  <cacheSource type="external" connectionId="1"/>
  <cacheFields count="3">
    <cacheField name="[Table3].[Early/Late First Top].[Early/Late First Top]" caption="Early/Late First Top" numFmtId="0" hierarchy="20" level="1">
      <sharedItems count="3">
        <s v="Early"/>
        <s v="Late"/>
        <s v="not determined"/>
      </sharedItems>
      <extLst>
        <ext xmlns:x15="http://schemas.microsoft.com/office/spreadsheetml/2010/11/main" uri="{4F2E5C28-24EA-4eb8-9CBF-B6C8F9C3D259}">
          <x15:cachedUniqueNames>
            <x15:cachedUniqueName index="0" name="[Table3].[Early/Late First Top].&amp;[Early]"/>
            <x15:cachedUniqueName index="1" name="[Table3].[Early/Late First Top].&amp;[Late]"/>
            <x15:cachedUniqueName index="2" name="[Table3].[Early/Late First Top].&amp;[not determined]"/>
          </x15:cachedUniqueNames>
        </ext>
      </extLst>
    </cacheField>
    <cacheField name="[Measures].[List of Phenos]" caption="List of Phenos" numFmtId="0" hierarchy="37" level="32767"/>
    <cacheField name="[Table3].[Time requirement].[Time requirement]" caption="Time requirement" numFmtId="0" hierarchy="25" level="1">
      <sharedItems count="5">
        <s v="Average Time"/>
        <s v="Average/Long Time"/>
        <s v="Long Time"/>
        <s v="Short Time"/>
        <s v="Short/Average Time"/>
      </sharedItems>
      <extLst>
        <ext xmlns:x15="http://schemas.microsoft.com/office/spreadsheetml/2010/11/main" uri="{4F2E5C28-24EA-4eb8-9CBF-B6C8F9C3D259}">
          <x15:cachedUniqueNames>
            <x15:cachedUniqueName index="0" name="[Table3].[Time requirement].&amp;[Average Time]"/>
            <x15:cachedUniqueName index="1" name="[Table3].[Time requirement].&amp;[Average/Long Time]"/>
            <x15:cachedUniqueName index="2" name="[Table3].[Time requirement].&amp;[Long Time]"/>
            <x15:cachedUniqueName index="3" name="[Table3].[Time requirement].&amp;[Short Time]"/>
            <x15:cachedUniqueName index="4" name="[Table3].[Time requirement].&amp;[Short/Average Time]"/>
          </x15:cachedUniqueNames>
        </ext>
      </extLst>
    </cacheField>
  </cacheFields>
  <cacheHierarchies count="47">
    <cacheHierarchy uniqueName="[Table3].[Phenotype]" caption="Phenotype" attribute="1" defaultMemberUniqueName="[Table3].[Phenotype].[All]" allUniqueName="[Table3].[Phenotype].[All]" dimensionUniqueName="[Table3]" displayFolder="" count="2" memberValueDatatype="130" unbalanced="0"/>
    <cacheHierarchy uniqueName="[Table3].[Strain Name]" caption="Strain Name" attribute="1" defaultMemberUniqueName="[Table3].[Strain Name].[All]" allUniqueName="[Table3].[Strain Name].[All]" dimensionUniqueName="[Table3]" displayFolder="" count="0" memberValueDatatype="130" unbalanced="0"/>
    <cacheHierarchy uniqueName="[Table3].[Lineage]" caption="Lineage" attribute="1" defaultMemberUniqueName="[Table3].[Lineage].[All]" allUniqueName="[Table3].[Lineage].[All]" dimensionUniqueName="[Table3]" displayFolder="" count="0" memberValueDatatype="130" unbalanced="0"/>
    <cacheHierarchy uniqueName="[Table3].[Classification]" caption="Classification" attribute="1" defaultMemberUniqueName="[Table3].[Classification].[All]" allUniqueName="[Table3].[Classification].[All]" dimensionUniqueName="[Table3]" displayFolder="" count="0" memberValueDatatype="130" unbalanced="0"/>
    <cacheHierarchy uniqueName="[Table3].[Average THC Potency]" caption="Average THC Potency" attribute="1" defaultMemberUniqueName="[Table3].[Average THC Potency].[All]" allUniqueName="[Table3].[Average THC Potency].[All]" dimensionUniqueName="[Table3]" displayFolder="" count="0" memberValueDatatype="130" unbalanced="0"/>
    <cacheHierarchy uniqueName="[Table3].[Strain Book  Description]" caption="Strain Book  Description" attribute="1" defaultMemberUniqueName="[Table3].[Strain Book  Description].[All]" allUniqueName="[Table3].[Strain Book  Description].[All]" dimensionUniqueName="[Table3]" displayFolder="" count="0" memberValueDatatype="130" unbalanced="0"/>
    <cacheHierarchy uniqueName="[Table3].[Primary Terpenes]" caption="Primary Terpenes" attribute="1" defaultMemberUniqueName="[Table3].[Primary Terpenes].[All]" allUniqueName="[Table3].[Primary Terpenes].[All]" dimensionUniqueName="[Table3]" displayFolder="" count="0" memberValueDatatype="130" unbalanced="0"/>
    <cacheHierarchy uniqueName="[Table3].[Yield Category]" caption="Yield Category" attribute="1" defaultMemberUniqueName="[Table3].[Yield Category].[All]" allUniqueName="[Table3].[Yield Category].[All]" dimensionUniqueName="[Table3]" displayFolder="" count="0" memberValueDatatype="130" unbalanced="0"/>
    <cacheHierarchy uniqueName="[Table3].[Dry Time]" caption="Dry Time" attribute="1" defaultMemberUniqueName="[Table3].[Dry Time].[All]" allUniqueName="[Table3].[Dry Time].[All]" dimensionUniqueName="[Table3]" displayFolder="" count="0" memberValueDatatype="130" unbalanced="0"/>
    <cacheHierarchy uniqueName="[Table3].[Final Veg Height (C27-C36)]" caption="Final Veg Height (C27-C36)" attribute="1" defaultMemberUniqueName="[Table3].[Final Veg Height (C27-C36)].[All]" allUniqueName="[Table3].[Final Veg Height (C27-C36)].[All]" dimensionUniqueName="[Table3]" displayFolder="" count="0" memberValueDatatype="5" unbalanced="0"/>
    <cacheHierarchy uniqueName="[Table3].[Final Veg Height Variability]" caption="Final Veg Height Variability" attribute="1" defaultMemberUniqueName="[Table3].[Final Veg Height Variability].[All]" allUniqueName="[Table3].[Final Veg Height Variability].[All]" dimensionUniqueName="[Table3]" displayFolder="" count="0" memberValueDatatype="5" unbalanced="0"/>
    <cacheHierarchy uniqueName="[Table3].[Final Flower Height (C28-C34)]" caption="Final Flower Height (C28-C34)" attribute="1" defaultMemberUniqueName="[Table3].[Final Flower Height (C28-C34)].[All]" allUniqueName="[Table3].[Final Flower Height (C28-C34)].[All]" dimensionUniqueName="[Table3]" displayFolder="" count="0" memberValueDatatype="5" unbalanced="0"/>
    <cacheHierarchy uniqueName="[Table3].[Final Flower Height Variability]" caption="Final Flower Height Variability" attribute="1" defaultMemberUniqueName="[Table3].[Final Flower Height Variability].[All]" allUniqueName="[Table3].[Final Flower Height Variability].[All]" dimensionUniqueName="[Table3]" displayFolder="" count="0" memberValueDatatype="5" unbalanced="0"/>
    <cacheHierarchy uniqueName="[Table3].[Growth Habit]" caption="Growth Habit" attribute="1" defaultMemberUniqueName="[Table3].[Growth Habit].[All]" allUniqueName="[Table3].[Growth Habit].[All]" dimensionUniqueName="[Table3]" displayFolder="" count="0" memberValueDatatype="130" unbalanced="0"/>
    <cacheHierarchy uniqueName="[Table3].[Stem Structure]" caption="Stem Structure" attribute="1" defaultMemberUniqueName="[Table3].[Stem Structure].[All]" allUniqueName="[Table3].[Stem Structure].[All]" dimensionUniqueName="[Table3]" displayFolder="" count="0" memberValueDatatype="130" unbalanced="0"/>
    <cacheHierarchy uniqueName="[Table3].[Tertiary Branch Length]" caption="Tertiary Branch Length" attribute="1" defaultMemberUniqueName="[Table3].[Tertiary Branch Length].[All]" allUniqueName="[Table3].[Tertiary Branch Length].[All]" dimensionUniqueName="[Table3]" displayFolder="" count="0" memberValueDatatype="130" unbalanced="0"/>
    <cacheHierarchy uniqueName="[Table3].[Veg thirst]" caption="Veg thirst" attribute="1" defaultMemberUniqueName="[Table3].[Veg thirst].[All]" allUniqueName="[Table3].[Veg thirst].[All]" dimensionUniqueName="[Table3]" displayFolder="" count="0" memberValueDatatype="130" unbalanced="0"/>
    <cacheHierarchy uniqueName="[Table3].[Flower thirst]" caption="Flower thirst" attribute="1" defaultMemberUniqueName="[Table3].[Flower thirst].[All]" allUniqueName="[Table3].[Flower thirst].[All]" dimensionUniqueName="[Table3]" displayFolder="" count="0" memberValueDatatype="130" unbalanced="0"/>
    <cacheHierarchy uniqueName="[Table3].[Percent loss in clone (C23-C37)]" caption="Percent loss in clone (C23-C37)" attribute="1" defaultMemberUniqueName="[Table3].[Percent loss in clone (C23-C37)].[All]" allUniqueName="[Table3].[Percent loss in clone (C23-C37)].[All]" dimensionUniqueName="[Table3]" displayFolder="" count="0" memberValueDatatype="5" unbalanced="0"/>
    <cacheHierarchy uniqueName="[Table3].[Average number of clones from prime moms (C23-C33)]" caption="Average number of clones from prime moms (C23-C33)" attribute="1" defaultMemberUniqueName="[Table3].[Average number of clones from prime moms (C23-C33)].[All]" allUniqueName="[Table3].[Average number of clones from prime moms (C23-C33)].[All]" dimensionUniqueName="[Table3]" displayFolder="" count="0" memberValueDatatype="5" unbalanced="0"/>
    <cacheHierarchy uniqueName="[Table3].[Early/Late First Top]" caption="Early/Late First Top" attribute="1" defaultMemberUniqueName="[Table3].[Early/Late First Top].[All]" allUniqueName="[Table3].[Early/Late First Top].[All]" dimensionUniqueName="[Table3]" displayFolder="" count="2" memberValueDatatype="130" unbalanced="0">
      <fieldsUsage count="2">
        <fieldUsage x="-1"/>
        <fieldUsage x="0"/>
      </fieldsUsage>
    </cacheHierarchy>
    <cacheHierarchy uniqueName="[Table3].[Topping Strategy]" caption="Topping Strategy" attribute="1" defaultMemberUniqueName="[Table3].[Topping Strategy].[All]" allUniqueName="[Table3].[Topping Strategy].[All]" dimensionUniqueName="[Table3]" displayFolder="" count="0" memberValueDatatype="130" unbalanced="0"/>
    <cacheHierarchy uniqueName="[Table3].[Pruning Requirements (Veg)]" caption="Pruning Requirements (Veg)" attribute="1" defaultMemberUniqueName="[Table3].[Pruning Requirements (Veg)].[All]" allUniqueName="[Table3].[Pruning Requirements (Veg)].[All]" dimensionUniqueName="[Table3]" displayFolder="" count="0" memberValueDatatype="130" unbalanced="0"/>
    <cacheHierarchy uniqueName="[Table3].[Pruning Requirements (Flower)]" caption="Pruning Requirements (Flower)" attribute="1" defaultMemberUniqueName="[Table3].[Pruning Requirements (Flower)].[All]" allUniqueName="[Table3].[Pruning Requirements (Flower)].[All]" dimensionUniqueName="[Table3]" displayFolder="" count="0" memberValueDatatype="130" unbalanced="0"/>
    <cacheHierarchy uniqueName="[Table3].[Pruning Technique]" caption="Pruning Technique" attribute="1" defaultMemberUniqueName="[Table3].[Pruning Technique].[All]" allUniqueName="[Table3].[Pruning Technique].[All]" dimensionUniqueName="[Table3]" displayFolder="" count="0" memberValueDatatype="130" unbalanced="0"/>
    <cacheHierarchy uniqueName="[Table3].[Time requirement]" caption="Time requirement" attribute="1" defaultMemberUniqueName="[Table3].[Time requirement].[All]" allUniqueName="[Table3].[Time requirement].[All]" dimensionUniqueName="[Table3]" displayFolder="" count="2" memberValueDatatype="130" unbalanced="0">
      <fieldsUsage count="2">
        <fieldUsage x="-1"/>
        <fieldUsage x="2"/>
      </fieldsUsage>
    </cacheHierarchy>
    <cacheHierarchy uniqueName="[Table3].[Number of Trellises]" caption="Number of Trellises" attribute="1" defaultMemberUniqueName="[Table3].[Number of Trellises].[All]" allUniqueName="[Table3].[Number of Trellises].[All]" dimensionUniqueName="[Table3]" displayFolder="" count="0" memberValueDatatype="130" unbalanced="0"/>
    <cacheHierarchy uniqueName="[Table3].[Early Second]" caption="Early Second" attribute="1" defaultMemberUniqueName="[Table3].[Early Second].[All]" allUniqueName="[Table3].[Early Second].[All]" dimensionUniqueName="[Table3]" displayFolder="" count="0" memberValueDatatype="130" unbalanced="0"/>
    <cacheHierarchy uniqueName="[Table3].[First Trellis Instructions]" caption="First Trellis Instructions" attribute="1" defaultMemberUniqueName="[Table3].[First Trellis Instructions].[All]" allUniqueName="[Table3].[First Trellis Instructions].[All]" dimensionUniqueName="[Table3]" displayFolder="" count="0" memberValueDatatype="130" unbalanced="0"/>
    <cacheHierarchy uniqueName="[Table3].[Second and Third Trellis Instructions]" caption="Second and Third Trellis Instructions" attribute="1" defaultMemberUniqueName="[Table3].[Second and Third Trellis Instructions].[All]" allUniqueName="[Table3].[Second and Third Trellis Instructions].[All]" dimensionUniqueName="[Table3]" displayFolder="" count="0" memberValueDatatype="130" unbalanced="0"/>
    <cacheHierarchy uniqueName="[Table3].[Trellising Technique]" caption="Trellising Technique" attribute="1" defaultMemberUniqueName="[Table3].[Trellising Technique].[All]" allUniqueName="[Table3].[Trellising Technique].[All]" dimensionUniqueName="[Table3]" displayFolder="" count="0" memberValueDatatype="130" unbalanced="0"/>
    <cacheHierarchy uniqueName="[Table3].[Training Technique]" caption="Training Technique" attribute="1" defaultMemberUniqueName="[Table3].[Training Technique].[All]" allUniqueName="[Table3].[Training Technique].[All]" dimensionUniqueName="[Table3]" displayFolder="" count="0" memberValueDatatype="130" unbalanced="0"/>
    <cacheHierarchy uniqueName="[Table3].[Recommended training times]" caption="Recommended training times" attribute="1" defaultMemberUniqueName="[Table3].[Recommended training times].[All]" allUniqueName="[Table3].[Recommended training times].[All]" dimensionUniqueName="[Table3]" displayFolder="" count="0" memberValueDatatype="130" unbalanced="0"/>
    <cacheHierarchy uniqueName="[Table3].[Plants per Flower Table]" caption="Plants per Flower Table" attribute="1" defaultMemberUniqueName="[Table3].[Plants per Flower Table].[All]" allUniqueName="[Table3].[Plants per Flower Table].[All]" dimensionUniqueName="[Table3]" displayFolder="" count="0" memberValueDatatype="130" unbalanced="0"/>
    <cacheHierarchy uniqueName="[Table3].[Flower Event Time Estimate]" caption="Flower Event Time Estimate" attribute="1" defaultMemberUniqueName="[Table3].[Flower Event Time Estimate].[All]" allUniqueName="[Table3].[Flower Event Time Estimate].[All]" dimensionUniqueName="[Table3]" displayFolder="" count="0" memberValueDatatype="130" unbalanced="0"/>
    <cacheHierarchy uniqueName="[Table3].[PM INDEX]" caption="PM INDEX" attribute="1" defaultMemberUniqueName="[Table3].[PM INDEX].[All]" allUniqueName="[Table3].[PM INDEX].[All]" dimensionUniqueName="[Table3]" displayFolder="" count="0" memberValueDatatype="130" unbalanced="0"/>
    <cacheHierarchy uniqueName="[Table3].[Status of Description]" caption="Status of Description" attribute="1" defaultMemberUniqueName="[Table3].[Status of Description].[All]" allUniqueName="[Table3].[Status of Description].[All]" dimensionUniqueName="[Table3]" displayFolder="" count="0" memberValueDatatype="130" unbalanced="0"/>
    <cacheHierarchy uniqueName="[Measures].[List of Phenos]" caption="List of Phenos" measure="1" displayFolder="" measureGroup="Table3" count="0" oneField="1">
      <fieldsUsage count="1">
        <fieldUsage x="1"/>
      </fieldsUsage>
    </cacheHierarchy>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Final Veg Height (C27-C36)]" caption="Sum of Final Veg Height (C27-C36)" measure="1" displayFolder="" measureGroup="Table3" count="0" hidden="1"/>
    <cacheHierarchy uniqueName="[Measures].[Average of Final Veg Height (C27-C36)]" caption="Average of Final Veg Height (C27-C36)" measure="1" displayFolder="" measureGroup="Table3" count="0" hidden="1"/>
    <cacheHierarchy uniqueName="[Measures].[Sum of Final Flower Height (C28-C34)]" caption="Sum of Final Flower Height (C28-C34)" measure="1" displayFolder="" measureGroup="Table3" count="0" hidden="1"/>
    <cacheHierarchy uniqueName="[Measures].[Average of Final Flower Height (C28-C34)]" caption="Average of Final Flower Height (C28-C34)" measure="1" displayFolder="" measureGroup="Table3" count="0" hidden="1"/>
    <cacheHierarchy uniqueName="[Measures].[Count of Classification]" caption="Count of Classification" measure="1" displayFolder="" measureGroup="Table3" count="0" hidden="1">
      <extLst>
        <ext xmlns:x15="http://schemas.microsoft.com/office/spreadsheetml/2010/11/main" uri="{B97F6D7D-B522-45F9-BDA1-12C45D357490}">
          <x15:cacheHierarchy aggregatedColumn="3"/>
        </ext>
      </extLst>
    </cacheHierarchy>
    <cacheHierarchy uniqueName="[Measures].[Count of Pruning Requirements (Flower)]" caption="Count of Pruning Requirements (Flower)" measure="1" displayFolder="" measureGroup="Table3" count="0" hidden="1">
      <extLst>
        <ext xmlns:x15="http://schemas.microsoft.com/office/spreadsheetml/2010/11/main" uri="{B97F6D7D-B522-45F9-BDA1-12C45D357490}">
          <x15:cacheHierarchy aggregatedColumn="23"/>
        </ext>
      </extLst>
    </cacheHierarchy>
    <cacheHierarchy uniqueName="[Measures].[Count of Early/Late First Top]" caption="Count of Early/Late First Top" measure="1" displayFolder="" measureGroup="Table3"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nah Blice" refreshedDate="44188.43203541667" backgroundQuery="1" createdVersion="3" refreshedVersion="6" minRefreshableVersion="3" recordCount="0" supportSubquery="1" supportAdvancedDrill="1" xr:uid="{318476C8-82B2-40CC-9D6F-77BD9EEFF3D6}">
  <cacheSource type="external" connectionId="1">
    <extLst>
      <ext xmlns:x14="http://schemas.microsoft.com/office/spreadsheetml/2009/9/main" uri="{F057638F-6D5F-4e77-A914-E7F072B9BCA8}">
        <x14:sourceConnection name="ThisWorkbookDataModel"/>
      </ext>
    </extLst>
  </cacheSource>
  <cacheFields count="0"/>
  <cacheHierarchies count="47">
    <cacheHierarchy uniqueName="[Table3].[Phenotype]" caption="Phenotype" attribute="1" defaultMemberUniqueName="[Table3].[Phenotype].[All]" allUniqueName="[Table3].[Phenotype].[All]" dimensionUniqueName="[Table3]" displayFolder="" count="2" memberValueDatatype="130" unbalanced="0"/>
    <cacheHierarchy uniqueName="[Table3].[Strain Name]" caption="Strain Name" attribute="1" defaultMemberUniqueName="[Table3].[Strain Name].[All]" allUniqueName="[Table3].[Strain Name].[All]" dimensionUniqueName="[Table3]" displayFolder="" count="0" memberValueDatatype="130" unbalanced="0"/>
    <cacheHierarchy uniqueName="[Table3].[Lineage]" caption="Lineage" attribute="1" defaultMemberUniqueName="[Table3].[Lineage].[All]" allUniqueName="[Table3].[Lineage].[All]" dimensionUniqueName="[Table3]" displayFolder="" count="0" memberValueDatatype="130" unbalanced="0"/>
    <cacheHierarchy uniqueName="[Table3].[Classification]" caption="Classification" attribute="1" defaultMemberUniqueName="[Table3].[Classification].[All]" allUniqueName="[Table3].[Classification].[All]" dimensionUniqueName="[Table3]" displayFolder="" count="0" memberValueDatatype="130" unbalanced="0"/>
    <cacheHierarchy uniqueName="[Table3].[Average THC Potency]" caption="Average THC Potency" attribute="1" defaultMemberUniqueName="[Table3].[Average THC Potency].[All]" allUniqueName="[Table3].[Average THC Potency].[All]" dimensionUniqueName="[Table3]" displayFolder="" count="0" memberValueDatatype="130" unbalanced="0"/>
    <cacheHierarchy uniqueName="[Table3].[Strain Book  Description]" caption="Strain Book  Description" attribute="1" defaultMemberUniqueName="[Table3].[Strain Book  Description].[All]" allUniqueName="[Table3].[Strain Book  Description].[All]" dimensionUniqueName="[Table3]" displayFolder="" count="0" memberValueDatatype="130" unbalanced="0"/>
    <cacheHierarchy uniqueName="[Table3].[Primary Terpenes]" caption="Primary Terpenes" attribute="1" defaultMemberUniqueName="[Table3].[Primary Terpenes].[All]" allUniqueName="[Table3].[Primary Terpenes].[All]" dimensionUniqueName="[Table3]" displayFolder="" count="0" memberValueDatatype="130" unbalanced="0"/>
    <cacheHierarchy uniqueName="[Table3].[Yield Category]" caption="Yield Category" attribute="1" defaultMemberUniqueName="[Table3].[Yield Category].[All]" allUniqueName="[Table3].[Yield Category].[All]" dimensionUniqueName="[Table3]" displayFolder="" count="0" memberValueDatatype="130" unbalanced="0"/>
    <cacheHierarchy uniqueName="[Table3].[Dry Time]" caption="Dry Time" attribute="1" defaultMemberUniqueName="[Table3].[Dry Time].[All]" allUniqueName="[Table3].[Dry Time].[All]" dimensionUniqueName="[Table3]" displayFolder="" count="0" memberValueDatatype="130" unbalanced="0"/>
    <cacheHierarchy uniqueName="[Table3].[Final Veg Height (C27-C36)]" caption="Final Veg Height (C27-C36)" attribute="1" defaultMemberUniqueName="[Table3].[Final Veg Height (C27-C36)].[All]" allUniqueName="[Table3].[Final Veg Height (C27-C36)].[All]" dimensionUniqueName="[Table3]" displayFolder="" count="0" memberValueDatatype="5" unbalanced="0"/>
    <cacheHierarchy uniqueName="[Table3].[Final Veg Height Variability]" caption="Final Veg Height Variability" attribute="1" defaultMemberUniqueName="[Table3].[Final Veg Height Variability].[All]" allUniqueName="[Table3].[Final Veg Height Variability].[All]" dimensionUniqueName="[Table3]" displayFolder="" count="0" memberValueDatatype="5" unbalanced="0"/>
    <cacheHierarchy uniqueName="[Table3].[Final Flower Height (C28-C34)]" caption="Final Flower Height (C28-C34)" attribute="1" defaultMemberUniqueName="[Table3].[Final Flower Height (C28-C34)].[All]" allUniqueName="[Table3].[Final Flower Height (C28-C34)].[All]" dimensionUniqueName="[Table3]" displayFolder="" count="0" memberValueDatatype="5" unbalanced="0"/>
    <cacheHierarchy uniqueName="[Table3].[Final Flower Height Variability]" caption="Final Flower Height Variability" attribute="1" defaultMemberUniqueName="[Table3].[Final Flower Height Variability].[All]" allUniqueName="[Table3].[Final Flower Height Variability].[All]" dimensionUniqueName="[Table3]" displayFolder="" count="0" memberValueDatatype="5" unbalanced="0"/>
    <cacheHierarchy uniqueName="[Table3].[Growth Habit]" caption="Growth Habit" attribute="1" defaultMemberUniqueName="[Table3].[Growth Habit].[All]" allUniqueName="[Table3].[Growth Habit].[All]" dimensionUniqueName="[Table3]" displayFolder="" count="0" memberValueDatatype="130" unbalanced="0"/>
    <cacheHierarchy uniqueName="[Table3].[Stem Structure]" caption="Stem Structure" attribute="1" defaultMemberUniqueName="[Table3].[Stem Structure].[All]" allUniqueName="[Table3].[Stem Structure].[All]" dimensionUniqueName="[Table3]" displayFolder="" count="0" memberValueDatatype="130" unbalanced="0"/>
    <cacheHierarchy uniqueName="[Table3].[Tertiary Branch Length]" caption="Tertiary Branch Length" attribute="1" defaultMemberUniqueName="[Table3].[Tertiary Branch Length].[All]" allUniqueName="[Table3].[Tertiary Branch Length].[All]" dimensionUniqueName="[Table3]" displayFolder="" count="0" memberValueDatatype="130" unbalanced="0"/>
    <cacheHierarchy uniqueName="[Table3].[Veg thirst]" caption="Veg thirst" attribute="1" defaultMemberUniqueName="[Table3].[Veg thirst].[All]" allUniqueName="[Table3].[Veg thirst].[All]" dimensionUniqueName="[Table3]" displayFolder="" count="0" memberValueDatatype="130" unbalanced="0"/>
    <cacheHierarchy uniqueName="[Table3].[Flower thirst]" caption="Flower thirst" attribute="1" defaultMemberUniqueName="[Table3].[Flower thirst].[All]" allUniqueName="[Table3].[Flower thirst].[All]" dimensionUniqueName="[Table3]" displayFolder="" count="0" memberValueDatatype="130" unbalanced="0"/>
    <cacheHierarchy uniqueName="[Table3].[Percent loss in clone (C23-C37)]" caption="Percent loss in clone (C23-C37)" attribute="1" defaultMemberUniqueName="[Table3].[Percent loss in clone (C23-C37)].[All]" allUniqueName="[Table3].[Percent loss in clone (C23-C37)].[All]" dimensionUniqueName="[Table3]" displayFolder="" count="0" memberValueDatatype="5" unbalanced="0"/>
    <cacheHierarchy uniqueName="[Table3].[Average number of clones from prime moms (C23-C33)]" caption="Average number of clones from prime moms (C23-C33)" attribute="1" defaultMemberUniqueName="[Table3].[Average number of clones from prime moms (C23-C33)].[All]" allUniqueName="[Table3].[Average number of clones from prime moms (C23-C33)].[All]" dimensionUniqueName="[Table3]" displayFolder="" count="0" memberValueDatatype="5" unbalanced="0"/>
    <cacheHierarchy uniqueName="[Table3].[Early/Late First Top]" caption="Early/Late First Top" attribute="1" defaultMemberUniqueName="[Table3].[Early/Late First Top].[All]" allUniqueName="[Table3].[Early/Late First Top].[All]" dimensionUniqueName="[Table3]" displayFolder="" count="0" memberValueDatatype="130" unbalanced="0"/>
    <cacheHierarchy uniqueName="[Table3].[Topping Strategy]" caption="Topping Strategy" attribute="1" defaultMemberUniqueName="[Table3].[Topping Strategy].[All]" allUniqueName="[Table3].[Topping Strategy].[All]" dimensionUniqueName="[Table3]" displayFolder="" count="0" memberValueDatatype="130" unbalanced="0"/>
    <cacheHierarchy uniqueName="[Table3].[Pruning Requirements (Veg)]" caption="Pruning Requirements (Veg)" attribute="1" defaultMemberUniqueName="[Table3].[Pruning Requirements (Veg)].[All]" allUniqueName="[Table3].[Pruning Requirements (Veg)].[All]" dimensionUniqueName="[Table3]" displayFolder="" count="0" memberValueDatatype="130" unbalanced="0"/>
    <cacheHierarchy uniqueName="[Table3].[Pruning Requirements (Flower)]" caption="Pruning Requirements (Flower)" attribute="1" defaultMemberUniqueName="[Table3].[Pruning Requirements (Flower)].[All]" allUniqueName="[Table3].[Pruning Requirements (Flower)].[All]" dimensionUniqueName="[Table3]" displayFolder="" count="0" memberValueDatatype="130" unbalanced="0"/>
    <cacheHierarchy uniqueName="[Table3].[Pruning Technique]" caption="Pruning Technique" attribute="1" defaultMemberUniqueName="[Table3].[Pruning Technique].[All]" allUniqueName="[Table3].[Pruning Technique].[All]" dimensionUniqueName="[Table3]" displayFolder="" count="0" memberValueDatatype="130" unbalanced="0"/>
    <cacheHierarchy uniqueName="[Table3].[Time requirement]" caption="Time requirement" attribute="1" defaultMemberUniqueName="[Table3].[Time requirement].[All]" allUniqueName="[Table3].[Time requirement].[All]" dimensionUniqueName="[Table3]" displayFolder="" count="2" memberValueDatatype="130" unbalanced="0"/>
    <cacheHierarchy uniqueName="[Table3].[Number of Trellises]" caption="Number of Trellises" attribute="1" defaultMemberUniqueName="[Table3].[Number of Trellises].[All]" allUniqueName="[Table3].[Number of Trellises].[All]" dimensionUniqueName="[Table3]" displayFolder="" count="0" memberValueDatatype="130" unbalanced="0"/>
    <cacheHierarchy uniqueName="[Table3].[Early Second]" caption="Early Second" attribute="1" defaultMemberUniqueName="[Table3].[Early Second].[All]" allUniqueName="[Table3].[Early Second].[All]" dimensionUniqueName="[Table3]" displayFolder="" count="0" memberValueDatatype="130" unbalanced="0"/>
    <cacheHierarchy uniqueName="[Table3].[First Trellis Instructions]" caption="First Trellis Instructions" attribute="1" defaultMemberUniqueName="[Table3].[First Trellis Instructions].[All]" allUniqueName="[Table3].[First Trellis Instructions].[All]" dimensionUniqueName="[Table3]" displayFolder="" count="0" memberValueDatatype="130" unbalanced="0"/>
    <cacheHierarchy uniqueName="[Table3].[Second and Third Trellis Instructions]" caption="Second and Third Trellis Instructions" attribute="1" defaultMemberUniqueName="[Table3].[Second and Third Trellis Instructions].[All]" allUniqueName="[Table3].[Second and Third Trellis Instructions].[All]" dimensionUniqueName="[Table3]" displayFolder="" count="0" memberValueDatatype="130" unbalanced="0"/>
    <cacheHierarchy uniqueName="[Table3].[Trellising Technique]" caption="Trellising Technique" attribute="1" defaultMemberUniqueName="[Table3].[Trellising Technique].[All]" allUniqueName="[Table3].[Trellising Technique].[All]" dimensionUniqueName="[Table3]" displayFolder="" count="0" memberValueDatatype="130" unbalanced="0"/>
    <cacheHierarchy uniqueName="[Table3].[Training Technique]" caption="Training Technique" attribute="1" defaultMemberUniqueName="[Table3].[Training Technique].[All]" allUniqueName="[Table3].[Training Technique].[All]" dimensionUniqueName="[Table3]" displayFolder="" count="0" memberValueDatatype="130" unbalanced="0"/>
    <cacheHierarchy uniqueName="[Table3].[Recommended training times]" caption="Recommended training times" attribute="1" defaultMemberUniqueName="[Table3].[Recommended training times].[All]" allUniqueName="[Table3].[Recommended training times].[All]" dimensionUniqueName="[Table3]" displayFolder="" count="0" memberValueDatatype="130" unbalanced="0"/>
    <cacheHierarchy uniqueName="[Table3].[Plants per Flower Table]" caption="Plants per Flower Table" attribute="1" defaultMemberUniqueName="[Table3].[Plants per Flower Table].[All]" allUniqueName="[Table3].[Plants per Flower Table].[All]" dimensionUniqueName="[Table3]" displayFolder="" count="0" memberValueDatatype="130" unbalanced="0"/>
    <cacheHierarchy uniqueName="[Table3].[Flower Event Time Estimate]" caption="Flower Event Time Estimate" attribute="1" defaultMemberUniqueName="[Table3].[Flower Event Time Estimate].[All]" allUniqueName="[Table3].[Flower Event Time Estimate].[All]" dimensionUniqueName="[Table3]" displayFolder="" count="0" memberValueDatatype="130" unbalanced="0"/>
    <cacheHierarchy uniqueName="[Table3].[PM INDEX]" caption="PM INDEX" attribute="1" defaultMemberUniqueName="[Table3].[PM INDEX].[All]" allUniqueName="[Table3].[PM INDEX].[All]" dimensionUniqueName="[Table3]" displayFolder="" count="0" memberValueDatatype="130" unbalanced="0"/>
    <cacheHierarchy uniqueName="[Table3].[Status of Description]" caption="Status of Description" attribute="1" defaultMemberUniqueName="[Table3].[Status of Description].[All]" allUniqueName="[Table3].[Status of Description].[All]" dimensionUniqueName="[Table3]" displayFolder="" count="0" memberValueDatatype="130" unbalanced="0"/>
    <cacheHierarchy uniqueName="[Measures].[List of Phenos]" caption="List of Phenos" measure="1" displayFolder="" measureGroup="Table3" count="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Final Veg Height (C27-C36)]" caption="Sum of Final Veg Height (C27-C36)" measure="1" displayFolder="" measureGroup="Table3" count="0" hidden="1"/>
    <cacheHierarchy uniqueName="[Measures].[Average of Final Veg Height (C27-C36)]" caption="Average of Final Veg Height (C27-C36)" measure="1" displayFolder="" measureGroup="Table3" count="0" hidden="1"/>
    <cacheHierarchy uniqueName="[Measures].[Sum of Final Flower Height (C28-C34)]" caption="Sum of Final Flower Height (C28-C34)" measure="1" displayFolder="" measureGroup="Table3" count="0" hidden="1"/>
    <cacheHierarchy uniqueName="[Measures].[Average of Final Flower Height (C28-C34)]" caption="Average of Final Flower Height (C28-C34)" measure="1" displayFolder="" measureGroup="Table3" count="0" hidden="1"/>
    <cacheHierarchy uniqueName="[Measures].[Count of Classification]" caption="Count of Classification" measure="1" displayFolder="" measureGroup="Table3" count="0" hidden="1">
      <extLst>
        <ext xmlns:x15="http://schemas.microsoft.com/office/spreadsheetml/2010/11/main" uri="{B97F6D7D-B522-45F9-BDA1-12C45D357490}">
          <x15:cacheHierarchy aggregatedColumn="3"/>
        </ext>
      </extLst>
    </cacheHierarchy>
    <cacheHierarchy uniqueName="[Measures].[Count of Pruning Requirements (Flower)]" caption="Count of Pruning Requirements (Flower)" measure="1" displayFolder="" measureGroup="Table3" count="0" hidden="1">
      <extLst>
        <ext xmlns:x15="http://schemas.microsoft.com/office/spreadsheetml/2010/11/main" uri="{B97F6D7D-B522-45F9-BDA1-12C45D357490}">
          <x15:cacheHierarchy aggregatedColumn="23"/>
        </ext>
      </extLst>
    </cacheHierarchy>
    <cacheHierarchy uniqueName="[Measures].[Count of Early/Late First Top]" caption="Count of Early/Late First Top" measure="1" displayFolder="" measureGroup="Table3"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47715560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0">
  <r>
    <x v="0"/>
    <x v="0"/>
    <n v="14"/>
    <m/>
    <n v="17.75"/>
    <m/>
    <x v="0"/>
    <x v="0"/>
  </r>
  <r>
    <x v="0"/>
    <x v="1"/>
    <n v="14.75"/>
    <m/>
    <n v="20.25"/>
    <m/>
    <x v="1"/>
    <x v="1"/>
  </r>
  <r>
    <x v="0"/>
    <x v="2"/>
    <n v="12"/>
    <m/>
    <n v="17"/>
    <m/>
    <x v="2"/>
    <x v="0"/>
  </r>
  <r>
    <x v="0"/>
    <x v="3"/>
    <n v="15.7"/>
    <m/>
    <n v="22.4"/>
    <m/>
    <x v="3"/>
    <x v="0"/>
  </r>
  <r>
    <x v="0"/>
    <x v="4"/>
    <n v="12"/>
    <m/>
    <n v="18"/>
    <m/>
    <x v="4"/>
    <x v="0"/>
  </r>
  <r>
    <x v="0"/>
    <x v="5"/>
    <n v="19.166666666666668"/>
    <m/>
    <n v="29"/>
    <m/>
    <x v="5"/>
    <x v="1"/>
  </r>
  <r>
    <x v="0"/>
    <x v="6"/>
    <n v="21"/>
    <m/>
    <n v="31.833333333333332"/>
    <m/>
    <x v="6"/>
    <x v="1"/>
  </r>
  <r>
    <x v="0"/>
    <x v="7"/>
    <n v="12"/>
    <m/>
    <n v="19"/>
    <m/>
    <x v="7"/>
    <x v="0"/>
  </r>
  <r>
    <x v="0"/>
    <x v="8"/>
    <n v="14.5"/>
    <m/>
    <n v="23"/>
    <m/>
    <x v="8"/>
    <x v="0"/>
  </r>
  <r>
    <x v="0"/>
    <x v="9"/>
    <n v="20.3"/>
    <m/>
    <n v="32.25"/>
    <m/>
    <x v="9"/>
    <x v="1"/>
  </r>
  <r>
    <x v="0"/>
    <x v="10"/>
    <n v="20.75"/>
    <m/>
    <n v="33"/>
    <n v="1.4142135623730951"/>
    <x v="10"/>
    <x v="1"/>
  </r>
  <r>
    <x v="0"/>
    <x v="11"/>
    <n v="17.75"/>
    <m/>
    <n v="29"/>
    <m/>
    <x v="11"/>
    <x v="0"/>
  </r>
  <r>
    <x v="0"/>
    <x v="12"/>
    <n v="14.75"/>
    <m/>
    <n v="24.25"/>
    <n v="1.7677669529663689"/>
    <x v="12"/>
    <x v="1"/>
  </r>
  <r>
    <x v="0"/>
    <x v="13"/>
    <n v="13"/>
    <m/>
    <n v="21.5"/>
    <m/>
    <x v="13"/>
    <x v="0"/>
  </r>
  <r>
    <x v="0"/>
    <x v="14"/>
    <n v="20"/>
    <m/>
    <n v="33.25"/>
    <n v="0.70710678118654757"/>
    <x v="14"/>
    <x v="0"/>
  </r>
  <r>
    <x v="0"/>
    <x v="15"/>
    <n v="13.5"/>
    <m/>
    <n v="22.625"/>
    <m/>
    <x v="15"/>
    <x v="0"/>
  </r>
  <r>
    <x v="0"/>
    <x v="16"/>
    <n v="13.75"/>
    <m/>
    <n v="23.5"/>
    <n v="1.4142135623730951"/>
    <x v="16"/>
    <x v="0"/>
  </r>
  <r>
    <x v="0"/>
    <x v="17"/>
    <n v="20.5"/>
    <m/>
    <n v="35.5"/>
    <n v="0.70710678118654757"/>
    <x v="17"/>
    <x v="0"/>
  </r>
  <r>
    <x v="0"/>
    <x v="18"/>
    <n v="16.625"/>
    <m/>
    <n v="29"/>
    <n v="1.4142135623730951"/>
    <x v="18"/>
    <x v="0"/>
  </r>
  <r>
    <x v="0"/>
    <x v="19"/>
    <n v="22.9"/>
    <m/>
    <n v="41.25"/>
    <n v="1.0606601717798212"/>
    <x v="19"/>
    <x v="1"/>
  </r>
  <r>
    <x v="0"/>
    <x v="20"/>
    <n v="16.5"/>
    <m/>
    <n v="29.833333333333332"/>
    <m/>
    <x v="20"/>
    <x v="0"/>
  </r>
  <r>
    <x v="0"/>
    <x v="21"/>
    <n v="15.666666666666666"/>
    <m/>
    <n v="28.333333333333332"/>
    <m/>
    <x v="21"/>
    <x v="0"/>
  </r>
  <r>
    <x v="0"/>
    <x v="22"/>
    <n v="14"/>
    <m/>
    <n v="26"/>
    <m/>
    <x v="22"/>
    <x v="1"/>
  </r>
  <r>
    <x v="0"/>
    <x v="23"/>
    <n v="17.125"/>
    <m/>
    <n v="32"/>
    <m/>
    <x v="23"/>
    <x v="1"/>
  </r>
  <r>
    <x v="0"/>
    <x v="24"/>
    <n v="19.75"/>
    <m/>
    <n v="37"/>
    <m/>
    <x v="24"/>
    <x v="1"/>
  </r>
  <r>
    <x v="0"/>
    <x v="25"/>
    <n v="17.375"/>
    <m/>
    <n v="33"/>
    <m/>
    <x v="25"/>
    <x v="0"/>
  </r>
  <r>
    <x v="0"/>
    <x v="26"/>
    <n v="21"/>
    <m/>
    <n v="40"/>
    <m/>
    <x v="26"/>
    <x v="0"/>
  </r>
  <r>
    <x v="0"/>
    <x v="27"/>
    <n v="16.25"/>
    <m/>
    <n v="31"/>
    <m/>
    <x v="27"/>
    <x v="1"/>
  </r>
  <r>
    <x v="0"/>
    <x v="28"/>
    <n v="19"/>
    <m/>
    <n v="37"/>
    <n v="1.4142135623730951"/>
    <x v="28"/>
    <x v="1"/>
  </r>
  <r>
    <x v="0"/>
    <x v="29"/>
    <n v="18.214285714285715"/>
    <m/>
    <n v="35.5"/>
    <m/>
    <x v="29"/>
    <x v="1"/>
  </r>
  <r>
    <x v="0"/>
    <x v="30"/>
    <n v="18"/>
    <m/>
    <n v="36"/>
    <m/>
    <x v="30"/>
    <x v="0"/>
  </r>
  <r>
    <x v="0"/>
    <x v="31"/>
    <n v="17.25"/>
    <m/>
    <n v="35"/>
    <n v="1.4142135623730951"/>
    <x v="31"/>
    <x v="1"/>
  </r>
  <r>
    <x v="0"/>
    <x v="32"/>
    <n v="14.25"/>
    <m/>
    <n v="29"/>
    <m/>
    <x v="32"/>
    <x v="1"/>
  </r>
  <r>
    <x v="0"/>
    <x v="33"/>
    <n v="20.375"/>
    <m/>
    <n v="41.666666666666664"/>
    <m/>
    <x v="33"/>
    <x v="0"/>
  </r>
  <r>
    <x v="0"/>
    <x v="34"/>
    <n v="14.5"/>
    <m/>
    <n v="30"/>
    <m/>
    <x v="34"/>
    <x v="0"/>
  </r>
  <r>
    <x v="0"/>
    <x v="35"/>
    <n v="17.5"/>
    <m/>
    <n v="37"/>
    <m/>
    <x v="35"/>
    <x v="0"/>
  </r>
  <r>
    <x v="0"/>
    <x v="36"/>
    <n v="13.833333333333334"/>
    <m/>
    <n v="29.5"/>
    <m/>
    <x v="36"/>
    <x v="0"/>
  </r>
  <r>
    <x v="0"/>
    <x v="37"/>
    <n v="14.125"/>
    <m/>
    <n v="30.375"/>
    <n v="0.17677669529663689"/>
    <x v="37"/>
    <x v="0"/>
  </r>
  <r>
    <x v="0"/>
    <x v="38"/>
    <n v="17.100000000000001"/>
    <m/>
    <n v="38.125"/>
    <n v="1.9445436482630056"/>
    <x v="38"/>
    <x v="0"/>
  </r>
  <r>
    <x v="1"/>
    <x v="39"/>
    <n v="20.833333333333332"/>
    <m/>
    <n v="30.166665999999999"/>
    <m/>
    <x v="39"/>
    <x v="1"/>
  </r>
  <r>
    <x v="1"/>
    <x v="40"/>
    <n v="21.5"/>
    <m/>
    <n v="31.333333333333332"/>
    <m/>
    <x v="40"/>
    <x v="1"/>
  </r>
  <r>
    <x v="1"/>
    <x v="41"/>
    <n v="17"/>
    <m/>
    <n v="25"/>
    <m/>
    <x v="41"/>
    <x v="1"/>
  </r>
  <r>
    <x v="1"/>
    <x v="14"/>
    <n v="19"/>
    <m/>
    <n v="28.25"/>
    <n v="0.35355339059327379"/>
    <x v="42"/>
    <x v="0"/>
  </r>
  <r>
    <x v="1"/>
    <x v="17"/>
    <n v="23.375"/>
    <m/>
    <n v="35.25"/>
    <n v="1.0606601717798212"/>
    <x v="43"/>
    <x v="0"/>
  </r>
  <r>
    <x v="1"/>
    <x v="6"/>
    <n v="20.5"/>
    <m/>
    <n v="31.125"/>
    <n v="1.2374368670764582"/>
    <x v="44"/>
    <x v="1"/>
  </r>
  <r>
    <x v="1"/>
    <x v="5"/>
    <n v="18"/>
    <m/>
    <n v="27.5"/>
    <m/>
    <x v="45"/>
    <x v="1"/>
  </r>
  <r>
    <x v="1"/>
    <x v="42"/>
    <n v="20.65"/>
    <m/>
    <n v="32.375"/>
    <n v="1.9445436482630056"/>
    <x v="46"/>
    <x v="1"/>
  </r>
  <r>
    <x v="1"/>
    <x v="43"/>
    <n v="14.083333333333334"/>
    <m/>
    <n v="22.083333333333332"/>
    <m/>
    <x v="47"/>
    <x v="0"/>
  </r>
  <r>
    <x v="1"/>
    <x v="16"/>
    <n v="13.833333333333334"/>
    <m/>
    <n v="22"/>
    <m/>
    <x v="10"/>
    <x v="0"/>
  </r>
  <r>
    <x v="1"/>
    <x v="44"/>
    <n v="22"/>
    <m/>
    <n v="35"/>
    <m/>
    <x v="48"/>
    <x v="0"/>
  </r>
  <r>
    <x v="1"/>
    <x v="8"/>
    <n v="12.833333333333334"/>
    <m/>
    <n v="21"/>
    <m/>
    <x v="49"/>
    <x v="0"/>
  </r>
  <r>
    <x v="1"/>
    <x v="12"/>
    <n v="14.5"/>
    <m/>
    <n v="24"/>
    <m/>
    <x v="50"/>
    <x v="1"/>
  </r>
  <r>
    <x v="1"/>
    <x v="34"/>
    <n v="18.5"/>
    <m/>
    <n v="31"/>
    <m/>
    <x v="51"/>
    <x v="0"/>
  </r>
  <r>
    <x v="1"/>
    <x v="31"/>
    <n v="20"/>
    <m/>
    <n v="34"/>
    <m/>
    <x v="52"/>
    <x v="1"/>
  </r>
  <r>
    <x v="1"/>
    <x v="45"/>
    <n v="18.100000000000001"/>
    <m/>
    <n v="30.9"/>
    <m/>
    <x v="53"/>
    <x v="0"/>
  </r>
  <r>
    <x v="1"/>
    <x v="30"/>
    <n v="17.5"/>
    <m/>
    <n v="30"/>
    <m/>
    <x v="54"/>
    <x v="0"/>
  </r>
  <r>
    <x v="1"/>
    <x v="22"/>
    <n v="16"/>
    <m/>
    <n v="27.5"/>
    <n v="0"/>
    <x v="55"/>
    <x v="1"/>
  </r>
  <r>
    <x v="1"/>
    <x v="33"/>
    <n v="21"/>
    <m/>
    <n v="36.5"/>
    <m/>
    <x v="56"/>
    <x v="0"/>
  </r>
  <r>
    <x v="1"/>
    <x v="46"/>
    <n v="16.5"/>
    <m/>
    <n v="28.9"/>
    <m/>
    <x v="57"/>
    <x v="1"/>
  </r>
  <r>
    <x v="1"/>
    <x v="47"/>
    <n v="16.5"/>
    <m/>
    <n v="29"/>
    <m/>
    <x v="58"/>
    <x v="0"/>
  </r>
  <r>
    <x v="1"/>
    <x v="35"/>
    <n v="19.5"/>
    <m/>
    <n v="34.5"/>
    <m/>
    <x v="59"/>
    <x v="0"/>
  </r>
  <r>
    <x v="1"/>
    <x v="48"/>
    <n v="18"/>
    <m/>
    <n v="32"/>
    <n v="0"/>
    <x v="60"/>
    <x v="0"/>
  </r>
  <r>
    <x v="1"/>
    <x v="49"/>
    <n v="17.333333333333332"/>
    <m/>
    <n v="30.875"/>
    <n v="0.88388347648318444"/>
    <x v="61"/>
    <x v="0"/>
  </r>
  <r>
    <x v="1"/>
    <x v="26"/>
    <n v="20.666666666666668"/>
    <m/>
    <n v="37.166666666666664"/>
    <m/>
    <x v="62"/>
    <x v="0"/>
  </r>
  <r>
    <x v="1"/>
    <x v="50"/>
    <n v="16.399999999999999"/>
    <m/>
    <n v="30"/>
    <m/>
    <x v="63"/>
    <x v="0"/>
  </r>
  <r>
    <x v="1"/>
    <x v="51"/>
    <n v="14.75"/>
    <m/>
    <n v="27"/>
    <m/>
    <x v="64"/>
    <x v="0"/>
  </r>
  <r>
    <x v="1"/>
    <x v="18"/>
    <n v="16.25"/>
    <m/>
    <n v="31"/>
    <n v="0.70710678118654757"/>
    <x v="27"/>
    <x v="0"/>
  </r>
  <r>
    <x v="1"/>
    <x v="38"/>
    <n v="19"/>
    <m/>
    <n v="36.25"/>
    <n v="0.35355339059327379"/>
    <x v="65"/>
    <x v="0"/>
  </r>
  <r>
    <x v="1"/>
    <x v="52"/>
    <n v="17.899999999999999"/>
    <m/>
    <n v="34.700000000000003"/>
    <m/>
    <x v="66"/>
    <x v="0"/>
  </r>
  <r>
    <x v="1"/>
    <x v="53"/>
    <n v="14.166666666666666"/>
    <m/>
    <n v="27.5"/>
    <m/>
    <x v="67"/>
    <x v="0"/>
  </r>
  <r>
    <x v="1"/>
    <x v="28"/>
    <n v="17.5"/>
    <m/>
    <n v="34.5"/>
    <n v="0.70710678118654757"/>
    <x v="68"/>
    <x v="1"/>
  </r>
  <r>
    <x v="1"/>
    <x v="54"/>
    <n v="18"/>
    <m/>
    <n v="35.5"/>
    <m/>
    <x v="69"/>
    <x v="0"/>
  </r>
  <r>
    <x v="1"/>
    <x v="55"/>
    <n v="17"/>
    <m/>
    <n v="34.5"/>
    <m/>
    <x v="70"/>
    <x v="0"/>
  </r>
  <r>
    <x v="1"/>
    <x v="36"/>
    <n v="13.25"/>
    <m/>
    <n v="27.5"/>
    <m/>
    <x v="71"/>
    <x v="0"/>
  </r>
  <r>
    <x v="2"/>
    <x v="10"/>
    <n v="23.75"/>
    <m/>
    <n v="34.75"/>
    <n v="1.6046806535881213"/>
    <x v="72"/>
    <x v="1"/>
  </r>
  <r>
    <x v="2"/>
    <x v="1"/>
    <n v="13.416666666666666"/>
    <m/>
    <n v="21.1"/>
    <n v="1.1005049346145934"/>
    <x v="73"/>
    <x v="1"/>
  </r>
  <r>
    <x v="2"/>
    <x v="14"/>
    <n v="20.5"/>
    <m/>
    <n v="32.25"/>
    <n v="0.92582009977255142"/>
    <x v="74"/>
    <x v="0"/>
  </r>
  <r>
    <x v="2"/>
    <x v="4"/>
    <n v="12.75"/>
    <m/>
    <n v="20.350000000000001"/>
    <n v="0.74721705904863611"/>
    <x v="75"/>
    <x v="0"/>
  </r>
  <r>
    <x v="2"/>
    <x v="40"/>
    <n v="21.7"/>
    <m/>
    <n v="37.25"/>
    <n v="1.0341394704992379"/>
    <x v="76"/>
    <x v="1"/>
  </r>
  <r>
    <x v="2"/>
    <x v="9"/>
    <n v="19.833333333333332"/>
    <m/>
    <n v="34.458333333333336"/>
    <n v="0.96432579682604536"/>
    <x v="77"/>
    <x v="1"/>
  </r>
  <r>
    <x v="2"/>
    <x v="43"/>
    <n v="13.8"/>
    <m/>
    <n v="24.75"/>
    <n v="1.2527746981977423"/>
    <x v="78"/>
    <x v="0"/>
  </r>
  <r>
    <x v="2"/>
    <x v="42"/>
    <n v="18.625"/>
    <m/>
    <n v="33.5"/>
    <n v="0.61237243569579447"/>
    <x v="79"/>
    <x v="1"/>
  </r>
  <r>
    <x v="2"/>
    <x v="56"/>
    <n v="14"/>
    <m/>
    <n v="26.125"/>
    <n v="1.6520189667999174"/>
    <x v="80"/>
    <x v="1"/>
  </r>
  <r>
    <x v="2"/>
    <x v="45"/>
    <n v="19.3"/>
    <m/>
    <n v="36.200000000000003"/>
    <n v="0.67494855771058282"/>
    <x v="81"/>
    <x v="0"/>
  </r>
  <r>
    <x v="2"/>
    <x v="57"/>
    <n v="22.333333333333332"/>
    <m/>
    <n v="42"/>
    <n v="0.63245553203367588"/>
    <x v="82"/>
    <x v="1"/>
  </r>
  <r>
    <x v="2"/>
    <x v="46"/>
    <n v="17.7"/>
    <m/>
    <n v="33.700000000000003"/>
    <n v="0.67082039324997078"/>
    <x v="83"/>
    <x v="1"/>
  </r>
  <r>
    <x v="2"/>
    <x v="29"/>
    <n v="18.214285714285715"/>
    <m/>
    <n v="35.357142857142854"/>
    <n v="1.4862002586432452"/>
    <x v="84"/>
    <x v="1"/>
  </r>
  <r>
    <x v="2"/>
    <x v="58"/>
    <n v="17.625"/>
    <m/>
    <n v="35.125"/>
    <n v="0.99103120896511487"/>
    <x v="85"/>
    <x v="0"/>
  </r>
  <r>
    <x v="2"/>
    <x v="23"/>
    <n v="17.100000000000001"/>
    <m/>
    <n v="34.1875"/>
    <n v="0.79899490432846765"/>
    <x v="86"/>
    <x v="1"/>
  </r>
  <r>
    <x v="2"/>
    <x v="8"/>
    <n v="11.75"/>
    <m/>
    <n v="23.6"/>
    <n v="0.2236067977498773"/>
    <x v="87"/>
    <x v="0"/>
  </r>
  <r>
    <x v="2"/>
    <x v="28"/>
    <n v="18.399999999999999"/>
    <m/>
    <n v="37.450000000000003"/>
    <n v="1.9642640691448219"/>
    <x v="88"/>
    <x v="1"/>
  </r>
  <r>
    <x v="2"/>
    <x v="59"/>
    <n v="20.666666666666668"/>
    <m/>
    <n v="42.75"/>
    <n v="1.4053469322555197"/>
    <x v="89"/>
    <x v="1"/>
  </r>
  <r>
    <x v="2"/>
    <x v="47"/>
    <n v="15.7"/>
    <m/>
    <n v="32.5"/>
    <n v="1.5456030825826172"/>
    <x v="90"/>
    <x v="0"/>
  </r>
  <r>
    <x v="2"/>
    <x v="60"/>
    <n v="14"/>
    <m/>
    <n v="30.375"/>
    <n v="2.2126530078919591"/>
    <x v="91"/>
    <x v="1"/>
  </r>
  <r>
    <x v="2"/>
    <x v="61"/>
    <n v="12.5"/>
    <m/>
    <n v="27.25"/>
    <n v="1.0606601717798212"/>
    <x v="92"/>
    <x v="0"/>
  </r>
  <r>
    <x v="2"/>
    <x v="38"/>
    <n v="16.928571428571427"/>
    <m/>
    <n v="37.214285714285715"/>
    <n v="1.7509808867985812"/>
    <x v="93"/>
    <x v="0"/>
  </r>
  <r>
    <x v="2"/>
    <x v="33"/>
    <n v="18.666666666666668"/>
    <m/>
    <n v="41.2"/>
    <n v="2.3828088000881684"/>
    <x v="94"/>
    <x v="0"/>
  </r>
  <r>
    <x v="2"/>
    <x v="62"/>
    <n v="15.75"/>
    <m/>
    <n v="34.916666666666664"/>
    <n v="1.1143009766964247"/>
    <x v="95"/>
    <x v="1"/>
  </r>
  <r>
    <x v="2"/>
    <x v="63"/>
    <n v="12.666666666666666"/>
    <m/>
    <n v="28.25"/>
    <n v="0.27386127875258304"/>
    <x v="96"/>
    <x v="1"/>
  </r>
  <r>
    <x v="2"/>
    <x v="54"/>
    <n v="17.333333333333332"/>
    <m/>
    <n v="39.14"/>
    <n v="1.8343936327844372"/>
    <x v="97"/>
    <x v="0"/>
  </r>
  <r>
    <x v="2"/>
    <x v="32"/>
    <n v="12.5"/>
    <m/>
    <n v="29"/>
    <n v="3.0413812651491097"/>
    <x v="98"/>
    <x v="1"/>
  </r>
  <r>
    <x v="2"/>
    <x v="37"/>
    <n v="14"/>
    <m/>
    <n v="32.892857142857146"/>
    <n v="1.2886870394763523"/>
    <x v="99"/>
    <x v="0"/>
  </r>
  <r>
    <x v="2"/>
    <x v="64"/>
    <n v="18.166666666666668"/>
    <m/>
    <n v="48.416666666666664"/>
    <n v="1.4288690166235629"/>
    <x v="100"/>
    <x v="0"/>
  </r>
  <r>
    <x v="3"/>
    <x v="40"/>
    <n v="20.75"/>
    <m/>
    <n v="37.200000000000003"/>
    <n v="1.9235384061671463"/>
    <x v="101"/>
    <x v="1"/>
  </r>
  <r>
    <x v="3"/>
    <x v="57"/>
    <n v="18.5"/>
    <m/>
    <n v="35.555555555555557"/>
    <n v="0.52704627669477777"/>
    <x v="102"/>
    <x v="1"/>
  </r>
  <r>
    <x v="3"/>
    <x v="65"/>
    <n v="16.142857142857142"/>
    <m/>
    <n v="31.566666666666666"/>
    <n v="0.90369611411503037"/>
    <x v="103"/>
    <x v="0"/>
  </r>
  <r>
    <x v="3"/>
    <x v="14"/>
    <n v="17.399999999999999"/>
    <m/>
    <n v="34.636363636363633"/>
    <n v="1.4158197111727908"/>
    <x v="104"/>
    <x v="0"/>
  </r>
  <r>
    <x v="3"/>
    <x v="66"/>
    <n v="14.5"/>
    <m/>
    <n v="30.785714285714285"/>
    <n v="1.1495340671022296"/>
    <x v="105"/>
    <x v="0"/>
  </r>
  <r>
    <x v="3"/>
    <x v="67"/>
    <n v="14.5"/>
    <m/>
    <n v="30.9"/>
    <n v="1.8841443681416652"/>
    <x v="106"/>
    <x v="1"/>
  </r>
  <r>
    <x v="3"/>
    <x v="19"/>
    <n v="21.666666666666668"/>
    <m/>
    <n v="46.404761904761905"/>
    <n v="3.4373647159526626"/>
    <x v="107"/>
    <x v="1"/>
  </r>
  <r>
    <x v="3"/>
    <x v="45"/>
    <n v="16.833333333333332"/>
    <m/>
    <n v="36.071428571428569"/>
    <n v="0.60749289629402714"/>
    <x v="108"/>
    <x v="0"/>
  </r>
  <r>
    <x v="3"/>
    <x v="68"/>
    <n v="16"/>
    <m/>
    <n v="34.5"/>
    <n v="0.57735026918962573"/>
    <x v="109"/>
    <x v="1"/>
  </r>
  <r>
    <x v="3"/>
    <x v="69"/>
    <n v="14.5"/>
    <m/>
    <n v="32.5"/>
    <n v="0.8660254037844386"/>
    <x v="110"/>
    <x v="0"/>
  </r>
  <r>
    <x v="3"/>
    <x v="43"/>
    <n v="13.25"/>
    <m/>
    <n v="29.821428571428573"/>
    <n v="4.7255733997097007"/>
    <x v="111"/>
    <x v="0"/>
  </r>
  <r>
    <x v="3"/>
    <x v="29"/>
    <n v="16.75"/>
    <m/>
    <n v="37.729166666666664"/>
    <n v="2.2888157497343444"/>
    <x v="112"/>
    <x v="1"/>
  </r>
  <r>
    <x v="3"/>
    <x v="31"/>
    <n v="17.833333333333332"/>
    <m/>
    <n v="40.416666666666664"/>
    <n v="3.07272951407487"/>
    <x v="113"/>
    <x v="1"/>
  </r>
  <r>
    <x v="3"/>
    <x v="70"/>
    <n v="17"/>
    <m/>
    <n v="38.666666666666664"/>
    <n v="2.8867513459481549"/>
    <x v="114"/>
    <x v="1"/>
  </r>
  <r>
    <x v="3"/>
    <x v="35"/>
    <n v="17.75"/>
    <m/>
    <n v="41.5"/>
    <n v="1.8708286933869707"/>
    <x v="115"/>
    <x v="0"/>
  </r>
  <r>
    <x v="3"/>
    <x v="47"/>
    <n v="15.125"/>
    <m/>
    <n v="35.375"/>
    <n v="1.3024701806293193"/>
    <x v="116"/>
    <x v="0"/>
  </r>
  <r>
    <x v="3"/>
    <x v="71"/>
    <n v="12.75"/>
    <m/>
    <n v="30.1"/>
    <n v="1.5165750888102951"/>
    <x v="117"/>
    <x v="1"/>
  </r>
  <r>
    <x v="3"/>
    <x v="49"/>
    <n v="14.75"/>
    <m/>
    <n v="35"/>
    <n v="0.61237243569579447"/>
    <x v="118"/>
    <x v="0"/>
  </r>
  <r>
    <x v="3"/>
    <x v="60"/>
    <n v="14.5"/>
    <m/>
    <n v="35.25"/>
    <n v="0.6454972243679028"/>
    <x v="119"/>
    <x v="1"/>
  </r>
  <r>
    <x v="3"/>
    <x v="59"/>
    <n v="19.75"/>
    <m/>
    <n v="48.363636363636367"/>
    <n v="1.8586407545692059"/>
    <x v="120"/>
    <x v="1"/>
  </r>
  <r>
    <x v="3"/>
    <x v="72"/>
    <n v="12"/>
    <m/>
    <n v="29.928571428571427"/>
    <n v="0.9322272357357696"/>
    <x v="121"/>
    <x v="0"/>
  </r>
  <r>
    <x v="3"/>
    <x v="28"/>
    <n v="17.6875"/>
    <m/>
    <n v="44.266666666666666"/>
    <n v="2.7377432485969471"/>
    <x v="122"/>
    <x v="1"/>
  </r>
  <r>
    <x v="3"/>
    <x v="73"/>
    <n v="14"/>
    <m/>
    <n v="37.1"/>
    <n v="0.89442719099989043"/>
    <x v="123"/>
    <x v="0"/>
  </r>
  <r>
    <x v="3"/>
    <x v="74"/>
    <n v="12.833333333333334"/>
    <m/>
    <n v="34.5"/>
    <n v="0.89442719099991586"/>
    <x v="124"/>
    <x v="0"/>
  </r>
  <r>
    <x v="3"/>
    <x v="38"/>
    <n v="15.571428571428571"/>
    <m/>
    <n v="42.25"/>
    <n v="2.3011854652449344"/>
    <x v="125"/>
    <x v="0"/>
  </r>
  <r>
    <x v="3"/>
    <x v="75"/>
    <n v="15.5"/>
    <m/>
    <n v="42.333333333333336"/>
    <n v="1.1547005383793172"/>
    <x v="126"/>
    <x v="1"/>
  </r>
  <r>
    <x v="3"/>
    <x v="76"/>
    <n v="12.833333333333334"/>
    <m/>
    <n v="35.428571428571431"/>
    <n v="1.5118578920369374"/>
    <x v="127"/>
    <x v="1"/>
  </r>
  <r>
    <x v="3"/>
    <x v="56"/>
    <n v="10"/>
    <m/>
    <n v="30"/>
    <n v="1.7795130420052185"/>
    <x v="128"/>
    <x v="1"/>
  </r>
  <r>
    <x v="3"/>
    <x v="63"/>
    <n v="10"/>
    <m/>
    <n v="30.25"/>
    <n v="3.1819805153394638"/>
    <x v="129"/>
    <x v="1"/>
  </r>
  <r>
    <x v="4"/>
    <x v="77"/>
    <n v="12.75"/>
    <n v="1.7677669529663689"/>
    <n v="23"/>
    <n v="0"/>
    <x v="130"/>
    <x v="1"/>
  </r>
  <r>
    <x v="4"/>
    <x v="78"/>
    <n v="20.083333333333332"/>
    <n v="2.3540744819709287"/>
    <n v="37.25"/>
    <n v="1.5"/>
    <x v="131"/>
    <x v="0"/>
  </r>
  <r>
    <x v="4"/>
    <x v="1"/>
    <n v="13.735294117647058"/>
    <n v="1.3932610920384707"/>
    <n v="25.90625"/>
    <n v="1.0680004681646913"/>
    <x v="132"/>
    <x v="1"/>
  </r>
  <r>
    <x v="4"/>
    <x v="79"/>
    <n v="17.333333333333332"/>
    <n v="1.7795130420052125"/>
    <n v="35.083333333333336"/>
    <n v="1.3789543689024291"/>
    <x v="133"/>
    <x v="0"/>
  </r>
  <r>
    <x v="4"/>
    <x v="80"/>
    <n v="14.692307692307692"/>
    <n v="1.5212174611483325"/>
    <n v="30.035714285714285"/>
    <n v="2.2486259540703299"/>
    <x v="134"/>
    <x v="0"/>
  </r>
  <r>
    <x v="4"/>
    <x v="41"/>
    <n v="16.166666666666668"/>
    <n v="1.5275252316519405"/>
    <n v="34.25"/>
    <n v="0.35355339059327379"/>
    <x v="135"/>
    <x v="1"/>
  </r>
  <r>
    <x v="4"/>
    <x v="81"/>
    <n v="13.3"/>
    <n v="1.0368220676663806"/>
    <n v="28.5"/>
    <n v="0"/>
    <x v="108"/>
    <x v="0"/>
  </r>
  <r>
    <x v="4"/>
    <x v="82"/>
    <n v="18.214285714285715"/>
    <n v="2.3268617737815314"/>
    <n v="39.39473684210526"/>
    <n v="1.2864566686188408"/>
    <x v="136"/>
    <x v="1"/>
  </r>
  <r>
    <x v="4"/>
    <x v="83"/>
    <n v="12"/>
    <n v="0.63245553203367588"/>
    <n v="26.166666666666668"/>
    <n v="1.9407902170679361"/>
    <x v="137"/>
    <x v="1"/>
  </r>
  <r>
    <x v="4"/>
    <x v="84"/>
    <n v="12.5"/>
    <n v="0.9128709291752769"/>
    <n v="28"/>
    <n v="1.4142135623730951"/>
    <x v="138"/>
    <x v="1"/>
  </r>
  <r>
    <x v="4"/>
    <x v="85"/>
    <n v="14"/>
    <n v="0.9128709291752769"/>
    <n v="31.416666666666668"/>
    <n v="1.1143009766964247"/>
    <x v="139"/>
    <x v="0"/>
  </r>
  <r>
    <x v="4"/>
    <x v="86"/>
    <n v="14.6"/>
    <n v="1.3291601358251295"/>
    <n v="33"/>
    <n v="2.2803508501982761"/>
    <x v="140"/>
    <x v="1"/>
  </r>
  <r>
    <x v="4"/>
    <x v="66"/>
    <n v="14.5"/>
    <n v="1.2247448713915889"/>
    <n v="33.166666666666664"/>
    <n v="2.639444385977209"/>
    <x v="141"/>
    <x v="0"/>
  </r>
  <r>
    <x v="4"/>
    <x v="49"/>
    <n v="17.5"/>
    <n v="2.6457513110645907"/>
    <n v="40.25"/>
    <n v="0.6454972243679028"/>
    <x v="142"/>
    <x v="0"/>
  </r>
  <r>
    <x v="4"/>
    <x v="87"/>
    <n v="16.5"/>
    <m/>
    <n v="38"/>
    <m/>
    <x v="143"/>
    <x v="1"/>
  </r>
  <r>
    <x v="4"/>
    <x v="34"/>
    <n v="15.7"/>
    <n v="1.8234582528810437"/>
    <n v="36.166666666666664"/>
    <n v="1.2583057392117616"/>
    <x v="144"/>
    <x v="0"/>
  </r>
  <r>
    <x v="4"/>
    <x v="46"/>
    <n v="16.904761904761905"/>
    <n v="2.0038653124589469"/>
    <n v="39"/>
    <n v="1.3944333775567925"/>
    <x v="145"/>
    <x v="1"/>
  </r>
  <r>
    <x v="4"/>
    <x v="88"/>
    <n v="15.6"/>
    <n v="1.9550504398153599"/>
    <n v="36.625"/>
    <n v="1.7017148213885114"/>
    <x v="146"/>
    <x v="1"/>
  </r>
  <r>
    <x v="4"/>
    <x v="89"/>
    <n v="14"/>
    <n v="1.4142135623730951"/>
    <n v="33"/>
    <m/>
    <x v="147"/>
    <x v="1"/>
  </r>
  <r>
    <x v="4"/>
    <x v="24"/>
    <n v="20.785714285714285"/>
    <n v="0.9511897312113532"/>
    <n v="49.285714285714285"/>
    <n v="0.75592894601856908"/>
    <x v="148"/>
    <x v="1"/>
  </r>
  <r>
    <x v="4"/>
    <x v="51"/>
    <n v="16.75"/>
    <n v="1.96143371598997"/>
    <n v="40.200000000000003"/>
    <n v="0.75277265270910787"/>
    <x v="149"/>
    <x v="0"/>
  </r>
  <r>
    <x v="4"/>
    <x v="90"/>
    <n v="15.375"/>
    <n v="0.95431351542052767"/>
    <n v="36.9375"/>
    <n v="1.8791620472966135"/>
    <x v="150"/>
    <x v="1"/>
  </r>
  <r>
    <x v="4"/>
    <x v="91"/>
    <n v="12.833333333333334"/>
    <n v="1.4577379737113252"/>
    <n v="31.125"/>
    <n v="0.64086994446165568"/>
    <x v="151"/>
    <x v="1"/>
  </r>
  <r>
    <x v="4"/>
    <x v="62"/>
    <n v="15.458333333333334"/>
    <n v="1.5441728196577231"/>
    <n v="37.833333333333336"/>
    <n v="1.6560266430297408"/>
    <x v="152"/>
    <x v="1"/>
  </r>
  <r>
    <x v="4"/>
    <x v="74"/>
    <n v="15"/>
    <n v="2.9439202887759488"/>
    <n v="37.375"/>
    <n v="1.181453906563152"/>
    <x v="153"/>
    <x v="0"/>
  </r>
  <r>
    <x v="4"/>
    <x v="92"/>
    <n v="15.3125"/>
    <n v="0.96130491669248364"/>
    <n v="39.25"/>
    <n v="2.2173557826083452"/>
    <x v="154"/>
    <x v="0"/>
  </r>
  <r>
    <x v="4"/>
    <x v="54"/>
    <n v="17.921052631578949"/>
    <n v="1.7501044246204334"/>
    <n v="47.25"/>
    <n v="2.2377115411009685"/>
    <x v="155"/>
    <x v="0"/>
  </r>
  <r>
    <x v="4"/>
    <x v="56"/>
    <n v="12.125"/>
    <n v="0.8539125638299665"/>
    <n v="32.6"/>
    <n v="1.2942179105544609"/>
    <x v="156"/>
    <x v="1"/>
  </r>
  <r>
    <x v="5"/>
    <x v="93"/>
    <n v="22.5"/>
    <n v="1.5545631755148024"/>
    <n v="39.416666666666664"/>
    <n v="1.3197221929886562"/>
    <x v="157"/>
    <x v="0"/>
  </r>
  <r>
    <x v="5"/>
    <x v="89"/>
    <n v="18.75"/>
    <n v="1.0408329997330663"/>
    <n v="34.5"/>
    <n v="0.40824829046386302"/>
    <x v="158"/>
    <x v="1"/>
  </r>
  <r>
    <x v="5"/>
    <x v="81"/>
    <n v="15.590909090909092"/>
    <n v="2.022599587389728"/>
    <n v="29.75"/>
    <n v="1.8142950880897701"/>
    <x v="159"/>
    <x v="0"/>
  </r>
  <r>
    <x v="5"/>
    <x v="48"/>
    <n v="20.625"/>
    <n v="2.6468248559702281"/>
    <n v="40"/>
    <n v="2.2607766610417559"/>
    <x v="160"/>
    <x v="0"/>
  </r>
  <r>
    <x v="5"/>
    <x v="94"/>
    <n v="15.166666666666666"/>
    <n v="2.7537852736430475"/>
    <n v="29.5"/>
    <m/>
    <x v="161"/>
    <x v="1"/>
  </r>
  <r>
    <x v="5"/>
    <x v="82"/>
    <n v="20.1875"/>
    <n v="1.5903353943953669"/>
    <n v="39.766666666666666"/>
    <n v="2.5203930154602916"/>
    <x v="162"/>
    <x v="1"/>
  </r>
  <r>
    <x v="5"/>
    <x v="87"/>
    <n v="18.666666666666668"/>
    <n v="1.0408329997330845"/>
    <n v="37"/>
    <n v="1"/>
    <x v="163"/>
    <x v="1"/>
  </r>
  <r>
    <x v="5"/>
    <x v="79"/>
    <n v="17.5"/>
    <n v="2.0816659994661326"/>
    <n v="35.083333333333336"/>
    <n v="1.068488028321612"/>
    <x v="164"/>
    <x v="0"/>
  </r>
  <r>
    <x v="5"/>
    <x v="95"/>
    <n v="22.214285714285715"/>
    <n v="3.7177181941923183"/>
    <n v="45.3125"/>
    <n v="3.2506867406310143"/>
    <x v="165"/>
    <x v="1"/>
  </r>
  <r>
    <x v="5"/>
    <x v="96"/>
    <n v="19.850000000000001"/>
    <n v="2.6775818277775292"/>
    <n v="40.611111111111114"/>
    <n v="2.0581815058714055"/>
    <x v="166"/>
    <x v="0"/>
  </r>
  <r>
    <x v="5"/>
    <x v="97"/>
    <n v="18.285714285714285"/>
    <n v="2.395680636955964"/>
    <n v="37.833333333333336"/>
    <n v="1.5996323106926056"/>
    <x v="167"/>
    <x v="1"/>
  </r>
  <r>
    <x v="5"/>
    <x v="29"/>
    <n v="19.375"/>
    <n v="2.0658792662827961"/>
    <n v="40.222222222222221"/>
    <n v="2.8074800879871513"/>
    <x v="168"/>
    <x v="1"/>
  </r>
  <r>
    <x v="5"/>
    <x v="66"/>
    <n v="17.5"/>
    <n v="1.1180339887498949"/>
    <n v="37.071428571428569"/>
    <n v="1.0578504710249486"/>
    <x v="169"/>
    <x v="0"/>
  </r>
  <r>
    <x v="5"/>
    <x v="51"/>
    <n v="16.928571428571427"/>
    <n v="2.0902266908274876"/>
    <n v="36.166666666666664"/>
    <n v="0.7527726527090407"/>
    <x v="170"/>
    <x v="0"/>
  </r>
  <r>
    <x v="5"/>
    <x v="90"/>
    <n v="16.7"/>
    <n v="1.753567791675015"/>
    <n v="36"/>
    <n v="0.70710678118654757"/>
    <x v="171"/>
    <x v="1"/>
  </r>
  <r>
    <x v="5"/>
    <x v="98"/>
    <n v="22.208333333333332"/>
    <n v="2.8401211028383817"/>
    <n v="48.285714285714285"/>
    <n v="2.5471739709126875"/>
    <x v="172"/>
    <x v="1"/>
  </r>
  <r>
    <x v="5"/>
    <x v="60"/>
    <n v="16.625"/>
    <n v="1.3562026818605375"/>
    <n v="36.333333333333336"/>
    <n v="0.60553007081944821"/>
    <x v="173"/>
    <x v="1"/>
  </r>
  <r>
    <x v="5"/>
    <x v="73"/>
    <n v="17.142857142857142"/>
    <n v="2.0557700445795106"/>
    <n v="37.666666666666664"/>
    <n v="1.4719601443880157"/>
    <x v="174"/>
    <x v="0"/>
  </r>
  <r>
    <x v="5"/>
    <x v="74"/>
    <n v="16.5"/>
    <n v="1.7320508075688772"/>
    <n v="36.625"/>
    <n v="0.9464847243000456"/>
    <x v="175"/>
    <x v="0"/>
  </r>
  <r>
    <x v="5"/>
    <x v="30"/>
    <n v="21.5"/>
    <n v="1.4433756729740645"/>
    <n v="47.916666666666664"/>
    <n v="3.9801591257972069"/>
    <x v="176"/>
    <x v="0"/>
  </r>
  <r>
    <x v="5"/>
    <x v="99"/>
    <n v="15.5"/>
    <n v="2.1213203435596424"/>
    <n v="34.75"/>
    <n v="1.0606601717798212"/>
    <x v="177"/>
    <x v="1"/>
  </r>
  <r>
    <x v="5"/>
    <x v="100"/>
    <n v="17.100000000000001"/>
    <n v="0.82158383625775611"/>
    <n v="38.9"/>
    <n v="1.244989959798855"/>
    <x v="178"/>
    <x v="1"/>
  </r>
  <r>
    <x v="5"/>
    <x v="101"/>
    <n v="18.75"/>
    <n v="2.0528725518857018"/>
    <n v="43.214285714285715"/>
    <n v="2.3426684012243619"/>
    <x v="179"/>
    <x v="0"/>
  </r>
  <r>
    <x v="5"/>
    <x v="49"/>
    <n v="16.666666666666668"/>
    <n v="2.73252020425589"/>
    <n v="38.666666666666664"/>
    <n v="1.9407902170679827"/>
    <x v="98"/>
    <x v="0"/>
  </r>
  <r>
    <x v="5"/>
    <x v="37"/>
    <n v="16.470588235294116"/>
    <n v="1.6721112051394571"/>
    <n v="39"/>
    <n v="1.6583123951776999"/>
    <x v="180"/>
    <x v="0"/>
  </r>
  <r>
    <x v="5"/>
    <x v="26"/>
    <n v="21.714285714285715"/>
    <n v="2.3426684012243943"/>
    <n v="51.428571428571431"/>
    <n v="4.3534332373864464"/>
    <x v="181"/>
    <x v="0"/>
  </r>
  <r>
    <x v="5"/>
    <x v="67"/>
    <n v="15.166666666666666"/>
    <n v="3.2532035493238531"/>
    <n v="36"/>
    <n v="0"/>
    <x v="182"/>
    <x v="1"/>
  </r>
  <r>
    <x v="5"/>
    <x v="57"/>
    <n v="23.25"/>
    <n v="2.3611437906235189"/>
    <n v="55.25"/>
    <n v="3.8955102361564911"/>
    <x v="183"/>
    <x v="1"/>
  </r>
  <r>
    <x v="5"/>
    <x v="75"/>
    <n v="18"/>
    <n v="3.0207614933986431"/>
    <n v="43.625"/>
    <n v="2.5617376914898995"/>
    <x v="184"/>
    <x v="1"/>
  </r>
  <r>
    <x v="5"/>
    <x v="24"/>
    <n v="19.25"/>
    <n v="1.5545631755148024"/>
    <n v="48.125"/>
    <n v="3.6600318759996249"/>
    <x v="185"/>
    <x v="1"/>
  </r>
  <r>
    <x v="5"/>
    <x v="56"/>
    <n v="14"/>
    <n v="1.7320508075688772"/>
    <n v="35"/>
    <n v="1.4142135623730951"/>
    <x v="185"/>
    <x v="1"/>
  </r>
  <r>
    <x v="5"/>
    <x v="102"/>
    <n v="17.350000000000001"/>
    <n v="2.6039499909859187"/>
    <n v="43.636363636363633"/>
    <n v="2.4908925016037098"/>
    <x v="186"/>
    <x v="0"/>
  </r>
  <r>
    <x v="5"/>
    <x v="54"/>
    <n v="17.600000000000001"/>
    <n v="1.7818529681205493"/>
    <n v="44.4"/>
    <n v="4.0373258476372929"/>
    <x v="187"/>
    <x v="0"/>
  </r>
  <r>
    <x v="5"/>
    <x v="34"/>
    <n v="14.625"/>
    <n v="1.973786547054502"/>
    <n v="38"/>
    <n v="6.9282032302755088"/>
    <x v="188"/>
    <x v="0"/>
  </r>
  <r>
    <x v="5"/>
    <x v="63"/>
    <n v="13"/>
    <m/>
    <n v="35.5"/>
    <n v="0.70710678118654757"/>
    <x v="189"/>
    <x v="1"/>
  </r>
  <r>
    <x v="6"/>
    <x v="77"/>
    <n v="14.75"/>
    <n v="0.35355339059327379"/>
    <n v="20"/>
    <n v="2.8284271247461903"/>
    <x v="190"/>
    <x v="1"/>
  </r>
  <r>
    <x v="6"/>
    <x v="89"/>
    <n v="14.75"/>
    <n v="2.4748737341529163"/>
    <n v="24.25"/>
    <n v="2.4748737341529163"/>
    <x v="12"/>
    <x v="1"/>
  </r>
  <r>
    <x v="6"/>
    <x v="10"/>
    <n v="22.666666666666668"/>
    <n v="4.5018514709691058"/>
    <n v="39.25"/>
    <n v="3.76497011940334"/>
    <x v="191"/>
    <x v="1"/>
  </r>
  <r>
    <x v="6"/>
    <x v="48"/>
    <n v="20.875"/>
    <n v="3.2482512777856893"/>
    <n v="37.366666666666667"/>
    <n v="1.2459458063579529"/>
    <x v="192"/>
    <x v="0"/>
  </r>
  <r>
    <x v="6"/>
    <x v="41"/>
    <n v="14.75"/>
    <n v="1.9456912102680337"/>
    <n v="26.4375"/>
    <n v="3.1559184762239072"/>
    <x v="193"/>
    <x v="1"/>
  </r>
  <r>
    <x v="6"/>
    <x v="6"/>
    <n v="19.5"/>
    <n v="3.191786333700926"/>
    <n v="35.136363636363633"/>
    <n v="1.3055824196677148"/>
    <x v="194"/>
    <x v="1"/>
  </r>
  <r>
    <x v="6"/>
    <x v="40"/>
    <n v="21.25"/>
    <n v="2.8308812919105049"/>
    <n v="38.666666666666664"/>
    <n v="2.0463381929681126"/>
    <x v="195"/>
    <x v="1"/>
  </r>
  <r>
    <x v="6"/>
    <x v="97"/>
    <n v="18.5"/>
    <n v="3.3911649915626341"/>
    <n v="33.777777777777779"/>
    <n v="0.87002554240915442"/>
    <x v="196"/>
    <x v="1"/>
  </r>
  <r>
    <x v="6"/>
    <x v="42"/>
    <n v="20.625"/>
    <n v="3.4970225430595478"/>
    <n v="38.166666666666664"/>
    <n v="0.76376261582607252"/>
    <x v="197"/>
    <x v="1"/>
  </r>
  <r>
    <x v="6"/>
    <x v="8"/>
    <n v="13.777777777777779"/>
    <n v="2.5752561900604096"/>
    <n v="25.5625"/>
    <n v="1.2374368670764582"/>
    <x v="198"/>
    <x v="0"/>
  </r>
  <r>
    <x v="6"/>
    <x v="9"/>
    <n v="19.863636363636363"/>
    <n v="3.1708903252155372"/>
    <n v="36.928571428571431"/>
    <n v="1.5548576840285087"/>
    <x v="199"/>
    <x v="1"/>
  </r>
  <r>
    <x v="6"/>
    <x v="5"/>
    <n v="16.7"/>
    <n v="1.5652475842498492"/>
    <n v="31.166666666666668"/>
    <n v="1.0801234497346153"/>
    <x v="200"/>
    <x v="1"/>
  </r>
  <r>
    <x v="6"/>
    <x v="82"/>
    <n v="17.833333333333332"/>
    <n v="2.578189058918956"/>
    <n v="33.289473684210527"/>
    <n v="1.8052068939112313"/>
    <x v="201"/>
    <x v="1"/>
  </r>
  <r>
    <x v="6"/>
    <x v="103"/>
    <n v="18.625"/>
    <n v="4.2695628191498329"/>
    <n v="34.799999999999997"/>
    <n v="3.1144823004794948"/>
    <x v="202"/>
    <x v="1"/>
  </r>
  <r>
    <x v="6"/>
    <x v="87"/>
    <n v="18.166666666666668"/>
    <n v="0.28867513459478006"/>
    <n v="34"/>
    <n v="1"/>
    <x v="203"/>
    <x v="1"/>
  </r>
  <r>
    <x v="6"/>
    <x v="104"/>
    <n v="22.333333333333332"/>
    <n v="5.5075705472861056"/>
    <n v="42"/>
    <m/>
    <x v="82"/>
    <x v="1"/>
  </r>
  <r>
    <x v="6"/>
    <x v="12"/>
    <n v="15.833333333333334"/>
    <n v="2.9499798223684452"/>
    <n v="29.8125"/>
    <n v="1.6007810593582121"/>
    <x v="204"/>
    <x v="1"/>
  </r>
  <r>
    <x v="6"/>
    <x v="13"/>
    <n v="12.416666666666666"/>
    <n v="1.2416387021459481"/>
    <n v="23.5"/>
    <n v="1.0488088481701516"/>
    <x v="205"/>
    <x v="0"/>
  </r>
  <r>
    <x v="6"/>
    <x v="43"/>
    <n v="13.5"/>
    <n v="1.8027756377319946"/>
    <n v="25.833333333333332"/>
    <n v="0.76376261582599814"/>
    <x v="206"/>
    <x v="0"/>
  </r>
  <r>
    <x v="6"/>
    <x v="29"/>
    <n v="19.75"/>
    <n v="3.6571847095819483"/>
    <n v="37.916666666666664"/>
    <n v="3.1968260774863997"/>
    <x v="207"/>
    <x v="1"/>
  </r>
  <r>
    <x v="6"/>
    <x v="105"/>
    <n v="26"/>
    <m/>
    <n v="50"/>
    <m/>
    <x v="208"/>
    <x v="1"/>
  </r>
  <r>
    <x v="6"/>
    <x v="76"/>
    <n v="15.1875"/>
    <n v="2.069118169655856"/>
    <n v="29.388888888888889"/>
    <n v="0.99303127398440272"/>
    <x v="209"/>
    <x v="1"/>
  </r>
  <r>
    <x v="6"/>
    <x v="106"/>
    <n v="19.399999999999999"/>
    <n v="3.5951356024495116"/>
    <n v="37.857142857142854"/>
    <n v="3.7161167647860385"/>
    <x v="210"/>
    <x v="1"/>
  </r>
  <r>
    <x v="6"/>
    <x v="23"/>
    <n v="17.8"/>
    <n v="4.9283758875403239"/>
    <n v="35.25"/>
    <n v="1.3093073414159542"/>
    <x v="211"/>
    <x v="1"/>
  </r>
  <r>
    <x v="6"/>
    <x v="107"/>
    <n v="12.5"/>
    <n v="2.1602468994692869"/>
    <n v="24.9"/>
    <n v="1.1401754250991181"/>
    <x v="212"/>
    <x v="0"/>
  </r>
  <r>
    <x v="6"/>
    <x v="45"/>
    <n v="17.444444444444443"/>
    <n v="3.5394600969325491"/>
    <n v="36.5625"/>
    <n v="1.7204131563585034"/>
    <x v="213"/>
    <x v="0"/>
  </r>
  <r>
    <x v="6"/>
    <x v="67"/>
    <n v="13"/>
    <n v="1.6832508230603465"/>
    <n v="27.375"/>
    <n v="0.9464847243000456"/>
    <x v="214"/>
    <x v="1"/>
  </r>
  <r>
    <x v="6"/>
    <x v="52"/>
    <n v="17.125"/>
    <n v="2.7195281453467866"/>
    <n v="36.9"/>
    <n v="1.0246950765959377"/>
    <x v="215"/>
    <x v="0"/>
  </r>
  <r>
    <x v="6"/>
    <x v="90"/>
    <n v="13"/>
    <n v="0.8660254037844386"/>
    <n v="28.25"/>
    <n v="5.3033008588991066"/>
    <x v="216"/>
    <x v="1"/>
  </r>
  <r>
    <x v="6"/>
    <x v="15"/>
    <n v="12.4375"/>
    <n v="2.1619683491802424"/>
    <n v="27.166666666666668"/>
    <n v="1.2516655570345483"/>
    <x v="217"/>
    <x v="0"/>
  </r>
  <r>
    <x v="6"/>
    <x v="63"/>
    <n v="12.625"/>
    <n v="3.1983068437325812"/>
    <n v="28.875"/>
    <n v="2.056493779875511"/>
    <x v="218"/>
    <x v="1"/>
  </r>
  <r>
    <x v="6"/>
    <x v="38"/>
    <n v="18.9375"/>
    <n v="3.709784360309909"/>
    <n v="44.325000000000003"/>
    <n v="2.0018083929550077"/>
    <x v="219"/>
    <x v="0"/>
  </r>
  <r>
    <x v="6"/>
    <x v="27"/>
    <n v="15"/>
    <n v="2.8284271247461903"/>
    <n v="35.75"/>
    <n v="1.0606601717798212"/>
    <x v="220"/>
    <x v="1"/>
  </r>
  <r>
    <x v="6"/>
    <x v="94"/>
    <n v="11.5"/>
    <m/>
    <n v="29"/>
    <n v="4.2426406871192848"/>
    <x v="221"/>
    <x v="1"/>
  </r>
  <r>
    <x v="6"/>
    <x v="75"/>
    <n v="17"/>
    <n v="2.1213203435596424"/>
    <n v="43"/>
    <n v="4.2426406871192848"/>
    <x v="22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AA20C5-C575-4C6F-8F24-B8F829045D41}" name="PivotTable5" cacheId="25"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compact="0" compactData="0" multipleFieldFilters="0">
  <location ref="A3:F5" firstHeaderRow="1" firstDataRow="2" firstDataCol="1"/>
  <pivotFields count="3">
    <pivotField compact="0" allDrilled="1" outline="0" subtotalTop="0" showAll="0" sortType="ascending" defaultSubtotal="0" defaultAttributeDrillState="1">
      <items count="3">
        <item s="1" x="0"/>
        <item s="1" x="1"/>
        <item s="1" x="2"/>
      </items>
    </pivotField>
    <pivotField dataField="1" compact="0" outline="0" subtotalTop="0" showAll="0" defaultSubtotal="0"/>
    <pivotField axis="axisCol" compact="0" allDrilled="1" outline="0" subtotalTop="0" showAll="0" defaultSubtotal="0" defaultAttributeDrillState="1">
      <items count="5">
        <item s="1" x="3"/>
        <item s="1" x="4"/>
        <item s="1" x="0"/>
        <item s="1" x="1"/>
        <item s="1" x="2"/>
      </items>
    </pivotField>
  </pivotFields>
  <rowItems count="1">
    <i/>
  </rowItems>
  <colFields count="1">
    <field x="2"/>
  </colFields>
  <colItems count="5">
    <i>
      <x/>
    </i>
    <i>
      <x v="1"/>
    </i>
    <i>
      <x v="2"/>
    </i>
    <i>
      <x v="3"/>
    </i>
    <i>
      <x v="4"/>
    </i>
  </colItems>
  <dataFields count="1">
    <dataField fld="1" subtotal="count" baseField="0" baseItem="0"/>
  </dataFields>
  <formats count="1">
    <format dxfId="229">
      <pivotArea outline="0" collapsedLevelsAreSubtotals="1" fieldPosition="0"/>
    </format>
  </formats>
  <pivotHierarchies count="47">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henoRef.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D1AA62-6AD3-498A-9DD5-CD7C4FB88AEB}" name="PivotTable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3:AA58" firstHeaderRow="1" firstDataRow="3" firstDataCol="1" rowPageCount="1" colPageCount="1"/>
  <pivotFields count="8">
    <pivotField axis="axisCol" showAll="0">
      <items count="9">
        <item x="0"/>
        <item x="1"/>
        <item x="2"/>
        <item x="3"/>
        <item x="4"/>
        <item x="5"/>
        <item x="6"/>
        <item h="1" m="1" x="7"/>
        <item t="default"/>
      </items>
    </pivotField>
    <pivotField axis="axisRow" showAll="0" sortType="ascending">
      <items count="117">
        <item x="35"/>
        <item x="24"/>
        <item x="34"/>
        <item x="51"/>
        <item x="64"/>
        <item x="59"/>
        <item x="29"/>
        <item x="23"/>
        <item x="25"/>
        <item x="91"/>
        <item x="83"/>
        <item x="84"/>
        <item x="46"/>
        <item x="54"/>
        <item x="3"/>
        <item x="67"/>
        <item x="65"/>
        <item x="73"/>
        <item x="63"/>
        <item x="32"/>
        <item x="36"/>
        <item x="53"/>
        <item x="104"/>
        <item x="106"/>
        <item m="1" x="113"/>
        <item x="20"/>
        <item x="22"/>
        <item x="92"/>
        <item x="66"/>
        <item x="56"/>
        <item x="100"/>
        <item x="60"/>
        <item x="9"/>
        <item x="27"/>
        <item x="28"/>
        <item x="14"/>
        <item x="37"/>
        <item x="77"/>
        <item x="26"/>
        <item x="50"/>
        <item x="30"/>
        <item x="55"/>
        <item x="33"/>
        <item x="44"/>
        <item x="12"/>
        <item x="16"/>
        <item x="97"/>
        <item x="101"/>
        <item x="6"/>
        <item x="98"/>
        <item x="48"/>
        <item x="42"/>
        <item x="10"/>
        <item x="31"/>
        <item m="1" x="108"/>
        <item x="75"/>
        <item x="103"/>
        <item x="93"/>
        <item x="86"/>
        <item x="85"/>
        <item x="18"/>
        <item x="49"/>
        <item x="74"/>
        <item x="82"/>
        <item x="2"/>
        <item x="4"/>
        <item x="7"/>
        <item x="21"/>
        <item x="69"/>
        <item x="11"/>
        <item x="19"/>
        <item x="15"/>
        <item x="13"/>
        <item x="62"/>
        <item x="88"/>
        <item x="1"/>
        <item x="0"/>
        <item x="81"/>
        <item x="80"/>
        <item x="79"/>
        <item x="17"/>
        <item m="1" x="114"/>
        <item x="38"/>
        <item m="1" x="115"/>
        <item x="57"/>
        <item x="102"/>
        <item x="72"/>
        <item x="45"/>
        <item x="5"/>
        <item x="8"/>
        <item m="1" x="110"/>
        <item m="1" x="111"/>
        <item x="105"/>
        <item x="87"/>
        <item x="99"/>
        <item x="94"/>
        <item x="89"/>
        <item x="107"/>
        <item x="76"/>
        <item x="70"/>
        <item x="43"/>
        <item x="47"/>
        <item x="52"/>
        <item x="41"/>
        <item x="90"/>
        <item x="78"/>
        <item x="95"/>
        <item x="96"/>
        <item m="1" x="109"/>
        <item x="61"/>
        <item m="1" x="112"/>
        <item x="58"/>
        <item x="68"/>
        <item x="71"/>
        <item x="40"/>
        <item x="39"/>
        <item t="default"/>
      </items>
    </pivotField>
    <pivotField showAll="0"/>
    <pivotField showAll="0"/>
    <pivotField showAll="0"/>
    <pivotField showAll="0"/>
    <pivotField dataField="1" showAll="0"/>
    <pivotField axis="axisPage" multipleItemSelectionAllowed="1" showAll="0">
      <items count="3">
        <item x="1"/>
        <item h="1" x="0"/>
        <item t="default"/>
      </items>
    </pivotField>
  </pivotFields>
  <rowFields count="1">
    <field x="1"/>
  </rowFields>
  <rowItems count="53">
    <i>
      <x v="1"/>
    </i>
    <i>
      <x v="5"/>
    </i>
    <i>
      <x v="6"/>
    </i>
    <i>
      <x v="7"/>
    </i>
    <i>
      <x v="9"/>
    </i>
    <i>
      <x v="10"/>
    </i>
    <i>
      <x v="11"/>
    </i>
    <i>
      <x v="12"/>
    </i>
    <i>
      <x v="15"/>
    </i>
    <i>
      <x v="18"/>
    </i>
    <i>
      <x v="19"/>
    </i>
    <i>
      <x v="22"/>
    </i>
    <i>
      <x v="23"/>
    </i>
    <i>
      <x v="26"/>
    </i>
    <i>
      <x v="29"/>
    </i>
    <i>
      <x v="30"/>
    </i>
    <i>
      <x v="31"/>
    </i>
    <i>
      <x v="32"/>
    </i>
    <i>
      <x v="33"/>
    </i>
    <i>
      <x v="34"/>
    </i>
    <i>
      <x v="37"/>
    </i>
    <i>
      <x v="44"/>
    </i>
    <i>
      <x v="46"/>
    </i>
    <i>
      <x v="48"/>
    </i>
    <i>
      <x v="49"/>
    </i>
    <i>
      <x v="51"/>
    </i>
    <i>
      <x v="52"/>
    </i>
    <i>
      <x v="53"/>
    </i>
    <i>
      <x v="55"/>
    </i>
    <i>
      <x v="56"/>
    </i>
    <i>
      <x v="58"/>
    </i>
    <i>
      <x v="63"/>
    </i>
    <i>
      <x v="70"/>
    </i>
    <i>
      <x v="73"/>
    </i>
    <i>
      <x v="74"/>
    </i>
    <i>
      <x v="75"/>
    </i>
    <i>
      <x v="84"/>
    </i>
    <i>
      <x v="88"/>
    </i>
    <i>
      <x v="92"/>
    </i>
    <i>
      <x v="93"/>
    </i>
    <i>
      <x v="94"/>
    </i>
    <i>
      <x v="95"/>
    </i>
    <i>
      <x v="96"/>
    </i>
    <i>
      <x v="98"/>
    </i>
    <i>
      <x v="99"/>
    </i>
    <i>
      <x v="103"/>
    </i>
    <i>
      <x v="104"/>
    </i>
    <i>
      <x v="106"/>
    </i>
    <i>
      <x v="112"/>
    </i>
    <i>
      <x v="113"/>
    </i>
    <i>
      <x v="114"/>
    </i>
    <i>
      <x v="115"/>
    </i>
    <i t="grand">
      <x/>
    </i>
  </rowItems>
  <colFields count="2">
    <field x="0"/>
    <field x="-2"/>
  </colFields>
  <colItems count="16">
    <i>
      <x/>
      <x/>
    </i>
    <i r="1" i="1">
      <x v="1"/>
    </i>
    <i>
      <x v="1"/>
      <x/>
    </i>
    <i r="1" i="1">
      <x v="1"/>
    </i>
    <i>
      <x v="2"/>
      <x/>
    </i>
    <i r="1" i="1">
      <x v="1"/>
    </i>
    <i>
      <x v="3"/>
      <x/>
    </i>
    <i r="1" i="1">
      <x v="1"/>
    </i>
    <i>
      <x v="4"/>
      <x/>
    </i>
    <i r="1" i="1">
      <x v="1"/>
    </i>
    <i>
      <x v="5"/>
      <x/>
    </i>
    <i r="1" i="1">
      <x v="1"/>
    </i>
    <i>
      <x v="6"/>
      <x/>
    </i>
    <i r="1" i="1">
      <x v="1"/>
    </i>
    <i t="grand">
      <x/>
    </i>
    <i t="grand" i="1">
      <x/>
    </i>
  </colItems>
  <pageFields count="1">
    <pageField fld="7" hier="-1"/>
  </pageFields>
  <dataFields count="2">
    <dataField name="Average of Ratio" fld="6" subtotal="average" baseField="1" baseItem="19"/>
    <dataField name="StdDev of Ratio" fld="6" subtotal="stdDev" baseField="1" baseItem="1"/>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nd" xr10:uid="{369D8360-1F4A-4CEE-8E2F-00EA0AE71660}" sourceName="Round">
  <pivotTables>
    <pivotTable tabId="3" name="PivotTable2"/>
  </pivotTables>
  <data>
    <tabular pivotCacheId="825638481">
      <items count="8">
        <i x="0" s="1"/>
        <i x="1" s="1"/>
        <i x="2" s="1"/>
        <i x="3" s="1"/>
        <i x="4" s="1"/>
        <i x="5" s="1"/>
        <i x="6" s="1"/>
        <i x="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1._Phenotype" xr10:uid="{EE4FDF81-0253-41EE-8C64-47E4954C5CE6}" sourceName="[Table3].[Phenotype]">
  <pivotTables>
    <pivotTable tabId="6" name="PivotTable5"/>
  </pivotTables>
  <data>
    <olap pivotCacheId="477155609">
      <levels count="2">
        <level uniqueName="[Table3].[Phenotype].[(All)]" sourceCaption="(All)" count="0"/>
        <level uniqueName="[Table3].[Phenotype].[Phenotype]" sourceCaption="Phenotype" count="25">
          <ranges>
            <range startItem="0">
              <i n="[Table3].[Phenotype].&amp;[92CK119]" c="92CK119"/>
              <i n="[Table3].[Phenotype].&amp;[BERT016]" c="BERT016"/>
              <i n="[Table3].[Phenotype].&amp;[BLDS207]" c="BLDS207"/>
              <i n="[Table3].[Phenotype].&amp;[DOSI005]" c="DOSI005"/>
              <i n="[Table3].[Phenotype].&amp;[DURP006]" c="DURP006"/>
              <i n="[Table3].[Phenotype].&amp;[GFSD189]" c="GFSD189"/>
              <i n="[Table3].[Phenotype].&amp;[KING002]" c="KING002"/>
              <i n="[Table3].[Phenotype].&amp;[KOKO011]" c="KOKO011"/>
              <i n="[Table3].[Phenotype].&amp;[LDOS040]" c="LDOS040"/>
              <i n="[Table3].[Phenotype].&amp;[NYFL014]" c="NYFL014"/>
              <i n="[Table3].[Phenotype].&amp;[OROB054]" c="OROB054"/>
              <i n="[Table3].[Phenotype].&amp;[PLAN008]" c="PLAN008"/>
              <i n="[Table3].[Phenotype].&amp;[SHRM014]" c="SHRM014"/>
              <i n="[Table3].[Phenotype].&amp;[SODA011]" c="SODA011"/>
              <i n="[Table3].[Phenotype].&amp;[SOUR007]" c="SOUR007"/>
              <i n="[Table3].[Phenotype].&amp;[STR8017]" c="STR8017"/>
              <i n="[Table3].[Phenotype].&amp;[SUNL006]" c="SUNL006"/>
              <i n="[Table3].[Phenotype].&amp;[DITO001]" c="DITO001" nd="1"/>
              <i n="[Table3].[Phenotype].&amp;[DITO007]" c="DITO007" nd="1"/>
              <i n="[Table3].[Phenotype].&amp;[FIRE001]" c="FIRE001" nd="1"/>
              <i n="[Table3].[Phenotype].&amp;[FIRE007]" c="FIRE007" nd="1"/>
              <i n="[Table3].[Phenotype].&amp;[FIRE012]" c="FIRE012" nd="1"/>
              <i n="[Table3].[Phenotype].&amp;[JMAC016]" c="JMAC016" nd="1"/>
              <i n="[Table3].[Phenotype].&amp;[PINE001]" c="PINE001" nd="1"/>
              <i n="[Table3].[Phenotype].&amp;[RAIN001]" c="RAIN001" nd="1"/>
            </range>
          </ranges>
        </level>
      </levels>
      <selections count="1">
        <selection n="[Table3].[Pheno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requirement" xr10:uid="{30C54F1C-7E79-466D-B39A-7EC44DC10667}" sourceName="[Table3].[Time requirement]">
  <pivotTables>
    <pivotTable tabId="6" name="PivotTable5"/>
  </pivotTables>
  <data>
    <olap pivotCacheId="477155609">
      <levels count="2">
        <level uniqueName="[Table3].[Time requirement].[(All)]" sourceCaption="(All)" count="0"/>
        <level uniqueName="[Table3].[Time requirement].[Time requirement]" sourceCaption="Time requirement" count="7">
          <ranges>
            <range startItem="0">
              <i n="[Table3].[Time requirement].&amp;[]" c=""/>
              <i n="[Table3].[Time requirement].&amp;[Average Time]" c="Average Time"/>
              <i n="[Table3].[Time requirement].&amp;[Average/Long Time]" c="Average/Long Time"/>
              <i n="[Table3].[Time requirement].&amp;[Long Time]" c="Long Time"/>
              <i n="[Table3].[Time requirement].&amp;[not determined yet]" c="not determined yet"/>
              <i n="[Table3].[Time requirement].&amp;[Short Time]" c="Short Time"/>
              <i n="[Table3].[Time requirement].&amp;[Short/Average Time]" c="Short/Average Time"/>
            </range>
          </ranges>
        </level>
      </levels>
      <selections count="5">
        <selection n="[Table3].[Time requirement].&amp;[Average Time]"/>
        <selection n="[Table3].[Time requirement].&amp;[Average/Long Time]"/>
        <selection n="[Table3].[Time requirement].&amp;[Long Time]"/>
        <selection n="[Table3].[Time requirement].&amp;[Short Time]"/>
        <selection n="[Table3].[Time requirement].&amp;[Short/Average 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1. Phenotype" xr10:uid="{10714BEB-F66F-498A-8CC9-8CB63CFFA4F1}" cache="Slicer_1._Phenotype" caption="1. Phenotype" level="1" rowHeight="241300"/>
  <slicer name="Time requirement" xr10:uid="{871397D8-07BE-4E4F-B17B-0BD0BBA50BE9}" cache="Slicer_Time_requirement" caption="Time requiremen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und" xr10:uid="{30232912-7810-4B72-9DCF-3FB4A32506EA}" cache="Slicer_Round" caption="Roun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D798ED-58FA-4557-994D-AF17AC8F8642}" name="Table3" displayName="Table3" ref="A1:AK26" totalsRowShown="0" headerRowDxfId="213" dataDxfId="212">
  <autoFilter ref="A1:AK26" xr:uid="{A791FA63-58BA-49AC-AA60-B548D965B180}">
    <filterColumn colId="3">
      <customFilters>
        <customFilter operator="notEqual" val=" "/>
      </customFilters>
    </filterColumn>
    <filterColumn colId="28">
      <filters>
        <filter val="Trellis should be set slightly above canopy level (2-3 squares on PIPP rack)."/>
      </filters>
    </filterColumn>
  </autoFilter>
  <sortState xmlns:xlrd2="http://schemas.microsoft.com/office/spreadsheetml/2017/richdata2" ref="A2:AK22">
    <sortCondition ref="A1:A26"/>
  </sortState>
  <tableColumns count="37">
    <tableColumn id="1" xr3:uid="{F141F366-EB37-4939-8611-A2991DDED7F2}" name="Phenotype" dataDxfId="211"/>
    <tableColumn id="28" xr3:uid="{F0575662-C7D6-4EAC-AA75-EEA1E46702D2}" name="Strain Name" dataDxfId="210"/>
    <tableColumn id="29" xr3:uid="{8730C64C-235B-4D00-B1BC-C225E72E8480}" name="Lineage" dataDxfId="209"/>
    <tableColumn id="30" xr3:uid="{A78A17DB-6658-49BF-8157-19750AF699A0}" name="Classification" dataDxfId="208"/>
    <tableColumn id="31" xr3:uid="{9B3E54EE-BD38-4D9B-96AB-9D252770085D}" name="Average THC Potency" dataDxfId="207"/>
    <tableColumn id="33" xr3:uid="{A2460039-5D1B-43A5-90FC-1B3C6B1C9005}" name="Strain Book  Description" dataDxfId="206"/>
    <tableColumn id="32" xr3:uid="{E77170E4-5434-46DA-B968-784DEC7749DC}" name="Primary Terpenes" dataDxfId="205"/>
    <tableColumn id="11" xr3:uid="{D6E4BB3A-0EE8-4686-9DD2-E56D427CED15}" name="Yield Category" dataDxfId="204">
      <calculatedColumnFormula>_xlfn.IFNA(INDEX(Table8[bin],MATCH(LEFT(Table3[[#This Row],[Phenotype]],4),Table8[Strain],0)),"not yet determined")</calculatedColumnFormula>
    </tableColumn>
    <tableColumn id="12" xr3:uid="{74102FCF-0FE0-4E91-9B93-1194BC7159DA}" name="Dry Time" dataDxfId="203"/>
    <tableColumn id="19" xr3:uid="{B867CDBC-6FB1-4FA4-8143-2F5503976FB8}" name="Final Veg Height (C27-C36)" dataDxfId="202"/>
    <tableColumn id="20" xr3:uid="{D77CC47B-386B-4F15-AF1B-FCD1B9261B86}" name="Final Veg Height Variability" dataDxfId="201"/>
    <tableColumn id="2" xr3:uid="{75ABE0C0-E16A-49C4-AA24-045FEA3CB6E1}" name="Final Flower Height (C28-C34)" dataDxfId="200"/>
    <tableColumn id="10" xr3:uid="{05D511AA-B9D8-4D0F-98AC-1BEB182CCC04}" name="Final Flower Height Variability" dataDxfId="199"/>
    <tableColumn id="3" xr3:uid="{3D384735-B6F5-4978-B9D8-F6021B2E6D7B}" name="Growth Habit" dataDxfId="198"/>
    <tableColumn id="7" xr3:uid="{9F3B0DA6-2DFC-4348-A4EA-1DA4A62992AD}" name="Stem Structure" dataDxfId="197"/>
    <tableColumn id="23" xr3:uid="{036423BF-8D90-49A8-B253-1969453E455F}" name="Tertiary Branch Length" dataDxfId="196"/>
    <tableColumn id="35" xr3:uid="{61BD0A6C-E9A5-42EF-8ED3-343B03CF6AE5}" name="Veg thirst" dataDxfId="195"/>
    <tableColumn id="26" xr3:uid="{D32015E3-7894-42D4-86A2-DA0C9FA04B26}" name="Flower thirst" dataDxfId="194"/>
    <tableColumn id="37" xr3:uid="{BC9D64EB-37BB-4AFD-BC3A-C24042F80D7A}" name="Percent loss in clone (C23-C37)" dataDxfId="193"/>
    <tableColumn id="36" xr3:uid="{8621620C-5A71-4AFE-A3F0-38D73757C3D0}" name="Average number of clones from prime moms (C23-C33)" dataDxfId="192"/>
    <tableColumn id="24" xr3:uid="{ABE71ED7-846D-4056-83D4-4C7237031BD3}" name="Early/Late First Top" dataDxfId="191"/>
    <tableColumn id="14" xr3:uid="{90754A76-3FEA-4908-857F-CD08B2CB9E08}" name="Topping Strategy" dataDxfId="190"/>
    <tableColumn id="15" xr3:uid="{345AB296-BCF0-432F-8F51-66C5F862392E}" name="Pruning Requirements (Veg)" dataDxfId="189"/>
    <tableColumn id="9" xr3:uid="{BF33A721-6CA7-407D-A027-23F0F1987405}" name="Pruning Requirements (Flower)" dataDxfId="188"/>
    <tableColumn id="16" xr3:uid="{5329F7D9-2967-4E3B-AC6B-4E8725E66C53}" name="Pruning Technique" dataDxfId="187"/>
    <tableColumn id="38" xr3:uid="{6E210947-60BA-47DB-8D95-CCC34CDEB9C7}" name="Time requirement" dataDxfId="186">
      <calculatedColumnFormula>_xlfn.IFNA(INDEX(Table17[Category],MATCH(Table3[[#This Row],[Phenotype]],Table17[Pheno],0)),"")</calculatedColumnFormula>
    </tableColumn>
    <tableColumn id="5" xr3:uid="{87390B22-9D76-49C4-9390-ABD0348C9214}" name="Number of Trellises" dataDxfId="185"/>
    <tableColumn id="25" xr3:uid="{BD5ED172-257A-4259-9EB7-FB487FBBA2BD}" name="Early Second" dataDxfId="184"/>
    <tableColumn id="34" xr3:uid="{2599000A-B8A5-46B6-8429-981E747CBA1C}" name="First Trellis Instructions" dataDxfId="183"/>
    <tableColumn id="13" xr3:uid="{AAEAE45A-14DB-4C6E-A871-D8059BA71D5B}" name="Second and Third Trellis Instructions" dataDxfId="182"/>
    <tableColumn id="6" xr3:uid="{E7A6666D-99A9-4DBF-894F-F4CAE59F24C3}" name="Trellising Technique" dataDxfId="181"/>
    <tableColumn id="4" xr3:uid="{95B03A5A-A846-4E9F-A992-9005B31FDBC7}" name="Training Technique" dataDxfId="180"/>
    <tableColumn id="8" xr3:uid="{D4211CC2-C884-4C83-BD21-B5B20E301ED8}" name="Recommended training times" dataDxfId="179"/>
    <tableColumn id="21" xr3:uid="{B078A4D6-AECC-4E93-BE0D-7B5A456AEAF1}" name="Plants per Flower Table" dataDxfId="178"/>
    <tableColumn id="27" xr3:uid="{59D12E86-8E51-4AB3-8210-9EA39EAE6456}" name="Flower Event Time Estimate" dataDxfId="177"/>
    <tableColumn id="22" xr3:uid="{EA3B176B-F82E-4285-8ECE-80AC969CA09B}" name="PM INDEX" dataDxfId="176">
      <calculatedColumnFormula>_xlfn.IFNA(VLOOKUP(Table3[[#This Row],[Phenotype]],Table2[],6,FALSE),"no index value")</calculatedColumnFormula>
    </tableColumn>
    <tableColumn id="18" xr3:uid="{4CD8CC2F-B038-4E0B-BCE5-DBB6644395F9}" name="Status of Description" dataDxfId="175"/>
  </tableColumns>
  <tableStyleInfo name="TableStyleLight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A0C8484-5D26-4613-88FE-56B49FCCD88B}" name="Table14" displayName="Table14" ref="E35:G123" totalsRowShown="0">
  <autoFilter ref="E35:G123" xr:uid="{09216EC5-17EC-4F90-A6C8-92465E28669A}"/>
  <tableColumns count="3">
    <tableColumn id="1" xr3:uid="{B235DF83-AC24-4411-8532-72BBFF1AAF2B}" name="Harvest"/>
    <tableColumn id="3" xr3:uid="{5CCA82EE-71C4-4F3A-9708-562B55A88E91}" name="Strain"/>
    <tableColumn id="4" xr3:uid="{4463630B-C370-4674-8C7F-7DDF5FCC10EB}" name="grams per sq.ft. of tested flower" dataDxfId="12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FE39850-3EEC-4550-B236-564C77E970D3}" name="Table15" displayName="Table15" ref="A1:R18" totalsRowShown="0" headerRowDxfId="123" dataDxfId="121" headerRowBorderDxfId="122" tableBorderDxfId="120" totalsRowBorderDxfId="119">
  <autoFilter ref="A1:R18" xr:uid="{76618A23-97C1-4DAF-98B4-11D0A84C48D0}"/>
  <tableColumns count="18">
    <tableColumn id="1" xr3:uid="{994E6E3C-7324-4D9C-A557-80A692D66540}" name="Timestamp" dataDxfId="118"/>
    <tableColumn id="2" xr3:uid="{38BF2536-920A-4F4F-91B9-58B42811AEAF}" name="92CK119" dataDxfId="117"/>
    <tableColumn id="3" xr3:uid="{697BA2E4-C3B0-434D-A8C7-E3B7FA897020}" name="BERT016" dataDxfId="116"/>
    <tableColumn id="4" xr3:uid="{13C00ECB-20EB-430B-A656-CF266E122CC2}" name="BLDS207" dataDxfId="115"/>
    <tableColumn id="5" xr3:uid="{C6230FBD-1126-4185-9240-BC4CE4A4EAE7}" name="DOSI005" dataDxfId="114"/>
    <tableColumn id="6" xr3:uid="{F6E6A91A-C661-453B-8DF1-059060A56FC8}" name="DURP006" dataDxfId="113"/>
    <tableColumn id="7" xr3:uid="{0CC40152-AE88-4A4E-BA92-C7F8D25176B5}" name="GFSD189" dataDxfId="112"/>
    <tableColumn id="8" xr3:uid="{6FBD9077-D639-47E9-87D6-76F518C84F0C}" name="KING002" dataDxfId="111"/>
    <tableColumn id="9" xr3:uid="{F949D39C-5078-4FE7-9CC4-1B66B1D1E676}" name="KOKO011" dataDxfId="110"/>
    <tableColumn id="10" xr3:uid="{21A5E6DE-E549-4C1A-BACC-EE93DD0A7C2F}" name="LDOS040" dataDxfId="109"/>
    <tableColumn id="11" xr3:uid="{9C2CA460-D81C-48A1-84A9-BE56F8F38DA7}" name="NYFL014" dataDxfId="108"/>
    <tableColumn id="12" xr3:uid="{5EB84006-0C9D-4DC7-AC89-B239227CC0EC}" name="OROB054" dataDxfId="107"/>
    <tableColumn id="13" xr3:uid="{D40B8BE5-1ED9-4E43-B567-19B1B60C2D31}" name="PLAN008" dataDxfId="106"/>
    <tableColumn id="14" xr3:uid="{C2B73A7F-A1CD-4A75-A0F9-6EC0F55149CB}" name="SHRM014" dataDxfId="105"/>
    <tableColumn id="15" xr3:uid="{CBF5E1DC-D04F-4E26-9543-B91A17C33B4E}" name="SOUR007" dataDxfId="104"/>
    <tableColumn id="16" xr3:uid="{E08C1C81-F32D-419B-AC7A-F3944D147011}" name="SODA011" dataDxfId="103"/>
    <tableColumn id="17" xr3:uid="{EF523B83-F893-4EE5-A419-85000C4C9EC6}" name="STR8017" dataDxfId="102"/>
    <tableColumn id="18" xr3:uid="{F89AF888-C2F7-4A18-A2C0-CC6374F22240}" name="SUNL006" dataDxfId="10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EA36EF1-85CF-426C-9645-DB0B925E1D13}" name="Table16" displayName="Table16" ref="A20:R38" totalsRowCount="1">
  <autoFilter ref="A20:R37" xr:uid="{676DD619-D8E1-4A43-BAD0-50CD3DFAF2D7}"/>
  <tableColumns count="18">
    <tableColumn id="1" xr3:uid="{4108A6AF-75A7-4ADC-BA0D-3C72DE8293E8}" name="Timestamp" totalsRowLabel="Total" dataDxfId="100"/>
    <tableColumn id="2" xr3:uid="{95FC8561-2DD7-4762-B137-35B077D872F7}" name="92CK119" totalsRowFunction="average"/>
    <tableColumn id="3" xr3:uid="{6F0B15B7-638F-4B38-9D18-C8C407842176}" name="BERT016" totalsRowFunction="average"/>
    <tableColumn id="4" xr3:uid="{7B30C57F-1B54-40A7-8D94-71CC75F648B0}" name="BLDS207" totalsRowFunction="average"/>
    <tableColumn id="5" xr3:uid="{4419AFD4-5EFC-47C9-A10F-B4C42A5EF078}" name="DOSI005" totalsRowFunction="average"/>
    <tableColumn id="6" xr3:uid="{9FD64DD1-04AC-49B4-BC13-7F088B900FBC}" name="DURP006" totalsRowFunction="average"/>
    <tableColumn id="7" xr3:uid="{3B9EB7A5-F2B7-492C-9982-445C53E048AF}" name="GFSD189" totalsRowFunction="average"/>
    <tableColumn id="8" xr3:uid="{EC486B36-56FE-4E46-A0A4-20DB1DFB51BC}" name="KING002" totalsRowFunction="average"/>
    <tableColumn id="9" xr3:uid="{3B612052-60B8-43D4-85F7-93B7F0E119D4}" name="KOKO011" totalsRowFunction="average"/>
    <tableColumn id="10" xr3:uid="{3C5B3E20-7401-4904-9A87-0BB017C2F9B8}" name="LDOS040" totalsRowFunction="average"/>
    <tableColumn id="11" xr3:uid="{CA3A2174-A6CD-4134-8614-F7CEB986FB28}" name="NYFL014" totalsRowFunction="average"/>
    <tableColumn id="12" xr3:uid="{FA188A75-95B1-4BF6-9E39-768EF0F3DE54}" name="OROB054" totalsRowFunction="average"/>
    <tableColumn id="13" xr3:uid="{A4ED0E99-4BF0-4173-9D88-C0302A24AAD9}" name="PLAN008" totalsRowFunction="average"/>
    <tableColumn id="14" xr3:uid="{B7D156D3-638B-4AF0-8661-FDA4CFA8237C}" name="SHRM014" totalsRowFunction="average"/>
    <tableColumn id="15" xr3:uid="{2E5FC397-D54F-4998-977E-8B7A59C73A33}" name="SOUR007" totalsRowFunction="average"/>
    <tableColumn id="16" xr3:uid="{1D96854D-FF81-48C2-A859-BF7EF8713DD8}" name="SODA011" totalsRowFunction="average"/>
    <tableColumn id="17" xr3:uid="{0DC5BE2A-4C37-4565-BAA9-3A4121A7A491}" name="STR8017" totalsRowFunction="average"/>
    <tableColumn id="18" xr3:uid="{8B77FE21-C8EF-4AFD-B73E-2AF1BE8A3F7F}" name="SUNL006" totalsRowFunction="averag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9400330-EA44-4B91-BA12-125974E76A46}" name="Table17" displayName="Table17" ref="U3:W20" totalsRowShown="0" headerRowDxfId="99" headerRowBorderDxfId="98" tableBorderDxfId="97" totalsRowBorderDxfId="96">
  <autoFilter ref="U3:W20" xr:uid="{E476EDBA-B1F4-400B-B651-3A47E13DEDAA}"/>
  <tableColumns count="3">
    <tableColumn id="1" xr3:uid="{6B8F3058-5971-4015-90E8-5D31D9D7CEF7}" name="Pheno" dataDxfId="95"/>
    <tableColumn id="2" xr3:uid="{7FD6B95E-06FC-42AC-8748-109D31915BB2}" name="Time Rating" dataDxfId="94"/>
    <tableColumn id="3" xr3:uid="{B8CF4D0F-04B6-4C47-9876-6016DAA3E57B}" name="Category" dataDxfId="9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B251AE6-6497-4A04-B02F-6BE3EEC420F3}" name="Table314" displayName="Table314" ref="A1:AL4" totalsRowShown="0" headerRowDxfId="88" dataDxfId="87">
  <autoFilter ref="A1:AL4" xr:uid="{A791FA63-58BA-49AC-AA60-B548D965B180}"/>
  <sortState xmlns:xlrd2="http://schemas.microsoft.com/office/spreadsheetml/2017/richdata2" ref="A2:AL4">
    <sortCondition ref="A1:A4"/>
  </sortState>
  <tableColumns count="38">
    <tableColumn id="1" xr3:uid="{01133C35-3492-4BB7-A0A9-576026F028CA}" name="Phenotype" dataDxfId="86"/>
    <tableColumn id="28" xr3:uid="{A0374EF6-C9AD-4954-9F6D-7ADFD6FDDF64}" name="Strain Name" dataDxfId="85"/>
    <tableColumn id="29" xr3:uid="{CB0C0265-7D57-4899-A8F0-0D467851E734}" name="Lineage" dataDxfId="84"/>
    <tableColumn id="30" xr3:uid="{1118E771-CFAB-47A3-A405-EBDF2E69D812}" name="Classification" dataDxfId="83"/>
    <tableColumn id="31" xr3:uid="{5D6A5A10-61CC-45FE-AB08-D8F89EE8188E}" name="Potency" dataDxfId="82"/>
    <tableColumn id="33" xr3:uid="{8601BE70-4BA3-41E7-9DD1-6DA9FFD8FB81}" name="Menu Description" dataDxfId="81"/>
    <tableColumn id="32" xr3:uid="{972FDD43-477A-401C-BA69-5095B9BDF830}" name="Primary Terpenes" dataDxfId="80"/>
    <tableColumn id="17" xr3:uid="{C12EC4B0-CA98-4E90-A9D6-27351C146A98}" name="Dead or Alive" dataDxfId="79">
      <calculatedColumnFormula>_xlfn.IFNA(INDEX([2]!Table1[Status],MATCH(Table314[[#This Row],[Phenotype]],[2]!Table1[Pheno],0)),"DEAD")</calculatedColumnFormula>
    </tableColumn>
    <tableColumn id="11" xr3:uid="{6F4E7D29-0613-4E42-9D44-977C155FE07D}" name="Veg Category" dataDxfId="78">
      <calculatedColumnFormula>VLOOKUP(Table314[[#This Row],[Phenotype]],Table162[[Pheno]:[Flower Category]],2,FALSE)</calculatedColumnFormula>
    </tableColumn>
    <tableColumn id="12" xr3:uid="{AC60C2C7-2E99-4010-B1A4-5EE66E8AC5D2}" name="Flower Category" dataDxfId="77">
      <calculatedColumnFormula>VLOOKUP(Table314[[#This Row],[Phenotype]],Table162[[Pheno]:[Flower Category]],3,FALSE)</calculatedColumnFormula>
    </tableColumn>
    <tableColumn id="19" xr3:uid="{AF60514E-85E6-45BC-B2D3-719FFB9DEE10}" name="Final Veg Height (C19-C28)" dataDxfId="76"/>
    <tableColumn id="20" xr3:uid="{1EA4B170-3E21-4F55-8CD7-669DD1CF528A}" name="Final Veg Height Variability" dataDxfId="75"/>
    <tableColumn id="2" xr3:uid="{096E30AA-287A-4DEE-8DDE-E2AFAF1822D3}" name="Final Flower Height (C19-C28, excl. C27)" dataDxfId="74"/>
    <tableColumn id="10" xr3:uid="{619961C0-18CE-4540-91A5-A40F2A5A8AD2}" name="Final Flower Height Variability" dataDxfId="73"/>
    <tableColumn id="3" xr3:uid="{3E9ECEFE-595A-422A-9962-5D235A8E99CF}" name="Growth Habit" dataDxfId="72"/>
    <tableColumn id="7" xr3:uid="{ACA20EF9-FB07-4D59-85B2-3B3173FC90B9}" name="Stem Structure" dataDxfId="71"/>
    <tableColumn id="23" xr3:uid="{D773D7AA-74C9-42B2-9047-DF3FDB015886}" name="Tertiary Branch Length" dataDxfId="70"/>
    <tableColumn id="35" xr3:uid="{9557AC17-5031-4C8A-AE9A-426D0D25A68C}" name="Veg thirst" dataDxfId="69"/>
    <tableColumn id="26" xr3:uid="{72B4ACE5-2F83-4639-8CED-E0CB7B95C0EB}" name="Flower thirst" dataDxfId="68"/>
    <tableColumn id="37" xr3:uid="{9DDF9792-ED5C-470F-B83E-CD076D99BFAE}" name="Percent loss in clone (C23-C33)" dataDxfId="67"/>
    <tableColumn id="36" xr3:uid="{9C566D63-6FDC-4550-8000-0CFDBACD99E0}" name="Average number of clones from prime moms (C23-C33)" dataDxfId="66"/>
    <tableColumn id="24" xr3:uid="{4183E88A-FD0B-4458-9719-29CB1A0633BE}" name="Early/Late First Top" dataDxfId="65"/>
    <tableColumn id="14" xr3:uid="{64E4313A-0073-42FA-AC38-EAD610C65F41}" name="Topping Strategy" dataDxfId="64"/>
    <tableColumn id="15" xr3:uid="{06BA3902-ACB4-444F-B69B-FFF59A60EBD0}" name="Pruning Requirements (Veg)" dataDxfId="63"/>
    <tableColumn id="9" xr3:uid="{7E8A2B7F-9500-426C-B6AF-D12330EDC9AC}" name="Pruning Requirements (Flower)" dataDxfId="62"/>
    <tableColumn id="16" xr3:uid="{84815A71-F3CF-404C-8721-7F81BA413CDE}" name="Pruning Technique" dataDxfId="61"/>
    <tableColumn id="38" xr3:uid="{87E0A3BA-2714-4585-A7A4-7205026FC47C}" name="Time requirement" dataDxfId="60"/>
    <tableColumn id="5" xr3:uid="{BEEC2B30-4DA5-4195-9326-06D99F211D06}" name="Number of Trellises" dataDxfId="59">
      <calculatedColumnFormula>IFERROR(VLOOKUP(Table314[[#This Row],[Phenotype]],[3]!Table10[[Phenotype]:[Variation]],2,FALSE),"2")</calculatedColumnFormula>
    </tableColumn>
    <tableColumn id="25" xr3:uid="{F807B27F-BDF4-4C45-BFBE-6BA6B824A6B4}" name="Early Second" dataDxfId="58"/>
    <tableColumn id="34" xr3:uid="{D63E546B-A529-4721-BFB9-8D7584659E46}" name="First Trellis Instructions" dataDxfId="57"/>
    <tableColumn id="13" xr3:uid="{55D520E5-F9DB-4E9B-B4A0-887BE682E274}" name="Second and Third Trellis Instructions" dataDxfId="56"/>
    <tableColumn id="6" xr3:uid="{4F1AC2E0-5F23-4BFB-9753-AC2EB44138BB}" name="Trellising Technique" dataDxfId="55"/>
    <tableColumn id="4" xr3:uid="{44BB7C17-B938-4304-97B5-A3D846B9E48E}" name="Training Technique" dataDxfId="54"/>
    <tableColumn id="8" xr3:uid="{655D5617-72F2-4D0B-9745-3137BF048EAA}" name="Recommended training times" dataDxfId="53"/>
    <tableColumn id="21" xr3:uid="{0E96F5FF-8905-42F5-8507-FECD1913219D}" name="Plants per Flower Table" dataDxfId="52"/>
    <tableColumn id="27" xr3:uid="{5012B0A2-CD50-4651-86D9-CAD437C4299F}" name="Flower Event Time Estimate" dataDxfId="51"/>
    <tableColumn id="22" xr3:uid="{70F55320-9CC8-4AE0-A4A3-29A8EE75E0EC}" name="PM INDEX" dataDxfId="50">
      <calculatedColumnFormula>_xlfn.IFNA(VLOOKUP(Table314[[#This Row],[Phenotype]],Table2[],6,FALSE),"no index value")</calculatedColumnFormula>
    </tableColumn>
    <tableColumn id="18" xr3:uid="{AC9D5A3B-FB4E-43FB-B8D7-0B7802F37621}" name="Status of Description" dataDxfId="49"/>
  </tableColumns>
  <tableStyleInfo name="TableStyleLight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D9978E-6A7C-4013-A268-8D03E21DD228}" name="Table7" displayName="Table7" ref="A1:X50" totalsRowShown="0" dataDxfId="43" headerRowBorderDxfId="44" tableBorderDxfId="42" totalsRowBorderDxfId="41">
  <autoFilter ref="A1:X50" xr:uid="{84F9D779-268A-4486-BC36-15F37967112B}"/>
  <sortState xmlns:xlrd2="http://schemas.microsoft.com/office/spreadsheetml/2017/richdata2" ref="A2:X50">
    <sortCondition ref="A1:A50"/>
  </sortState>
  <tableColumns count="24">
    <tableColumn id="1" xr3:uid="{EF4EF8DF-2B9E-4E3F-834A-3587AF9A7521}" name="Phenotype" dataDxfId="40"/>
    <tableColumn id="2" xr3:uid="{169CD2F1-59B6-4DA2-BDC0-7EEA3B1E26EF}" name="Dead or Alive" dataDxfId="39">
      <calculatedColumnFormula>_xlfn.IFNA(INDEX([2]!Table1[Status],MATCH(Table3[[#This Row],[Phenotype]],[2]!Table1[Pheno],0)),"DEAD")</calculatedColumnFormula>
    </tableColumn>
    <tableColumn id="3" xr3:uid="{648A7610-631A-4685-8E31-5A3FDC0D9774}" name="Veg Category" dataDxfId="38">
      <calculatedColumnFormula>VLOOKUP(Table3[[#This Row],[Phenotype]],Table162[[Pheno]:[Flower Category]],2,FALSE)</calculatedColumnFormula>
    </tableColumn>
    <tableColumn id="4" xr3:uid="{B55428DA-AEAB-46BA-AC3D-A06DCE74E0D6}" name="Flower Category" dataDxfId="37">
      <calculatedColumnFormula>VLOOKUP(Table3[[#This Row],[Phenotype]],Table162[[Pheno]:[Flower Category]],3,FALSE)</calculatedColumnFormula>
    </tableColumn>
    <tableColumn id="5" xr3:uid="{FC44B788-B8E1-482D-925E-8394778BAB38}" name="Final Veg Height (C19-C28)" dataDxfId="36"/>
    <tableColumn id="6" xr3:uid="{4CA2FECC-43E7-4AA8-B8BA-F143F70796B9}" name="Final Veg Height Variability" dataDxfId="35"/>
    <tableColumn id="7" xr3:uid="{8E911F78-2B12-4EE8-AA34-FC022C04AB19}" name="Final Flower Height (C19-C28, excl. C27)" dataDxfId="34"/>
    <tableColumn id="8" xr3:uid="{7F154406-FB95-4EF6-B558-8CB0B5C5895C}" name="Final Flower Height Variability" dataDxfId="33"/>
    <tableColumn id="9" xr3:uid="{3DEA5B80-939D-4231-B59F-13D12AA1EBA5}" name="Growth Habit" dataDxfId="32"/>
    <tableColumn id="10" xr3:uid="{ADE2FBA7-9233-4756-95A5-776B12CD1B2C}" name="Stem Structure" dataDxfId="31"/>
    <tableColumn id="11" xr3:uid="{66A1E4F5-620E-4BE2-8BDE-DB0B67B35862}" name="Tertiary Branch Length" dataDxfId="30"/>
    <tableColumn id="12" xr3:uid="{5E1C8AD8-1ED2-4693-BE02-D7ED016D6EBD}" name="Early/Late First Top" dataDxfId="29"/>
    <tableColumn id="13" xr3:uid="{905590E3-B06B-4C35-93F6-F03E06B748B8}" name="Topping Strategy" dataDxfId="28"/>
    <tableColumn id="14" xr3:uid="{85A2F106-96F5-43C5-AA7C-46582DD24AEA}" name="Pruning Requirements (Veg)" dataDxfId="27"/>
    <tableColumn id="15" xr3:uid="{E8674A91-3184-4432-B012-6822DDDA1EC9}" name="Pruning Requirements (Flower)" dataDxfId="26"/>
    <tableColumn id="16" xr3:uid="{6C00794C-781C-4B4F-9A7E-E5DB1349815A}" name="Pruning Technique" dataDxfId="25"/>
    <tableColumn id="17" xr3:uid="{7C9A1136-085F-4991-843D-F00DAEF475BB}" name="How many trellises" dataDxfId="24"/>
    <tableColumn id="18" xr3:uid="{FF592544-B7E0-4DC6-9677-2B419CC16A64}" name="Trellis Instructions"/>
    <tableColumn id="19" xr3:uid="{77583A9F-CD13-43EF-99F7-795C3ED1EBDC}" name="Trellising Technique" dataDxfId="23"/>
    <tableColumn id="20" xr3:uid="{C218DDA8-EB62-4D10-BCF4-A14BE0B4782A}" name="Training Technique" dataDxfId="22"/>
    <tableColumn id="21" xr3:uid="{EFFD9DD6-A5FF-47B4-ACF1-0CE949B16B8E}" name="Recommended training times" dataDxfId="21"/>
    <tableColumn id="22" xr3:uid="{93C7240E-5F84-4028-B72F-B610F046BE66}" name="Plants per Flower Table" dataDxfId="20"/>
    <tableColumn id="23" xr3:uid="{6E444E67-7AED-460A-8BE9-67CEDB7B9E25}" name="PM INDEX" dataDxfId="19">
      <calculatedColumnFormula>_xlfn.IFNA(VLOOKUP(Table3[[#This Row],[Phenotype]],Table2[],6,FALSE),"no index value")</calculatedColumnFormula>
    </tableColumn>
    <tableColumn id="24" xr3:uid="{CF839E66-6207-4768-B7D0-679A4B843207}" name="Status of Description" dataDxfId="18"/>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BBADB09-A795-4E3E-9E3B-B691F3B39CDB}" name="Table162" displayName="Table162" ref="A1:D117" totalsRowShown="0" headerRowDxfId="17" dataDxfId="15" headerRowBorderDxfId="16" tableBorderDxfId="14" totalsRowBorderDxfId="13">
  <autoFilter ref="A1:D117" xr:uid="{25495182-AD80-4812-AFD2-A1627671C565}"/>
  <sortState xmlns:xlrd2="http://schemas.microsoft.com/office/spreadsheetml/2017/richdata2" ref="A2:D56">
    <sortCondition ref="A1:A60"/>
  </sortState>
  <tableColumns count="4">
    <tableColumn id="1" xr3:uid="{48758F17-8751-475B-BDBF-4D01E2986504}" name="Pheno" dataDxfId="12"/>
    <tableColumn id="2" xr3:uid="{D528D5F8-B1B9-4A8A-8180-EFC8C228AE66}" name="Veg Category" dataDxfId="11"/>
    <tableColumn id="3" xr3:uid="{AE0C9725-F5F8-417D-A5D3-D20FD7A214A2}" name="Flower Category" dataDxfId="10"/>
    <tableColumn id="5" xr3:uid="{EFFDB647-2DDA-4BB4-9F23-69A30B501FE8}" name="VLOOKUP" dataDxfId="9">
      <calculatedColumnFormula>_xlfn.CONCAT(Table162[[#This Row],[Veg Category]],"/",Table162[[#This Row],[Flower Category]])</calculatedColumnFormula>
    </tableColumn>
  </tableColumns>
  <tableStyleInfo name="TableStyleLight1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70F4B9-AB09-4613-BF40-4827980BBEF2}" name="AvgV2F" displayName="AvgV2F" ref="A1:H231" totalsRowShown="0">
  <autoFilter ref="A1:H231" xr:uid="{2B46F95D-81AE-4C48-93DA-BCC95F845BFF}"/>
  <sortState xmlns:xlrd2="http://schemas.microsoft.com/office/spreadsheetml/2017/richdata2" ref="A2:H231">
    <sortCondition ref="A1:A231"/>
  </sortState>
  <tableColumns count="8">
    <tableColumn id="1" xr3:uid="{0E7855EB-9C26-49F1-A440-A91DF7E6FBE7}" name="Round"/>
    <tableColumn id="2" xr3:uid="{2629CD85-3FA8-464A-9ADF-20728CE97FB7}" name="Pheno"/>
    <tableColumn id="3" xr3:uid="{056CD442-D0F3-4B5F-8FB0-0A77F0344CD3}" name="Veg 5"/>
    <tableColumn id="4" xr3:uid="{1C333F07-A12A-4D55-849F-2727DE2C48C9}" name="VEStDev"/>
    <tableColumn id="5" xr3:uid="{F78D02E1-08CD-4F71-A8AB-C9008FC4958C}" name="Flower 5"/>
    <tableColumn id="6" xr3:uid="{37B4A8F3-EB58-4193-AEC5-369CDF999373}" name="FLStDev"/>
    <tableColumn id="7" xr3:uid="{D53311E3-0E44-4C64-AE7A-896B98AF7FED}" name="Ratio" dataDxfId="1">
      <calculatedColumnFormula>AvgV2F[[#This Row],[Flower 5]]/AvgV2F[[#This Row],[Veg 5]]</calculatedColumnFormula>
    </tableColumn>
    <tableColumn id="8" xr3:uid="{238170D3-2290-4597-99C2-4C8C10D72AB7}" name="dead or alive" dataDxfId="0">
      <calculatedColumnFormula>_xlfn.IFNA(VLOOKUP(AvgV2F[[#This Row],[Pheno]],#REF!,2,FALSE),"DEAD")</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A3D7456-8E4C-4A4C-B9D5-CB686AE82D3C}" name="Table9" displayName="Table9" ref="A1:D17" totalsRowShown="0">
  <autoFilter ref="A1:D17" xr:uid="{C9330111-02C4-4C9D-9BAA-F9D1639BEF8F}"/>
  <sortState xmlns:xlrd2="http://schemas.microsoft.com/office/spreadsheetml/2017/richdata2" ref="A2:D17">
    <sortCondition ref="B1:B17"/>
  </sortState>
  <tableColumns count="4">
    <tableColumn id="1" xr3:uid="{5B647256-0A10-4E36-8880-30B75C2C2073}" name="Terpene"/>
    <tableColumn id="2" xr3:uid="{4B925EA6-4671-4ADB-9B03-6BCE23511D96}" name="ABBV"/>
    <tableColumn id="3" xr3:uid="{D0EC7E1F-19B9-480D-BD14-9861A39F9649}" name="Benefit" dataDxfId="173"/>
    <tableColumn id="4" xr3:uid="{9BBCA793-2D98-4005-AB71-FED73A21F5F4}" name="Effect" dataDxfId="17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6B65CCC-6FBE-4D00-8635-DEE31517B90A}" name="Table10" displayName="Table10" ref="E19:O38" totalsRowShown="0" headerRowDxfId="171" dataDxfId="170">
  <autoFilter ref="E19:O38" xr:uid="{A578B9D0-AD8B-465D-A12E-E8F28E413C0C}"/>
  <tableColumns count="11">
    <tableColumn id="1" xr3:uid="{6308CAB8-6096-422A-891D-047ED9791C00}" name="PHENO" dataDxfId="169"/>
    <tableColumn id="2" xr3:uid="{BEA8699A-4A99-492E-8976-85CBCA882CB6}" name="TERPS" dataDxfId="168"/>
    <tableColumn id="3" xr3:uid="{D22787BA-09A1-4B24-BD59-7BB55BCD6127}" name="aPNE" dataDxfId="167"/>
    <tableColumn id="4" xr3:uid="{73264549-32EC-44A1-BCE1-C608C7A9082B}" name="bPNE" dataDxfId="166"/>
    <tableColumn id="5" xr3:uid="{08B0CCB5-830F-4F57-9F61-118E598367CD}" name="CAR" dataDxfId="165"/>
    <tableColumn id="6" xr3:uid="{188B2E4B-FC2F-49CC-BBE3-5EA03A2EEBBB}" name="LIN" dataDxfId="164"/>
    <tableColumn id="7" xr3:uid="{48E9BF9B-446E-43BF-A8A3-887F78092DB2}" name="LME" dataDxfId="163"/>
    <tableColumn id="8" xr3:uid="{4C8F4ADE-D4E5-47DC-B46B-E32ED14D1874}" name="MYR" dataDxfId="162"/>
    <tableColumn id="9" xr3:uid="{4E065818-9607-4F53-8C0B-89BF0DFCEFC2}" name="OCM" dataDxfId="161"/>
    <tableColumn id="10" xr3:uid="{3E92210B-D928-4EC9-BAA2-92FCF1A7DE6D}" name="TPLNE" dataDxfId="160"/>
    <tableColumn id="11" xr3:uid="{80D3DD3C-CEB2-40AE-9F6D-2C94EF499655}" name="CONCAT" dataDxfId="15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4D880C1-02D8-4D58-94AA-7BDD2083A572}" name="Table1012" displayName="Table1012" ref="E40:O59" totalsRowShown="0" headerRowDxfId="158" dataDxfId="157">
  <autoFilter ref="E40:O59" xr:uid="{FC2B3C25-7F88-4C37-AB58-86309E3E3835}"/>
  <tableColumns count="11">
    <tableColumn id="1" xr3:uid="{C99B58B6-F87D-4E1A-9980-7FD32E0F85BD}" name="PHENO" dataDxfId="156"/>
    <tableColumn id="2" xr3:uid="{BACB0B09-31BA-408E-9AFA-38BC0E10C5A0}" name="TERPS" dataDxfId="155"/>
    <tableColumn id="3" xr3:uid="{9A550F49-D048-449D-BDC9-E18B844D9BA2}" name="aPNE" dataDxfId="154"/>
    <tableColumn id="4" xr3:uid="{DB3156CE-CD42-4527-BD2F-6AA5F4892FF8}" name="bPNE" dataDxfId="153"/>
    <tableColumn id="5" xr3:uid="{CFE61AFF-E49F-4AB5-B840-93D2B1484CA7}" name="CAR" dataDxfId="152"/>
    <tableColumn id="6" xr3:uid="{21DAA36D-6E76-464D-BDDC-CFF4848C8465}" name="LIN" dataDxfId="151"/>
    <tableColumn id="7" xr3:uid="{27B49556-319B-47F2-AA89-73E688BC9307}" name="LME" dataDxfId="150"/>
    <tableColumn id="8" xr3:uid="{61A3F7F6-0A49-477C-A694-71D16EB18406}" name="MYR" dataDxfId="149"/>
    <tableColumn id="9" xr3:uid="{80E251DD-41E1-4718-9A0F-4FEC61633163}" name="OCM" dataDxfId="148"/>
    <tableColumn id="10" xr3:uid="{BDA55F16-6C89-4A78-A62D-0CF79D38153E}" name="TPLNE" dataDxfId="147"/>
    <tableColumn id="11" xr3:uid="{D9F7D450-5AB6-4230-B417-A1F735A91F70}" name="CONCAT" dataDxfId="14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02FBF95-B948-446F-AE68-B9CF98CE9DCF}" name="Table12" displayName="Table12" ref="B61:C80" totalsRowShown="0" headerRowDxfId="145" dataDxfId="143" headerRowBorderDxfId="144" tableBorderDxfId="142" totalsRowBorderDxfId="141">
  <autoFilter ref="B61:C80" xr:uid="{85283338-D909-4636-A941-615F69575528}"/>
  <tableColumns count="2">
    <tableColumn id="1" xr3:uid="{D15F43BE-6859-4239-BD7C-69F54D3BE21F}" name="Column1" dataDxfId="140"/>
    <tableColumn id="2" xr3:uid="{15AB3C91-412E-41C7-A5C2-F028C56E0AA9}" name="benefits and effect" dataDxfId="139">
      <calculatedColumnFormula>_xlfn.TEXTJOIN(". ",TRUE,VLOOKUP(Table12[[#This Row],[Column1]],Table10[],11,FALSE),VLOOKUP(Table12[[#This Row],[Column1]],Table1012[],11,FALSE))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C00273-9F94-4AA1-AFA2-D06B0C0BD210}" name="Table2" displayName="Table2" ref="A3:G17" totalsRowShown="0" headerRowDxfId="135">
  <autoFilter ref="A3:G17" xr:uid="{F8AA5597-9C41-47B3-8CF1-7AD3676DA7A7}">
    <filterColumn colId="0" hiddenButton="1"/>
    <filterColumn colId="1" hiddenButton="1"/>
    <filterColumn colId="2" hiddenButton="1"/>
    <filterColumn colId="3" hiddenButton="1"/>
    <filterColumn colId="4" hiddenButton="1"/>
    <filterColumn colId="5" hiddenButton="1"/>
    <filterColumn colId="6" hiddenButton="1"/>
  </autoFilter>
  <sortState xmlns:xlrd2="http://schemas.microsoft.com/office/spreadsheetml/2017/richdata2" ref="A4:G17">
    <sortCondition ref="F3:F17"/>
  </sortState>
  <tableColumns count="7">
    <tableColumn id="1" xr3:uid="{373291E0-6270-48B1-8483-7A72BBDA4B95}" name="Pheno" dataDxfId="134"/>
    <tableColumn id="2" xr3:uid="{554CAB2A-E5D8-4CCE-9B13-77C23F443E66}" name="Average of Severity" dataDxfId="133"/>
    <tableColumn id="3" xr3:uid="{C48F1195-E212-4161-92F5-DE61B25C9756}" name="Sum of Number of Infected Plants"/>
    <tableColumn id="6" xr3:uid="{F4FA7D55-F77E-47C0-B769-9C7C60069439}" name="Qualitative Factor" dataDxfId="132">
      <calculatedColumnFormula>IF(VLOOKUP(Table2[[#This Row],[Pheno]],Table4[],2,FALSE)=0,"",VLOOKUP(Table2[[#This Row],[Pheno]],Table4[],2,FALSE))</calculatedColumnFormula>
    </tableColumn>
    <tableColumn id="4" xr3:uid="{A30E25DB-96FF-44B3-A961-F60301A1586F}" name="Index" dataDxfId="131">
      <calculatedColumnFormula>Table2[[#This Row],[Sum of Number of Infected Plants]]*Table2[[#This Row],[Average of Severity]]*_xlfn.IFNA(VLOOKUP(Table2[[#This Row],[Qualitative Factor]],Table6[],2,FALSE),"1")</calculatedColumnFormula>
    </tableColumn>
    <tableColumn id="5" xr3:uid="{FA59D807-0F1D-4616-A336-529C3B2EC2A3}" name="Rating" dataDxfId="130">
      <calculatedColumnFormula>MROUND(_xlfn.RANK.AVG(Table2[[#This Row],[Index]],Table2[Index],0),1)</calculatedColumnFormula>
    </tableColumn>
    <tableColumn id="7" xr3:uid="{6922D728-2B05-4280-AEB0-7DF2E6B9D127}" name="D/A" dataDxfId="129">
      <calculatedColumnFormula>_xlfn.IFNA(VLOOKUP(Table2[[#This Row],[Pheno]],[1]!Table1[#Data],2,FALSE),"DEAD")</calculatedColumnFormula>
    </tableColumn>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04C4CEC-6AC8-4760-BAF5-F8BE324858D9}" name="Table6" displayName="Table6" ref="M23:N27" totalsRowShown="0">
  <autoFilter ref="M23:N27" xr:uid="{13AC138D-B285-413D-B324-267E02ECC9E3}"/>
  <tableColumns count="2">
    <tableColumn id="1" xr3:uid="{DBB60434-4901-43DD-833E-93C3E78FE6B6}" name="Descriptor" dataDxfId="128"/>
    <tableColumn id="2" xr3:uid="{AE86D431-8227-4A47-9EEC-600279CFDF10}" name="Index Facto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6C5363-EE38-4515-B4FA-6600B605A9F2}" name="Table4" displayName="Table4" ref="J23:K46" totalsRowShown="0">
  <autoFilter ref="J23:K46" xr:uid="{B10CB90A-8624-4884-A6C6-3DD0463399A6}"/>
  <sortState xmlns:xlrd2="http://schemas.microsoft.com/office/spreadsheetml/2017/richdata2" ref="J24:K46">
    <sortCondition ref="J23:J46"/>
  </sortState>
  <tableColumns count="2">
    <tableColumn id="1" xr3:uid="{68BD3AA8-7F9A-4DEA-9C37-3C0D175DF57D}" name="Pheno"/>
    <tableColumn id="2" xr3:uid="{9AD429A7-1279-4E9E-B59B-0461E9738519}" name="Description"/>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B9F42EF-CCE6-48B3-8271-3241C6820736}" name="Table8" displayName="Table8" ref="A1:C23" totalsRowShown="0" headerRowDxfId="127">
  <autoFilter ref="A1:C23" xr:uid="{C792AC69-7E46-4D5F-A805-300CD97F2609}"/>
  <sortState xmlns:xlrd2="http://schemas.microsoft.com/office/spreadsheetml/2017/richdata2" ref="A2:C23">
    <sortCondition ref="B1:B23"/>
  </sortState>
  <tableColumns count="3">
    <tableColumn id="1" xr3:uid="{C887AB68-7C77-46BC-95E5-F6EBEACF4D13}" name="Strain" dataDxfId="126"/>
    <tableColumn id="2" xr3:uid="{A7EE2CFD-9D4E-4303-82E9-59522292F11F}" name="average of g/sq.ft tested flower" dataDxfId="125"/>
    <tableColumn id="3" xr3:uid="{5D97D413-9E92-43D4-90EC-2A68F0E70EC7}" name="bi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table" Target="../tables/table13.xml"/><Relationship Id="rId4"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65BC5-B649-487A-BB12-B9577C6CEB14}">
  <dimension ref="A2:S60"/>
  <sheetViews>
    <sheetView topLeftCell="D32" zoomScale="20" zoomScaleNormal="20" zoomScaleSheetLayoutView="46" zoomScalePageLayoutView="29" workbookViewId="0">
      <selection activeCell="H35" sqref="H35:J43"/>
    </sheetView>
  </sheetViews>
  <sheetFormatPr defaultRowHeight="15" x14ac:dyDescent="0.25"/>
  <cols>
    <col min="1" max="1" width="8.140625" customWidth="1"/>
    <col min="2" max="2" width="5.28515625" customWidth="1"/>
    <col min="3" max="3" width="133.7109375" style="136" customWidth="1"/>
    <col min="4" max="4" width="4.7109375" customWidth="1"/>
    <col min="5" max="5" width="99.140625" style="136" customWidth="1"/>
    <col min="6" max="6" width="4.7109375" style="136" customWidth="1"/>
    <col min="7" max="7" width="11.42578125" style="136" customWidth="1"/>
    <col min="8" max="8" width="12" style="141" customWidth="1"/>
    <col min="9" max="9" width="89.28515625" customWidth="1"/>
    <col min="10" max="10" width="138.5703125" customWidth="1"/>
    <col min="11" max="14" width="19.5703125" customWidth="1"/>
    <col min="15" max="15" width="7.7109375" customWidth="1"/>
    <col min="16" max="16" width="14.7109375" customWidth="1"/>
    <col min="17" max="17" width="55.28515625" customWidth="1"/>
    <col min="18" max="18" width="26.140625" customWidth="1"/>
    <col min="19" max="19" width="14.5703125" customWidth="1"/>
  </cols>
  <sheetData>
    <row r="2" spans="1:19" x14ac:dyDescent="0.25">
      <c r="A2" s="34"/>
      <c r="B2" s="34"/>
      <c r="C2" s="138"/>
      <c r="E2" s="138"/>
      <c r="F2" s="138"/>
      <c r="G2" s="138"/>
      <c r="H2" s="143"/>
    </row>
    <row r="3" spans="1:19" x14ac:dyDescent="0.25">
      <c r="A3" s="34"/>
      <c r="B3" s="34"/>
      <c r="C3" s="138"/>
      <c r="E3" s="138"/>
      <c r="F3" s="138"/>
      <c r="G3" s="138"/>
      <c r="H3" s="143"/>
    </row>
    <row r="4" spans="1:19" x14ac:dyDescent="0.25">
      <c r="A4" s="34"/>
      <c r="B4" s="34"/>
      <c r="C4" s="138"/>
      <c r="E4" s="138"/>
      <c r="F4" s="138"/>
      <c r="G4" s="138"/>
      <c r="H4" s="143"/>
    </row>
    <row r="5" spans="1:19" x14ac:dyDescent="0.25">
      <c r="A5" s="34"/>
      <c r="B5" s="34"/>
      <c r="C5" s="146">
        <v>3</v>
      </c>
      <c r="E5" s="138"/>
      <c r="F5" s="138"/>
      <c r="G5" s="138"/>
      <c r="H5" s="143"/>
      <c r="S5" s="34"/>
    </row>
    <row r="6" spans="1:19" ht="41.25" customHeight="1" x14ac:dyDescent="0.45">
      <c r="A6" s="34"/>
      <c r="B6" s="77"/>
      <c r="C6" s="147" t="str">
        <f>INDEX(Table3[Strain Name],MATCH(E8,Table3[Phenotype],0))</f>
        <v>SOUR BLUE DIESEL</v>
      </c>
      <c r="E6" s="141"/>
      <c r="F6" s="148"/>
      <c r="G6" s="148"/>
      <c r="S6" s="34"/>
    </row>
    <row r="7" spans="1:19" ht="24" customHeight="1" x14ac:dyDescent="0.45">
      <c r="A7" s="34"/>
      <c r="B7" s="77"/>
      <c r="C7" s="147"/>
      <c r="E7" s="141"/>
      <c r="F7" s="148"/>
      <c r="G7" s="148"/>
      <c r="H7" s="139"/>
      <c r="I7" s="139"/>
      <c r="S7" s="34"/>
    </row>
    <row r="8" spans="1:19" ht="90" customHeight="1" x14ac:dyDescent="0.25">
      <c r="A8" s="34"/>
      <c r="C8" s="182" t="s">
        <v>533</v>
      </c>
      <c r="E8" s="181" t="str">
        <f>INDEX(Table3[Phenotype],C5,0)</f>
        <v>BLDS207</v>
      </c>
      <c r="F8" s="148"/>
      <c r="G8" s="148"/>
      <c r="H8" s="139"/>
      <c r="I8" s="139"/>
      <c r="S8" s="34"/>
    </row>
    <row r="9" spans="1:19" ht="21" customHeight="1" x14ac:dyDescent="0.25">
      <c r="A9" s="34"/>
      <c r="B9" s="77"/>
      <c r="H9" s="149"/>
      <c r="L9" s="148"/>
      <c r="S9" s="34"/>
    </row>
    <row r="10" spans="1:19" ht="96.75" customHeight="1" x14ac:dyDescent="0.9">
      <c r="C10" s="170" t="s">
        <v>553</v>
      </c>
      <c r="D10" s="171"/>
      <c r="E10" s="172" t="str">
        <f>INDEX(Table3[Growth Habit],MATCH($E$8,Table3[Phenotype],0))</f>
        <v>Mesotropic</v>
      </c>
      <c r="H10" s="136"/>
      <c r="L10" s="141"/>
    </row>
    <row r="11" spans="1:19" ht="96.75" customHeight="1" x14ac:dyDescent="0.9">
      <c r="C11" s="170" t="s">
        <v>552</v>
      </c>
      <c r="D11" s="171"/>
      <c r="E11" s="172" t="str">
        <f>INDEX(Table3[Stem Structure],MATCH($E$8,Table3[Phenotype],0))</f>
        <v>Strong</v>
      </c>
      <c r="L11" s="141"/>
    </row>
    <row r="12" spans="1:19" ht="96.75" customHeight="1" x14ac:dyDescent="0.9">
      <c r="C12" s="170" t="s">
        <v>554</v>
      </c>
      <c r="D12" s="171"/>
      <c r="E12" s="172" t="str">
        <f>INDEX(Table3[Tertiary Branch Length],MATCH($E$8,Table3[Phenotype],0))</f>
        <v>medium</v>
      </c>
      <c r="L12" s="136"/>
    </row>
    <row r="13" spans="1:19" ht="96.75" customHeight="1" x14ac:dyDescent="0.9">
      <c r="C13" s="173"/>
      <c r="D13" s="171"/>
      <c r="E13" s="172"/>
      <c r="F13" s="150"/>
      <c r="G13" s="145"/>
    </row>
    <row r="14" spans="1:19" ht="96.75" customHeight="1" x14ac:dyDescent="0.9">
      <c r="C14" s="170" t="s">
        <v>555</v>
      </c>
      <c r="D14" s="171"/>
      <c r="E14" s="172" t="str">
        <f>_xlfn.CONCAT(MROUND(INDEX(Table3[Final Veg Height (C27-C36)],MATCH($E$8,Table3[Phenotype],0)),0.5),"±",MROUND(INDEX(Table3[Final Veg Height Variability],MATCH($E$8,Table3[Phenotype],0)),0.5)," inches")</f>
        <v>16.5±2.5 inches</v>
      </c>
    </row>
    <row r="15" spans="1:19" ht="96.75" customHeight="1" x14ac:dyDescent="0.9">
      <c r="C15" s="170" t="s">
        <v>609</v>
      </c>
      <c r="D15" s="171"/>
      <c r="E15" s="172" t="str">
        <f>INDEX(Table3[Veg thirst],MATCH($E$8,Table3[Phenotype],0))</f>
        <v>wet</v>
      </c>
    </row>
    <row r="16" spans="1:19" ht="96.75" customHeight="1" x14ac:dyDescent="0.9">
      <c r="C16" s="174"/>
      <c r="D16" s="171"/>
      <c r="E16" s="174"/>
    </row>
    <row r="17" spans="1:8" ht="96.75" customHeight="1" x14ac:dyDescent="0.9">
      <c r="C17" s="170" t="s">
        <v>556</v>
      </c>
      <c r="D17" s="171"/>
      <c r="E17" s="172" t="str">
        <f>_xlfn.CONCAT(MROUND(INDEX(Table3[Final Flower Height (C28-C34)],MATCH($E$8,Table3[Phenotype],0)),0.5),"±",MROUND(INDEX(Table3[Final Flower Height Variability],MATCH($E$8,Table3[Phenotype],0)),0.5), " inches")</f>
        <v>35.5±2.5 inches</v>
      </c>
      <c r="F17"/>
      <c r="G17"/>
    </row>
    <row r="18" spans="1:8" ht="96.75" customHeight="1" x14ac:dyDescent="0.9">
      <c r="C18" s="170" t="s">
        <v>610</v>
      </c>
      <c r="D18" s="171"/>
      <c r="E18" s="172" t="str">
        <f>INDEX(Table3[Flower thirst],MATCH($E$8,Table3[Phenotype],0))</f>
        <v>wet</v>
      </c>
      <c r="F18"/>
      <c r="G18"/>
      <c r="H18"/>
    </row>
    <row r="19" spans="1:8" ht="96.75" customHeight="1" x14ac:dyDescent="0.9">
      <c r="C19" s="171"/>
      <c r="D19" s="171"/>
      <c r="E19" s="171"/>
      <c r="F19"/>
      <c r="G19"/>
      <c r="H19"/>
    </row>
    <row r="20" spans="1:8" ht="96.75" customHeight="1" x14ac:dyDescent="0.9">
      <c r="C20" s="170" t="s">
        <v>557</v>
      </c>
      <c r="D20" s="171"/>
      <c r="E20" s="175" t="str">
        <f>_xlfn.CONCAT(INDEX(Table3[Plants per Flower Table],MATCH($E$8,Table3[Phenotype],0))," plants per table")</f>
        <v>16 plants per table</v>
      </c>
      <c r="F20"/>
      <c r="G20"/>
      <c r="H20"/>
    </row>
    <row r="21" spans="1:8" ht="96.75" customHeight="1" x14ac:dyDescent="0.9">
      <c r="C21" s="171"/>
      <c r="D21" s="171"/>
      <c r="E21" s="176"/>
      <c r="F21"/>
      <c r="G21"/>
      <c r="H21"/>
    </row>
    <row r="22" spans="1:8" ht="96.75" customHeight="1" x14ac:dyDescent="0.9">
      <c r="C22" s="170" t="s">
        <v>558</v>
      </c>
      <c r="D22" s="171"/>
      <c r="E22" s="177">
        <f>INDEX(Table3[PM INDEX],MATCH($E$8,Table3[Phenotype],0))</f>
        <v>14</v>
      </c>
      <c r="F22"/>
      <c r="G22"/>
      <c r="H22"/>
    </row>
    <row r="23" spans="1:8" ht="96.75" customHeight="1" x14ac:dyDescent="0.9">
      <c r="A23" s="136"/>
      <c r="B23" s="137"/>
      <c r="C23" s="174"/>
      <c r="D23" s="171"/>
      <c r="E23" s="174"/>
      <c r="F23" s="137"/>
      <c r="H23" s="136"/>
    </row>
    <row r="24" spans="1:8" ht="96.75" customHeight="1" x14ac:dyDescent="0.9">
      <c r="A24" s="136"/>
      <c r="B24" s="136"/>
      <c r="C24" s="170" t="s">
        <v>606</v>
      </c>
      <c r="D24" s="171"/>
      <c r="E24" s="178">
        <f>INDEX(Table3[Average number of clones from prime moms (C23-C33)],MATCH($E$8,Table3[Phenotype],0))</f>
        <v>30</v>
      </c>
      <c r="F24" s="137"/>
      <c r="H24" s="136"/>
    </row>
    <row r="25" spans="1:8" ht="96.75" customHeight="1" x14ac:dyDescent="0.9">
      <c r="A25" s="136"/>
      <c r="B25" s="136"/>
      <c r="C25" s="170" t="s">
        <v>607</v>
      </c>
      <c r="D25" s="171"/>
      <c r="E25" s="179">
        <f>INDEX(Table3[Percent loss in clone (C23-C37)],MATCH($E$8,Table3[Phenotype],0))</f>
        <v>0.11420395243942764</v>
      </c>
      <c r="F25" s="137"/>
      <c r="H25" s="136"/>
    </row>
    <row r="26" spans="1:8" ht="96.75" customHeight="1" x14ac:dyDescent="0.9">
      <c r="A26" s="136"/>
      <c r="B26" s="136"/>
      <c r="C26" s="174"/>
      <c r="D26" s="171"/>
      <c r="E26" s="174"/>
      <c r="F26" s="137"/>
      <c r="H26" s="136"/>
    </row>
    <row r="27" spans="1:8" ht="96.75" customHeight="1" x14ac:dyDescent="0.9">
      <c r="A27" s="136"/>
      <c r="B27" s="136"/>
      <c r="C27" s="170" t="s">
        <v>608</v>
      </c>
      <c r="D27" s="171"/>
      <c r="E27" s="174" t="str">
        <f>INDEX(Table3[Early/Late First Top],MATCH($E$8,Table3[Phenotype],0))</f>
        <v>Late</v>
      </c>
      <c r="F27" s="137"/>
      <c r="H27" s="136"/>
    </row>
    <row r="28" spans="1:8" ht="96.75" customHeight="1" x14ac:dyDescent="0.25">
      <c r="A28" s="136"/>
      <c r="B28" s="136"/>
      <c r="C28"/>
      <c r="E28"/>
      <c r="F28" s="137"/>
      <c r="H28" s="136"/>
    </row>
    <row r="29" spans="1:8" ht="28.5" customHeight="1" x14ac:dyDescent="0.55000000000000004">
      <c r="A29" s="136"/>
      <c r="B29" s="136"/>
      <c r="C29" s="169"/>
      <c r="E29" s="169"/>
      <c r="F29" s="137"/>
      <c r="H29" s="136"/>
    </row>
    <row r="30" spans="1:8" ht="28.5" customHeight="1" x14ac:dyDescent="0.25">
      <c r="A30" s="136"/>
      <c r="B30" s="136"/>
      <c r="F30" s="137"/>
      <c r="H30" s="136"/>
    </row>
    <row r="31" spans="1:8" ht="28.5" customHeight="1" x14ac:dyDescent="0.25">
      <c r="A31" s="136"/>
      <c r="B31" s="136"/>
      <c r="F31" s="137"/>
      <c r="H31" s="136"/>
    </row>
    <row r="32" spans="1:8" ht="28.5" customHeight="1" x14ac:dyDescent="0.25">
      <c r="A32" s="136"/>
      <c r="B32" s="136"/>
      <c r="F32" s="137"/>
      <c r="H32" s="136"/>
    </row>
    <row r="33" spans="1:10" ht="28.5" customHeight="1" x14ac:dyDescent="0.25">
      <c r="A33" s="136"/>
      <c r="B33" s="136"/>
      <c r="F33" s="137"/>
      <c r="H33" s="136"/>
    </row>
    <row r="34" spans="1:10" ht="28.5" customHeight="1" x14ac:dyDescent="0.25">
      <c r="A34" s="136"/>
      <c r="B34" s="136"/>
      <c r="F34" s="137"/>
      <c r="H34" s="136"/>
    </row>
    <row r="35" spans="1:10" ht="153.75" customHeight="1" x14ac:dyDescent="0.25">
      <c r="A35" s="136"/>
      <c r="H35" s="245" t="s">
        <v>565</v>
      </c>
      <c r="I35" s="239" t="s">
        <v>611</v>
      </c>
      <c r="J35" s="180" t="str">
        <f>_xlfn.CONCAT(INDEX(Table3[Pruning Requirements (Flower)],MATCH($E$8,Table3[Phenotype],0)), " prune approach")</f>
        <v>Moderate prune approach</v>
      </c>
    </row>
    <row r="36" spans="1:10" ht="409.6" customHeight="1" x14ac:dyDescent="0.25">
      <c r="A36" s="136"/>
      <c r="H36" s="245"/>
      <c r="I36" s="239" t="s">
        <v>612</v>
      </c>
      <c r="J36" s="242" t="str">
        <f>INDEX(Table3[Pruning Technique],MATCH($E$8,Table3[Phenotype],0))</f>
        <v>Leave enough branches to build a "support network" within the canopy. In doing so, these plants will not have to rely on a second trellis to hold the upper branches. Due to the very low risk for PM, much of it's growth can be left on.</v>
      </c>
    </row>
    <row r="37" spans="1:10" ht="147" customHeight="1" x14ac:dyDescent="0.25">
      <c r="A37" s="136"/>
      <c r="H37" s="210"/>
      <c r="I37" s="239" t="s">
        <v>673</v>
      </c>
      <c r="J37" s="243" t="str">
        <f>INDEX(Table3[Time requirement],MATCH($E$8,Table3[Phenotype],0))</f>
        <v>Average Time</v>
      </c>
    </row>
    <row r="38" spans="1:10" ht="60.75" customHeight="1" x14ac:dyDescent="0.9">
      <c r="C38"/>
      <c r="E38"/>
      <c r="F38"/>
      <c r="G38"/>
      <c r="H38" s="171"/>
      <c r="I38" s="171"/>
      <c r="J38" s="171"/>
    </row>
    <row r="39" spans="1:10" ht="392.25" customHeight="1" x14ac:dyDescent="0.25">
      <c r="A39" s="136"/>
      <c r="H39" s="245" t="s">
        <v>566</v>
      </c>
      <c r="I39" s="170" t="s">
        <v>611</v>
      </c>
      <c r="J39" s="180" t="str">
        <f>INDEX(Table3[Second and Third Trellis Instructions],MATCH($E$8,Table3[Phenotype],0))</f>
        <v>No second trellis</v>
      </c>
    </row>
    <row r="40" spans="1:10" ht="409.5" customHeight="1" x14ac:dyDescent="0.25">
      <c r="A40" s="136"/>
      <c r="H40" s="245"/>
      <c r="I40" s="170" t="s">
        <v>612</v>
      </c>
      <c r="J40" s="206" t="str">
        <f>INDEX(Table3[Trellising Technique],MATCH($E$8,Table3[Phenotype],0))</f>
        <v>Set first trellis low, do not add a second trellis</v>
      </c>
    </row>
    <row r="41" spans="1:10" ht="69.75" customHeight="1" x14ac:dyDescent="0.9">
      <c r="C41"/>
      <c r="E41"/>
      <c r="F41"/>
      <c r="G41"/>
      <c r="H41" s="171"/>
      <c r="I41" s="171"/>
      <c r="J41" s="171"/>
    </row>
    <row r="42" spans="1:10" ht="408" customHeight="1" x14ac:dyDescent="0.25">
      <c r="A42" s="136"/>
      <c r="H42" s="245" t="s">
        <v>567</v>
      </c>
      <c r="I42" s="170" t="s">
        <v>611</v>
      </c>
      <c r="J42" s="180" t="str">
        <f>INDEX(Table3[Training Technique],MATCH($E$8,Table3[Phenotype],0))</f>
        <v>Spread as far as possible into the first trellis</v>
      </c>
    </row>
    <row r="43" spans="1:10" ht="174" customHeight="1" x14ac:dyDescent="0.25">
      <c r="A43" s="136"/>
      <c r="H43" s="245"/>
      <c r="I43" s="170" t="s">
        <v>613</v>
      </c>
      <c r="J43" s="180" t="str">
        <f>INDEX(Table3[Recommended training times],MATCH($E$8,Table3[Phenotype],0))</f>
        <v>Week 1, Week 2</v>
      </c>
    </row>
    <row r="44" spans="1:10" ht="28.5" customHeight="1" x14ac:dyDescent="0.25">
      <c r="A44" s="136"/>
      <c r="B44" s="154"/>
      <c r="H44" s="136"/>
    </row>
    <row r="46" spans="1:10" x14ac:dyDescent="0.25">
      <c r="H46" s="139"/>
      <c r="I46" s="140"/>
    </row>
    <row r="47" spans="1:10" x14ac:dyDescent="0.25">
      <c r="I47" s="141"/>
    </row>
    <row r="48" spans="1:10" x14ac:dyDescent="0.25">
      <c r="H48" s="142"/>
      <c r="I48" s="143"/>
    </row>
    <row r="49" spans="1:9" x14ac:dyDescent="0.25">
      <c r="I49" s="141"/>
    </row>
    <row r="50" spans="1:9" x14ac:dyDescent="0.25">
      <c r="I50" s="141"/>
    </row>
    <row r="51" spans="1:9" x14ac:dyDescent="0.25">
      <c r="I51" s="136"/>
    </row>
    <row r="52" spans="1:9" x14ac:dyDescent="0.25">
      <c r="H52" s="136"/>
    </row>
    <row r="53" spans="1:9" x14ac:dyDescent="0.25">
      <c r="H53" s="136"/>
    </row>
    <row r="54" spans="1:9" x14ac:dyDescent="0.25">
      <c r="H54" s="136"/>
    </row>
    <row r="55" spans="1:9" x14ac:dyDescent="0.25">
      <c r="A55" s="34"/>
    </row>
    <row r="56" spans="1:9" x14ac:dyDescent="0.25">
      <c r="A56" s="34"/>
    </row>
    <row r="57" spans="1:9" x14ac:dyDescent="0.25">
      <c r="A57" s="34"/>
    </row>
    <row r="58" spans="1:9" x14ac:dyDescent="0.25">
      <c r="A58" s="34"/>
    </row>
    <row r="59" spans="1:9" x14ac:dyDescent="0.25">
      <c r="A59" s="34"/>
    </row>
    <row r="60" spans="1:9" x14ac:dyDescent="0.25">
      <c r="A60" s="34"/>
    </row>
  </sheetData>
  <mergeCells count="3">
    <mergeCell ref="H35:H36"/>
    <mergeCell ref="H39:H40"/>
    <mergeCell ref="H42:H43"/>
  </mergeCells>
  <conditionalFormatting sqref="E22">
    <cfRule type="cellIs" dxfId="235" priority="1" operator="greaterThan">
      <formula>12</formula>
    </cfRule>
    <cfRule type="cellIs" dxfId="234" priority="2" operator="between">
      <formula>7</formula>
      <formula>12</formula>
    </cfRule>
    <cfRule type="cellIs" dxfId="233" priority="3" operator="lessThanOrEqual">
      <formula>6</formula>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List Box 1">
              <controlPr defaultSize="0" autoLine="0" autoPict="0">
                <anchor moveWithCells="1">
                  <from>
                    <xdr:col>0</xdr:col>
                    <xdr:colOff>219075</xdr:colOff>
                    <xdr:row>0</xdr:row>
                    <xdr:rowOff>66675</xdr:rowOff>
                  </from>
                  <to>
                    <xdr:col>2</xdr:col>
                    <xdr:colOff>1076325</xdr:colOff>
                    <xdr:row>3</xdr:row>
                    <xdr:rowOff>85725</xdr:rowOff>
                  </to>
                </anchor>
              </controlPr>
            </control>
          </mc:Choice>
        </mc:AlternateContent>
        <mc:AlternateContent xmlns:mc="http://schemas.openxmlformats.org/markup-compatibility/2006">
          <mc:Choice Requires="x14">
            <control shapeId="12290" r:id="rId5" name="Spinner 2">
              <controlPr defaultSize="0" autoPict="0">
                <anchor moveWithCells="1" sizeWithCells="1">
                  <from>
                    <xdr:col>4</xdr:col>
                    <xdr:colOff>276225</xdr:colOff>
                    <xdr:row>0</xdr:row>
                    <xdr:rowOff>123825</xdr:rowOff>
                  </from>
                  <to>
                    <xdr:col>6</xdr:col>
                    <xdr:colOff>771525</xdr:colOff>
                    <xdr:row>3</xdr:row>
                    <xdr:rowOff>85725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9CB97-94C4-47C1-A4F2-14D91830BE08}">
  <dimension ref="A1:W38"/>
  <sheetViews>
    <sheetView workbookViewId="0">
      <selection activeCell="I36" sqref="I36"/>
    </sheetView>
  </sheetViews>
  <sheetFormatPr defaultRowHeight="15" x14ac:dyDescent="0.25"/>
  <cols>
    <col min="1" max="1" width="15.42578125" bestFit="1" customWidth="1"/>
    <col min="2" max="18" width="11.7109375" bestFit="1" customWidth="1"/>
    <col min="21" max="22" width="12.42578125" customWidth="1"/>
    <col min="23" max="23" width="24.42578125" customWidth="1"/>
  </cols>
  <sheetData>
    <row r="1" spans="1:23" ht="15.75" thickBot="1" x14ac:dyDescent="0.3">
      <c r="A1" s="219" t="s">
        <v>674</v>
      </c>
      <c r="B1" s="220" t="s">
        <v>62</v>
      </c>
      <c r="C1" s="220" t="s">
        <v>584</v>
      </c>
      <c r="D1" s="220" t="s">
        <v>579</v>
      </c>
      <c r="E1" s="220" t="s">
        <v>469</v>
      </c>
      <c r="F1" s="220" t="s">
        <v>572</v>
      </c>
      <c r="G1" s="220" t="s">
        <v>47</v>
      </c>
      <c r="H1" s="220" t="s">
        <v>39</v>
      </c>
      <c r="I1" s="220" t="s">
        <v>33</v>
      </c>
      <c r="J1" s="220" t="s">
        <v>28</v>
      </c>
      <c r="K1" s="220" t="s">
        <v>25</v>
      </c>
      <c r="L1" s="220" t="s">
        <v>23</v>
      </c>
      <c r="M1" s="220" t="s">
        <v>21</v>
      </c>
      <c r="N1" s="220" t="s">
        <v>582</v>
      </c>
      <c r="O1" s="220" t="s">
        <v>10</v>
      </c>
      <c r="P1" s="220" t="s">
        <v>621</v>
      </c>
      <c r="Q1" s="220" t="s">
        <v>7</v>
      </c>
      <c r="R1" s="221" t="s">
        <v>6</v>
      </c>
    </row>
    <row r="2" spans="1:23" ht="15.75" thickBot="1" x14ac:dyDescent="0.3">
      <c r="A2" s="217">
        <v>44183.52857638889</v>
      </c>
      <c r="B2" s="215" t="s">
        <v>675</v>
      </c>
      <c r="C2" s="215" t="s">
        <v>676</v>
      </c>
      <c r="D2" s="215" t="s">
        <v>677</v>
      </c>
      <c r="E2" s="215" t="s">
        <v>676</v>
      </c>
      <c r="F2" s="215" t="s">
        <v>675</v>
      </c>
      <c r="G2" s="215" t="s">
        <v>676</v>
      </c>
      <c r="H2" s="215" t="s">
        <v>676</v>
      </c>
      <c r="I2" s="215" t="s">
        <v>677</v>
      </c>
      <c r="J2" s="215" t="s">
        <v>676</v>
      </c>
      <c r="K2" s="215" t="s">
        <v>677</v>
      </c>
      <c r="L2" s="215" t="s">
        <v>675</v>
      </c>
      <c r="M2" s="215" t="s">
        <v>675</v>
      </c>
      <c r="N2" s="215" t="s">
        <v>675</v>
      </c>
      <c r="O2" s="215" t="s">
        <v>675</v>
      </c>
      <c r="P2" s="215" t="s">
        <v>675</v>
      </c>
      <c r="Q2" s="215" t="s">
        <v>677</v>
      </c>
      <c r="R2" s="218" t="s">
        <v>677</v>
      </c>
    </row>
    <row r="3" spans="1:23" ht="15.75" thickBot="1" x14ac:dyDescent="0.3">
      <c r="A3" s="217">
        <v>44183.532523148147</v>
      </c>
      <c r="B3" s="215" t="s">
        <v>675</v>
      </c>
      <c r="C3" s="215" t="s">
        <v>676</v>
      </c>
      <c r="D3" s="215" t="s">
        <v>677</v>
      </c>
      <c r="E3" s="215" t="s">
        <v>677</v>
      </c>
      <c r="F3" s="215" t="s">
        <v>677</v>
      </c>
      <c r="G3" s="215" t="s">
        <v>675</v>
      </c>
      <c r="H3" s="215" t="s">
        <v>677</v>
      </c>
      <c r="I3" s="215" t="s">
        <v>675</v>
      </c>
      <c r="J3" s="215" t="s">
        <v>677</v>
      </c>
      <c r="K3" s="215" t="s">
        <v>675</v>
      </c>
      <c r="L3" s="215" t="s">
        <v>675</v>
      </c>
      <c r="M3" s="215" t="s">
        <v>677</v>
      </c>
      <c r="N3" s="215" t="s">
        <v>677</v>
      </c>
      <c r="O3" s="215" t="s">
        <v>676</v>
      </c>
      <c r="P3" s="215" t="s">
        <v>677</v>
      </c>
      <c r="Q3" s="215" t="s">
        <v>675</v>
      </c>
      <c r="R3" s="218" t="s">
        <v>676</v>
      </c>
      <c r="U3" s="231" t="s">
        <v>92</v>
      </c>
      <c r="V3" s="232" t="s">
        <v>679</v>
      </c>
      <c r="W3" s="233" t="s">
        <v>680</v>
      </c>
    </row>
    <row r="4" spans="1:23" ht="15.75" thickBot="1" x14ac:dyDescent="0.3">
      <c r="A4" s="217">
        <v>44183.624814814815</v>
      </c>
      <c r="B4" s="215" t="s">
        <v>675</v>
      </c>
      <c r="C4" s="215" t="s">
        <v>675</v>
      </c>
      <c r="D4" s="215" t="s">
        <v>677</v>
      </c>
      <c r="E4" s="215"/>
      <c r="F4" s="215" t="s">
        <v>675</v>
      </c>
      <c r="G4" s="215" t="s">
        <v>677</v>
      </c>
      <c r="H4" s="215" t="s">
        <v>675</v>
      </c>
      <c r="I4" s="215" t="s">
        <v>677</v>
      </c>
      <c r="J4" s="215" t="s">
        <v>676</v>
      </c>
      <c r="K4" s="215" t="s">
        <v>676</v>
      </c>
      <c r="L4" s="215" t="s">
        <v>677</v>
      </c>
      <c r="M4" s="215" t="s">
        <v>677</v>
      </c>
      <c r="N4" s="215" t="s">
        <v>677</v>
      </c>
      <c r="O4" s="215" t="s">
        <v>675</v>
      </c>
      <c r="P4" s="215" t="s">
        <v>675</v>
      </c>
      <c r="Q4" s="215" t="s">
        <v>677</v>
      </c>
      <c r="R4" s="218" t="s">
        <v>677</v>
      </c>
      <c r="U4" s="226" t="s">
        <v>28</v>
      </c>
      <c r="V4" s="225">
        <v>1.1200000000000001</v>
      </c>
      <c r="W4" s="218" t="s">
        <v>681</v>
      </c>
    </row>
    <row r="5" spans="1:23" ht="27" thickBot="1" x14ac:dyDescent="0.3">
      <c r="A5" s="217">
        <v>44183.638020833336</v>
      </c>
      <c r="B5" s="215" t="s">
        <v>675</v>
      </c>
      <c r="C5" s="215" t="s">
        <v>676</v>
      </c>
      <c r="D5" s="215" t="s">
        <v>675</v>
      </c>
      <c r="E5" s="215" t="s">
        <v>676</v>
      </c>
      <c r="F5" s="215" t="s">
        <v>675</v>
      </c>
      <c r="G5" s="215" t="s">
        <v>675</v>
      </c>
      <c r="H5" s="215" t="s">
        <v>677</v>
      </c>
      <c r="I5" s="215" t="s">
        <v>677</v>
      </c>
      <c r="J5" s="215" t="s">
        <v>676</v>
      </c>
      <c r="K5" s="215" t="s">
        <v>677</v>
      </c>
      <c r="L5" s="215" t="s">
        <v>675</v>
      </c>
      <c r="M5" s="215" t="s">
        <v>675</v>
      </c>
      <c r="N5" s="215" t="s">
        <v>675</v>
      </c>
      <c r="O5" s="215" t="s">
        <v>677</v>
      </c>
      <c r="P5" s="215" t="s">
        <v>677</v>
      </c>
      <c r="Q5" s="215" t="s">
        <v>675</v>
      </c>
      <c r="R5" s="218" t="s">
        <v>677</v>
      </c>
      <c r="U5" s="226" t="s">
        <v>584</v>
      </c>
      <c r="V5" s="225">
        <v>2.06</v>
      </c>
      <c r="W5" s="218" t="s">
        <v>681</v>
      </c>
    </row>
    <row r="6" spans="1:23" ht="27" thickBot="1" x14ac:dyDescent="0.3">
      <c r="A6" s="217">
        <v>44183.643553240741</v>
      </c>
      <c r="B6" s="215" t="s">
        <v>675</v>
      </c>
      <c r="C6" s="215" t="s">
        <v>676</v>
      </c>
      <c r="D6" s="215" t="s">
        <v>677</v>
      </c>
      <c r="E6" s="215" t="s">
        <v>677</v>
      </c>
      <c r="F6" s="215" t="s">
        <v>675</v>
      </c>
      <c r="G6" s="215" t="s">
        <v>677</v>
      </c>
      <c r="H6" s="215" t="s">
        <v>676</v>
      </c>
      <c r="I6" s="215" t="s">
        <v>677</v>
      </c>
      <c r="J6" s="215" t="s">
        <v>676</v>
      </c>
      <c r="K6" s="215" t="s">
        <v>675</v>
      </c>
      <c r="L6" s="215" t="s">
        <v>675</v>
      </c>
      <c r="M6" s="215" t="s">
        <v>677</v>
      </c>
      <c r="N6" s="215" t="s">
        <v>677</v>
      </c>
      <c r="O6" s="215" t="s">
        <v>675</v>
      </c>
      <c r="P6" s="215" t="s">
        <v>675</v>
      </c>
      <c r="Q6" s="215" t="s">
        <v>677</v>
      </c>
      <c r="R6" s="218" t="s">
        <v>677</v>
      </c>
      <c r="U6" s="227" t="s">
        <v>6</v>
      </c>
      <c r="V6" s="225">
        <v>2.29</v>
      </c>
      <c r="W6" s="218" t="s">
        <v>682</v>
      </c>
    </row>
    <row r="7" spans="1:23" ht="27" thickBot="1" x14ac:dyDescent="0.3">
      <c r="A7" s="217">
        <v>44183.644224537034</v>
      </c>
      <c r="B7" s="215" t="s">
        <v>675</v>
      </c>
      <c r="C7" s="215" t="s">
        <v>676</v>
      </c>
      <c r="D7" s="215" t="s">
        <v>677</v>
      </c>
      <c r="E7" s="215" t="s">
        <v>677</v>
      </c>
      <c r="F7" s="215" t="s">
        <v>675</v>
      </c>
      <c r="G7" s="215" t="s">
        <v>677</v>
      </c>
      <c r="H7" s="215" t="s">
        <v>676</v>
      </c>
      <c r="I7" s="215" t="s">
        <v>677</v>
      </c>
      <c r="J7" s="215" t="s">
        <v>676</v>
      </c>
      <c r="K7" s="215" t="s">
        <v>675</v>
      </c>
      <c r="L7" s="215" t="s">
        <v>675</v>
      </c>
      <c r="M7" s="215" t="s">
        <v>677</v>
      </c>
      <c r="N7" s="215" t="s">
        <v>677</v>
      </c>
      <c r="O7" s="215" t="s">
        <v>675</v>
      </c>
      <c r="P7" s="215" t="s">
        <v>675</v>
      </c>
      <c r="Q7" s="215" t="s">
        <v>677</v>
      </c>
      <c r="R7" s="218" t="s">
        <v>677</v>
      </c>
      <c r="U7" s="227" t="s">
        <v>469</v>
      </c>
      <c r="V7" s="225">
        <v>2.29</v>
      </c>
      <c r="W7" s="218" t="s">
        <v>682</v>
      </c>
    </row>
    <row r="8" spans="1:23" ht="27" thickBot="1" x14ac:dyDescent="0.3">
      <c r="A8" s="217">
        <v>44183.653298611112</v>
      </c>
      <c r="B8" s="215" t="s">
        <v>675</v>
      </c>
      <c r="C8" s="215" t="s">
        <v>676</v>
      </c>
      <c r="D8" s="215" t="s">
        <v>677</v>
      </c>
      <c r="E8" s="215" t="s">
        <v>677</v>
      </c>
      <c r="F8" s="215" t="s">
        <v>675</v>
      </c>
      <c r="G8" s="215" t="s">
        <v>677</v>
      </c>
      <c r="H8" s="215" t="s">
        <v>677</v>
      </c>
      <c r="I8" s="215" t="s">
        <v>677</v>
      </c>
      <c r="J8" s="215" t="s">
        <v>676</v>
      </c>
      <c r="K8" s="215" t="s">
        <v>677</v>
      </c>
      <c r="L8" s="215" t="s">
        <v>677</v>
      </c>
      <c r="M8" s="215" t="s">
        <v>675</v>
      </c>
      <c r="N8" s="215" t="s">
        <v>676</v>
      </c>
      <c r="O8" s="215" t="s">
        <v>675</v>
      </c>
      <c r="P8" s="215" t="s">
        <v>675</v>
      </c>
      <c r="Q8" s="215" t="s">
        <v>677</v>
      </c>
      <c r="R8" s="218" t="s">
        <v>676</v>
      </c>
      <c r="U8" s="227" t="s">
        <v>39</v>
      </c>
      <c r="V8" s="225">
        <v>2.29</v>
      </c>
      <c r="W8" s="218" t="s">
        <v>682</v>
      </c>
    </row>
    <row r="9" spans="1:23" ht="27" thickBot="1" x14ac:dyDescent="0.3">
      <c r="A9" s="217">
        <v>44183.664548611108</v>
      </c>
      <c r="B9" s="215" t="s">
        <v>675</v>
      </c>
      <c r="C9" s="215" t="s">
        <v>677</v>
      </c>
      <c r="D9" s="215" t="s">
        <v>677</v>
      </c>
      <c r="E9" s="215" t="s">
        <v>677</v>
      </c>
      <c r="F9" s="215" t="s">
        <v>677</v>
      </c>
      <c r="G9" s="215" t="s">
        <v>677</v>
      </c>
      <c r="H9" s="215" t="s">
        <v>677</v>
      </c>
      <c r="I9" s="215" t="s">
        <v>677</v>
      </c>
      <c r="J9" s="215" t="s">
        <v>676</v>
      </c>
      <c r="K9" s="215" t="s">
        <v>675</v>
      </c>
      <c r="L9" s="215" t="s">
        <v>675</v>
      </c>
      <c r="M9" s="215" t="s">
        <v>677</v>
      </c>
      <c r="N9" s="215" t="s">
        <v>675</v>
      </c>
      <c r="O9" s="215" t="s">
        <v>675</v>
      </c>
      <c r="P9" s="215"/>
      <c r="Q9" s="215" t="s">
        <v>675</v>
      </c>
      <c r="R9" s="218" t="s">
        <v>676</v>
      </c>
      <c r="U9" s="228" t="s">
        <v>33</v>
      </c>
      <c r="V9" s="225">
        <v>3.12</v>
      </c>
      <c r="W9" s="218" t="s">
        <v>683</v>
      </c>
    </row>
    <row r="10" spans="1:23" ht="27" thickBot="1" x14ac:dyDescent="0.3">
      <c r="A10" s="217">
        <v>44183.716539351852</v>
      </c>
      <c r="B10" s="215" t="s">
        <v>675</v>
      </c>
      <c r="C10" s="215" t="s">
        <v>677</v>
      </c>
      <c r="D10" s="215" t="s">
        <v>677</v>
      </c>
      <c r="E10" s="215" t="s">
        <v>677</v>
      </c>
      <c r="F10" s="215" t="s">
        <v>677</v>
      </c>
      <c r="G10" s="215" t="s">
        <v>677</v>
      </c>
      <c r="H10" s="215" t="s">
        <v>677</v>
      </c>
      <c r="I10" s="215" t="s">
        <v>677</v>
      </c>
      <c r="J10" s="215" t="s">
        <v>676</v>
      </c>
      <c r="K10" s="215" t="s">
        <v>675</v>
      </c>
      <c r="L10" s="215" t="s">
        <v>675</v>
      </c>
      <c r="M10" s="215" t="s">
        <v>677</v>
      </c>
      <c r="N10" s="215" t="s">
        <v>675</v>
      </c>
      <c r="O10" s="215" t="s">
        <v>675</v>
      </c>
      <c r="P10" s="215"/>
      <c r="Q10" s="215" t="s">
        <v>675</v>
      </c>
      <c r="R10" s="218" t="s">
        <v>676</v>
      </c>
      <c r="U10" s="228" t="s">
        <v>579</v>
      </c>
      <c r="V10" s="225">
        <v>3.24</v>
      </c>
      <c r="W10" s="218" t="s">
        <v>683</v>
      </c>
    </row>
    <row r="11" spans="1:23" ht="27" thickBot="1" x14ac:dyDescent="0.3">
      <c r="A11" s="217">
        <v>44183.836747685185</v>
      </c>
      <c r="B11" s="215" t="s">
        <v>675</v>
      </c>
      <c r="C11" s="215" t="s">
        <v>676</v>
      </c>
      <c r="D11" s="215" t="s">
        <v>677</v>
      </c>
      <c r="E11" s="215" t="s">
        <v>677</v>
      </c>
      <c r="F11" s="215" t="s">
        <v>675</v>
      </c>
      <c r="G11" s="215" t="s">
        <v>677</v>
      </c>
      <c r="H11" s="215" t="s">
        <v>677</v>
      </c>
      <c r="I11" s="215" t="s">
        <v>677</v>
      </c>
      <c r="J11" s="215" t="s">
        <v>676</v>
      </c>
      <c r="K11" s="215" t="s">
        <v>677</v>
      </c>
      <c r="L11" s="215" t="s">
        <v>677</v>
      </c>
      <c r="M11" s="215" t="s">
        <v>675</v>
      </c>
      <c r="N11" s="215" t="s">
        <v>676</v>
      </c>
      <c r="O11" s="215" t="s">
        <v>675</v>
      </c>
      <c r="P11" s="215" t="s">
        <v>675</v>
      </c>
      <c r="Q11" s="215" t="s">
        <v>677</v>
      </c>
      <c r="R11" s="218" t="s">
        <v>676</v>
      </c>
      <c r="U11" s="228" t="s">
        <v>582</v>
      </c>
      <c r="V11" s="225">
        <v>3.24</v>
      </c>
      <c r="W11" s="218" t="s">
        <v>683</v>
      </c>
    </row>
    <row r="12" spans="1:23" ht="27" thickBot="1" x14ac:dyDescent="0.3">
      <c r="A12" s="217">
        <v>44183.85255787037</v>
      </c>
      <c r="B12" s="215" t="s">
        <v>675</v>
      </c>
      <c r="C12" s="215" t="s">
        <v>677</v>
      </c>
      <c r="D12" s="215" t="s">
        <v>677</v>
      </c>
      <c r="E12" s="215" t="s">
        <v>677</v>
      </c>
      <c r="F12" s="215" t="s">
        <v>675</v>
      </c>
      <c r="G12" s="215" t="s">
        <v>677</v>
      </c>
      <c r="H12" s="215" t="s">
        <v>677</v>
      </c>
      <c r="I12" s="215" t="s">
        <v>677</v>
      </c>
      <c r="J12" s="215" t="s">
        <v>676</v>
      </c>
      <c r="K12" s="215" t="s">
        <v>675</v>
      </c>
      <c r="L12" s="215" t="s">
        <v>675</v>
      </c>
      <c r="M12" s="215" t="s">
        <v>675</v>
      </c>
      <c r="N12" s="215" t="s">
        <v>677</v>
      </c>
      <c r="O12" s="215" t="s">
        <v>675</v>
      </c>
      <c r="P12" s="215" t="s">
        <v>675</v>
      </c>
      <c r="Q12" s="215" t="s">
        <v>675</v>
      </c>
      <c r="R12" s="218" t="s">
        <v>675</v>
      </c>
      <c r="U12" s="228" t="s">
        <v>47</v>
      </c>
      <c r="V12" s="225">
        <v>3.35</v>
      </c>
      <c r="W12" s="218" t="s">
        <v>683</v>
      </c>
    </row>
    <row r="13" spans="1:23" ht="15.75" thickBot="1" x14ac:dyDescent="0.3">
      <c r="A13" s="217">
        <v>44183.879594907405</v>
      </c>
      <c r="B13" s="215" t="s">
        <v>675</v>
      </c>
      <c r="C13" s="215" t="s">
        <v>676</v>
      </c>
      <c r="D13" s="215" t="s">
        <v>675</v>
      </c>
      <c r="E13" s="215" t="s">
        <v>676</v>
      </c>
      <c r="F13" s="215" t="s">
        <v>675</v>
      </c>
      <c r="G13" s="215" t="s">
        <v>677</v>
      </c>
      <c r="H13" s="215" t="s">
        <v>676</v>
      </c>
      <c r="I13" s="215" t="s">
        <v>677</v>
      </c>
      <c r="J13" s="215" t="s">
        <v>676</v>
      </c>
      <c r="K13" s="215" t="s">
        <v>677</v>
      </c>
      <c r="L13" s="215" t="s">
        <v>677</v>
      </c>
      <c r="M13" s="215" t="s">
        <v>675</v>
      </c>
      <c r="N13" s="215" t="s">
        <v>677</v>
      </c>
      <c r="O13" s="215" t="s">
        <v>677</v>
      </c>
      <c r="P13" s="215" t="s">
        <v>675</v>
      </c>
      <c r="Q13" s="215" t="s">
        <v>677</v>
      </c>
      <c r="R13" s="218" t="s">
        <v>677</v>
      </c>
      <c r="U13" s="229" t="s">
        <v>7</v>
      </c>
      <c r="V13" s="225">
        <v>3.71</v>
      </c>
      <c r="W13" s="218" t="s">
        <v>684</v>
      </c>
    </row>
    <row r="14" spans="1:23" ht="15.75" thickBot="1" x14ac:dyDescent="0.3">
      <c r="A14" s="217">
        <v>44183.909016203703</v>
      </c>
      <c r="B14" s="215" t="s">
        <v>675</v>
      </c>
      <c r="C14" s="215" t="s">
        <v>676</v>
      </c>
      <c r="D14" s="215" t="s">
        <v>675</v>
      </c>
      <c r="E14" s="215" t="s">
        <v>676</v>
      </c>
      <c r="F14" s="215" t="s">
        <v>675</v>
      </c>
      <c r="G14" s="215" t="s">
        <v>677</v>
      </c>
      <c r="H14" s="215" t="s">
        <v>676</v>
      </c>
      <c r="I14" s="215" t="s">
        <v>677</v>
      </c>
      <c r="J14" s="215" t="s">
        <v>676</v>
      </c>
      <c r="K14" s="215" t="s">
        <v>677</v>
      </c>
      <c r="L14" s="215" t="s">
        <v>677</v>
      </c>
      <c r="M14" s="215" t="s">
        <v>675</v>
      </c>
      <c r="N14" s="215" t="s">
        <v>677</v>
      </c>
      <c r="O14" s="215" t="s">
        <v>677</v>
      </c>
      <c r="P14" s="215" t="s">
        <v>675</v>
      </c>
      <c r="Q14" s="215" t="s">
        <v>677</v>
      </c>
      <c r="R14" s="218" t="s">
        <v>677</v>
      </c>
      <c r="U14" s="229" t="s">
        <v>25</v>
      </c>
      <c r="V14" s="225">
        <v>3.82</v>
      </c>
      <c r="W14" s="218" t="s">
        <v>684</v>
      </c>
    </row>
    <row r="15" spans="1:23" ht="15.75" thickBot="1" x14ac:dyDescent="0.3">
      <c r="A15" s="217">
        <v>44184.692314814813</v>
      </c>
      <c r="B15" s="215" t="s">
        <v>675</v>
      </c>
      <c r="C15" s="215" t="s">
        <v>675</v>
      </c>
      <c r="D15" s="215" t="s">
        <v>677</v>
      </c>
      <c r="E15" s="215" t="s">
        <v>677</v>
      </c>
      <c r="F15" s="215" t="s">
        <v>677</v>
      </c>
      <c r="G15" s="215" t="s">
        <v>676</v>
      </c>
      <c r="H15" s="215" t="s">
        <v>676</v>
      </c>
      <c r="I15" s="215" t="s">
        <v>677</v>
      </c>
      <c r="J15" s="215" t="s">
        <v>676</v>
      </c>
      <c r="K15" s="215" t="s">
        <v>677</v>
      </c>
      <c r="L15" s="215" t="s">
        <v>677</v>
      </c>
      <c r="M15" s="215" t="s">
        <v>677</v>
      </c>
      <c r="N15" s="215" t="s">
        <v>677</v>
      </c>
      <c r="O15" s="215" t="s">
        <v>675</v>
      </c>
      <c r="P15" s="215" t="s">
        <v>675</v>
      </c>
      <c r="Q15" s="215" t="s">
        <v>677</v>
      </c>
      <c r="R15" s="218" t="s">
        <v>676</v>
      </c>
      <c r="U15" s="229" t="s">
        <v>21</v>
      </c>
      <c r="V15" s="225">
        <v>4.0599999999999996</v>
      </c>
      <c r="W15" s="218" t="s">
        <v>684</v>
      </c>
    </row>
    <row r="16" spans="1:23" ht="15.75" thickBot="1" x14ac:dyDescent="0.3">
      <c r="A16" s="217">
        <v>44186.3908912037</v>
      </c>
      <c r="B16" s="215" t="s">
        <v>677</v>
      </c>
      <c r="C16" s="215" t="s">
        <v>676</v>
      </c>
      <c r="D16" s="215" t="s">
        <v>676</v>
      </c>
      <c r="E16" s="215" t="s">
        <v>677</v>
      </c>
      <c r="F16" s="215" t="s">
        <v>677</v>
      </c>
      <c r="G16" s="215" t="s">
        <v>675</v>
      </c>
      <c r="H16" s="215" t="s">
        <v>677</v>
      </c>
      <c r="I16" s="215" t="s">
        <v>677</v>
      </c>
      <c r="J16" s="215" t="s">
        <v>676</v>
      </c>
      <c r="K16" s="215" t="s">
        <v>677</v>
      </c>
      <c r="L16" s="215" t="s">
        <v>677</v>
      </c>
      <c r="M16" s="215" t="s">
        <v>677</v>
      </c>
      <c r="N16" s="215" t="s">
        <v>677</v>
      </c>
      <c r="O16" s="215" t="s">
        <v>675</v>
      </c>
      <c r="P16" s="215" t="s">
        <v>675</v>
      </c>
      <c r="Q16" s="215" t="s">
        <v>677</v>
      </c>
      <c r="R16" s="218" t="s">
        <v>676</v>
      </c>
      <c r="U16" s="230" t="s">
        <v>23</v>
      </c>
      <c r="V16" s="225">
        <v>4.0599999999999996</v>
      </c>
      <c r="W16" s="218" t="s">
        <v>685</v>
      </c>
    </row>
    <row r="17" spans="1:23" ht="15.75" thickBot="1" x14ac:dyDescent="0.3">
      <c r="A17" s="217">
        <v>44186.448321759257</v>
      </c>
      <c r="B17" s="215" t="s">
        <v>677</v>
      </c>
      <c r="C17" s="215" t="s">
        <v>677</v>
      </c>
      <c r="D17" s="215" t="s">
        <v>677</v>
      </c>
      <c r="E17" s="215" t="s">
        <v>677</v>
      </c>
      <c r="F17" s="215" t="s">
        <v>675</v>
      </c>
      <c r="G17" s="215" t="s">
        <v>675</v>
      </c>
      <c r="H17" s="215" t="s">
        <v>677</v>
      </c>
      <c r="I17" s="215" t="s">
        <v>677</v>
      </c>
      <c r="J17" s="215" t="s">
        <v>676</v>
      </c>
      <c r="K17" s="215" t="s">
        <v>675</v>
      </c>
      <c r="L17" s="215" t="s">
        <v>677</v>
      </c>
      <c r="M17" s="215" t="s">
        <v>675</v>
      </c>
      <c r="N17" s="215" t="s">
        <v>677</v>
      </c>
      <c r="O17" s="215" t="s">
        <v>675</v>
      </c>
      <c r="P17" s="215" t="s">
        <v>675</v>
      </c>
      <c r="Q17" s="215" t="s">
        <v>677</v>
      </c>
      <c r="R17" s="218" t="s">
        <v>677</v>
      </c>
      <c r="U17" s="230" t="s">
        <v>621</v>
      </c>
      <c r="V17" s="225">
        <v>4.29</v>
      </c>
      <c r="W17" s="218" t="s">
        <v>685</v>
      </c>
    </row>
    <row r="18" spans="1:23" ht="15.75" thickBot="1" x14ac:dyDescent="0.3">
      <c r="A18" s="222">
        <v>44186.478692129633</v>
      </c>
      <c r="B18" s="223" t="s">
        <v>675</v>
      </c>
      <c r="C18" s="223" t="s">
        <v>677</v>
      </c>
      <c r="D18" s="223" t="s">
        <v>677</v>
      </c>
      <c r="E18" s="223" t="s">
        <v>676</v>
      </c>
      <c r="F18" s="223" t="s">
        <v>675</v>
      </c>
      <c r="G18" s="223" t="s">
        <v>675</v>
      </c>
      <c r="H18" s="223" t="s">
        <v>676</v>
      </c>
      <c r="I18" s="223" t="s">
        <v>677</v>
      </c>
      <c r="J18" s="223" t="s">
        <v>676</v>
      </c>
      <c r="K18" s="223" t="s">
        <v>675</v>
      </c>
      <c r="L18" s="223" t="s">
        <v>675</v>
      </c>
      <c r="M18" s="223" t="s">
        <v>675</v>
      </c>
      <c r="N18" s="223" t="s">
        <v>677</v>
      </c>
      <c r="O18" s="223" t="s">
        <v>677</v>
      </c>
      <c r="P18" s="223" t="s">
        <v>675</v>
      </c>
      <c r="Q18" s="223" t="s">
        <v>675</v>
      </c>
      <c r="R18" s="224" t="s">
        <v>677</v>
      </c>
      <c r="U18" s="230" t="s">
        <v>10</v>
      </c>
      <c r="V18" s="225">
        <v>4.29</v>
      </c>
      <c r="W18" s="218" t="s">
        <v>685</v>
      </c>
    </row>
    <row r="19" spans="1:23" ht="15.75" thickBot="1" x14ac:dyDescent="0.3">
      <c r="U19" s="230" t="s">
        <v>572</v>
      </c>
      <c r="V19" s="225">
        <v>4.41</v>
      </c>
      <c r="W19" s="218" t="s">
        <v>685</v>
      </c>
    </row>
    <row r="20" spans="1:23" x14ac:dyDescent="0.25">
      <c r="A20" t="s">
        <v>674</v>
      </c>
      <c r="B20" t="s">
        <v>62</v>
      </c>
      <c r="C20" t="s">
        <v>584</v>
      </c>
      <c r="D20" t="s">
        <v>579</v>
      </c>
      <c r="E20" t="s">
        <v>469</v>
      </c>
      <c r="F20" t="s">
        <v>572</v>
      </c>
      <c r="G20" t="s">
        <v>47</v>
      </c>
      <c r="H20" t="s">
        <v>39</v>
      </c>
      <c r="I20" t="s">
        <v>33</v>
      </c>
      <c r="J20" t="s">
        <v>28</v>
      </c>
      <c r="K20" t="s">
        <v>25</v>
      </c>
      <c r="L20" t="s">
        <v>23</v>
      </c>
      <c r="M20" t="s">
        <v>21</v>
      </c>
      <c r="N20" t="s">
        <v>582</v>
      </c>
      <c r="O20" t="s">
        <v>10</v>
      </c>
      <c r="P20" t="s">
        <v>621</v>
      </c>
      <c r="Q20" t="s">
        <v>7</v>
      </c>
      <c r="R20" t="s">
        <v>6</v>
      </c>
      <c r="U20" s="234" t="s">
        <v>62</v>
      </c>
      <c r="V20" s="235">
        <v>4.76</v>
      </c>
      <c r="W20" s="224" t="s">
        <v>685</v>
      </c>
    </row>
    <row r="21" spans="1:23" x14ac:dyDescent="0.25">
      <c r="A21" s="216">
        <v>44183.52857638889</v>
      </c>
      <c r="B21">
        <v>5</v>
      </c>
      <c r="C21">
        <v>1</v>
      </c>
      <c r="D21">
        <v>3</v>
      </c>
      <c r="E21">
        <v>1</v>
      </c>
      <c r="F21">
        <v>5</v>
      </c>
      <c r="G21">
        <v>1</v>
      </c>
      <c r="H21">
        <v>1</v>
      </c>
      <c r="I21">
        <v>3</v>
      </c>
      <c r="J21">
        <v>1</v>
      </c>
      <c r="K21">
        <v>3</v>
      </c>
      <c r="L21">
        <v>5</v>
      </c>
      <c r="M21">
        <v>5</v>
      </c>
      <c r="N21">
        <v>5</v>
      </c>
      <c r="O21">
        <v>5</v>
      </c>
      <c r="P21">
        <v>5</v>
      </c>
      <c r="Q21">
        <v>3</v>
      </c>
      <c r="R21">
        <v>3</v>
      </c>
    </row>
    <row r="22" spans="1:23" x14ac:dyDescent="0.25">
      <c r="A22" s="216">
        <v>44183.532523148147</v>
      </c>
      <c r="B22">
        <v>5</v>
      </c>
      <c r="C22">
        <v>1</v>
      </c>
      <c r="D22">
        <v>3</v>
      </c>
      <c r="E22">
        <v>3</v>
      </c>
      <c r="F22">
        <v>3</v>
      </c>
      <c r="G22">
        <v>5</v>
      </c>
      <c r="H22">
        <v>3</v>
      </c>
      <c r="I22">
        <v>5</v>
      </c>
      <c r="J22">
        <v>3</v>
      </c>
      <c r="K22">
        <v>5</v>
      </c>
      <c r="L22">
        <v>5</v>
      </c>
      <c r="M22">
        <v>3</v>
      </c>
      <c r="N22">
        <v>3</v>
      </c>
      <c r="O22">
        <v>1</v>
      </c>
      <c r="P22">
        <v>3</v>
      </c>
      <c r="Q22">
        <v>5</v>
      </c>
      <c r="R22">
        <v>1</v>
      </c>
    </row>
    <row r="23" spans="1:23" x14ac:dyDescent="0.25">
      <c r="A23" s="216">
        <v>44183.624814814815</v>
      </c>
      <c r="B23">
        <v>5</v>
      </c>
      <c r="C23">
        <v>5</v>
      </c>
      <c r="D23">
        <v>3</v>
      </c>
      <c r="E23">
        <v>1</v>
      </c>
      <c r="F23">
        <v>5</v>
      </c>
      <c r="G23">
        <v>3</v>
      </c>
      <c r="H23">
        <v>5</v>
      </c>
      <c r="I23">
        <v>3</v>
      </c>
      <c r="J23">
        <v>1</v>
      </c>
      <c r="K23">
        <v>1</v>
      </c>
      <c r="L23">
        <v>3</v>
      </c>
      <c r="M23">
        <v>3</v>
      </c>
      <c r="N23">
        <v>3</v>
      </c>
      <c r="O23">
        <v>5</v>
      </c>
      <c r="P23">
        <v>5</v>
      </c>
      <c r="Q23">
        <v>3</v>
      </c>
      <c r="R23">
        <v>3</v>
      </c>
    </row>
    <row r="24" spans="1:23" x14ac:dyDescent="0.25">
      <c r="A24" s="216">
        <v>44183.638020833336</v>
      </c>
      <c r="B24">
        <v>5</v>
      </c>
      <c r="C24">
        <v>1</v>
      </c>
      <c r="D24">
        <v>5</v>
      </c>
      <c r="E24">
        <v>1</v>
      </c>
      <c r="F24">
        <v>5</v>
      </c>
      <c r="G24">
        <v>5</v>
      </c>
      <c r="H24">
        <v>3</v>
      </c>
      <c r="I24">
        <v>3</v>
      </c>
      <c r="J24">
        <v>1</v>
      </c>
      <c r="K24">
        <v>3</v>
      </c>
      <c r="L24">
        <v>5</v>
      </c>
      <c r="M24">
        <v>5</v>
      </c>
      <c r="N24">
        <v>5</v>
      </c>
      <c r="O24">
        <v>3</v>
      </c>
      <c r="P24">
        <v>3</v>
      </c>
      <c r="Q24">
        <v>5</v>
      </c>
      <c r="R24">
        <v>3</v>
      </c>
    </row>
    <row r="25" spans="1:23" x14ac:dyDescent="0.25">
      <c r="A25" s="216">
        <v>44183.643553240741</v>
      </c>
      <c r="B25">
        <v>5</v>
      </c>
      <c r="C25">
        <v>1</v>
      </c>
      <c r="D25">
        <v>3</v>
      </c>
      <c r="E25">
        <v>3</v>
      </c>
      <c r="F25">
        <v>5</v>
      </c>
      <c r="G25">
        <v>3</v>
      </c>
      <c r="H25">
        <v>1</v>
      </c>
      <c r="I25">
        <v>3</v>
      </c>
      <c r="J25">
        <v>1</v>
      </c>
      <c r="K25">
        <v>5</v>
      </c>
      <c r="L25">
        <v>5</v>
      </c>
      <c r="M25">
        <v>3</v>
      </c>
      <c r="N25">
        <v>3</v>
      </c>
      <c r="O25">
        <v>5</v>
      </c>
      <c r="P25">
        <v>5</v>
      </c>
      <c r="Q25">
        <v>3</v>
      </c>
      <c r="R25">
        <v>3</v>
      </c>
    </row>
    <row r="26" spans="1:23" x14ac:dyDescent="0.25">
      <c r="A26" s="216">
        <v>44183.644224537034</v>
      </c>
      <c r="B26">
        <v>5</v>
      </c>
      <c r="C26">
        <v>1</v>
      </c>
      <c r="D26">
        <v>3</v>
      </c>
      <c r="E26">
        <v>3</v>
      </c>
      <c r="F26">
        <v>5</v>
      </c>
      <c r="G26">
        <v>3</v>
      </c>
      <c r="H26">
        <v>1</v>
      </c>
      <c r="I26">
        <v>3</v>
      </c>
      <c r="J26">
        <v>1</v>
      </c>
      <c r="K26">
        <v>5</v>
      </c>
      <c r="L26">
        <v>5</v>
      </c>
      <c r="M26">
        <v>3</v>
      </c>
      <c r="N26">
        <v>3</v>
      </c>
      <c r="O26">
        <v>5</v>
      </c>
      <c r="P26">
        <v>5</v>
      </c>
      <c r="Q26">
        <v>3</v>
      </c>
      <c r="R26">
        <v>3</v>
      </c>
    </row>
    <row r="27" spans="1:23" x14ac:dyDescent="0.25">
      <c r="A27" s="216">
        <v>44183.653298611112</v>
      </c>
      <c r="B27">
        <v>5</v>
      </c>
      <c r="C27">
        <v>1</v>
      </c>
      <c r="D27">
        <v>3</v>
      </c>
      <c r="E27">
        <v>3</v>
      </c>
      <c r="F27">
        <v>5</v>
      </c>
      <c r="G27">
        <v>3</v>
      </c>
      <c r="H27">
        <v>3</v>
      </c>
      <c r="I27">
        <v>3</v>
      </c>
      <c r="J27">
        <v>1</v>
      </c>
      <c r="K27">
        <v>3</v>
      </c>
      <c r="L27">
        <v>3</v>
      </c>
      <c r="M27">
        <v>5</v>
      </c>
      <c r="N27">
        <v>1</v>
      </c>
      <c r="O27">
        <v>5</v>
      </c>
      <c r="P27">
        <v>5</v>
      </c>
      <c r="Q27">
        <v>3</v>
      </c>
      <c r="R27">
        <v>1</v>
      </c>
    </row>
    <row r="28" spans="1:23" x14ac:dyDescent="0.25">
      <c r="A28" s="216">
        <v>44183.664548611108</v>
      </c>
      <c r="B28">
        <v>5</v>
      </c>
      <c r="C28">
        <v>3</v>
      </c>
      <c r="D28">
        <v>3</v>
      </c>
      <c r="E28">
        <v>3</v>
      </c>
      <c r="F28">
        <v>3</v>
      </c>
      <c r="G28">
        <v>3</v>
      </c>
      <c r="H28">
        <v>3</v>
      </c>
      <c r="I28">
        <v>3</v>
      </c>
      <c r="J28">
        <v>1</v>
      </c>
      <c r="K28">
        <v>5</v>
      </c>
      <c r="L28">
        <v>5</v>
      </c>
      <c r="M28">
        <v>3</v>
      </c>
      <c r="N28">
        <v>5</v>
      </c>
      <c r="O28">
        <v>5</v>
      </c>
      <c r="P28">
        <v>1</v>
      </c>
      <c r="Q28">
        <v>5</v>
      </c>
      <c r="R28">
        <v>1</v>
      </c>
    </row>
    <row r="29" spans="1:23" x14ac:dyDescent="0.25">
      <c r="A29" s="216">
        <v>44183.716539351852</v>
      </c>
      <c r="B29">
        <v>5</v>
      </c>
      <c r="C29">
        <v>3</v>
      </c>
      <c r="D29">
        <v>3</v>
      </c>
      <c r="E29">
        <v>3</v>
      </c>
      <c r="F29">
        <v>3</v>
      </c>
      <c r="G29">
        <v>3</v>
      </c>
      <c r="H29">
        <v>3</v>
      </c>
      <c r="I29">
        <v>3</v>
      </c>
      <c r="J29">
        <v>1</v>
      </c>
      <c r="K29">
        <v>5</v>
      </c>
      <c r="L29">
        <v>5</v>
      </c>
      <c r="M29">
        <v>3</v>
      </c>
      <c r="N29">
        <v>5</v>
      </c>
      <c r="O29">
        <v>5</v>
      </c>
      <c r="P29">
        <v>1</v>
      </c>
      <c r="Q29">
        <v>5</v>
      </c>
      <c r="R29">
        <v>1</v>
      </c>
    </row>
    <row r="30" spans="1:23" x14ac:dyDescent="0.25">
      <c r="A30" s="216">
        <v>44183.836747685185</v>
      </c>
      <c r="B30">
        <v>5</v>
      </c>
      <c r="C30">
        <v>1</v>
      </c>
      <c r="D30">
        <v>3</v>
      </c>
      <c r="E30">
        <v>3</v>
      </c>
      <c r="F30">
        <v>5</v>
      </c>
      <c r="G30">
        <v>3</v>
      </c>
      <c r="H30">
        <v>3</v>
      </c>
      <c r="I30">
        <v>3</v>
      </c>
      <c r="J30">
        <v>1</v>
      </c>
      <c r="K30">
        <v>3</v>
      </c>
      <c r="L30">
        <v>3</v>
      </c>
      <c r="M30">
        <v>5</v>
      </c>
      <c r="N30">
        <v>1</v>
      </c>
      <c r="O30">
        <v>5</v>
      </c>
      <c r="P30">
        <v>5</v>
      </c>
      <c r="Q30">
        <v>3</v>
      </c>
      <c r="R30">
        <v>1</v>
      </c>
    </row>
    <row r="31" spans="1:23" x14ac:dyDescent="0.25">
      <c r="A31" s="216">
        <v>44183.85255787037</v>
      </c>
      <c r="B31">
        <v>5</v>
      </c>
      <c r="C31">
        <v>3</v>
      </c>
      <c r="D31">
        <v>3</v>
      </c>
      <c r="E31">
        <v>3</v>
      </c>
      <c r="F31">
        <v>5</v>
      </c>
      <c r="G31">
        <v>3</v>
      </c>
      <c r="H31">
        <v>3</v>
      </c>
      <c r="I31">
        <v>3</v>
      </c>
      <c r="J31">
        <v>1</v>
      </c>
      <c r="K31">
        <v>5</v>
      </c>
      <c r="L31">
        <v>5</v>
      </c>
      <c r="M31">
        <v>5</v>
      </c>
      <c r="N31">
        <v>3</v>
      </c>
      <c r="O31">
        <v>5</v>
      </c>
      <c r="P31">
        <v>5</v>
      </c>
      <c r="Q31">
        <v>5</v>
      </c>
      <c r="R31">
        <v>5</v>
      </c>
    </row>
    <row r="32" spans="1:23" x14ac:dyDescent="0.25">
      <c r="A32" s="216">
        <v>44183.879594907405</v>
      </c>
      <c r="B32">
        <v>5</v>
      </c>
      <c r="C32">
        <v>1</v>
      </c>
      <c r="D32">
        <v>5</v>
      </c>
      <c r="E32">
        <v>1</v>
      </c>
      <c r="F32">
        <v>5</v>
      </c>
      <c r="G32">
        <v>3</v>
      </c>
      <c r="H32">
        <v>1</v>
      </c>
      <c r="I32">
        <v>3</v>
      </c>
      <c r="J32">
        <v>1</v>
      </c>
      <c r="K32">
        <v>3</v>
      </c>
      <c r="L32">
        <v>3</v>
      </c>
      <c r="M32">
        <v>5</v>
      </c>
      <c r="N32">
        <v>3</v>
      </c>
      <c r="O32">
        <v>3</v>
      </c>
      <c r="P32">
        <v>5</v>
      </c>
      <c r="Q32">
        <v>3</v>
      </c>
      <c r="R32">
        <v>3</v>
      </c>
    </row>
    <row r="33" spans="1:18" x14ac:dyDescent="0.25">
      <c r="A33" s="216">
        <v>44183.909016203703</v>
      </c>
      <c r="B33">
        <v>5</v>
      </c>
      <c r="C33">
        <v>1</v>
      </c>
      <c r="D33">
        <v>5</v>
      </c>
      <c r="E33">
        <v>1</v>
      </c>
      <c r="F33">
        <v>5</v>
      </c>
      <c r="G33">
        <v>3</v>
      </c>
      <c r="H33">
        <v>1</v>
      </c>
      <c r="I33">
        <v>3</v>
      </c>
      <c r="J33">
        <v>1</v>
      </c>
      <c r="K33">
        <v>3</v>
      </c>
      <c r="L33">
        <v>3</v>
      </c>
      <c r="M33">
        <v>5</v>
      </c>
      <c r="N33">
        <v>3</v>
      </c>
      <c r="O33">
        <v>3</v>
      </c>
      <c r="P33">
        <v>5</v>
      </c>
      <c r="Q33">
        <v>3</v>
      </c>
      <c r="R33">
        <v>3</v>
      </c>
    </row>
    <row r="34" spans="1:18" x14ac:dyDescent="0.25">
      <c r="A34" s="216">
        <v>44184.692314814813</v>
      </c>
      <c r="B34">
        <v>5</v>
      </c>
      <c r="C34">
        <v>5</v>
      </c>
      <c r="D34">
        <v>3</v>
      </c>
      <c r="E34">
        <v>3</v>
      </c>
      <c r="F34">
        <v>3</v>
      </c>
      <c r="G34">
        <v>1</v>
      </c>
      <c r="H34">
        <v>1</v>
      </c>
      <c r="I34">
        <v>3</v>
      </c>
      <c r="J34">
        <v>1</v>
      </c>
      <c r="K34">
        <v>3</v>
      </c>
      <c r="L34">
        <v>3</v>
      </c>
      <c r="M34">
        <v>3</v>
      </c>
      <c r="N34">
        <v>3</v>
      </c>
      <c r="O34">
        <v>5</v>
      </c>
      <c r="P34">
        <v>5</v>
      </c>
      <c r="Q34">
        <v>3</v>
      </c>
      <c r="R34">
        <v>1</v>
      </c>
    </row>
    <row r="35" spans="1:18" x14ac:dyDescent="0.25">
      <c r="A35" s="216">
        <v>44186.3908912037</v>
      </c>
      <c r="B35">
        <v>3</v>
      </c>
      <c r="C35">
        <v>1</v>
      </c>
      <c r="D35">
        <v>1</v>
      </c>
      <c r="E35">
        <v>3</v>
      </c>
      <c r="F35">
        <v>3</v>
      </c>
      <c r="G35">
        <v>5</v>
      </c>
      <c r="H35">
        <v>3</v>
      </c>
      <c r="I35">
        <v>3</v>
      </c>
      <c r="J35">
        <v>1</v>
      </c>
      <c r="K35">
        <v>3</v>
      </c>
      <c r="L35">
        <v>3</v>
      </c>
      <c r="M35">
        <v>3</v>
      </c>
      <c r="N35">
        <v>3</v>
      </c>
      <c r="O35">
        <v>5</v>
      </c>
      <c r="P35">
        <v>5</v>
      </c>
      <c r="Q35">
        <v>3</v>
      </c>
      <c r="R35">
        <v>1</v>
      </c>
    </row>
    <row r="36" spans="1:18" x14ac:dyDescent="0.25">
      <c r="A36" s="216">
        <v>44186.448321759257</v>
      </c>
      <c r="B36">
        <v>3</v>
      </c>
      <c r="C36">
        <v>3</v>
      </c>
      <c r="D36">
        <v>3</v>
      </c>
      <c r="E36">
        <v>3</v>
      </c>
      <c r="F36">
        <v>5</v>
      </c>
      <c r="G36">
        <v>5</v>
      </c>
      <c r="H36">
        <v>3</v>
      </c>
      <c r="I36">
        <v>3</v>
      </c>
      <c r="J36">
        <v>1</v>
      </c>
      <c r="K36">
        <v>5</v>
      </c>
      <c r="L36">
        <v>3</v>
      </c>
      <c r="M36">
        <v>5</v>
      </c>
      <c r="N36">
        <v>3</v>
      </c>
      <c r="O36">
        <v>5</v>
      </c>
      <c r="P36">
        <v>5</v>
      </c>
      <c r="Q36">
        <v>3</v>
      </c>
      <c r="R36">
        <v>3</v>
      </c>
    </row>
    <row r="37" spans="1:18" x14ac:dyDescent="0.25">
      <c r="A37" s="216">
        <v>44186.478692129633</v>
      </c>
      <c r="B37">
        <v>5</v>
      </c>
      <c r="C37">
        <v>3</v>
      </c>
      <c r="D37">
        <v>3</v>
      </c>
      <c r="E37">
        <v>1</v>
      </c>
      <c r="F37">
        <v>5</v>
      </c>
      <c r="G37">
        <v>5</v>
      </c>
      <c r="H37">
        <v>1</v>
      </c>
      <c r="I37">
        <v>3</v>
      </c>
      <c r="J37">
        <v>1</v>
      </c>
      <c r="K37">
        <v>5</v>
      </c>
      <c r="L37">
        <v>5</v>
      </c>
      <c r="M37">
        <v>5</v>
      </c>
      <c r="N37">
        <v>3</v>
      </c>
      <c r="O37">
        <v>3</v>
      </c>
      <c r="P37">
        <v>5</v>
      </c>
      <c r="Q37">
        <v>5</v>
      </c>
      <c r="R37">
        <v>3</v>
      </c>
    </row>
    <row r="38" spans="1:18" x14ac:dyDescent="0.25">
      <c r="A38" t="s">
        <v>678</v>
      </c>
      <c r="B38">
        <f>SUBTOTAL(101,Table16[92CK119])</f>
        <v>4.7647058823529411</v>
      </c>
      <c r="C38">
        <f>SUBTOTAL(101,Table16[BERT016])</f>
        <v>2.0588235294117645</v>
      </c>
      <c r="D38">
        <f>SUBTOTAL(101,Table16[BLDS207])</f>
        <v>3.2352941176470589</v>
      </c>
      <c r="E38">
        <f>SUBTOTAL(101,Table16[DOSI005])</f>
        <v>2.2941176470588234</v>
      </c>
      <c r="F38">
        <f>SUBTOTAL(101,Table16[DURP006])</f>
        <v>4.4117647058823533</v>
      </c>
      <c r="G38">
        <f>SUBTOTAL(101,Table16[GFSD189])</f>
        <v>3.3529411764705883</v>
      </c>
      <c r="H38">
        <f>SUBTOTAL(101,Table16[KING002])</f>
        <v>2.2941176470588234</v>
      </c>
      <c r="I38">
        <f>SUBTOTAL(101,Table16[KOKO011])</f>
        <v>3.1176470588235294</v>
      </c>
      <c r="J38">
        <f>SUBTOTAL(101,Table16[LDOS040])</f>
        <v>1.1176470588235294</v>
      </c>
      <c r="K38">
        <f>SUBTOTAL(101,Table16[NYFL014])</f>
        <v>3.8235294117647061</v>
      </c>
      <c r="L38">
        <f>SUBTOTAL(101,Table16[OROB054])</f>
        <v>4.0588235294117645</v>
      </c>
      <c r="M38">
        <f>SUBTOTAL(101,Table16[PLAN008])</f>
        <v>4.0588235294117645</v>
      </c>
      <c r="N38">
        <f>SUBTOTAL(101,Table16[SHRM014])</f>
        <v>3.2352941176470589</v>
      </c>
      <c r="O38">
        <f>SUBTOTAL(101,Table16[SOUR007])</f>
        <v>4.2941176470588234</v>
      </c>
      <c r="P38">
        <f>SUBTOTAL(101,Table16[SODA011])</f>
        <v>4.2941176470588234</v>
      </c>
      <c r="Q38">
        <f>SUBTOTAL(101,Table16[STR8017])</f>
        <v>3.7058823529411766</v>
      </c>
      <c r="R38">
        <f>SUBTOTAL(101,Table16[SUNL006])</f>
        <v>2.2941176470588234</v>
      </c>
    </row>
  </sheetData>
  <pageMargins left="0.7" right="0.7" top="0.75" bottom="0.75" header="0.3" footer="0.3"/>
  <pageSetup orientation="portrait" r:id="rId1"/>
  <drawing r:id="rId2"/>
  <tableParts count="3">
    <tablePart r:id="rId3"/>
    <tablePart r:id="rId4"/>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4B083-76BD-4FD7-8051-E93A98FBB214}">
  <dimension ref="A1:E20"/>
  <sheetViews>
    <sheetView workbookViewId="0">
      <selection activeCell="E4" sqref="E4"/>
    </sheetView>
  </sheetViews>
  <sheetFormatPr defaultRowHeight="15" x14ac:dyDescent="0.25"/>
  <sheetData>
    <row r="1" spans="1:5" x14ac:dyDescent="0.25">
      <c r="C1" s="283" t="s">
        <v>687</v>
      </c>
      <c r="D1" s="283"/>
      <c r="E1" s="283"/>
    </row>
    <row r="2" spans="1:5" x14ac:dyDescent="0.25">
      <c r="C2" s="236" t="s">
        <v>670</v>
      </c>
      <c r="D2" s="237" t="s">
        <v>671</v>
      </c>
      <c r="E2" s="238" t="s">
        <v>672</v>
      </c>
    </row>
    <row r="3" spans="1:5" x14ac:dyDescent="0.25">
      <c r="A3" s="236" t="s">
        <v>634</v>
      </c>
      <c r="B3" s="236" t="s">
        <v>670</v>
      </c>
    </row>
    <row r="4" spans="1:5" x14ac:dyDescent="0.25">
      <c r="A4" s="237" t="s">
        <v>667</v>
      </c>
      <c r="B4" s="237" t="s">
        <v>671</v>
      </c>
    </row>
    <row r="5" spans="1:5" x14ac:dyDescent="0.25">
      <c r="A5" s="236" t="s">
        <v>633</v>
      </c>
      <c r="B5" s="236" t="s">
        <v>670</v>
      </c>
    </row>
    <row r="6" spans="1:5" x14ac:dyDescent="0.25">
      <c r="A6" s="236" t="s">
        <v>638</v>
      </c>
      <c r="B6" s="236" t="s">
        <v>670</v>
      </c>
    </row>
    <row r="7" spans="1:5" x14ac:dyDescent="0.25">
      <c r="A7" s="236" t="s">
        <v>631</v>
      </c>
      <c r="B7" s="236" t="s">
        <v>670</v>
      </c>
    </row>
    <row r="8" spans="1:5" x14ac:dyDescent="0.25">
      <c r="A8" s="237" t="s">
        <v>429</v>
      </c>
      <c r="B8" s="237" t="s">
        <v>671</v>
      </c>
    </row>
    <row r="9" spans="1:5" x14ac:dyDescent="0.25">
      <c r="A9" s="237" t="s">
        <v>642</v>
      </c>
      <c r="B9" s="237" t="s">
        <v>671</v>
      </c>
    </row>
    <row r="10" spans="1:5" x14ac:dyDescent="0.25">
      <c r="A10" s="238" t="s">
        <v>636</v>
      </c>
      <c r="B10" s="238" t="s">
        <v>672</v>
      </c>
    </row>
    <row r="11" spans="1:5" x14ac:dyDescent="0.25">
      <c r="A11" s="238" t="s">
        <v>643</v>
      </c>
      <c r="B11" s="238" t="s">
        <v>672</v>
      </c>
    </row>
    <row r="12" spans="1:5" x14ac:dyDescent="0.25">
      <c r="A12" s="236" t="s">
        <v>662</v>
      </c>
      <c r="B12" s="236" t="s">
        <v>670</v>
      </c>
    </row>
    <row r="13" spans="1:5" x14ac:dyDescent="0.25">
      <c r="A13" s="237" t="s">
        <v>644</v>
      </c>
      <c r="B13" s="237" t="s">
        <v>671</v>
      </c>
    </row>
    <row r="14" spans="1:5" x14ac:dyDescent="0.25">
      <c r="A14" s="238" t="s">
        <v>668</v>
      </c>
      <c r="B14" s="238" t="s">
        <v>672</v>
      </c>
    </row>
    <row r="15" spans="1:5" x14ac:dyDescent="0.25">
      <c r="A15" s="238" t="s">
        <v>635</v>
      </c>
      <c r="B15" s="238" t="s">
        <v>672</v>
      </c>
    </row>
    <row r="16" spans="1:5" x14ac:dyDescent="0.25">
      <c r="A16" s="238" t="s">
        <v>688</v>
      </c>
      <c r="B16" s="238" t="s">
        <v>672</v>
      </c>
    </row>
    <row r="17" spans="1:2" x14ac:dyDescent="0.25">
      <c r="A17" s="238" t="s">
        <v>632</v>
      </c>
      <c r="B17" s="238" t="s">
        <v>672</v>
      </c>
    </row>
    <row r="18" spans="1:2" x14ac:dyDescent="0.25">
      <c r="A18" s="237" t="s">
        <v>637</v>
      </c>
      <c r="B18" s="237" t="s">
        <v>671</v>
      </c>
    </row>
    <row r="19" spans="1:2" x14ac:dyDescent="0.25">
      <c r="A19" s="237" t="s">
        <v>640</v>
      </c>
      <c r="B19" s="237" t="s">
        <v>671</v>
      </c>
    </row>
    <row r="20" spans="1:2" x14ac:dyDescent="0.25">
      <c r="A20" s="236" t="s">
        <v>689</v>
      </c>
      <c r="B20" s="236" t="s">
        <v>670</v>
      </c>
    </row>
  </sheetData>
  <mergeCells count="1">
    <mergeCell ref="C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A57F7-8C63-4758-85EE-2225596B4785}">
  <dimension ref="A1:AL69"/>
  <sheetViews>
    <sheetView zoomScale="70" zoomScaleNormal="70" workbookViewId="0">
      <pane xSplit="1" ySplit="1" topLeftCell="B2" activePane="bottomRight" state="frozen"/>
      <selection pane="topRight" activeCell="B1" sqref="B1"/>
      <selection pane="bottomLeft" activeCell="A2" sqref="A2"/>
      <selection pane="bottomRight" activeCell="B8" sqref="B8"/>
    </sheetView>
  </sheetViews>
  <sheetFormatPr defaultRowHeight="15" x14ac:dyDescent="0.25"/>
  <cols>
    <col min="1" max="5" width="20.7109375" customWidth="1"/>
    <col min="6" max="6" width="18.85546875" customWidth="1"/>
    <col min="7" max="7" width="20.7109375" customWidth="1"/>
    <col min="8" max="8" width="20.7109375" hidden="1" customWidth="1"/>
    <col min="9" max="9" width="1.7109375" hidden="1" customWidth="1"/>
    <col min="10" max="10" width="0.140625" hidden="1" customWidth="1"/>
    <col min="11" max="13" width="20.7109375" customWidth="1"/>
    <col min="14" max="14" width="25.7109375" customWidth="1"/>
    <col min="15" max="15" width="17.5703125" customWidth="1"/>
    <col min="16" max="17" width="30.7109375" customWidth="1"/>
    <col min="18" max="18" width="16" customWidth="1"/>
    <col min="19" max="19" width="22" bestFit="1" customWidth="1"/>
    <col min="20" max="20" width="14.7109375" customWidth="1"/>
    <col min="21" max="21" width="17.85546875" bestFit="1" customWidth="1"/>
    <col min="22" max="22" width="17.140625" customWidth="1"/>
    <col min="23" max="23" width="16.7109375" customWidth="1"/>
    <col min="24" max="24" width="17.28515625" customWidth="1"/>
    <col min="25" max="25" width="18.5703125" customWidth="1"/>
    <col min="26" max="26" width="13.5703125" customWidth="1"/>
    <col min="28" max="28" width="19.28515625" customWidth="1"/>
    <col min="29" max="29" width="12.42578125" customWidth="1"/>
    <col min="30" max="33" width="18.28515625" customWidth="1"/>
  </cols>
  <sheetData>
    <row r="1" spans="1:38" ht="56.25" customHeight="1" x14ac:dyDescent="0.25">
      <c r="A1" s="1" t="s">
        <v>337</v>
      </c>
      <c r="B1" s="1" t="s">
        <v>415</v>
      </c>
      <c r="C1" s="1" t="s">
        <v>404</v>
      </c>
      <c r="D1" s="1" t="s">
        <v>405</v>
      </c>
      <c r="E1" s="1" t="s">
        <v>406</v>
      </c>
      <c r="F1" s="1" t="s">
        <v>413</v>
      </c>
      <c r="G1" s="1" t="s">
        <v>408</v>
      </c>
      <c r="H1" s="15" t="s">
        <v>338</v>
      </c>
      <c r="I1" s="12" t="s">
        <v>89</v>
      </c>
      <c r="J1" s="12" t="s">
        <v>90</v>
      </c>
      <c r="K1" s="12" t="s">
        <v>359</v>
      </c>
      <c r="L1" s="12" t="s">
        <v>348</v>
      </c>
      <c r="M1" s="12" t="s">
        <v>360</v>
      </c>
      <c r="N1" s="12" t="s">
        <v>349</v>
      </c>
      <c r="O1" s="25" t="s">
        <v>339</v>
      </c>
      <c r="P1" s="25" t="s">
        <v>340</v>
      </c>
      <c r="Q1" s="25" t="s">
        <v>350</v>
      </c>
      <c r="R1" s="144" t="s">
        <v>559</v>
      </c>
      <c r="S1" s="144" t="s">
        <v>560</v>
      </c>
      <c r="T1" s="151" t="s">
        <v>562</v>
      </c>
      <c r="U1" s="151" t="s">
        <v>564</v>
      </c>
      <c r="V1" s="26" t="s">
        <v>356</v>
      </c>
      <c r="W1" s="26" t="s">
        <v>341</v>
      </c>
      <c r="X1" s="26" t="s">
        <v>351</v>
      </c>
      <c r="Y1" s="26" t="s">
        <v>352</v>
      </c>
      <c r="Z1" s="26" t="s">
        <v>342</v>
      </c>
      <c r="AA1" s="26" t="s">
        <v>568</v>
      </c>
      <c r="AB1" s="13" t="s">
        <v>361</v>
      </c>
      <c r="AC1" s="13" t="s">
        <v>402</v>
      </c>
      <c r="AD1" s="13" t="s">
        <v>576</v>
      </c>
      <c r="AE1" s="13" t="s">
        <v>575</v>
      </c>
      <c r="AF1" s="13" t="s">
        <v>345</v>
      </c>
      <c r="AG1" s="14" t="s">
        <v>346</v>
      </c>
      <c r="AH1" s="14" t="s">
        <v>353</v>
      </c>
      <c r="AI1" s="24" t="s">
        <v>354</v>
      </c>
      <c r="AJ1" s="24" t="s">
        <v>403</v>
      </c>
      <c r="AK1" s="24" t="s">
        <v>347</v>
      </c>
      <c r="AL1" s="1" t="s">
        <v>355</v>
      </c>
    </row>
    <row r="2" spans="1:38" ht="35.1" customHeight="1" x14ac:dyDescent="0.25">
      <c r="A2" s="126" t="s">
        <v>22</v>
      </c>
      <c r="B2" s="127" t="s">
        <v>448</v>
      </c>
      <c r="C2" s="126" t="s">
        <v>445</v>
      </c>
      <c r="D2" s="127" t="s">
        <v>428</v>
      </c>
      <c r="E2" s="127" t="s">
        <v>468</v>
      </c>
      <c r="F2" s="126" t="s">
        <v>447</v>
      </c>
      <c r="G2" s="126" t="s">
        <v>526</v>
      </c>
      <c r="H2" s="1" t="e">
        <f>_xlfn.IFNA(INDEX([2]!Table1[Status],MATCH(Table314[[#This Row],[Phenotype]],[2]!Table1[Pheno],0)),"DEAD")</f>
        <v>#REF!</v>
      </c>
      <c r="I2" s="1" t="str">
        <f>VLOOKUP(Table314[[#This Row],[Phenotype]],Table162[[Pheno]:[Flower Category]],2,FALSE)</f>
        <v>yellow</v>
      </c>
      <c r="J2" s="1" t="str">
        <f>VLOOKUP(Table314[[#This Row],[Phenotype]],Table162[[Pheno]:[Flower Category]],3,FALSE)</f>
        <v>forest</v>
      </c>
      <c r="K2" s="18">
        <v>14.378787878787879</v>
      </c>
      <c r="L2" s="18">
        <v>1.8541773067450962</v>
      </c>
      <c r="M2" s="19">
        <v>35.314285714285717</v>
      </c>
      <c r="N2" s="19">
        <v>2.503191240507725</v>
      </c>
      <c r="O2" s="1" t="s">
        <v>76</v>
      </c>
      <c r="P2" s="1" t="s">
        <v>70</v>
      </c>
      <c r="Q2" s="1" t="s">
        <v>374</v>
      </c>
      <c r="R2" s="1" t="s">
        <v>571</v>
      </c>
      <c r="S2" s="1" t="s">
        <v>571</v>
      </c>
      <c r="T2" s="152">
        <v>0.10421316802637594</v>
      </c>
      <c r="U2" s="153">
        <v>56.333333333333336</v>
      </c>
      <c r="V2" s="1" t="s">
        <v>363</v>
      </c>
      <c r="W2" s="1" t="s">
        <v>231</v>
      </c>
      <c r="X2" s="1" t="s">
        <v>230</v>
      </c>
      <c r="Y2" s="1" t="s">
        <v>74</v>
      </c>
      <c r="Z2" s="1" t="s">
        <v>317</v>
      </c>
      <c r="AA2" s="17" t="s">
        <v>363</v>
      </c>
      <c r="AB2" s="2" t="str">
        <f>IFERROR(VLOOKUP(Table314[[#This Row],[Phenotype]],[3]!Table10[[Phenotype]:[Variation]],2,FALSE),"2")</f>
        <v>2</v>
      </c>
      <c r="AC2" s="2" t="s">
        <v>401</v>
      </c>
      <c r="AD2" s="2" t="s">
        <v>577</v>
      </c>
      <c r="AE2" s="21" t="s">
        <v>179</v>
      </c>
      <c r="AF2" s="1" t="s">
        <v>251</v>
      </c>
      <c r="AG2" s="1" t="s">
        <v>332</v>
      </c>
      <c r="AH2" s="1" t="s">
        <v>325</v>
      </c>
      <c r="AI2" s="28">
        <v>12</v>
      </c>
      <c r="AJ2" s="28"/>
      <c r="AK2" s="28" t="str">
        <f>_xlfn.IFNA(VLOOKUP(Table314[[#This Row],[Phenotype]],Table2[],6,FALSE),"no index value")</f>
        <v>no index value</v>
      </c>
      <c r="AL2" s="1" t="s">
        <v>237</v>
      </c>
    </row>
    <row r="3" spans="1:38" ht="35.1" customHeight="1" x14ac:dyDescent="0.25">
      <c r="A3" s="126" t="s">
        <v>19</v>
      </c>
      <c r="B3" s="126" t="s">
        <v>449</v>
      </c>
      <c r="C3" s="128" t="s">
        <v>450</v>
      </c>
      <c r="D3" s="126" t="s">
        <v>409</v>
      </c>
      <c r="E3" s="126" t="s">
        <v>468</v>
      </c>
      <c r="F3" s="126" t="s">
        <v>451</v>
      </c>
      <c r="G3" s="128" t="s">
        <v>527</v>
      </c>
      <c r="H3" s="1" t="e">
        <f>_xlfn.IFNA(INDEX([2]!Table1[Status],MATCH(Table314[[#This Row],[Phenotype]],[2]!Table1[Pheno],0)),"DEAD")</f>
        <v>#REF!</v>
      </c>
      <c r="I3" s="1" t="str">
        <f>VLOOKUP(Table314[[#This Row],[Phenotype]],Table162[[Pheno]:[Flower Category]],2,FALSE)</f>
        <v>blue</v>
      </c>
      <c r="J3" s="1" t="str">
        <f>VLOOKUP(Table314[[#This Row],[Phenotype]],Table162[[Pheno]:[Flower Category]],3,FALSE)</f>
        <v>blue</v>
      </c>
      <c r="K3" s="18">
        <v>20.697674418604652</v>
      </c>
      <c r="L3" s="18">
        <v>2.5521688602976154</v>
      </c>
      <c r="M3" s="19">
        <v>48.473684210526315</v>
      </c>
      <c r="N3" s="20">
        <v>5.9660609582069357</v>
      </c>
      <c r="O3" s="1" t="s">
        <v>64</v>
      </c>
      <c r="P3" s="1" t="s">
        <v>70</v>
      </c>
      <c r="Q3" s="1" t="s">
        <v>376</v>
      </c>
      <c r="R3" s="1" t="s">
        <v>571</v>
      </c>
      <c r="S3" s="1" t="s">
        <v>561</v>
      </c>
      <c r="T3" s="152">
        <v>7.4227225244632211E-2</v>
      </c>
      <c r="U3" s="153">
        <v>59</v>
      </c>
      <c r="V3" s="1" t="s">
        <v>357</v>
      </c>
      <c r="W3" s="1" t="s">
        <v>293</v>
      </c>
      <c r="X3" s="1" t="s">
        <v>230</v>
      </c>
      <c r="Y3" s="1" t="s">
        <v>73</v>
      </c>
      <c r="Z3" s="1" t="s">
        <v>308</v>
      </c>
      <c r="AA3" s="17" t="s">
        <v>363</v>
      </c>
      <c r="AB3" s="2">
        <v>3</v>
      </c>
      <c r="AC3" s="2" t="s">
        <v>400</v>
      </c>
      <c r="AD3" s="2" t="s">
        <v>577</v>
      </c>
      <c r="AE3" s="21" t="s">
        <v>371</v>
      </c>
      <c r="AF3" s="1" t="s">
        <v>292</v>
      </c>
      <c r="AG3" s="1" t="s">
        <v>333</v>
      </c>
      <c r="AH3" s="1" t="s">
        <v>324</v>
      </c>
      <c r="AI3" s="28">
        <v>12</v>
      </c>
      <c r="AJ3" s="28"/>
      <c r="AK3" s="28" t="str">
        <f>_xlfn.IFNA(VLOOKUP(Table314[[#This Row],[Phenotype]],Table2[],6,FALSE),"no index value")</f>
        <v>no index value</v>
      </c>
      <c r="AL3" s="1" t="s">
        <v>237</v>
      </c>
    </row>
    <row r="4" spans="1:38" ht="35.1" customHeight="1" x14ac:dyDescent="0.25">
      <c r="A4" s="129" t="s">
        <v>1</v>
      </c>
      <c r="B4" s="129" t="s">
        <v>465</v>
      </c>
      <c r="C4" s="126" t="s">
        <v>464</v>
      </c>
      <c r="D4" s="129" t="s">
        <v>428</v>
      </c>
      <c r="E4" s="129" t="s">
        <v>518</v>
      </c>
      <c r="F4" s="126" t="s">
        <v>467</v>
      </c>
      <c r="G4" s="126" t="s">
        <v>530</v>
      </c>
      <c r="H4" s="1" t="e">
        <f>_xlfn.IFNA(INDEX([2]!Table1[Status],MATCH(Table314[[#This Row],[Phenotype]],[2]!Table1[Pheno],0)),"DEAD")</f>
        <v>#REF!</v>
      </c>
      <c r="I4" s="1" t="str">
        <f>VLOOKUP(Table314[[#This Row],[Phenotype]],Table162[[Pheno]:[Flower Category]],2,FALSE)</f>
        <v>blue</v>
      </c>
      <c r="J4" s="1" t="str">
        <f>VLOOKUP(Table314[[#This Row],[Phenotype]],Table162[[Pheno]:[Flower Category]],3,FALSE)</f>
        <v>forest</v>
      </c>
      <c r="K4" s="18">
        <v>21.013392857142858</v>
      </c>
      <c r="L4" s="18">
        <v>2.2132482156533269</v>
      </c>
      <c r="M4" s="19">
        <v>40.375</v>
      </c>
      <c r="N4" s="19">
        <v>2.8868214118780657</v>
      </c>
      <c r="O4" s="1" t="s">
        <v>64</v>
      </c>
      <c r="P4" s="1" t="s">
        <v>70</v>
      </c>
      <c r="Q4" s="1" t="s">
        <v>376</v>
      </c>
      <c r="R4" s="1" t="s">
        <v>561</v>
      </c>
      <c r="S4" s="1" t="s">
        <v>571</v>
      </c>
      <c r="T4" s="152">
        <v>0.10172083195386132</v>
      </c>
      <c r="U4" s="153">
        <v>30.14</v>
      </c>
      <c r="V4" s="1" t="s">
        <v>363</v>
      </c>
      <c r="W4" s="1" t="s">
        <v>270</v>
      </c>
      <c r="X4" s="1" t="s">
        <v>77</v>
      </c>
      <c r="Y4" s="16" t="s">
        <v>74</v>
      </c>
      <c r="Z4" s="22" t="s">
        <v>313</v>
      </c>
      <c r="AA4" s="17" t="s">
        <v>363</v>
      </c>
      <c r="AB4" s="2" t="str">
        <f>IFERROR(VLOOKUP(Table314[[#This Row],[Phenotype]],[3]!Table10[[Phenotype]:[Variation]],2,FALSE),"2")</f>
        <v>2</v>
      </c>
      <c r="AC4" s="2" t="s">
        <v>401</v>
      </c>
      <c r="AD4" s="2" t="s">
        <v>577</v>
      </c>
      <c r="AE4" s="21" t="s">
        <v>180</v>
      </c>
      <c r="AF4" s="1" t="s">
        <v>222</v>
      </c>
      <c r="AG4" s="1" t="s">
        <v>295</v>
      </c>
      <c r="AH4" s="1" t="s">
        <v>326</v>
      </c>
      <c r="AI4" s="30">
        <v>16</v>
      </c>
      <c r="AJ4" s="30"/>
      <c r="AK4" s="30" t="str">
        <f>_xlfn.IFNA(VLOOKUP(Table314[[#This Row],[Phenotype]],Table2[],6,FALSE),"no index value")</f>
        <v>no index value</v>
      </c>
      <c r="AL4" s="1" t="s">
        <v>237</v>
      </c>
    </row>
    <row r="5" spans="1:38" ht="35.1" customHeight="1" x14ac:dyDescent="0.25"/>
    <row r="6" spans="1:38" ht="35.1" customHeight="1" x14ac:dyDescent="0.25"/>
    <row r="7" spans="1:38" ht="35.1" customHeight="1" x14ac:dyDescent="0.25"/>
    <row r="8" spans="1:38" ht="35.1" customHeight="1" x14ac:dyDescent="0.25"/>
    <row r="9" spans="1:38" ht="35.1" customHeight="1" x14ac:dyDescent="0.25"/>
    <row r="10" spans="1:38" ht="35.1" customHeight="1" x14ac:dyDescent="0.25"/>
    <row r="11" spans="1:38" ht="35.1" customHeight="1" x14ac:dyDescent="0.25"/>
    <row r="12" spans="1:38" ht="35.1" customHeight="1" x14ac:dyDescent="0.25"/>
    <row r="13" spans="1:38" ht="35.1" customHeight="1" x14ac:dyDescent="0.25"/>
    <row r="14" spans="1:38" ht="35.1" customHeight="1" x14ac:dyDescent="0.25"/>
    <row r="15" spans="1:38" ht="35.1" customHeight="1" x14ac:dyDescent="0.25"/>
    <row r="16" spans="1:38" ht="35.1" customHeight="1" x14ac:dyDescent="0.25"/>
    <row r="17" ht="35.1" customHeight="1" x14ac:dyDescent="0.25"/>
    <row r="18" ht="35.1" customHeight="1" x14ac:dyDescent="0.25"/>
    <row r="19" ht="35.1" customHeight="1" x14ac:dyDescent="0.25"/>
    <row r="20" ht="35.1" customHeight="1" x14ac:dyDescent="0.25"/>
    <row r="21" ht="35.1" customHeight="1" x14ac:dyDescent="0.25"/>
    <row r="22" ht="35.1" customHeight="1" x14ac:dyDescent="0.25"/>
    <row r="23" ht="35.1" customHeight="1" x14ac:dyDescent="0.25"/>
    <row r="24" ht="35.1" customHeight="1" x14ac:dyDescent="0.25"/>
    <row r="25" ht="35.1" customHeight="1" x14ac:dyDescent="0.25"/>
    <row r="26" ht="35.1" customHeight="1" x14ac:dyDescent="0.25"/>
    <row r="27" ht="35.1" customHeight="1" x14ac:dyDescent="0.25"/>
    <row r="28" ht="35.1" customHeight="1" x14ac:dyDescent="0.25"/>
    <row r="29" ht="35.1" customHeight="1" x14ac:dyDescent="0.25"/>
    <row r="30" ht="35.1" customHeight="1" x14ac:dyDescent="0.25"/>
    <row r="31" ht="35.1" customHeight="1" x14ac:dyDescent="0.25"/>
    <row r="32" ht="35.1" customHeight="1" x14ac:dyDescent="0.25"/>
    <row r="33" ht="35.1" customHeight="1" x14ac:dyDescent="0.25"/>
    <row r="34" ht="35.1" customHeight="1" x14ac:dyDescent="0.25"/>
    <row r="35" ht="35.1" customHeight="1" x14ac:dyDescent="0.25"/>
    <row r="36" ht="35.1" customHeight="1" x14ac:dyDescent="0.25"/>
    <row r="37" ht="35.1" customHeight="1" x14ac:dyDescent="0.25"/>
    <row r="38" ht="35.1" customHeight="1" x14ac:dyDescent="0.25"/>
    <row r="39" ht="35.1" customHeight="1" x14ac:dyDescent="0.25"/>
    <row r="40" ht="35.1" customHeight="1" x14ac:dyDescent="0.25"/>
    <row r="41" ht="35.1" customHeight="1" x14ac:dyDescent="0.25"/>
    <row r="42" ht="35.1" customHeight="1" x14ac:dyDescent="0.25"/>
    <row r="43" ht="35.1" customHeight="1" x14ac:dyDescent="0.25"/>
    <row r="44" ht="35.1" customHeight="1" x14ac:dyDescent="0.25"/>
    <row r="45" ht="35.1" customHeight="1" x14ac:dyDescent="0.25"/>
    <row r="46" ht="35.1" customHeight="1" x14ac:dyDescent="0.25"/>
    <row r="47" ht="35.1" customHeight="1" x14ac:dyDescent="0.25"/>
    <row r="48" ht="35.1" customHeight="1" x14ac:dyDescent="0.25"/>
    <row r="49" ht="35.1" customHeight="1" x14ac:dyDescent="0.25"/>
    <row r="50" ht="35.1" customHeight="1" x14ac:dyDescent="0.25"/>
    <row r="51" ht="35.1" customHeight="1" x14ac:dyDescent="0.25"/>
    <row r="52" ht="35.1" customHeight="1" x14ac:dyDescent="0.25"/>
    <row r="53" ht="35.1" customHeight="1" x14ac:dyDescent="0.25"/>
    <row r="54" ht="35.1" customHeight="1" x14ac:dyDescent="0.25"/>
    <row r="55" ht="35.1" customHeight="1" x14ac:dyDescent="0.25"/>
    <row r="56" ht="35.1" customHeight="1" x14ac:dyDescent="0.25"/>
    <row r="57" ht="35.1" customHeight="1" x14ac:dyDescent="0.25"/>
    <row r="58" ht="35.1" customHeight="1" x14ac:dyDescent="0.25"/>
    <row r="59" ht="35.1" customHeight="1" x14ac:dyDescent="0.25"/>
    <row r="60" ht="35.1" customHeight="1" x14ac:dyDescent="0.25"/>
    <row r="61" ht="35.1" customHeight="1" x14ac:dyDescent="0.25"/>
    <row r="62" ht="35.1" customHeight="1" x14ac:dyDescent="0.25"/>
    <row r="63" ht="35.1" customHeight="1" x14ac:dyDescent="0.25"/>
    <row r="64" ht="35.1" customHeight="1" x14ac:dyDescent="0.25"/>
    <row r="65" ht="35.1" customHeight="1" x14ac:dyDescent="0.25"/>
    <row r="66" ht="35.1" customHeight="1" x14ac:dyDescent="0.25"/>
    <row r="67" ht="35.1" customHeight="1" x14ac:dyDescent="0.25"/>
    <row r="68" ht="35.1" customHeight="1" x14ac:dyDescent="0.25"/>
    <row r="69" ht="35.1" customHeight="1" x14ac:dyDescent="0.25"/>
  </sheetData>
  <conditionalFormatting sqref="AK2:AK4">
    <cfRule type="cellIs" dxfId="92" priority="2" operator="between">
      <formula>11</formula>
      <formula>20</formula>
    </cfRule>
    <cfRule type="cellIs" dxfId="91" priority="3" operator="lessThanOrEqual">
      <formula>6</formula>
    </cfRule>
    <cfRule type="containsBlanks" dxfId="90" priority="4">
      <formula>LEN(TRIM(AK2))=0</formula>
    </cfRule>
  </conditionalFormatting>
  <conditionalFormatting sqref="AK2:AK4">
    <cfRule type="cellIs" dxfId="89" priority="1" operator="between">
      <formula>21</formula>
      <formula>40</formula>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26722-6652-4C75-9501-87986FB31CF3}">
  <dimension ref="A1:X50"/>
  <sheetViews>
    <sheetView topLeftCell="A48" zoomScale="60" workbookViewId="0">
      <selection activeCell="I53" sqref="I53"/>
    </sheetView>
  </sheetViews>
  <sheetFormatPr defaultColWidth="16.5703125" defaultRowHeight="87" customHeight="1" x14ac:dyDescent="0.25"/>
  <sheetData>
    <row r="1" spans="1:24" ht="87" customHeight="1" thickBot="1" x14ac:dyDescent="0.3">
      <c r="A1" s="61" t="s">
        <v>337</v>
      </c>
      <c r="B1" s="62" t="s">
        <v>338</v>
      </c>
      <c r="C1" s="63" t="s">
        <v>89</v>
      </c>
      <c r="D1" s="63" t="s">
        <v>90</v>
      </c>
      <c r="E1" s="63" t="s">
        <v>359</v>
      </c>
      <c r="F1" s="63" t="s">
        <v>348</v>
      </c>
      <c r="G1" s="63" t="s">
        <v>360</v>
      </c>
      <c r="H1" s="63" t="s">
        <v>349</v>
      </c>
      <c r="I1" s="64" t="s">
        <v>339</v>
      </c>
      <c r="J1" s="64" t="s">
        <v>340</v>
      </c>
      <c r="K1" s="64" t="s">
        <v>350</v>
      </c>
      <c r="L1" s="65" t="s">
        <v>356</v>
      </c>
      <c r="M1" s="65" t="s">
        <v>341</v>
      </c>
      <c r="N1" s="65" t="s">
        <v>351</v>
      </c>
      <c r="O1" s="65" t="s">
        <v>352</v>
      </c>
      <c r="P1" s="65" t="s">
        <v>342</v>
      </c>
      <c r="Q1" s="66" t="s">
        <v>343</v>
      </c>
      <c r="R1" s="66" t="s">
        <v>344</v>
      </c>
      <c r="S1" s="66" t="s">
        <v>345</v>
      </c>
      <c r="T1" s="67" t="s">
        <v>346</v>
      </c>
      <c r="U1" s="67" t="s">
        <v>353</v>
      </c>
      <c r="V1" s="68" t="s">
        <v>354</v>
      </c>
      <c r="W1" s="68" t="s">
        <v>347</v>
      </c>
      <c r="X1" s="69" t="s">
        <v>355</v>
      </c>
    </row>
    <row r="2" spans="1:24" ht="87" customHeight="1" x14ac:dyDescent="0.25">
      <c r="A2" s="56" t="s">
        <v>63</v>
      </c>
      <c r="B2" s="39" t="e">
        <f>_xlfn.IFNA(INDEX([2]!Table1[Status],MATCH(Table3[[#This Row],[Phenotype]],[2]!Table1[Pheno],0)),"DEAD")</f>
        <v>#REF!</v>
      </c>
      <c r="C2" s="39" t="str">
        <f>VLOOKUP(Table3[[#This Row],[Phenotype]],Table162[[Pheno]:[Flower Category]],2,FALSE)</f>
        <v>forest</v>
      </c>
      <c r="D2" s="39" t="str">
        <f>VLOOKUP(Table3[[#This Row],[Phenotype]],Table162[[Pheno]:[Flower Category]],3,FALSE)</f>
        <v>blue</v>
      </c>
      <c r="E2" s="40">
        <v>20.227272727272727</v>
      </c>
      <c r="F2" s="40">
        <v>1.3668144783333991</v>
      </c>
      <c r="G2" s="40">
        <v>48.863636363636367</v>
      </c>
      <c r="H2" s="40">
        <v>2.1689964164436941</v>
      </c>
      <c r="I2" s="39" t="s">
        <v>64</v>
      </c>
      <c r="J2" s="39" t="s">
        <v>65</v>
      </c>
      <c r="K2" s="39"/>
      <c r="L2" s="39"/>
      <c r="M2" s="39"/>
      <c r="N2" s="39"/>
      <c r="O2" s="39" t="s">
        <v>74</v>
      </c>
      <c r="P2" s="39" t="s">
        <v>285</v>
      </c>
      <c r="Q2" s="41">
        <v>3</v>
      </c>
      <c r="R2" s="42" t="s">
        <v>238</v>
      </c>
      <c r="S2" s="39" t="s">
        <v>66</v>
      </c>
      <c r="T2" s="39" t="s">
        <v>68</v>
      </c>
      <c r="U2" s="39" t="s">
        <v>67</v>
      </c>
      <c r="V2" s="43">
        <v>12</v>
      </c>
      <c r="W2" s="43">
        <f>_xlfn.IFNA(VLOOKUP(Table3[[#This Row],[Phenotype]],Table2[],6,FALSE),"no index value")</f>
        <v>11</v>
      </c>
      <c r="X2" s="59" t="s">
        <v>365</v>
      </c>
    </row>
    <row r="3" spans="1:24" ht="87" customHeight="1" x14ac:dyDescent="0.25">
      <c r="A3" s="56" t="s">
        <v>61</v>
      </c>
      <c r="B3" s="39" t="e">
        <f>_xlfn.IFNA(INDEX([2]!Table1[Status],MATCH(Table3[[#This Row],[Phenotype]],[2]!Table1[Pheno],0)),"DEAD")</f>
        <v>#REF!</v>
      </c>
      <c r="C3" s="39" t="e">
        <f>VLOOKUP(Table3[[#This Row],[Phenotype]],Table162[[Pheno]:[Flower Category]],2,FALSE)</f>
        <v>#N/A</v>
      </c>
      <c r="D3" s="39" t="e">
        <f>VLOOKUP(Table3[[#This Row],[Phenotype]],Table162[[Pheno]:[Flower Category]],3,FALSE)</f>
        <v>#N/A</v>
      </c>
      <c r="E3" s="40">
        <v>18.908163265306122</v>
      </c>
      <c r="F3" s="40">
        <v>2.5324425573193978</v>
      </c>
      <c r="G3" s="40">
        <v>38.045454545454547</v>
      </c>
      <c r="H3" s="40">
        <v>2.9063670960444363</v>
      </c>
      <c r="I3" s="39" t="s">
        <v>69</v>
      </c>
      <c r="J3" s="39" t="s">
        <v>70</v>
      </c>
      <c r="K3" s="39"/>
      <c r="L3" s="39"/>
      <c r="M3" s="39" t="s">
        <v>73</v>
      </c>
      <c r="N3" s="39" t="s">
        <v>75</v>
      </c>
      <c r="O3" s="39" t="s">
        <v>75</v>
      </c>
      <c r="P3" s="39" t="s">
        <v>210</v>
      </c>
      <c r="Q3" s="41" t="str">
        <f>IFERROR(VLOOKUP(Table3[[#This Row],[Phenotype]],[3]!Table10[[Phenotype]:[Variation]],2,FALSE),"2")</f>
        <v>2</v>
      </c>
      <c r="R3" s="42" t="s">
        <v>179</v>
      </c>
      <c r="S3" s="39" t="s">
        <v>218</v>
      </c>
      <c r="T3" s="39" t="s">
        <v>71</v>
      </c>
      <c r="U3" s="39" t="s">
        <v>72</v>
      </c>
      <c r="V3" s="39">
        <v>12</v>
      </c>
      <c r="W3" s="39">
        <f>_xlfn.IFNA(VLOOKUP(Table3[[#This Row],[Phenotype]],Table2[],6,FALSE),"no index value")</f>
        <v>6</v>
      </c>
      <c r="X3" s="60" t="s">
        <v>237</v>
      </c>
    </row>
    <row r="4" spans="1:24" ht="87" customHeight="1" x14ac:dyDescent="0.25">
      <c r="A4" s="58" t="s">
        <v>60</v>
      </c>
      <c r="B4" s="39" t="e">
        <f>_xlfn.IFNA(INDEX([2]!Table1[Status],MATCH(Table3[[#This Row],[Phenotype]],[2]!Table1[Pheno],0)),"DEAD")</f>
        <v>#REF!</v>
      </c>
      <c r="C4" s="39" t="e">
        <f>VLOOKUP(Table3[[#This Row],[Phenotype]],Table162[[Pheno]:[Flower Category]],2,FALSE)</f>
        <v>#N/A</v>
      </c>
      <c r="D4" s="39" t="e">
        <f>VLOOKUP(Table3[[#This Row],[Phenotype]],Table162[[Pheno]:[Flower Category]],3,FALSE)</f>
        <v>#N/A</v>
      </c>
      <c r="E4" s="40">
        <v>17.8</v>
      </c>
      <c r="F4" s="54">
        <v>4.9283758875403239</v>
      </c>
      <c r="G4" s="40">
        <v>35.25</v>
      </c>
      <c r="H4" s="40">
        <v>1.3093073414159542</v>
      </c>
      <c r="I4" s="39" t="s">
        <v>69</v>
      </c>
      <c r="J4" s="39" t="s">
        <v>70</v>
      </c>
      <c r="K4" s="39"/>
      <c r="L4" s="39"/>
      <c r="M4" s="39"/>
      <c r="N4" s="39"/>
      <c r="O4" s="39" t="s">
        <v>74</v>
      </c>
      <c r="P4" s="39" t="s">
        <v>210</v>
      </c>
      <c r="Q4" s="41">
        <v>2</v>
      </c>
      <c r="R4" s="45" t="s">
        <v>178</v>
      </c>
      <c r="S4" s="39" t="s">
        <v>189</v>
      </c>
      <c r="T4" s="39" t="s">
        <v>188</v>
      </c>
      <c r="U4" s="39" t="s">
        <v>72</v>
      </c>
      <c r="V4" s="39">
        <v>12</v>
      </c>
      <c r="W4" s="39">
        <f>_xlfn.IFNA(VLOOKUP(Table3[[#This Row],[Phenotype]],Table2[],6,FALSE),"no index value")</f>
        <v>14</v>
      </c>
      <c r="X4" s="59" t="s">
        <v>365</v>
      </c>
    </row>
    <row r="5" spans="1:24" ht="87" customHeight="1" x14ac:dyDescent="0.25">
      <c r="A5" s="55" t="s">
        <v>59</v>
      </c>
      <c r="B5" s="35" t="e">
        <f>_xlfn.IFNA(INDEX([2]!Table1[Status],MATCH(Table3[[#This Row],[Phenotype]],[2]!Table1[Pheno],0)),"DEAD")</f>
        <v>#REF!</v>
      </c>
      <c r="C5" s="35" t="e">
        <f>VLOOKUP(Table3[[#This Row],[Phenotype]],Table162[[Pheno]:[Flower Category]],2,FALSE)</f>
        <v>#N/A</v>
      </c>
      <c r="D5" s="35" t="e">
        <f>VLOOKUP(Table3[[#This Row],[Phenotype]],Table162[[Pheno]:[Flower Category]],3,FALSE)</f>
        <v>#N/A</v>
      </c>
      <c r="E5" s="36">
        <v>12.833333333333334</v>
      </c>
      <c r="F5" s="36">
        <v>1.4577379737113252</v>
      </c>
      <c r="G5" s="36">
        <v>31.125</v>
      </c>
      <c r="H5" s="36">
        <v>0.64086994446165568</v>
      </c>
      <c r="I5" s="35" t="s">
        <v>76</v>
      </c>
      <c r="J5" s="35" t="s">
        <v>70</v>
      </c>
      <c r="K5" s="35"/>
      <c r="L5" s="35"/>
      <c r="M5" s="35"/>
      <c r="N5" s="35"/>
      <c r="O5" s="35" t="s">
        <v>80</v>
      </c>
      <c r="P5" s="35"/>
      <c r="Q5" s="37" t="str">
        <f>IFERROR(VLOOKUP(Table3[[#This Row],[Phenotype]],[3]!Table10[[Phenotype]:[Variation]],2,FALSE),"2")</f>
        <v>2</v>
      </c>
      <c r="R5" s="38"/>
      <c r="S5" s="35" t="s">
        <v>78</v>
      </c>
      <c r="T5" s="35" t="s">
        <v>79</v>
      </c>
      <c r="U5" s="35" t="s">
        <v>72</v>
      </c>
      <c r="V5" s="35"/>
      <c r="W5" s="35" t="str">
        <f>_xlfn.IFNA(VLOOKUP(Table3[[#This Row],[Phenotype]],Table2[],6,FALSE),"no index value")</f>
        <v>no index value</v>
      </c>
      <c r="X5" s="59" t="s">
        <v>365</v>
      </c>
    </row>
    <row r="6" spans="1:24" ht="87" customHeight="1" x14ac:dyDescent="0.25">
      <c r="A6" s="55" t="s">
        <v>58</v>
      </c>
      <c r="B6" s="35" t="e">
        <f>_xlfn.IFNA(INDEX([2]!Table1[Status],MATCH(Table3[[#This Row],[Phenotype]],[2]!Table1[Pheno],0)),"DEAD")</f>
        <v>#REF!</v>
      </c>
      <c r="C6" s="35" t="e">
        <f>VLOOKUP(Table3[[#This Row],[Phenotype]],Table162[[Pheno]:[Flower Category]],2,FALSE)</f>
        <v>#N/A</v>
      </c>
      <c r="D6" s="35" t="e">
        <f>VLOOKUP(Table3[[#This Row],[Phenotype]],Table162[[Pheno]:[Flower Category]],3,FALSE)</f>
        <v>#N/A</v>
      </c>
      <c r="E6" s="36">
        <v>12</v>
      </c>
      <c r="F6" s="36">
        <v>0.63245553203367588</v>
      </c>
      <c r="G6" s="36">
        <v>26.166666666666668</v>
      </c>
      <c r="H6" s="36">
        <v>1.9407902170679361</v>
      </c>
      <c r="I6" s="35" t="s">
        <v>69</v>
      </c>
      <c r="J6" s="35" t="s">
        <v>70</v>
      </c>
      <c r="K6" s="35"/>
      <c r="L6" s="35"/>
      <c r="M6" s="35"/>
      <c r="N6" s="35"/>
      <c r="O6" s="35" t="s">
        <v>77</v>
      </c>
      <c r="P6" s="35"/>
      <c r="Q6" s="37" t="str">
        <f>IFERROR(VLOOKUP(Table3[[#This Row],[Phenotype]],[3]!Table10[[Phenotype]:[Variation]],2,FALSE),"2")</f>
        <v>2</v>
      </c>
      <c r="R6" s="44" t="s">
        <v>178</v>
      </c>
      <c r="S6" s="35" t="s">
        <v>78</v>
      </c>
      <c r="T6" s="35" t="s">
        <v>79</v>
      </c>
      <c r="U6" s="35" t="s">
        <v>72</v>
      </c>
      <c r="V6" s="35"/>
      <c r="W6" s="35" t="str">
        <f>_xlfn.IFNA(VLOOKUP(Table3[[#This Row],[Phenotype]],Table2[],6,FALSE),"no index value")</f>
        <v>no index value</v>
      </c>
      <c r="X6" s="59" t="s">
        <v>365</v>
      </c>
    </row>
    <row r="7" spans="1:24" ht="87" customHeight="1" x14ac:dyDescent="0.25">
      <c r="A7" s="56" t="s">
        <v>57</v>
      </c>
      <c r="B7" s="39" t="e">
        <f>_xlfn.IFNA(INDEX([2]!Table1[Status],MATCH(Table3[[#This Row],[Phenotype]],[2]!Table1[Pheno],0)),"DEAD")</f>
        <v>#REF!</v>
      </c>
      <c r="C7" s="39" t="str">
        <f>VLOOKUP(Table3[[#This Row],[Phenotype]],Table162[[Pheno]:[Flower Category]],2,FALSE)</f>
        <v>red</v>
      </c>
      <c r="D7" s="39" t="str">
        <f>VLOOKUP(Table3[[#This Row],[Phenotype]],Table162[[Pheno]:[Flower Category]],3,FALSE)</f>
        <v>red</v>
      </c>
      <c r="E7" s="40">
        <v>12.5</v>
      </c>
      <c r="F7" s="40">
        <v>0.9128709291752769</v>
      </c>
      <c r="G7" s="40">
        <v>28</v>
      </c>
      <c r="H7" s="40">
        <v>1.4142135623730951</v>
      </c>
      <c r="I7" s="39" t="s">
        <v>76</v>
      </c>
      <c r="J7" s="39" t="s">
        <v>70</v>
      </c>
      <c r="K7" s="39"/>
      <c r="L7" s="39"/>
      <c r="M7" s="39"/>
      <c r="N7" s="39"/>
      <c r="O7" s="39" t="s">
        <v>80</v>
      </c>
      <c r="P7" s="39"/>
      <c r="Q7" s="41" t="str">
        <f>IFERROR(VLOOKUP(Table3[[#This Row],[Phenotype]],[3]!Table10[[Phenotype]:[Variation]],2,FALSE),"2")</f>
        <v>2</v>
      </c>
      <c r="R7" s="42" t="s">
        <v>178</v>
      </c>
      <c r="S7" s="39" t="s">
        <v>81</v>
      </c>
      <c r="T7" s="39" t="s">
        <v>82</v>
      </c>
      <c r="U7" s="39" t="s">
        <v>72</v>
      </c>
      <c r="V7" s="39"/>
      <c r="W7" s="39">
        <f>_xlfn.IFNA(VLOOKUP(Table3[[#This Row],[Phenotype]],Table2[],6,FALSE),"no index value")</f>
        <v>13</v>
      </c>
      <c r="X7" s="59" t="s">
        <v>365</v>
      </c>
    </row>
    <row r="8" spans="1:24" ht="87" customHeight="1" x14ac:dyDescent="0.25">
      <c r="A8" s="55" t="s">
        <v>56</v>
      </c>
      <c r="B8" s="35" t="e">
        <f>_xlfn.IFNA(INDEX([2]!Table1[Status],MATCH(Table3[[#This Row],[Phenotype]],[2]!Table1[Pheno],0)),"DEAD")</f>
        <v>#REF!</v>
      </c>
      <c r="C8" s="35" t="str">
        <f>VLOOKUP(Table3[[#This Row],[Phenotype]],Table162[[Pheno]:[Flower Category]],2,FALSE)</f>
        <v>red</v>
      </c>
      <c r="D8" s="35" t="str">
        <f>VLOOKUP(Table3[[#This Row],[Phenotype]],Table162[[Pheno]:[Flower Category]],3,FALSE)</f>
        <v>red</v>
      </c>
      <c r="E8" s="36">
        <v>17.092592592592592</v>
      </c>
      <c r="F8" s="36">
        <v>2.0049795559912846</v>
      </c>
      <c r="G8" s="36">
        <v>39</v>
      </c>
      <c r="H8" s="36">
        <v>1.3944333775567925</v>
      </c>
      <c r="I8" s="35" t="s">
        <v>64</v>
      </c>
      <c r="J8" s="35" t="s">
        <v>70</v>
      </c>
      <c r="K8" s="35"/>
      <c r="L8" s="35"/>
      <c r="M8" s="35"/>
      <c r="N8" s="35"/>
      <c r="O8" s="35" t="s">
        <v>73</v>
      </c>
      <c r="P8" s="35"/>
      <c r="Q8" s="37" t="str">
        <f>IFERROR(VLOOKUP(Table3[[#This Row],[Phenotype]],[3]!Table10[[Phenotype]:[Variation]],2,FALSE),"2")</f>
        <v>2</v>
      </c>
      <c r="R8" s="44" t="s">
        <v>178</v>
      </c>
      <c r="S8" s="35" t="s">
        <v>83</v>
      </c>
      <c r="T8" s="35" t="s">
        <v>82</v>
      </c>
      <c r="U8" s="35" t="s">
        <v>72</v>
      </c>
      <c r="V8" s="35"/>
      <c r="W8" s="35">
        <f>_xlfn.IFNA(VLOOKUP(Table3[[#This Row],[Phenotype]],Table2[],6,FALSE),"no index value")</f>
        <v>7</v>
      </c>
      <c r="X8" s="59" t="s">
        <v>365</v>
      </c>
    </row>
    <row r="9" spans="1:24" ht="87" customHeight="1" x14ac:dyDescent="0.25">
      <c r="A9" s="56" t="s">
        <v>55</v>
      </c>
      <c r="B9" s="39" t="e">
        <f>_xlfn.IFNA(INDEX([2]!Table1[Status],MATCH(Table3[[#This Row],[Phenotype]],[2]!Table1[Pheno],0)),"DEAD")</f>
        <v>#REF!</v>
      </c>
      <c r="C9" s="39" t="str">
        <f>VLOOKUP(Table3[[#This Row],[Phenotype]],Table162[[Pheno]:[Flower Category]],2,FALSE)</f>
        <v>blue</v>
      </c>
      <c r="D9" s="39" t="str">
        <f>VLOOKUP(Table3[[#This Row],[Phenotype]],Table162[[Pheno]:[Flower Category]],3,FALSE)</f>
        <v>blue</v>
      </c>
      <c r="E9" s="40"/>
      <c r="F9" s="40"/>
      <c r="G9" s="40"/>
      <c r="H9" s="40"/>
      <c r="I9" s="39"/>
      <c r="J9" s="39"/>
      <c r="K9" s="39"/>
      <c r="L9" s="39"/>
      <c r="M9" s="39"/>
      <c r="N9" s="39"/>
      <c r="O9" s="39"/>
      <c r="P9" s="39"/>
      <c r="Q9" s="41" t="str">
        <f>IFERROR(VLOOKUP(Table3[[#This Row],[Phenotype]],[3]!Table10[[Phenotype]:[Variation]],2,FALSE),"2")</f>
        <v>2</v>
      </c>
      <c r="R9" s="41" t="s">
        <v>178</v>
      </c>
      <c r="S9" s="39"/>
      <c r="T9" s="39"/>
      <c r="U9" s="39"/>
      <c r="V9" s="39"/>
      <c r="W9" s="39">
        <f>_xlfn.IFNA(VLOOKUP(Table3[[#This Row],[Phenotype]],Table2[],6,FALSE),"no index value")</f>
        <v>2</v>
      </c>
      <c r="X9" s="59" t="s">
        <v>365</v>
      </c>
    </row>
    <row r="10" spans="1:24" ht="87" customHeight="1" x14ac:dyDescent="0.25">
      <c r="A10" s="56" t="s">
        <v>53</v>
      </c>
      <c r="B10" s="39" t="e">
        <f>_xlfn.IFNA(INDEX([2]!Table1[Status],MATCH(Table3[[#This Row],[Phenotype]],[2]!Table1[Pheno],0)),"DEAD")</f>
        <v>#REF!</v>
      </c>
      <c r="C10" s="39" t="str">
        <f>VLOOKUP(Table3[[#This Row],[Phenotype]],Table162[[Pheno]:[Flower Category]],2,FALSE)</f>
        <v>yellow</v>
      </c>
      <c r="D10" s="39" t="str">
        <f>VLOOKUP(Table3[[#This Row],[Phenotype]],Table162[[Pheno]:[Flower Category]],3,FALSE)</f>
        <v>blue</v>
      </c>
      <c r="E10" s="40">
        <v>12.7</v>
      </c>
      <c r="F10" s="40">
        <v>2.7748873851023195</v>
      </c>
      <c r="G10" s="40">
        <v>31.083333333333332</v>
      </c>
      <c r="H10" s="40">
        <v>3.7870393009139218</v>
      </c>
      <c r="I10" s="39" t="s">
        <v>76</v>
      </c>
      <c r="J10" s="39" t="s">
        <v>70</v>
      </c>
      <c r="K10" s="39"/>
      <c r="L10" s="39"/>
      <c r="M10" s="39" t="s">
        <v>73</v>
      </c>
      <c r="N10" s="39" t="s">
        <v>77</v>
      </c>
      <c r="O10" s="39" t="s">
        <v>77</v>
      </c>
      <c r="P10" s="39" t="s">
        <v>255</v>
      </c>
      <c r="Q10" s="41">
        <v>1</v>
      </c>
      <c r="R10" s="42" t="s">
        <v>198</v>
      </c>
      <c r="S10" s="39" t="s">
        <v>199</v>
      </c>
      <c r="T10" s="39" t="s">
        <v>171</v>
      </c>
      <c r="U10" s="39" t="s">
        <v>200</v>
      </c>
      <c r="V10" s="39">
        <v>16</v>
      </c>
      <c r="W10" s="39">
        <f>_xlfn.IFNA(VLOOKUP(Table3[[#This Row],[Phenotype]],Table2[],6,FALSE),"no index value")</f>
        <v>8</v>
      </c>
      <c r="X10" s="60" t="s">
        <v>237</v>
      </c>
    </row>
    <row r="11" spans="1:24" ht="87" customHeight="1" x14ac:dyDescent="0.25">
      <c r="A11" s="55" t="s">
        <v>52</v>
      </c>
      <c r="B11" s="35" t="e">
        <f>_xlfn.IFNA(INDEX([2]!Table1[Status],MATCH(Table3[[#This Row],[Phenotype]],[2]!Table1[Pheno],0)),"DEAD")</f>
        <v>#REF!</v>
      </c>
      <c r="C11" s="35" t="str">
        <f>VLOOKUP(Table3[[#This Row],[Phenotype]],Table162[[Pheno]:[Flower Category]],2,FALSE)</f>
        <v>forest</v>
      </c>
      <c r="D11" s="35" t="str">
        <f>VLOOKUP(Table3[[#This Row],[Phenotype]],Table162[[Pheno]:[Flower Category]],3,FALSE)</f>
        <v>forest</v>
      </c>
      <c r="E11" s="36">
        <v>12.6875</v>
      </c>
      <c r="F11" s="36">
        <v>2.2794370650082301</v>
      </c>
      <c r="G11" s="36">
        <v>32.607142857142854</v>
      </c>
      <c r="H11" s="36">
        <v>1.809999696436146</v>
      </c>
      <c r="I11" s="35" t="s">
        <v>76</v>
      </c>
      <c r="J11" s="35" t="s">
        <v>70</v>
      </c>
      <c r="K11" s="35"/>
      <c r="L11" s="35"/>
      <c r="M11" s="35" t="s">
        <v>243</v>
      </c>
      <c r="N11" s="35" t="s">
        <v>77</v>
      </c>
      <c r="O11" s="35" t="s">
        <v>77</v>
      </c>
      <c r="P11" s="35" t="s">
        <v>256</v>
      </c>
      <c r="Q11" s="37">
        <v>1</v>
      </c>
      <c r="R11" s="38" t="s">
        <v>198</v>
      </c>
      <c r="S11" s="35" t="s">
        <v>244</v>
      </c>
      <c r="T11" s="35" t="s">
        <v>246</v>
      </c>
      <c r="U11" s="35" t="s">
        <v>245</v>
      </c>
      <c r="V11" s="35">
        <v>16</v>
      </c>
      <c r="W11" s="35">
        <f>_xlfn.IFNA(VLOOKUP(Table3[[#This Row],[Phenotype]],Table2[],6,FALSE),"no index value")</f>
        <v>12</v>
      </c>
      <c r="X11" s="59" t="s">
        <v>237</v>
      </c>
    </row>
    <row r="12" spans="1:24" ht="87" customHeight="1" x14ac:dyDescent="0.25">
      <c r="A12" s="55" t="s">
        <v>51</v>
      </c>
      <c r="B12" s="35" t="e">
        <f>_xlfn.IFNA(INDEX([2]!Table1[Status],MATCH(Table3[[#This Row],[Phenotype]],[2]!Table1[Pheno],0)),"DEAD")</f>
        <v>#REF!</v>
      </c>
      <c r="C12" s="35" t="str">
        <f>VLOOKUP(Table3[[#This Row],[Phenotype]],Table162[[Pheno]:[Flower Category]],2,FALSE)</f>
        <v>blue</v>
      </c>
      <c r="D12" s="35" t="str">
        <f>VLOOKUP(Table3[[#This Row],[Phenotype]],Table162[[Pheno]:[Flower Category]],3,FALSE)</f>
        <v>blue</v>
      </c>
      <c r="E12" s="36">
        <v>19.96875</v>
      </c>
      <c r="F12" s="54">
        <v>3.0684890418575721</v>
      </c>
      <c r="G12" s="36">
        <v>38.666666666666664</v>
      </c>
      <c r="H12" s="36">
        <v>1.3706888336847241</v>
      </c>
      <c r="I12" s="35"/>
      <c r="J12" s="35"/>
      <c r="K12" s="35"/>
      <c r="L12" s="35"/>
      <c r="M12" s="35"/>
      <c r="N12" s="35"/>
      <c r="O12" s="35" t="s">
        <v>80</v>
      </c>
      <c r="P12" s="35" t="s">
        <v>208</v>
      </c>
      <c r="Q12" s="37" t="str">
        <f>IFERROR(VLOOKUP(Table3[[#This Row],[Phenotype]],[3]!Table10[[Phenotype]:[Variation]],2,FALSE),"2")</f>
        <v>2</v>
      </c>
      <c r="R12" s="44" t="s">
        <v>180</v>
      </c>
      <c r="S12" s="35"/>
      <c r="T12" s="35"/>
      <c r="U12" s="35"/>
      <c r="V12" s="35"/>
      <c r="W12" s="35">
        <f>_xlfn.IFNA(VLOOKUP(Table3[[#This Row],[Phenotype]],Table2[],6,FALSE),"no index value")</f>
        <v>1</v>
      </c>
      <c r="X12" s="59" t="s">
        <v>365</v>
      </c>
    </row>
    <row r="13" spans="1:24" ht="87" customHeight="1" x14ac:dyDescent="0.25">
      <c r="A13" s="55" t="s">
        <v>50</v>
      </c>
      <c r="B13" s="35" t="e">
        <f>_xlfn.IFNA(INDEX([2]!Table1[Status],MATCH(Table3[[#This Row],[Phenotype]],[2]!Table1[Pheno],0)),"DEAD")</f>
        <v>#REF!</v>
      </c>
      <c r="C13" s="35" t="e">
        <f>VLOOKUP(Table3[[#This Row],[Phenotype]],Table162[[Pheno]:[Flower Category]],2,FALSE)</f>
        <v>#N/A</v>
      </c>
      <c r="D13" s="35" t="e">
        <f>VLOOKUP(Table3[[#This Row],[Phenotype]],Table162[[Pheno]:[Flower Category]],3,FALSE)</f>
        <v>#N/A</v>
      </c>
      <c r="E13" s="36">
        <v>18.692307692307693</v>
      </c>
      <c r="F13" s="54">
        <v>3.0519014669714584</v>
      </c>
      <c r="G13" s="36">
        <v>37.147058823529413</v>
      </c>
      <c r="H13" s="36">
        <v>2.5906364196512452</v>
      </c>
      <c r="I13" s="35" t="s">
        <v>76</v>
      </c>
      <c r="J13" s="35" t="s">
        <v>65</v>
      </c>
      <c r="K13" s="35"/>
      <c r="L13" s="35"/>
      <c r="M13" s="35"/>
      <c r="N13" s="35"/>
      <c r="O13" s="35" t="s">
        <v>73</v>
      </c>
      <c r="P13" s="35"/>
      <c r="Q13" s="37" t="str">
        <f>IFERROR(VLOOKUP(Table3[[#This Row],[Phenotype]],[3]!Table10[[Phenotype]:[Variation]],2,FALSE),"2")</f>
        <v>2</v>
      </c>
      <c r="R13" s="38" t="s">
        <v>181</v>
      </c>
      <c r="S13" s="35" t="s">
        <v>186</v>
      </c>
      <c r="T13" s="35" t="s">
        <v>187</v>
      </c>
      <c r="U13" s="35" t="s">
        <v>67</v>
      </c>
      <c r="V13" s="35"/>
      <c r="W13" s="35" t="str">
        <f>_xlfn.IFNA(VLOOKUP(Table3[[#This Row],[Phenotype]],Table2[],6,FALSE),"no index value")</f>
        <v>no index value</v>
      </c>
      <c r="X13" s="59" t="s">
        <v>365</v>
      </c>
    </row>
    <row r="14" spans="1:24" ht="87" customHeight="1" x14ac:dyDescent="0.25">
      <c r="A14" s="55" t="s">
        <v>49</v>
      </c>
      <c r="B14" s="35" t="e">
        <f>_xlfn.IFNA(INDEX([2]!Table1[Status],MATCH(Table3[[#This Row],[Phenotype]],[2]!Table1[Pheno],0)),"DEAD")</f>
        <v>#REF!</v>
      </c>
      <c r="C14" s="35" t="str">
        <f>VLOOKUP(Table3[[#This Row],[Phenotype]],Table162[[Pheno]:[Flower Category]],2,FALSE)</f>
        <v>red</v>
      </c>
      <c r="D14" s="35" t="str">
        <f>VLOOKUP(Table3[[#This Row],[Phenotype]],Table162[[Pheno]:[Flower Category]],3,FALSE)</f>
        <v>red</v>
      </c>
      <c r="E14" s="36">
        <v>20.5</v>
      </c>
      <c r="F14" s="54">
        <v>3.0118812346154309</v>
      </c>
      <c r="G14" s="36">
        <v>34.761904761904759</v>
      </c>
      <c r="H14" s="36">
        <v>3.8588179784068783</v>
      </c>
      <c r="I14" s="35"/>
      <c r="J14" s="35"/>
      <c r="K14" s="35"/>
      <c r="L14" s="35"/>
      <c r="M14" s="35"/>
      <c r="N14" s="35"/>
      <c r="O14" s="35" t="s">
        <v>73</v>
      </c>
      <c r="P14" s="35"/>
      <c r="Q14" s="37" t="str">
        <f>IFERROR(VLOOKUP(Table3[[#This Row],[Phenotype]],[3]!Table10[[Phenotype]:[Variation]],2,FALSE),"2")</f>
        <v>2</v>
      </c>
      <c r="R14" s="38" t="s">
        <v>181</v>
      </c>
      <c r="S14" s="35"/>
      <c r="T14" s="35"/>
      <c r="U14" s="35"/>
      <c r="V14" s="35">
        <v>12</v>
      </c>
      <c r="W14" s="35">
        <f>_xlfn.IFNA(VLOOKUP(Table3[[#This Row],[Phenotype]],Table2[],6,FALSE),"no index value")</f>
        <v>5</v>
      </c>
      <c r="X14" s="59" t="s">
        <v>365</v>
      </c>
    </row>
    <row r="15" spans="1:24" ht="87" customHeight="1" x14ac:dyDescent="0.25">
      <c r="A15" s="56" t="s">
        <v>48</v>
      </c>
      <c r="B15" s="39" t="e">
        <f>_xlfn.IFNA(INDEX([2]!Table1[Status],MATCH(Table3[[#This Row],[Phenotype]],[2]!Table1[Pheno],0)),"DEAD")</f>
        <v>#REF!</v>
      </c>
      <c r="C15" s="39" t="e">
        <f>VLOOKUP(Table3[[#This Row],[Phenotype]],Table162[[Pheno]:[Flower Category]],2,FALSE)</f>
        <v>#N/A</v>
      </c>
      <c r="D15" s="39" t="e">
        <f>VLOOKUP(Table3[[#This Row],[Phenotype]],Table162[[Pheno]:[Flower Category]],3,FALSE)</f>
        <v>#N/A</v>
      </c>
      <c r="E15" s="40">
        <v>14.694444444444445</v>
      </c>
      <c r="F15" s="40">
        <v>2.3460786362183716</v>
      </c>
      <c r="G15" s="40">
        <v>31.294117647058822</v>
      </c>
      <c r="H15" s="40">
        <v>1.541699787667542</v>
      </c>
      <c r="I15" s="39" t="s">
        <v>69</v>
      </c>
      <c r="J15" s="39" t="s">
        <v>70</v>
      </c>
      <c r="K15" s="39"/>
      <c r="L15" s="39"/>
      <c r="M15" s="39" t="s">
        <v>211</v>
      </c>
      <c r="N15" s="39" t="s">
        <v>212</v>
      </c>
      <c r="O15" s="39" t="s">
        <v>73</v>
      </c>
      <c r="P15" s="39" t="s">
        <v>213</v>
      </c>
      <c r="Q15" s="41">
        <v>2</v>
      </c>
      <c r="R15" s="42" t="s">
        <v>204</v>
      </c>
      <c r="S15" s="39" t="s">
        <v>214</v>
      </c>
      <c r="T15" s="39" t="s">
        <v>164</v>
      </c>
      <c r="U15" s="39" t="s">
        <v>72</v>
      </c>
      <c r="V15" s="43">
        <v>16</v>
      </c>
      <c r="W15" s="43">
        <f>_xlfn.IFNA(VLOOKUP(Table3[[#This Row],[Phenotype]],Table2[],6,FALSE),"no index value")</f>
        <v>9</v>
      </c>
      <c r="X15" s="59" t="s">
        <v>365</v>
      </c>
    </row>
    <row r="16" spans="1:24" ht="87" customHeight="1" x14ac:dyDescent="0.25">
      <c r="A16" s="56" t="s">
        <v>142</v>
      </c>
      <c r="B16" s="50" t="e">
        <f>_xlfn.IFNA(INDEX([2]!Table1[Status],MATCH(Table3[[#This Row],[Phenotype]],[2]!Table1[Pheno],0)),"DEAD")</f>
        <v>#REF!</v>
      </c>
      <c r="C16" s="50" t="e">
        <f>VLOOKUP(Table3[[#This Row],[Phenotype]],Table162[[Pheno]:[Flower Category]],2,FALSE)</f>
        <v>#N/A</v>
      </c>
      <c r="D16" s="50" t="e">
        <f>VLOOKUP(Table3[[#This Row],[Phenotype]],Table162[[Pheno]:[Flower Category]],3,FALSE)</f>
        <v>#N/A</v>
      </c>
      <c r="E16" s="36">
        <v>16.222222222222221</v>
      </c>
      <c r="F16" s="36">
        <v>1.2949006435891781</v>
      </c>
      <c r="G16" s="36">
        <v>32.39</v>
      </c>
      <c r="H16" s="36">
        <v>2.6559329042422495</v>
      </c>
      <c r="I16" s="35"/>
      <c r="J16" s="35"/>
      <c r="K16" s="35"/>
      <c r="L16" s="35"/>
      <c r="M16" s="35"/>
      <c r="N16" s="35"/>
      <c r="O16" s="35" t="s">
        <v>73</v>
      </c>
      <c r="P16" s="35"/>
      <c r="Q16" s="37" t="str">
        <f>IFERROR(VLOOKUP(Table3[[#This Row],[Phenotype]],[3]!Table10[[Phenotype]:[Variation]],2,FALSE),"2")</f>
        <v>2</v>
      </c>
      <c r="R16" s="53" t="s">
        <v>179</v>
      </c>
      <c r="S16" s="35"/>
      <c r="T16" s="35"/>
      <c r="U16" s="35"/>
      <c r="V16" s="35"/>
      <c r="W16" s="35" t="str">
        <f>_xlfn.IFNA(VLOOKUP(Table3[[#This Row],[Phenotype]],Table2[],6,FALSE),"no index value")</f>
        <v>no index value</v>
      </c>
      <c r="X16" s="59" t="s">
        <v>365</v>
      </c>
    </row>
    <row r="17" spans="1:24" ht="87" customHeight="1" x14ac:dyDescent="0.25">
      <c r="A17" s="55" t="s">
        <v>46</v>
      </c>
      <c r="B17" s="35" t="e">
        <f>_xlfn.IFNA(INDEX([2]!Table1[Status],MATCH(Table3[[#This Row],[Phenotype]],[2]!Table1[Pheno],0)),"DEAD")</f>
        <v>#REF!</v>
      </c>
      <c r="C17" s="35" t="str">
        <f>VLOOKUP(Table3[[#This Row],[Phenotype]],Table162[[Pheno]:[Flower Category]],2,FALSE)</f>
        <v>red</v>
      </c>
      <c r="D17" s="35" t="str">
        <f>VLOOKUP(Table3[[#This Row],[Phenotype]],Table162[[Pheno]:[Flower Category]],3,FALSE)</f>
        <v>yellow</v>
      </c>
      <c r="E17" s="36">
        <v>14.15</v>
      </c>
      <c r="F17" s="36">
        <v>2.2716791841696051</v>
      </c>
      <c r="G17" s="36">
        <v>31.25</v>
      </c>
      <c r="H17" s="36">
        <v>4.5825756949558398</v>
      </c>
      <c r="I17" s="35" t="s">
        <v>69</v>
      </c>
      <c r="J17" s="35" t="s">
        <v>70</v>
      </c>
      <c r="K17" s="35"/>
      <c r="L17" s="35"/>
      <c r="M17" s="35" t="s">
        <v>231</v>
      </c>
      <c r="N17" s="35" t="s">
        <v>266</v>
      </c>
      <c r="O17" s="35" t="s">
        <v>73</v>
      </c>
      <c r="P17" s="35" t="s">
        <v>269</v>
      </c>
      <c r="Q17" s="37" t="str">
        <f>IFERROR(VLOOKUP(Table3[[#This Row],[Phenotype]],[3]!Table10[[Phenotype]:[Variation]],2,FALSE),"2")</f>
        <v>2</v>
      </c>
      <c r="R17" s="38" t="s">
        <v>180</v>
      </c>
      <c r="S17" s="35" t="s">
        <v>267</v>
      </c>
      <c r="T17" s="35" t="s">
        <v>268</v>
      </c>
      <c r="U17" s="35" t="s">
        <v>72</v>
      </c>
      <c r="V17" s="46">
        <v>12</v>
      </c>
      <c r="W17" s="46">
        <f>_xlfn.IFNA(VLOOKUP(Table3[[#This Row],[Phenotype]],Table2[],6,FALSE),"no index value")</f>
        <v>10</v>
      </c>
      <c r="X17" s="59" t="s">
        <v>237</v>
      </c>
    </row>
    <row r="18" spans="1:24" ht="87" customHeight="1" x14ac:dyDescent="0.25">
      <c r="A18" s="56" t="s">
        <v>44</v>
      </c>
      <c r="B18" s="39" t="e">
        <f>_xlfn.IFNA(INDEX([2]!Table1[Status],MATCH(Table3[[#This Row],[Phenotype]],[2]!Table1[Pheno],0)),"DEAD")</f>
        <v>#REF!</v>
      </c>
      <c r="C18" s="39" t="e">
        <f>VLOOKUP(Table3[[#This Row],[Phenotype]],Table162[[Pheno]:[Flower Category]],2,FALSE)</f>
        <v>#N/A</v>
      </c>
      <c r="D18" s="39" t="e">
        <f>VLOOKUP(Table3[[#This Row],[Phenotype]],Table162[[Pheno]:[Flower Category]],3,FALSE)</f>
        <v>#N/A</v>
      </c>
      <c r="E18" s="40">
        <v>20.091836734693878</v>
      </c>
      <c r="F18" s="40">
        <v>2.4274332066586464</v>
      </c>
      <c r="G18" s="40">
        <v>37.727272727272727</v>
      </c>
      <c r="H18" s="40">
        <v>1.9984137472719199</v>
      </c>
      <c r="I18" s="39" t="s">
        <v>76</v>
      </c>
      <c r="J18" s="39" t="s">
        <v>65</v>
      </c>
      <c r="K18" s="39"/>
      <c r="L18" s="39"/>
      <c r="M18" s="39"/>
      <c r="N18" s="39"/>
      <c r="O18" s="39" t="s">
        <v>80</v>
      </c>
      <c r="P18" s="39"/>
      <c r="Q18" s="41" t="str">
        <f>IFERROR(VLOOKUP(Table3[[#This Row],[Phenotype]],[3]!Table10[[Phenotype]:[Variation]],2,FALSE),"2")</f>
        <v>2</v>
      </c>
      <c r="R18" s="49" t="s">
        <v>181</v>
      </c>
      <c r="S18" s="39"/>
      <c r="T18" s="39"/>
      <c r="U18" s="39"/>
      <c r="V18" s="39"/>
      <c r="W18" s="39" t="str">
        <f>_xlfn.IFNA(VLOOKUP(Table3[[#This Row],[Phenotype]],Table2[],6,FALSE),"no index value")</f>
        <v>no index value</v>
      </c>
      <c r="X18" s="59" t="s">
        <v>365</v>
      </c>
    </row>
    <row r="19" spans="1:24" ht="87" customHeight="1" x14ac:dyDescent="0.25">
      <c r="A19" s="56" t="s">
        <v>43</v>
      </c>
      <c r="B19" s="39" t="e">
        <f>_xlfn.IFNA(INDEX([2]!Table1[Status],MATCH(Table3[[#This Row],[Phenotype]],[2]!Table1[Pheno],0)),"DEAD")</f>
        <v>#REF!</v>
      </c>
      <c r="C19" s="39" t="e">
        <f>VLOOKUP(Table3[[#This Row],[Phenotype]],Table162[[Pheno]:[Flower Category]],2,FALSE)</f>
        <v>#N/A</v>
      </c>
      <c r="D19" s="39" t="e">
        <f>VLOOKUP(Table3[[#This Row],[Phenotype]],Table162[[Pheno]:[Flower Category]],3,FALSE)</f>
        <v>#N/A</v>
      </c>
      <c r="E19" s="40">
        <v>16.083333333333332</v>
      </c>
      <c r="F19" s="40">
        <v>2.332738019295491</v>
      </c>
      <c r="G19" s="40">
        <v>35.125</v>
      </c>
      <c r="H19" s="40">
        <v>1.0307764064044151</v>
      </c>
      <c r="I19" s="39" t="s">
        <v>76</v>
      </c>
      <c r="J19" s="39" t="s">
        <v>65</v>
      </c>
      <c r="K19" s="39"/>
      <c r="L19" s="39"/>
      <c r="M19" s="39"/>
      <c r="N19" s="39"/>
      <c r="O19" s="39" t="s">
        <v>73</v>
      </c>
      <c r="P19" s="39"/>
      <c r="Q19" s="41" t="str">
        <f>IFERROR(VLOOKUP(Table3[[#This Row],[Phenotype]],[3]!Table10[[Phenotype]:[Variation]],2,FALSE),"2")</f>
        <v>2</v>
      </c>
      <c r="R19" s="49" t="s">
        <v>179</v>
      </c>
      <c r="S19" s="39"/>
      <c r="T19" s="39"/>
      <c r="U19" s="39"/>
      <c r="V19" s="39"/>
      <c r="W19" s="39" t="str">
        <f>_xlfn.IFNA(VLOOKUP(Table3[[#This Row],[Phenotype]],Table2[],6,FALSE),"no index value")</f>
        <v>no index value</v>
      </c>
      <c r="X19" s="59" t="s">
        <v>365</v>
      </c>
    </row>
    <row r="20" spans="1:24" ht="87" customHeight="1" x14ac:dyDescent="0.25">
      <c r="A20" s="55" t="s">
        <v>42</v>
      </c>
      <c r="B20" s="35" t="e">
        <f>_xlfn.IFNA(INDEX([2]!Table1[Status],MATCH(Table3[[#This Row],[Phenotype]],[2]!Table1[Pheno],0)),"DEAD")</f>
        <v>#REF!</v>
      </c>
      <c r="C20" s="35" t="e">
        <f>VLOOKUP(Table3[[#This Row],[Phenotype]],Table162[[Pheno]:[Flower Category]],2,FALSE)</f>
        <v>#N/A</v>
      </c>
      <c r="D20" s="35" t="e">
        <f>VLOOKUP(Table3[[#This Row],[Phenotype]],Table162[[Pheno]:[Flower Category]],3,FALSE)</f>
        <v>#N/A</v>
      </c>
      <c r="E20" s="36"/>
      <c r="F20" s="36"/>
      <c r="G20" s="36"/>
      <c r="H20" s="36"/>
      <c r="I20" s="35" t="s">
        <v>76</v>
      </c>
      <c r="J20" s="35" t="s">
        <v>70</v>
      </c>
      <c r="K20" s="35"/>
      <c r="L20" s="35"/>
      <c r="M20" s="35"/>
      <c r="N20" s="35"/>
      <c r="O20" s="35" t="s">
        <v>73</v>
      </c>
      <c r="P20" s="35"/>
      <c r="Q20" s="37">
        <v>3</v>
      </c>
      <c r="R20" s="38" t="s">
        <v>178</v>
      </c>
      <c r="S20" s="35"/>
      <c r="T20" s="35"/>
      <c r="U20" s="35"/>
      <c r="V20" s="35">
        <v>12</v>
      </c>
      <c r="W20" s="35" t="str">
        <f>_xlfn.IFNA(VLOOKUP(Table3[[#This Row],[Phenotype]],Table2[],6,FALSE),"no index value")</f>
        <v>no index value</v>
      </c>
      <c r="X20" s="59" t="s">
        <v>365</v>
      </c>
    </row>
    <row r="21" spans="1:24" ht="87" customHeight="1" x14ac:dyDescent="0.25">
      <c r="A21" s="56" t="s">
        <v>41</v>
      </c>
      <c r="B21" s="39" t="e">
        <f>_xlfn.IFNA(INDEX([2]!Table1[Status],MATCH(Table3[[#This Row],[Phenotype]],[2]!Table1[Pheno],0)),"DEAD")</f>
        <v>#REF!</v>
      </c>
      <c r="C21" s="39" t="str">
        <f>VLOOKUP(Table3[[#This Row],[Phenotype]],Table162[[Pheno]:[Flower Category]],2,FALSE)</f>
        <v>green</v>
      </c>
      <c r="D21" s="39" t="str">
        <f>VLOOKUP(Table3[[#This Row],[Phenotype]],Table162[[Pheno]:[Flower Category]],3,FALSE)</f>
        <v>yellow</v>
      </c>
      <c r="E21" s="40">
        <v>11.867647058823529</v>
      </c>
      <c r="F21" s="40">
        <v>1.789315187817601</v>
      </c>
      <c r="G21" s="40">
        <v>19.8125</v>
      </c>
      <c r="H21" s="40">
        <v>1.9213474664819277</v>
      </c>
      <c r="I21" s="39" t="s">
        <v>69</v>
      </c>
      <c r="J21" s="39" t="s">
        <v>70</v>
      </c>
      <c r="K21" s="39"/>
      <c r="L21" s="39"/>
      <c r="M21" s="39" t="s">
        <v>234</v>
      </c>
      <c r="N21" s="39" t="s">
        <v>77</v>
      </c>
      <c r="O21" s="39" t="s">
        <v>77</v>
      </c>
      <c r="P21" s="39" t="s">
        <v>305</v>
      </c>
      <c r="Q21" s="41">
        <v>1</v>
      </c>
      <c r="R21" s="42" t="s">
        <v>198</v>
      </c>
      <c r="S21" s="39" t="s">
        <v>235</v>
      </c>
      <c r="T21" s="39" t="s">
        <v>236</v>
      </c>
      <c r="U21" s="39" t="s">
        <v>294</v>
      </c>
      <c r="V21" s="43">
        <v>16</v>
      </c>
      <c r="W21" s="43" t="str">
        <f>_xlfn.IFNA(VLOOKUP(Table3[[#This Row],[Phenotype]],Table2[],6,FALSE),"no index value")</f>
        <v>no index value</v>
      </c>
      <c r="X21" s="60" t="s">
        <v>237</v>
      </c>
    </row>
    <row r="22" spans="1:24" ht="87" customHeight="1" x14ac:dyDescent="0.25">
      <c r="A22" s="56" t="s">
        <v>40</v>
      </c>
      <c r="B22" s="39" t="e">
        <f>_xlfn.IFNA(INDEX([2]!Table1[Status],MATCH(Table3[[#This Row],[Phenotype]],[2]!Table1[Pheno],0)),"DEAD")</f>
        <v>#REF!</v>
      </c>
      <c r="C22" s="39" t="str">
        <f>VLOOKUP(Table3[[#This Row],[Phenotype]],Table162[[Pheno]:[Flower Category]],2,FALSE)</f>
        <v>yellow</v>
      </c>
      <c r="D22" s="39" t="str">
        <f>VLOOKUP(Table3[[#This Row],[Phenotype]],Table162[[Pheno]:[Flower Category]],3,FALSE)</f>
        <v>red</v>
      </c>
      <c r="E22" s="40"/>
      <c r="F22" s="40"/>
      <c r="G22" s="40"/>
      <c r="H22" s="40"/>
      <c r="I22" s="39"/>
      <c r="J22" s="39"/>
      <c r="K22" s="39"/>
      <c r="L22" s="39"/>
      <c r="M22" s="39"/>
      <c r="N22" s="39"/>
      <c r="O22" s="39"/>
      <c r="P22" s="39"/>
      <c r="Q22" s="41" t="str">
        <f>IFERROR(VLOOKUP(Table3[[#This Row],[Phenotype]],[3]!Table10[[Phenotype]:[Variation]],2,FALSE),"2")</f>
        <v>2</v>
      </c>
      <c r="R22" s="41" t="s">
        <v>178</v>
      </c>
      <c r="S22" s="39"/>
      <c r="T22" s="39"/>
      <c r="U22" s="39"/>
      <c r="V22" s="39"/>
      <c r="W22" s="39">
        <f>_xlfn.IFNA(VLOOKUP(Table3[[#This Row],[Phenotype]],Table2[],6,FALSE),"no index value")</f>
        <v>4</v>
      </c>
      <c r="X22" s="59" t="s">
        <v>365</v>
      </c>
    </row>
    <row r="23" spans="1:24" ht="87" customHeight="1" x14ac:dyDescent="0.25">
      <c r="A23" s="55" t="s">
        <v>38</v>
      </c>
      <c r="B23" s="35" t="e">
        <f>_xlfn.IFNA(INDEX([2]!Table1[Status],MATCH(Table3[[#This Row],[Phenotype]],[2]!Table1[Pheno],0)),"DEAD")</f>
        <v>#REF!</v>
      </c>
      <c r="C23" s="35" t="e">
        <f>VLOOKUP(Table3[[#This Row],[Phenotype]],Table162[[Pheno]:[Flower Category]],2,FALSE)</f>
        <v>#N/A</v>
      </c>
      <c r="D23" s="35" t="e">
        <f>VLOOKUP(Table3[[#This Row],[Phenotype]],Table162[[Pheno]:[Flower Category]],3,FALSE)</f>
        <v>#N/A</v>
      </c>
      <c r="E23" s="36"/>
      <c r="F23" s="36"/>
      <c r="G23" s="36"/>
      <c r="H23" s="36"/>
      <c r="I23" s="35"/>
      <c r="J23" s="35"/>
      <c r="K23" s="35"/>
      <c r="L23" s="35"/>
      <c r="M23" s="35"/>
      <c r="N23" s="35"/>
      <c r="O23" s="35"/>
      <c r="P23" s="35"/>
      <c r="Q23" s="37" t="str">
        <f>IFERROR(VLOOKUP(Table3[[#This Row],[Phenotype]],[3]!Table10[[Phenotype]:[Variation]],2,FALSE),"2")</f>
        <v>2</v>
      </c>
      <c r="R23" s="37" t="s">
        <v>178</v>
      </c>
      <c r="S23" s="35"/>
      <c r="T23" s="35"/>
      <c r="U23" s="35"/>
      <c r="V23" s="35"/>
      <c r="W23" s="35" t="str">
        <f>_xlfn.IFNA(VLOOKUP(Table3[[#This Row],[Phenotype]],Table2[],6,FALSE),"no index value")</f>
        <v>no index value</v>
      </c>
      <c r="X23" s="59" t="s">
        <v>365</v>
      </c>
    </row>
    <row r="24" spans="1:24" ht="87" customHeight="1" x14ac:dyDescent="0.25">
      <c r="A24" s="56" t="s">
        <v>37</v>
      </c>
      <c r="B24" s="39" t="e">
        <f>_xlfn.IFNA(INDEX([2]!Table1[Status],MATCH(Table3[[#This Row],[Phenotype]],[2]!Table1[Pheno],0)),"DEAD")</f>
        <v>#REF!</v>
      </c>
      <c r="C24" s="39"/>
      <c r="D24" s="39"/>
      <c r="E24" s="40">
        <v>13</v>
      </c>
      <c r="F24" s="40"/>
      <c r="G24" s="40"/>
      <c r="H24" s="40"/>
      <c r="I24" s="39"/>
      <c r="J24" s="39"/>
      <c r="K24" s="39"/>
      <c r="L24" s="39"/>
      <c r="M24" s="39"/>
      <c r="N24" s="39"/>
      <c r="O24" s="39"/>
      <c r="P24" s="39"/>
      <c r="Q24" s="41" t="str">
        <f>IFERROR(VLOOKUP(Table3[[#This Row],[Phenotype]],[3]!Table10[[Phenotype]:[Variation]],2,FALSE),"2")</f>
        <v>2</v>
      </c>
      <c r="R24" s="41" t="s">
        <v>178</v>
      </c>
      <c r="S24" s="39"/>
      <c r="T24" s="39"/>
      <c r="U24" s="39"/>
      <c r="V24" s="39"/>
      <c r="W24" s="39" t="str">
        <f>_xlfn.IFNA(VLOOKUP(Table3[[#This Row],[Phenotype]],Table2[],6,FALSE),"no index value")</f>
        <v>no index value</v>
      </c>
      <c r="X24" s="59" t="s">
        <v>365</v>
      </c>
    </row>
    <row r="25" spans="1:24" ht="87" customHeight="1" x14ac:dyDescent="0.25">
      <c r="A25" s="56" t="s">
        <v>36</v>
      </c>
      <c r="B25" s="39" t="e">
        <f>_xlfn.IFNA(INDEX([2]!Table1[Status],MATCH(Table3[[#This Row],[Phenotype]],[2]!Table1[Pheno],0)),"DEAD")</f>
        <v>#REF!</v>
      </c>
      <c r="C25" s="39"/>
      <c r="D25" s="39"/>
      <c r="E25" s="40">
        <v>18.25</v>
      </c>
      <c r="F25" s="40">
        <v>1.8898223650461361</v>
      </c>
      <c r="G25" s="40">
        <v>0</v>
      </c>
      <c r="H25" s="40">
        <v>0</v>
      </c>
      <c r="I25" s="39"/>
      <c r="J25" s="39"/>
      <c r="K25" s="39"/>
      <c r="L25" s="39"/>
      <c r="M25" s="39"/>
      <c r="N25" s="39"/>
      <c r="O25" s="39"/>
      <c r="P25" s="39"/>
      <c r="Q25" s="41" t="str">
        <f>IFERROR(VLOOKUP(Table3[[#This Row],[Phenotype]],[3]!Table10[[Phenotype]:[Variation]],2,FALSE),"2")</f>
        <v>2</v>
      </c>
      <c r="R25" s="41" t="s">
        <v>178</v>
      </c>
      <c r="S25" s="39"/>
      <c r="T25" s="39"/>
      <c r="U25" s="39"/>
      <c r="V25" s="39"/>
      <c r="W25" s="39" t="str">
        <f>_xlfn.IFNA(VLOOKUP(Table3[[#This Row],[Phenotype]],Table2[],6,FALSE),"no index value")</f>
        <v>no index value</v>
      </c>
      <c r="X25" s="59" t="s">
        <v>365</v>
      </c>
    </row>
    <row r="26" spans="1:24" ht="87" customHeight="1" x14ac:dyDescent="0.25">
      <c r="A26" s="55" t="s">
        <v>35</v>
      </c>
      <c r="B26" s="35" t="e">
        <f>_xlfn.IFNA(INDEX([2]!Table1[Status],MATCH(Table3[[#This Row],[Phenotype]],[2]!Table1[Pheno],0)),"DEAD")</f>
        <v>#REF!</v>
      </c>
      <c r="C26" s="35" t="e">
        <f>VLOOKUP(Table3[[#This Row],[Phenotype]],Table162[[Pheno]:[Flower Category]],2,FALSE)</f>
        <v>#N/A</v>
      </c>
      <c r="D26" s="35" t="e">
        <f>VLOOKUP(Table3[[#This Row],[Phenotype]],Table162[[Pheno]:[Flower Category]],3,FALSE)</f>
        <v>#N/A</v>
      </c>
      <c r="E26" s="36">
        <v>18.432692307692307</v>
      </c>
      <c r="F26" s="36">
        <v>2.242698055944162</v>
      </c>
      <c r="G26" s="36">
        <v>35.468085106382979</v>
      </c>
      <c r="H26" s="36">
        <v>2.3942963369477135</v>
      </c>
      <c r="I26" s="35" t="s">
        <v>64</v>
      </c>
      <c r="J26" s="35" t="s">
        <v>65</v>
      </c>
      <c r="K26" s="35"/>
      <c r="L26" s="35"/>
      <c r="M26" s="35"/>
      <c r="N26" s="35"/>
      <c r="O26" s="35" t="s">
        <v>80</v>
      </c>
      <c r="P26" s="35"/>
      <c r="Q26" s="37" t="str">
        <f>IFERROR(VLOOKUP(Table3[[#This Row],[Phenotype]],[3]!Table10[[Phenotype]:[Variation]],2,FALSE),"2")</f>
        <v>2</v>
      </c>
      <c r="R26" s="44" t="s">
        <v>181</v>
      </c>
      <c r="S26" s="35" t="s">
        <v>192</v>
      </c>
      <c r="T26" s="35" t="s">
        <v>193</v>
      </c>
      <c r="U26" s="35" t="s">
        <v>72</v>
      </c>
      <c r="V26" s="35"/>
      <c r="W26" s="35" t="str">
        <f>_xlfn.IFNA(VLOOKUP(Table3[[#This Row],[Phenotype]],Table2[],6,FALSE),"no index value")</f>
        <v>no index value</v>
      </c>
      <c r="X26" s="59" t="s">
        <v>365</v>
      </c>
    </row>
    <row r="27" spans="1:24" ht="87" customHeight="1" x14ac:dyDescent="0.25">
      <c r="A27" s="55" t="s">
        <v>34</v>
      </c>
      <c r="B27" s="35" t="e">
        <f>_xlfn.IFNA(INDEX([2]!Table1[Status],MATCH(Table3[[#This Row],[Phenotype]],[2]!Table1[Pheno],0)),"DEAD")</f>
        <v>#REF!</v>
      </c>
      <c r="C27" s="35" t="e">
        <f>VLOOKUP(Table3[[#This Row],[Phenotype]],Table162[[Pheno]:[Flower Category]],2,FALSE)</f>
        <v>#VALUE!</v>
      </c>
      <c r="D27" s="35" t="e">
        <f>VLOOKUP(Table3[[#This Row],[Phenotype]],Table162[[Pheno]:[Flower Category]],3,FALSE)</f>
        <v>#VALUE!</v>
      </c>
      <c r="E27" s="36">
        <v>19.805555555555557</v>
      </c>
      <c r="F27" s="36">
        <v>2.2177136804046556</v>
      </c>
      <c r="G27" s="36">
        <v>35.689189189189186</v>
      </c>
      <c r="H27" s="36">
        <v>1.5336564485249071</v>
      </c>
      <c r="I27" s="35" t="s">
        <v>76</v>
      </c>
      <c r="J27" s="35" t="s">
        <v>65</v>
      </c>
      <c r="K27" s="35"/>
      <c r="L27" s="35"/>
      <c r="M27" s="35"/>
      <c r="N27" s="35"/>
      <c r="O27" s="35" t="s">
        <v>80</v>
      </c>
      <c r="P27" s="35"/>
      <c r="Q27" s="37" t="str">
        <f>IFERROR(VLOOKUP(Table3[[#This Row],[Phenotype]],[3]!Table10[[Phenotype]:[Variation]],2,FALSE),"2")</f>
        <v>2</v>
      </c>
      <c r="R27" s="44" t="s">
        <v>181</v>
      </c>
      <c r="S27" s="35" t="s">
        <v>190</v>
      </c>
      <c r="T27" s="35" t="s">
        <v>191</v>
      </c>
      <c r="U27" s="35" t="s">
        <v>67</v>
      </c>
      <c r="V27" s="35"/>
      <c r="W27" s="35" t="e">
        <f>_xlfn.IFNA(VLOOKUP(Table3[[#This Row],[Phenotype]],Table2[],6,FALSE),"no index value")</f>
        <v>#VALUE!</v>
      </c>
      <c r="X27" s="59" t="s">
        <v>365</v>
      </c>
    </row>
    <row r="28" spans="1:24" ht="87" customHeight="1" x14ac:dyDescent="0.25">
      <c r="A28" s="55" t="s">
        <v>32</v>
      </c>
      <c r="B28" s="35" t="e">
        <f>_xlfn.IFNA(INDEX([2]!Table1[Status],MATCH(Table3[[#This Row],[Phenotype]],[2]!Table1[Pheno],0)),"DEAD")</f>
        <v>#REF!</v>
      </c>
      <c r="C28" s="35" t="e">
        <f>VLOOKUP(Table3[[#This Row],[Phenotype]],Table162[[Pheno]:[Flower Category]],2,FALSE)</f>
        <v>#VALUE!</v>
      </c>
      <c r="D28" s="35" t="e">
        <f>VLOOKUP(Table3[[#This Row],[Phenotype]],Table162[[Pheno]:[Flower Category]],3,FALSE)</f>
        <v>#VALUE!</v>
      </c>
      <c r="E28" s="36">
        <v>17.416666666666668</v>
      </c>
      <c r="F28" s="36">
        <v>2.459805078789993</v>
      </c>
      <c r="G28" s="36">
        <v>36.051470588235297</v>
      </c>
      <c r="H28" s="36">
        <v>1.8267083721092296</v>
      </c>
      <c r="I28" s="35" t="s">
        <v>76</v>
      </c>
      <c r="J28" s="35" t="s">
        <v>65</v>
      </c>
      <c r="K28" s="35"/>
      <c r="L28" s="35"/>
      <c r="M28" s="35"/>
      <c r="N28" s="35"/>
      <c r="O28" s="35" t="s">
        <v>80</v>
      </c>
      <c r="P28" s="35" t="s">
        <v>259</v>
      </c>
      <c r="Q28" s="37" t="str">
        <f>IFERROR(VLOOKUP(Table3[[#This Row],[Phenotype]],[3]!Table10[[Phenotype]:[Variation]],2,FALSE),"2")</f>
        <v>2</v>
      </c>
      <c r="R28" s="38" t="s">
        <v>180</v>
      </c>
      <c r="S28" s="35"/>
      <c r="T28" s="35" t="s">
        <v>216</v>
      </c>
      <c r="U28" s="35"/>
      <c r="V28" s="46">
        <v>12</v>
      </c>
      <c r="W28" s="46" t="e">
        <f>_xlfn.IFNA(VLOOKUP(Table3[[#This Row],[Phenotype]],Table2[],6,FALSE),"no index value")</f>
        <v>#VALUE!</v>
      </c>
      <c r="X28" s="59" t="s">
        <v>365</v>
      </c>
    </row>
    <row r="29" spans="1:24" ht="87" customHeight="1" x14ac:dyDescent="0.25">
      <c r="A29" s="55" t="s">
        <v>31</v>
      </c>
      <c r="B29" s="35" t="e">
        <f>_xlfn.IFNA(INDEX([2]!Table1[Status],MATCH(Table3[[#This Row],[Phenotype]],[2]!Table1[Pheno],0)),"DEAD")</f>
        <v>#REF!</v>
      </c>
      <c r="C29" s="35" t="e">
        <f>VLOOKUP(Table3[[#This Row],[Phenotype]],Table162[[Pheno]:[Flower Category]],2,FALSE)</f>
        <v>#VALUE!</v>
      </c>
      <c r="D29" s="35" t="e">
        <f>VLOOKUP(Table3[[#This Row],[Phenotype]],Table162[[Pheno]:[Flower Category]],3,FALSE)</f>
        <v>#VALUE!</v>
      </c>
      <c r="E29" s="36">
        <v>21.611111111111111</v>
      </c>
      <c r="F29" s="54">
        <v>4.0603092383599408</v>
      </c>
      <c r="G29" s="36">
        <v>38.388888888888886</v>
      </c>
      <c r="H29" s="36">
        <v>3.2956199888808611</v>
      </c>
      <c r="I29" s="35" t="s">
        <v>64</v>
      </c>
      <c r="J29" s="35" t="s">
        <v>65</v>
      </c>
      <c r="K29" s="35"/>
      <c r="L29" s="35"/>
      <c r="M29" s="35"/>
      <c r="N29" s="35"/>
      <c r="O29" s="35" t="s">
        <v>77</v>
      </c>
      <c r="P29" s="35" t="s">
        <v>215</v>
      </c>
      <c r="Q29" s="37" t="str">
        <f>IFERROR(VLOOKUP(Table3[[#This Row],[Phenotype]],[3]!Table10[[Phenotype]:[Variation]],2,FALSE),"2")</f>
        <v>2</v>
      </c>
      <c r="R29" s="45" t="s">
        <v>178</v>
      </c>
      <c r="S29" s="35" t="s">
        <v>202</v>
      </c>
      <c r="T29" s="35" t="s">
        <v>203</v>
      </c>
      <c r="U29" s="35" t="s">
        <v>67</v>
      </c>
      <c r="V29" s="35"/>
      <c r="W29" s="35" t="e">
        <f>_xlfn.IFNA(VLOOKUP(Table3[[#This Row],[Phenotype]],Table2[],6,FALSE),"no index value")</f>
        <v>#VALUE!</v>
      </c>
      <c r="X29" s="59" t="s">
        <v>365</v>
      </c>
    </row>
    <row r="30" spans="1:24" ht="87" customHeight="1" x14ac:dyDescent="0.25">
      <c r="A30" s="56" t="s">
        <v>30</v>
      </c>
      <c r="B30" s="39" t="e">
        <f>_xlfn.IFNA(INDEX([2]!Table1[Status],MATCH(Table3[[#This Row],[Phenotype]],[2]!Table1[Pheno],0)),"DEAD")</f>
        <v>#REF!</v>
      </c>
      <c r="C30" s="39" t="e">
        <f>VLOOKUP(Table3[[#This Row],[Phenotype]],Table162[[Pheno]:[Flower Category]],2,FALSE)</f>
        <v>#VALUE!</v>
      </c>
      <c r="D30" s="39" t="e">
        <f>VLOOKUP(Table3[[#This Row],[Phenotype]],Table162[[Pheno]:[Flower Category]],3,FALSE)</f>
        <v>#VALUE!</v>
      </c>
      <c r="E30" s="40">
        <v>19.954545454545453</v>
      </c>
      <c r="F30" s="40">
        <v>2.7425617625944261</v>
      </c>
      <c r="G30" s="40">
        <v>41.75</v>
      </c>
      <c r="H30" s="40">
        <v>1.4912022701586516</v>
      </c>
      <c r="I30" s="39" t="s">
        <v>64</v>
      </c>
      <c r="J30" s="39"/>
      <c r="K30" s="39"/>
      <c r="L30" s="39"/>
      <c r="M30" s="39"/>
      <c r="N30" s="39"/>
      <c r="O30" s="39" t="s">
        <v>77</v>
      </c>
      <c r="P30" s="39"/>
      <c r="Q30" s="41" t="str">
        <f>IFERROR(VLOOKUP(Table3[[#This Row],[Phenotype]],[3]!Table10[[Phenotype]:[Variation]],2,FALSE),"2")</f>
        <v>2</v>
      </c>
      <c r="R30" s="42" t="s">
        <v>180</v>
      </c>
      <c r="S30" s="39"/>
      <c r="T30" s="39"/>
      <c r="U30" s="39"/>
      <c r="V30" s="39"/>
      <c r="W30" s="39" t="e">
        <f>_xlfn.IFNA(VLOOKUP(Table3[[#This Row],[Phenotype]],Table2[],6,FALSE),"no index value")</f>
        <v>#VALUE!</v>
      </c>
      <c r="X30" s="59" t="s">
        <v>365</v>
      </c>
    </row>
    <row r="31" spans="1:24" ht="87" customHeight="1" x14ac:dyDescent="0.25">
      <c r="A31" s="55" t="s">
        <v>29</v>
      </c>
      <c r="B31" s="35" t="e">
        <f>_xlfn.IFNA(INDEX([2]!Table1[Status],MATCH(Table3[[#This Row],[Phenotype]],[2]!Table1[Pheno],0)),"DEAD")</f>
        <v>#REF!</v>
      </c>
      <c r="C31" s="35" t="e">
        <f>VLOOKUP(Table3[[#This Row],[Phenotype]],Table162[[Pheno]:[Flower Category]],2,FALSE)</f>
        <v>#VALUE!</v>
      </c>
      <c r="D31" s="35" t="e">
        <f>VLOOKUP(Table3[[#This Row],[Phenotype]],Table162[[Pheno]:[Flower Category]],3,FALSE)</f>
        <v>#VALUE!</v>
      </c>
      <c r="E31" s="36">
        <v>18.2</v>
      </c>
      <c r="F31" s="36">
        <v>1.095445115010327</v>
      </c>
      <c r="G31" s="36">
        <v>34.700000000000003</v>
      </c>
      <c r="H31" s="36">
        <v>1.2041594578792485</v>
      </c>
      <c r="I31" s="35" t="s">
        <v>76</v>
      </c>
      <c r="J31" s="35" t="s">
        <v>70</v>
      </c>
      <c r="K31" s="35"/>
      <c r="L31" s="35"/>
      <c r="M31" s="35" t="s">
        <v>227</v>
      </c>
      <c r="N31" s="35"/>
      <c r="O31" s="35" t="s">
        <v>77</v>
      </c>
      <c r="P31" s="35"/>
      <c r="Q31" s="37" t="str">
        <f>IFERROR(VLOOKUP(Table3[[#This Row],[Phenotype]],[3]!Table10[[Phenotype]:[Variation]],2,FALSE),"2")</f>
        <v>2</v>
      </c>
      <c r="R31" s="38" t="s">
        <v>180</v>
      </c>
      <c r="S31" s="35" t="s">
        <v>228</v>
      </c>
      <c r="T31" s="35" t="s">
        <v>229</v>
      </c>
      <c r="U31" s="35" t="s">
        <v>72</v>
      </c>
      <c r="V31" s="46">
        <v>12</v>
      </c>
      <c r="W31" s="46" t="e">
        <f>_xlfn.IFNA(VLOOKUP(Table3[[#This Row],[Phenotype]],Table2[],6,FALSE),"no index value")</f>
        <v>#VALUE!</v>
      </c>
      <c r="X31" s="59" t="s">
        <v>365</v>
      </c>
    </row>
    <row r="32" spans="1:24" ht="87" customHeight="1" x14ac:dyDescent="0.25">
      <c r="A32" s="56" t="s">
        <v>27</v>
      </c>
      <c r="B32" s="39" t="e">
        <f>_xlfn.IFNA(INDEX([2]!Table1[Status],MATCH(Table3[[#This Row],[Phenotype]],[2]!Table1[Pheno],0)),"DEAD")</f>
        <v>#REF!</v>
      </c>
      <c r="C32" s="39" t="e">
        <f>VLOOKUP(Table3[[#This Row],[Phenotype]],Table162[[Pheno]:[Flower Category]],2,FALSE)</f>
        <v>#VALUE!</v>
      </c>
      <c r="D32" s="39" t="e">
        <f>VLOOKUP(Table3[[#This Row],[Phenotype]],Table162[[Pheno]:[Flower Category]],3,FALSE)</f>
        <v>#VALUE!</v>
      </c>
      <c r="E32" s="40">
        <v>18.65625</v>
      </c>
      <c r="F32" s="40">
        <v>2.3535748375883507</v>
      </c>
      <c r="G32" s="40">
        <v>34.987499999999997</v>
      </c>
      <c r="H32" s="40">
        <v>2.2202087566436091</v>
      </c>
      <c r="I32" s="39" t="s">
        <v>64</v>
      </c>
      <c r="J32" s="39" t="s">
        <v>70</v>
      </c>
      <c r="K32" s="39"/>
      <c r="L32" s="39"/>
      <c r="M32" s="39" t="s">
        <v>227</v>
      </c>
      <c r="N32" s="39" t="s">
        <v>230</v>
      </c>
      <c r="O32" s="39" t="s">
        <v>77</v>
      </c>
      <c r="P32" s="39" t="s">
        <v>257</v>
      </c>
      <c r="Q32" s="41" t="str">
        <f>IFERROR(VLOOKUP(Table3[[#This Row],[Phenotype]],[3]!Table10[[Phenotype]:[Variation]],2,FALSE),"2")</f>
        <v>2</v>
      </c>
      <c r="R32" s="42" t="s">
        <v>204</v>
      </c>
      <c r="S32" s="39" t="s">
        <v>249</v>
      </c>
      <c r="T32" s="39" t="s">
        <v>250</v>
      </c>
      <c r="U32" s="39" t="s">
        <v>67</v>
      </c>
      <c r="V32" s="43">
        <v>12</v>
      </c>
      <c r="W32" s="43" t="e">
        <f>_xlfn.IFNA(VLOOKUP(Table3[[#This Row],[Phenotype]],Table2[],6,FALSE),"no index value")</f>
        <v>#VALUE!</v>
      </c>
      <c r="X32" s="60" t="s">
        <v>237</v>
      </c>
    </row>
    <row r="33" spans="1:24" ht="87" customHeight="1" x14ac:dyDescent="0.25">
      <c r="A33" s="55" t="s">
        <v>26</v>
      </c>
      <c r="B33" s="35" t="e">
        <f>_xlfn.IFNA(INDEX([2]!Table1[Status],MATCH(Table3[[#This Row],[Phenotype]],[2]!Table1[Pheno],0)),"DEAD")</f>
        <v>#REF!</v>
      </c>
      <c r="C33" s="35" t="e">
        <f>VLOOKUP(Table3[[#This Row],[Phenotype]],Table162[[Pheno]:[Flower Category]],2,FALSE)</f>
        <v>#VALUE!</v>
      </c>
      <c r="D33" s="35" t="e">
        <f>VLOOKUP(Table3[[#This Row],[Phenotype]],Table162[[Pheno]:[Flower Category]],3,FALSE)</f>
        <v>#VALUE!</v>
      </c>
      <c r="E33" s="36">
        <v>14.333333333333334</v>
      </c>
      <c r="F33" s="36">
        <v>1.4691267247359392</v>
      </c>
      <c r="G33" s="36">
        <v>30.404761904761905</v>
      </c>
      <c r="H33" s="36">
        <v>2.452646772463607</v>
      </c>
      <c r="I33" s="35" t="s">
        <v>69</v>
      </c>
      <c r="J33" s="35" t="s">
        <v>65</v>
      </c>
      <c r="K33" s="35"/>
      <c r="L33" s="35"/>
      <c r="M33" s="35" t="s">
        <v>231</v>
      </c>
      <c r="N33" s="35" t="s">
        <v>253</v>
      </c>
      <c r="O33" s="35" t="s">
        <v>80</v>
      </c>
      <c r="P33" s="35" t="s">
        <v>258</v>
      </c>
      <c r="Q33" s="37" t="str">
        <f>IFERROR(VLOOKUP(Table3[[#This Row],[Phenotype]],[3]!Table10[[Phenotype]:[Variation]],2,FALSE),"2")</f>
        <v>2</v>
      </c>
      <c r="R33" s="38" t="s">
        <v>204</v>
      </c>
      <c r="S33" s="35" t="s">
        <v>261</v>
      </c>
      <c r="T33" s="35" t="s">
        <v>254</v>
      </c>
      <c r="U33" s="35" t="s">
        <v>67</v>
      </c>
      <c r="V33" s="46">
        <v>12</v>
      </c>
      <c r="W33" s="46" t="e">
        <f>_xlfn.IFNA(VLOOKUP(Table3[[#This Row],[Phenotype]],Table2[],6,FALSE),"no index value")</f>
        <v>#VALUE!</v>
      </c>
      <c r="X33" s="59" t="s">
        <v>237</v>
      </c>
    </row>
    <row r="34" spans="1:24" ht="87" customHeight="1" x14ac:dyDescent="0.25">
      <c r="A34" s="57" t="s">
        <v>143</v>
      </c>
      <c r="B34" s="50" t="e">
        <f>_xlfn.IFNA(INDEX([2]!Table1[Status],MATCH(Table3[[#This Row],[Phenotype]],[2]!Table1[Pheno],0)),"DEAD")</f>
        <v>#REF!</v>
      </c>
      <c r="C34" s="50" t="e">
        <f>VLOOKUP(Table3[[#This Row],[Phenotype]],Table162[[Pheno]:[Flower Category]],2,FALSE)</f>
        <v>#VALUE!</v>
      </c>
      <c r="D34" s="50" t="e">
        <f>VLOOKUP(Table3[[#This Row],[Phenotype]],Table162[[Pheno]:[Flower Category]],3,FALSE)</f>
        <v>#VALUE!</v>
      </c>
      <c r="E34" s="36">
        <v>16.026315789473685</v>
      </c>
      <c r="F34" s="36">
        <v>1.6027206401280321</v>
      </c>
      <c r="G34" s="36">
        <v>33.833333333333336</v>
      </c>
      <c r="H34" s="36">
        <v>3.0774320845949008</v>
      </c>
      <c r="I34" s="35"/>
      <c r="J34" s="35"/>
      <c r="K34" s="35"/>
      <c r="L34" s="35"/>
      <c r="M34" s="35"/>
      <c r="N34" s="35"/>
      <c r="O34" s="51" t="s">
        <v>74</v>
      </c>
      <c r="P34" s="35"/>
      <c r="Q34" s="37" t="str">
        <f>IFERROR(VLOOKUP(Table3[[#This Row],[Phenotype]],[3]!Table10[[Phenotype]:[Variation]],2,FALSE),"2")</f>
        <v>2</v>
      </c>
      <c r="R34" s="52" t="s">
        <v>179</v>
      </c>
      <c r="S34" s="35"/>
      <c r="T34" s="35"/>
      <c r="U34" s="35"/>
      <c r="V34" s="35">
        <v>12</v>
      </c>
      <c r="W34" s="35" t="e">
        <f>_xlfn.IFNA(VLOOKUP(Table3[[#This Row],[Phenotype]],Table2[],6,FALSE),"no index value")</f>
        <v>#VALUE!</v>
      </c>
      <c r="X34" s="59" t="s">
        <v>365</v>
      </c>
    </row>
    <row r="35" spans="1:24" ht="87" customHeight="1" x14ac:dyDescent="0.25">
      <c r="A35" s="56" t="s">
        <v>24</v>
      </c>
      <c r="B35" s="39" t="e">
        <f>_xlfn.IFNA(INDEX([2]!Table1[Status],MATCH(Table3[[#This Row],[Phenotype]],[2]!Table1[Pheno],0)),"DEAD")</f>
        <v>#REF!</v>
      </c>
      <c r="C35" s="39" t="e">
        <f>VLOOKUP(Table3[[#This Row],[Phenotype]],Table162[[Pheno]:[Flower Category]],2,FALSE)</f>
        <v>#VALUE!</v>
      </c>
      <c r="D35" s="39" t="e">
        <f>VLOOKUP(Table3[[#This Row],[Phenotype]],Table162[[Pheno]:[Flower Category]],3,FALSE)</f>
        <v>#VALUE!</v>
      </c>
      <c r="E35" s="40"/>
      <c r="F35" s="40"/>
      <c r="G35" s="40"/>
      <c r="H35" s="40"/>
      <c r="I35" s="39"/>
      <c r="J35" s="39"/>
      <c r="K35" s="39"/>
      <c r="L35" s="39"/>
      <c r="M35" s="39"/>
      <c r="N35" s="39"/>
      <c r="O35" s="39"/>
      <c r="P35" s="39"/>
      <c r="Q35" s="41">
        <v>1</v>
      </c>
      <c r="R35" s="41" t="s">
        <v>178</v>
      </c>
      <c r="S35" s="39"/>
      <c r="T35" s="39"/>
      <c r="U35" s="39"/>
      <c r="V35" s="39"/>
      <c r="W35" s="39" t="e">
        <f>_xlfn.IFNA(VLOOKUP(Table3[[#This Row],[Phenotype]],Table2[],6,FALSE),"no index value")</f>
        <v>#VALUE!</v>
      </c>
      <c r="X35" s="59" t="s">
        <v>365</v>
      </c>
    </row>
    <row r="36" spans="1:24" ht="87" customHeight="1" x14ac:dyDescent="0.25">
      <c r="A36" s="55" t="s">
        <v>20</v>
      </c>
      <c r="B36" s="35" t="e">
        <f>_xlfn.IFNA(INDEX([2]!Table1[Status],MATCH(Table3[[#This Row],[Phenotype]],[2]!Table1[Pheno],0)),"DEAD")</f>
        <v>#REF!</v>
      </c>
      <c r="C36" s="35" t="e">
        <f>VLOOKUP(Table3[[#This Row],[Phenotype]],Table162[[Pheno]:[Flower Category]],2,FALSE)</f>
        <v>#VALUE!</v>
      </c>
      <c r="D36" s="35" t="e">
        <f>VLOOKUP(Table3[[#This Row],[Phenotype]],Table162[[Pheno]:[Flower Category]],3,FALSE)</f>
        <v>#VALUE!</v>
      </c>
      <c r="E36" s="36">
        <v>13.425000000000001</v>
      </c>
      <c r="F36" s="36">
        <v>1.4892156183356147</v>
      </c>
      <c r="G36" s="36">
        <v>25.166666666666668</v>
      </c>
      <c r="H36" s="36">
        <v>2.3763541031440183</v>
      </c>
      <c r="I36" s="35" t="s">
        <v>69</v>
      </c>
      <c r="J36" s="35" t="s">
        <v>70</v>
      </c>
      <c r="K36" s="35"/>
      <c r="L36" s="35"/>
      <c r="M36" s="35"/>
      <c r="N36" s="35"/>
      <c r="O36" s="35" t="s">
        <v>80</v>
      </c>
      <c r="P36" s="35"/>
      <c r="Q36" s="37" t="str">
        <f>IFERROR(VLOOKUP(Table3[[#This Row],[Phenotype]],[3]!Table10[[Phenotype]:[Variation]],2,FALSE),"2")</f>
        <v>2</v>
      </c>
      <c r="R36" s="45" t="s">
        <v>204</v>
      </c>
      <c r="S36" s="35"/>
      <c r="T36" s="35"/>
      <c r="U36" s="35"/>
      <c r="V36" s="46">
        <v>16</v>
      </c>
      <c r="W36" s="46" t="e">
        <f>_xlfn.IFNA(VLOOKUP(Table3[[#This Row],[Phenotype]],Table2[],6,FALSE),"no index value")</f>
        <v>#VALUE!</v>
      </c>
      <c r="X36" s="59" t="s">
        <v>365</v>
      </c>
    </row>
    <row r="37" spans="1:24" ht="87" customHeight="1" x14ac:dyDescent="0.25">
      <c r="A37" s="56" t="s">
        <v>18</v>
      </c>
      <c r="B37" s="39" t="e">
        <f>_xlfn.IFNA(INDEX([2]!Table1[Status],MATCH(Table3[[#This Row],[Phenotype]],[2]!Table1[Pheno],0)),"DEAD")</f>
        <v>#REF!</v>
      </c>
      <c r="C37" s="39" t="e">
        <f>VLOOKUP(Table3[[#This Row],[Phenotype]],Table162[[Pheno]:[Flower Category]],2,FALSE)</f>
        <v>#VALUE!</v>
      </c>
      <c r="D37" s="39" t="e">
        <f>VLOOKUP(Table3[[#This Row],[Phenotype]],Table162[[Pheno]:[Flower Category]],3,FALSE)</f>
        <v>#VALUE!</v>
      </c>
      <c r="E37" s="40">
        <v>16.818181818181817</v>
      </c>
      <c r="F37" s="40">
        <v>1.7926618096106002</v>
      </c>
      <c r="G37" s="40">
        <v>31.714285714285715</v>
      </c>
      <c r="H37" s="40">
        <v>2.3263894583856617</v>
      </c>
      <c r="I37" s="39" t="s">
        <v>69</v>
      </c>
      <c r="J37" s="39" t="s">
        <v>65</v>
      </c>
      <c r="K37" s="39"/>
      <c r="L37" s="39"/>
      <c r="M37" s="39"/>
      <c r="N37" s="39"/>
      <c r="O37" s="39" t="s">
        <v>77</v>
      </c>
      <c r="P37" s="39"/>
      <c r="Q37" s="41" t="str">
        <f>IFERROR(VLOOKUP(Table3[[#This Row],[Phenotype]],[3]!Table10[[Phenotype]:[Variation]],2,FALSE),"2")</f>
        <v>2</v>
      </c>
      <c r="R37" s="49" t="s">
        <v>180</v>
      </c>
      <c r="S37" s="39" t="s">
        <v>194</v>
      </c>
      <c r="T37" s="39" t="s">
        <v>195</v>
      </c>
      <c r="U37" s="39" t="s">
        <v>67</v>
      </c>
      <c r="V37" s="39"/>
      <c r="W37" s="39" t="e">
        <f>_xlfn.IFNA(VLOOKUP(Table3[[#This Row],[Phenotype]],Table2[],6,FALSE),"no index value")</f>
        <v>#VALUE!</v>
      </c>
      <c r="X37" s="59" t="s">
        <v>365</v>
      </c>
    </row>
    <row r="38" spans="1:24" ht="87" customHeight="1" x14ac:dyDescent="0.25">
      <c r="A38" s="56" t="s">
        <v>118</v>
      </c>
      <c r="B38" s="39" t="e">
        <f>_xlfn.IFNA(INDEX([2]!Table1[Status],MATCH(Table3[[#This Row],[Phenotype]],[2]!Table1[Pheno],0)),"DEAD")</f>
        <v>#REF!</v>
      </c>
      <c r="C38" s="47" t="e">
        <f>VLOOKUP(Table3[[#This Row],[Phenotype]],Table162[[Pheno]:[Flower Category]],2,FALSE)</f>
        <v>#VALUE!</v>
      </c>
      <c r="D38" s="47" t="e">
        <f>VLOOKUP(Table3[[#This Row],[Phenotype]],Table162[[Pheno]:[Flower Category]],3,FALSE)</f>
        <v>#VALUE!</v>
      </c>
      <c r="E38" s="40">
        <v>14.25925925925926</v>
      </c>
      <c r="F38" s="40">
        <v>1.9383298241327527</v>
      </c>
      <c r="G38" s="40">
        <v>24.883333333333333</v>
      </c>
      <c r="H38" s="40">
        <v>1.031264150024839</v>
      </c>
      <c r="I38" s="39" t="s">
        <v>69</v>
      </c>
      <c r="J38" s="39" t="s">
        <v>70</v>
      </c>
      <c r="K38" s="39"/>
      <c r="L38" s="39"/>
      <c r="M38" s="39"/>
      <c r="N38" s="39"/>
      <c r="O38" s="39" t="s">
        <v>77</v>
      </c>
      <c r="P38" s="39"/>
      <c r="Q38" s="41" t="str">
        <f>IFERROR(VLOOKUP(Table3[[#This Row],[Phenotype]],[3]!Table10[[Phenotype]:[Variation]],2,FALSE),"2")</f>
        <v>2</v>
      </c>
      <c r="R38" s="48" t="s">
        <v>204</v>
      </c>
      <c r="S38" s="39" t="s">
        <v>196</v>
      </c>
      <c r="T38" s="39" t="s">
        <v>197</v>
      </c>
      <c r="U38" s="39" t="s">
        <v>72</v>
      </c>
      <c r="V38" s="39"/>
      <c r="W38" s="39" t="e">
        <f>_xlfn.IFNA(VLOOKUP(Table3[[#This Row],[Phenotype]],Table2[],6,FALSE),"no index value")</f>
        <v>#VALUE!</v>
      </c>
      <c r="X38" s="59" t="s">
        <v>365</v>
      </c>
    </row>
    <row r="39" spans="1:24" ht="87" customHeight="1" x14ac:dyDescent="0.25">
      <c r="A39" s="55" t="s">
        <v>17</v>
      </c>
      <c r="B39" s="35" t="e">
        <f>_xlfn.IFNA(INDEX([2]!Table1[Status],MATCH(Table3[[#This Row],[Phenotype]],[2]!Table1[Pheno],0)),"DEAD")</f>
        <v>#REF!</v>
      </c>
      <c r="C39" s="35" t="e">
        <f>VLOOKUP(Table3[[#This Row],[Phenotype]],Table162[[Pheno]:[Flower Category]],2,FALSE)</f>
        <v>#VALUE!</v>
      </c>
      <c r="D39" s="35"/>
      <c r="E39" s="36">
        <v>11.625</v>
      </c>
      <c r="F39" s="36">
        <v>1.0307764064044151</v>
      </c>
      <c r="G39" s="36">
        <v>24</v>
      </c>
      <c r="H39" s="36">
        <v>2</v>
      </c>
      <c r="I39" s="35"/>
      <c r="J39" s="35"/>
      <c r="K39" s="35"/>
      <c r="L39" s="35"/>
      <c r="M39" s="35"/>
      <c r="N39" s="35"/>
      <c r="O39" s="35" t="s">
        <v>77</v>
      </c>
      <c r="P39" s="35" t="s">
        <v>209</v>
      </c>
      <c r="Q39" s="37" t="str">
        <f>IFERROR(VLOOKUP(Table3[[#This Row],[Phenotype]],[3]!Table10[[Phenotype]:[Variation]],2,FALSE),"2")</f>
        <v>2</v>
      </c>
      <c r="R39" s="38" t="s">
        <v>198</v>
      </c>
      <c r="S39" s="35"/>
      <c r="T39" s="35"/>
      <c r="U39" s="35"/>
      <c r="V39" s="35"/>
      <c r="W39" s="35" t="e">
        <f>_xlfn.IFNA(VLOOKUP(Table3[[#This Row],[Phenotype]],Table2[],6,FALSE),"no index value")</f>
        <v>#VALUE!</v>
      </c>
      <c r="X39" s="59" t="s">
        <v>365</v>
      </c>
    </row>
    <row r="40" spans="1:24" ht="87" customHeight="1" x14ac:dyDescent="0.25">
      <c r="A40" s="56" t="s">
        <v>16</v>
      </c>
      <c r="B40" s="39" t="e">
        <f>_xlfn.IFNA(INDEX([2]!Table1[Status],MATCH(Table3[[#This Row],[Phenotype]],[2]!Table1[Pheno],0)),"DEAD")</f>
        <v>#REF!</v>
      </c>
      <c r="C40" s="39" t="e">
        <f>VLOOKUP(Table3[[#This Row],[Phenotype]],Table162[[Pheno]:[Flower Category]],2,FALSE)</f>
        <v>#VALUE!</v>
      </c>
      <c r="D40" s="39" t="e">
        <f>VLOOKUP(Table3[[#This Row],[Phenotype]],Table162[[Pheno]:[Flower Category]],3,FALSE)</f>
        <v>#VALUE!</v>
      </c>
      <c r="E40" s="40">
        <v>15.583333333333334</v>
      </c>
      <c r="F40" s="40">
        <v>2.4579802006254345</v>
      </c>
      <c r="G40" s="40">
        <v>32.571428571428569</v>
      </c>
      <c r="H40" s="40">
        <v>2.3528098702857867</v>
      </c>
      <c r="I40" s="39"/>
      <c r="J40" s="39"/>
      <c r="K40" s="39"/>
      <c r="L40" s="39"/>
      <c r="M40" s="39"/>
      <c r="N40" s="39"/>
      <c r="O40" s="39" t="s">
        <v>80</v>
      </c>
      <c r="P40" s="39"/>
      <c r="Q40" s="41" t="str">
        <f>IFERROR(VLOOKUP(Table3[[#This Row],[Phenotype]],[3]!Table10[[Phenotype]:[Variation]],2,FALSE),"2")</f>
        <v>2</v>
      </c>
      <c r="R40" s="42" t="s">
        <v>179</v>
      </c>
      <c r="S40" s="39"/>
      <c r="T40" s="39"/>
      <c r="U40" s="39"/>
      <c r="V40" s="39">
        <v>12</v>
      </c>
      <c r="W40" s="39" t="e">
        <f>_xlfn.IFNA(VLOOKUP(Table3[[#This Row],[Phenotype]],Table2[],6,FALSE),"no index value")</f>
        <v>#VALUE!</v>
      </c>
      <c r="X40" s="59" t="s">
        <v>365</v>
      </c>
    </row>
    <row r="41" spans="1:24" ht="87" customHeight="1" x14ac:dyDescent="0.25">
      <c r="A41" s="55" t="s">
        <v>15</v>
      </c>
      <c r="B41" s="35" t="e">
        <f>_xlfn.IFNA(INDEX([2]!Table1[Status],MATCH(Table3[[#This Row],[Phenotype]],[2]!Table1[Pheno],0)),"DEAD")</f>
        <v>#REF!</v>
      </c>
      <c r="C41" s="35"/>
      <c r="D41" s="35"/>
      <c r="E41" s="36">
        <v>13.125</v>
      </c>
      <c r="F41" s="36">
        <v>0.62915286960589578</v>
      </c>
      <c r="G41" s="36">
        <v>21.5</v>
      </c>
      <c r="H41" s="36">
        <v>0.70710678118654757</v>
      </c>
      <c r="I41" s="35"/>
      <c r="J41" s="35"/>
      <c r="K41" s="35"/>
      <c r="L41" s="35"/>
      <c r="M41" s="35"/>
      <c r="N41" s="35"/>
      <c r="O41" s="35"/>
      <c r="P41" s="35"/>
      <c r="Q41" s="37" t="str">
        <f>IFERROR(VLOOKUP(Table3[[#This Row],[Phenotype]],[3]!Table10[[Phenotype]:[Variation]],2,FALSE),"2")</f>
        <v>2</v>
      </c>
      <c r="R41" s="37" t="s">
        <v>178</v>
      </c>
      <c r="S41" s="35"/>
      <c r="T41" s="35"/>
      <c r="U41" s="35"/>
      <c r="V41" s="35"/>
      <c r="W41" s="35" t="e">
        <f>_xlfn.IFNA(VLOOKUP(Table3[[#This Row],[Phenotype]],Table2[],6,FALSE),"no index value")</f>
        <v>#VALUE!</v>
      </c>
      <c r="X41" s="59" t="s">
        <v>365</v>
      </c>
    </row>
    <row r="42" spans="1:24" ht="87" customHeight="1" x14ac:dyDescent="0.25">
      <c r="A42" s="56" t="s">
        <v>14</v>
      </c>
      <c r="B42" s="39" t="e">
        <f>_xlfn.IFNA(INDEX([2]!Table1[Status],MATCH(Table3[[#This Row],[Phenotype]],[2]!Table1[Pheno],0)),"DEAD")</f>
        <v>#REF!</v>
      </c>
      <c r="C42" s="39"/>
      <c r="D42" s="39"/>
      <c r="E42" s="40">
        <v>13.75</v>
      </c>
      <c r="F42" s="40">
        <v>1.0606601717798212</v>
      </c>
      <c r="G42" s="40">
        <v>22.25</v>
      </c>
      <c r="H42" s="40">
        <v>1.7677669529663689</v>
      </c>
      <c r="I42" s="39"/>
      <c r="J42" s="39"/>
      <c r="K42" s="39"/>
      <c r="L42" s="39"/>
      <c r="M42" s="39"/>
      <c r="N42" s="39"/>
      <c r="O42" s="39"/>
      <c r="P42" s="39"/>
      <c r="Q42" s="41" t="str">
        <f>IFERROR(VLOOKUP(Table3[[#This Row],[Phenotype]],[3]!Table10[[Phenotype]:[Variation]],2,FALSE),"2")</f>
        <v>2</v>
      </c>
      <c r="R42" s="41" t="s">
        <v>178</v>
      </c>
      <c r="S42" s="39"/>
      <c r="T42" s="39"/>
      <c r="U42" s="39"/>
      <c r="V42" s="39"/>
      <c r="W42" s="39" t="e">
        <f>_xlfn.IFNA(VLOOKUP(Table3[[#This Row],[Phenotype]],Table2[],6,FALSE),"no index value")</f>
        <v>#VALUE!</v>
      </c>
      <c r="X42" s="59" t="s">
        <v>365</v>
      </c>
    </row>
    <row r="43" spans="1:24" ht="87" customHeight="1" x14ac:dyDescent="0.25">
      <c r="A43" s="56" t="s">
        <v>13</v>
      </c>
      <c r="B43" s="39" t="e">
        <f>_xlfn.IFNA(INDEX([2]!Table1[Status],MATCH(Table3[[#This Row],[Phenotype]],[2]!Table1[Pheno],0)),"DEAD")</f>
        <v>#REF!</v>
      </c>
      <c r="C43" s="39" t="e">
        <f>VLOOKUP(Table3[[#This Row],[Phenotype]],Table162[[Pheno]:[Flower Category]],2,FALSE)</f>
        <v>#VALUE!</v>
      </c>
      <c r="D43" s="39" t="e">
        <f>VLOOKUP(Table3[[#This Row],[Phenotype]],Table162[[Pheno]:[Flower Category]],3,FALSE)</f>
        <v>#VALUE!</v>
      </c>
      <c r="E43" s="40">
        <v>20.705128205128204</v>
      </c>
      <c r="F43" s="40">
        <v>2.7186440813437862</v>
      </c>
      <c r="G43" s="40">
        <v>43.18333333333333</v>
      </c>
      <c r="H43" s="40">
        <v>3.2813037078253777</v>
      </c>
      <c r="I43" s="39" t="s">
        <v>64</v>
      </c>
      <c r="J43" s="39" t="s">
        <v>70</v>
      </c>
      <c r="K43" s="39"/>
      <c r="L43" s="39"/>
      <c r="M43" s="39" t="s">
        <v>219</v>
      </c>
      <c r="N43" s="39" t="s">
        <v>75</v>
      </c>
      <c r="O43" s="39" t="s">
        <v>74</v>
      </c>
      <c r="P43" s="39" t="s">
        <v>210</v>
      </c>
      <c r="Q43" s="41">
        <v>3</v>
      </c>
      <c r="R43" s="42" t="s">
        <v>238</v>
      </c>
      <c r="S43" s="39" t="s">
        <v>220</v>
      </c>
      <c r="T43" s="39" t="s">
        <v>221</v>
      </c>
      <c r="U43" s="39" t="s">
        <v>72</v>
      </c>
      <c r="V43" s="39">
        <v>12</v>
      </c>
      <c r="W43" s="39" t="e">
        <f>_xlfn.IFNA(VLOOKUP(Table3[[#This Row],[Phenotype]],Table2[],6,FALSE),"no index value")</f>
        <v>#VALUE!</v>
      </c>
      <c r="X43" s="60" t="s">
        <v>237</v>
      </c>
    </row>
    <row r="44" spans="1:24" ht="87" customHeight="1" x14ac:dyDescent="0.25">
      <c r="A44" s="55" t="s">
        <v>12</v>
      </c>
      <c r="B44" s="35" t="e">
        <f>_xlfn.IFNA(INDEX([2]!Table1[Status],MATCH(Table3[[#This Row],[Phenotype]],[2]!Table1[Pheno],0)),"DEAD")</f>
        <v>#REF!</v>
      </c>
      <c r="C44" s="35" t="e">
        <f>VLOOKUP(Table3[[#This Row],[Phenotype]],Table162[[Pheno]:[Flower Category]],2,FALSE)</f>
        <v>#VALUE!</v>
      </c>
      <c r="D44" s="35" t="e">
        <f>VLOOKUP(Table3[[#This Row],[Phenotype]],Table162[[Pheno]:[Flower Category]],3,FALSE)</f>
        <v>#VALUE!</v>
      </c>
      <c r="E44" s="36">
        <v>15.77536231884058</v>
      </c>
      <c r="F44" s="36">
        <v>1.5660371302319491</v>
      </c>
      <c r="G44" s="36">
        <v>33.739130434782609</v>
      </c>
      <c r="H44" s="36">
        <v>1.8443249515348772</v>
      </c>
      <c r="I44" s="35" t="s">
        <v>76</v>
      </c>
      <c r="J44" s="35" t="s">
        <v>70</v>
      </c>
      <c r="K44" s="35"/>
      <c r="L44" s="35"/>
      <c r="M44" s="35" t="s">
        <v>231</v>
      </c>
      <c r="N44" s="35" t="s">
        <v>230</v>
      </c>
      <c r="O44" s="35" t="s">
        <v>80</v>
      </c>
      <c r="P44" s="35" t="s">
        <v>274</v>
      </c>
      <c r="Q44" s="37" t="str">
        <f>IFERROR(VLOOKUP(Table3[[#This Row],[Phenotype]],[3]!Table10[[Phenotype]:[Variation]],2,FALSE),"2")</f>
        <v>2</v>
      </c>
      <c r="R44" s="45" t="s">
        <v>180</v>
      </c>
      <c r="S44" s="35" t="s">
        <v>273</v>
      </c>
      <c r="T44" s="35" t="s">
        <v>207</v>
      </c>
      <c r="U44" s="35" t="s">
        <v>72</v>
      </c>
      <c r="V44" s="46">
        <v>12</v>
      </c>
      <c r="W44" s="46" t="e">
        <f>_xlfn.IFNA(VLOOKUP(Table3[[#This Row],[Phenotype]],Table2[],6,FALSE),"no index value")</f>
        <v>#VALUE!</v>
      </c>
      <c r="X44" s="59" t="s">
        <v>237</v>
      </c>
    </row>
    <row r="45" spans="1:24" ht="87" customHeight="1" x14ac:dyDescent="0.25">
      <c r="A45" s="56" t="s">
        <v>11</v>
      </c>
      <c r="B45" s="39" t="e">
        <f>_xlfn.IFNA(INDEX([2]!Table1[Status],MATCH(Table3[[#This Row],[Phenotype]],[2]!Table1[Pheno],0)),"DEAD")</f>
        <v>#REF!</v>
      </c>
      <c r="C45" s="39" t="e">
        <f>VLOOKUP(Table3[[#This Row],[Phenotype]],Table162[[Pheno]:[Flower Category]],2,FALSE)</f>
        <v>#VALUE!</v>
      </c>
      <c r="D45" s="39" t="e">
        <f>VLOOKUP(Table3[[#This Row],[Phenotype]],Table162[[Pheno]:[Flower Category]],3,FALSE)</f>
        <v>#VALUE!</v>
      </c>
      <c r="E45" s="40">
        <v>13.423076923076923</v>
      </c>
      <c r="F45" s="40">
        <v>1.605279750362252</v>
      </c>
      <c r="G45" s="40">
        <v>32.875</v>
      </c>
      <c r="H45" s="40">
        <v>2.3935677693908453</v>
      </c>
      <c r="I45" s="39"/>
      <c r="J45" s="39"/>
      <c r="K45" s="39"/>
      <c r="L45" s="39"/>
      <c r="M45" s="39"/>
      <c r="N45" s="39"/>
      <c r="O45" s="39" t="s">
        <v>73</v>
      </c>
      <c r="P45" s="39"/>
      <c r="Q45" s="41" t="str">
        <f>IFERROR(VLOOKUP(Table3[[#This Row],[Phenotype]],[3]!Table10[[Phenotype]:[Variation]],2,FALSE),"2")</f>
        <v>2</v>
      </c>
      <c r="R45" s="42" t="s">
        <v>179</v>
      </c>
      <c r="S45" s="39"/>
      <c r="T45" s="39"/>
      <c r="U45" s="39"/>
      <c r="V45" s="39">
        <v>12</v>
      </c>
      <c r="W45" s="39" t="e">
        <f>_xlfn.IFNA(VLOOKUP(Table3[[#This Row],[Phenotype]],Table2[],6,FALSE),"no index value")</f>
        <v>#VALUE!</v>
      </c>
      <c r="X45" s="59" t="s">
        <v>365</v>
      </c>
    </row>
    <row r="46" spans="1:24" ht="87" customHeight="1" x14ac:dyDescent="0.25">
      <c r="A46" s="55" t="s">
        <v>5</v>
      </c>
      <c r="B46" s="35" t="e">
        <f>_xlfn.IFNA(INDEX([2]!Table1[Status],MATCH(Table3[[#This Row],[Phenotype]],[2]!Table1[Pheno],0)),"DEAD")</f>
        <v>#REF!</v>
      </c>
      <c r="C46" s="35" t="e">
        <f>VLOOKUP(Table3[[#This Row],[Phenotype]],Table162[[Pheno]:[Flower Category]],2,FALSE)</f>
        <v>#VALUE!</v>
      </c>
      <c r="D46" s="35" t="e">
        <f>VLOOKUP(Table3[[#This Row],[Phenotype]],Table162[[Pheno]:[Flower Category]],3,FALSE)</f>
        <v>#VALUE!</v>
      </c>
      <c r="E46" s="36">
        <v>15.333333333333334</v>
      </c>
      <c r="F46" s="36">
        <v>1.9139280465513517</v>
      </c>
      <c r="G46" s="36">
        <v>32.229166666666664</v>
      </c>
      <c r="H46" s="36">
        <v>3.3421205100274358</v>
      </c>
      <c r="I46" s="35" t="s">
        <v>64</v>
      </c>
      <c r="J46" s="35" t="s">
        <v>70</v>
      </c>
      <c r="K46" s="35"/>
      <c r="L46" s="35"/>
      <c r="M46" s="35" t="s">
        <v>225</v>
      </c>
      <c r="N46" s="35" t="s">
        <v>77</v>
      </c>
      <c r="O46" s="35" t="s">
        <v>77</v>
      </c>
      <c r="P46" s="35" t="s">
        <v>226</v>
      </c>
      <c r="Q46" s="37" t="str">
        <f>IFERROR(VLOOKUP(Table3[[#This Row],[Phenotype]],[3]!Table10[[Phenotype]:[Variation]],2,FALSE),"2")</f>
        <v>2</v>
      </c>
      <c r="R46" s="38" t="s">
        <v>179</v>
      </c>
      <c r="S46" s="35" t="s">
        <v>185</v>
      </c>
      <c r="T46" s="35" t="s">
        <v>272</v>
      </c>
      <c r="U46" s="35" t="s">
        <v>72</v>
      </c>
      <c r="V46" s="46">
        <v>16</v>
      </c>
      <c r="W46" s="46" t="e">
        <f>_xlfn.IFNA(VLOOKUP(Table3[[#This Row],[Phenotype]],Table2[],6,FALSE),"no index value")</f>
        <v>#VALUE!</v>
      </c>
      <c r="X46" s="59" t="s">
        <v>237</v>
      </c>
    </row>
    <row r="47" spans="1:24" ht="87" customHeight="1" x14ac:dyDescent="0.25">
      <c r="A47" s="55" t="s">
        <v>149</v>
      </c>
      <c r="B47" s="50" t="e">
        <f>_xlfn.IFNA(INDEX([2]!Table1[Status],MATCH(Table3[[#This Row],[Phenotype]],[2]!Table1[Pheno],0)),"DEAD")</f>
        <v>#REF!</v>
      </c>
      <c r="C47" s="50" t="e">
        <f>VLOOKUP(Table3[[#This Row],[Phenotype]],Table162[[Pheno]:[Flower Category]],2,FALSE)</f>
        <v>#VALUE!</v>
      </c>
      <c r="D47" s="50" t="e">
        <f>VLOOKUP(Table3[[#This Row],[Phenotype]],Table162[[Pheno]:[Flower Category]],3,FALSE)</f>
        <v>#VALUE!</v>
      </c>
      <c r="E47" s="36">
        <v>20.205882352941178</v>
      </c>
      <c r="F47" s="36">
        <v>2.5681877336546379</v>
      </c>
      <c r="G47" s="36">
        <v>36.0625</v>
      </c>
      <c r="H47" s="36">
        <v>1.8246004128758346</v>
      </c>
      <c r="I47" s="35" t="s">
        <v>76</v>
      </c>
      <c r="J47" s="35" t="s">
        <v>65</v>
      </c>
      <c r="K47" s="35"/>
      <c r="L47" s="35"/>
      <c r="M47" s="35" t="s">
        <v>240</v>
      </c>
      <c r="N47" s="35"/>
      <c r="O47" s="35" t="s">
        <v>80</v>
      </c>
      <c r="P47" s="35" t="s">
        <v>239</v>
      </c>
      <c r="Q47" s="37" t="str">
        <f>IFERROR(VLOOKUP(Table3[[#This Row],[Phenotype]],[3]!Table10[[Phenotype]:[Variation]],2,FALSE),"2")</f>
        <v>2</v>
      </c>
      <c r="R47" s="52" t="s">
        <v>204</v>
      </c>
      <c r="S47" s="35" t="s">
        <v>241</v>
      </c>
      <c r="T47" s="35" t="s">
        <v>242</v>
      </c>
      <c r="U47" s="35" t="s">
        <v>67</v>
      </c>
      <c r="V47" s="35">
        <v>12</v>
      </c>
      <c r="W47" s="35" t="e">
        <f>_xlfn.IFNA(VLOOKUP(Table3[[#This Row],[Phenotype]],Table2[],6,FALSE),"no index value")</f>
        <v>#VALUE!</v>
      </c>
      <c r="X47" s="59" t="s">
        <v>365</v>
      </c>
    </row>
    <row r="48" spans="1:24" ht="87" customHeight="1" x14ac:dyDescent="0.25">
      <c r="A48" s="56" t="s">
        <v>3</v>
      </c>
      <c r="B48" s="39" t="e">
        <f>_xlfn.IFNA(INDEX([2]!Table1[Status],MATCH(Table3[[#This Row],[Phenotype]],[2]!Table1[Pheno],0)),"DEAD")</f>
        <v>#REF!</v>
      </c>
      <c r="C48" s="39" t="e">
        <f>VLOOKUP(Table3[[#This Row],[Phenotype]],Table162[[Pheno]:[Flower Category]],2,FALSE)</f>
        <v>#VALUE!</v>
      </c>
      <c r="D48" s="39" t="e">
        <f>VLOOKUP(Table3[[#This Row],[Phenotype]],Table162[[Pheno]:[Flower Category]],3,FALSE)</f>
        <v>#VALUE!</v>
      </c>
      <c r="E48" s="40">
        <v>17.375</v>
      </c>
      <c r="F48" s="40">
        <v>2.1963295828184886</v>
      </c>
      <c r="G48" s="40">
        <v>34.25</v>
      </c>
      <c r="H48" s="40">
        <v>1.707825127659933</v>
      </c>
      <c r="I48" s="39" t="s">
        <v>76</v>
      </c>
      <c r="J48" s="39" t="s">
        <v>65</v>
      </c>
      <c r="K48" s="39"/>
      <c r="L48" s="39"/>
      <c r="M48" s="39"/>
      <c r="N48" s="39"/>
      <c r="O48" s="39"/>
      <c r="P48" s="39"/>
      <c r="Q48" s="41" t="str">
        <f>IFERROR(VLOOKUP(Table3[[#This Row],[Phenotype]],[3]!Table10[[Phenotype]:[Variation]],2,FALSE),"2")</f>
        <v>2</v>
      </c>
      <c r="R48" s="49" t="s">
        <v>180</v>
      </c>
      <c r="S48" s="39"/>
      <c r="T48" s="39"/>
      <c r="U48" s="39"/>
      <c r="V48" s="39"/>
      <c r="W48" s="39" t="e">
        <f>_xlfn.IFNA(VLOOKUP(Table3[[#This Row],[Phenotype]],Table2[],6,FALSE),"no index value")</f>
        <v>#VALUE!</v>
      </c>
      <c r="X48" s="59" t="s">
        <v>365</v>
      </c>
    </row>
    <row r="49" spans="1:24" ht="87" customHeight="1" x14ac:dyDescent="0.25">
      <c r="A49" s="56" t="s">
        <v>2</v>
      </c>
      <c r="B49" s="39" t="e">
        <f>_xlfn.IFNA(INDEX([2]!Table1[Status],MATCH(Table3[[#This Row],[Phenotype]],[2]!Table1[Pheno],0)),"DEAD")</f>
        <v>#REF!</v>
      </c>
      <c r="C49" s="39" t="e">
        <f>VLOOKUP(Table3[[#This Row],[Phenotype]],Table162[[Pheno]:[Flower Category]],2,FALSE)</f>
        <v>#VALUE!</v>
      </c>
      <c r="D49" s="39" t="e">
        <f>VLOOKUP(Table3[[#This Row],[Phenotype]],Table162[[Pheno]:[Flower Category]],3,FALSE)</f>
        <v>#VALUE!</v>
      </c>
      <c r="E49" s="40">
        <v>15.9</v>
      </c>
      <c r="F49" s="40">
        <v>0.89442719099992218</v>
      </c>
      <c r="G49" s="40">
        <v>31</v>
      </c>
      <c r="H49" s="40">
        <v>2.5495097567963922</v>
      </c>
      <c r="I49" s="39" t="s">
        <v>69</v>
      </c>
      <c r="J49" s="39" t="s">
        <v>65</v>
      </c>
      <c r="K49" s="39"/>
      <c r="L49" s="39"/>
      <c r="M49" s="39"/>
      <c r="N49" s="39"/>
      <c r="O49" s="39"/>
      <c r="P49" s="39"/>
      <c r="Q49" s="41" t="str">
        <f>IFERROR(VLOOKUP(Table3[[#This Row],[Phenotype]],[3]!Table10[[Phenotype]:[Variation]],2,FALSE),"2")</f>
        <v>2</v>
      </c>
      <c r="R49" s="49" t="s">
        <v>180</v>
      </c>
      <c r="S49" s="39"/>
      <c r="T49" s="39"/>
      <c r="U49" s="39"/>
      <c r="V49" s="39"/>
      <c r="W49" s="39" t="e">
        <f>_xlfn.IFNA(VLOOKUP(Table3[[#This Row],[Phenotype]],Table2[],6,FALSE),"no index value")</f>
        <v>#VALUE!</v>
      </c>
      <c r="X49" s="59" t="s">
        <v>365</v>
      </c>
    </row>
    <row r="50" spans="1:24" ht="87" customHeight="1" x14ac:dyDescent="0.25">
      <c r="A50" s="70" t="s">
        <v>0</v>
      </c>
      <c r="B50" s="71" t="e">
        <f>_xlfn.IFNA(INDEX([2]!Table1[Status],MATCH(Table3[[#This Row],[Phenotype]],[2]!Table1[Pheno],0)),"DEAD")</f>
        <v>#REF!</v>
      </c>
      <c r="C50" s="71" t="e">
        <f>VLOOKUP(Table3[[#This Row],[Phenotype]],Table162[[Pheno]:[Flower Category]],2,FALSE)</f>
        <v>#VALUE!</v>
      </c>
      <c r="D50" s="71" t="e">
        <f>VLOOKUP(Table3[[#This Row],[Phenotype]],Table162[[Pheno]:[Flower Category]],3,FALSE)</f>
        <v>#VALUE!</v>
      </c>
      <c r="E50" s="72"/>
      <c r="F50" s="72"/>
      <c r="G50" s="72">
        <v>38.75</v>
      </c>
      <c r="H50" s="72">
        <v>3.1819805153394638</v>
      </c>
      <c r="I50" s="71" t="s">
        <v>76</v>
      </c>
      <c r="J50" s="71" t="s">
        <v>65</v>
      </c>
      <c r="K50" s="71"/>
      <c r="L50" s="71"/>
      <c r="M50" s="71"/>
      <c r="N50" s="71"/>
      <c r="O50" s="71" t="s">
        <v>77</v>
      </c>
      <c r="P50" s="71"/>
      <c r="Q50" s="73" t="str">
        <f>IFERROR(VLOOKUP(Table3[[#This Row],[Phenotype]],[3]!Table10[[Phenotype]:[Variation]],2,FALSE),"2")</f>
        <v>2</v>
      </c>
      <c r="R50" s="74" t="s">
        <v>180</v>
      </c>
      <c r="S50" s="71" t="s">
        <v>183</v>
      </c>
      <c r="T50" s="71" t="s">
        <v>182</v>
      </c>
      <c r="U50" s="71" t="s">
        <v>72</v>
      </c>
      <c r="V50" s="71"/>
      <c r="W50" s="71" t="e">
        <f>_xlfn.IFNA(VLOOKUP(Table3[[#This Row],[Phenotype]],Table2[],6,FALSE),"no index value")</f>
        <v>#VALUE!</v>
      </c>
      <c r="X50" s="59" t="s">
        <v>365</v>
      </c>
    </row>
  </sheetData>
  <conditionalFormatting sqref="W2:W50">
    <cfRule type="cellIs" dxfId="48" priority="2" operator="between">
      <formula>11</formula>
      <formula>20</formula>
    </cfRule>
    <cfRule type="cellIs" dxfId="47" priority="3" operator="lessThanOrEqual">
      <formula>10</formula>
    </cfRule>
    <cfRule type="containsBlanks" dxfId="46" priority="4">
      <formula>LEN(TRIM(W2))=0</formula>
    </cfRule>
  </conditionalFormatting>
  <conditionalFormatting sqref="W2:W50">
    <cfRule type="cellIs" dxfId="45" priority="1" operator="between">
      <formula>21</formula>
      <formula>40</formula>
    </cfRule>
  </conditionalFormatting>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0483E-8E66-4719-8A54-ECA1C6FFBAEE}">
  <sheetPr codeName="Sheet4"/>
  <dimension ref="A1:M117"/>
  <sheetViews>
    <sheetView workbookViewId="0">
      <selection activeCell="B57" sqref="B57"/>
    </sheetView>
  </sheetViews>
  <sheetFormatPr defaultRowHeight="15" x14ac:dyDescent="0.25"/>
  <cols>
    <col min="1" max="1" width="11" customWidth="1"/>
    <col min="2" max="2" width="18.28515625" customWidth="1"/>
    <col min="3" max="3" width="17.85546875" customWidth="1"/>
    <col min="4" max="4" width="17.5703125" customWidth="1"/>
    <col min="6" max="6" width="13.42578125" customWidth="1"/>
    <col min="7" max="7" width="14.5703125" customWidth="1"/>
    <col min="8" max="8" width="13.7109375" customWidth="1"/>
    <col min="9" max="9" width="16.85546875" customWidth="1"/>
    <col min="10" max="10" width="17" customWidth="1"/>
    <col min="12" max="12" width="17.7109375" customWidth="1"/>
  </cols>
  <sheetData>
    <row r="1" spans="1:11" x14ac:dyDescent="0.25">
      <c r="A1" s="8" t="s">
        <v>92</v>
      </c>
      <c r="B1" s="8" t="s">
        <v>89</v>
      </c>
      <c r="C1" s="8" t="s">
        <v>90</v>
      </c>
      <c r="D1" s="8" t="s">
        <v>91</v>
      </c>
    </row>
    <row r="2" spans="1:11" x14ac:dyDescent="0.25">
      <c r="A2" s="6" t="s">
        <v>98</v>
      </c>
      <c r="B2" s="8" t="s">
        <v>86</v>
      </c>
      <c r="C2" s="8" t="s">
        <v>85</v>
      </c>
      <c r="D2" t="str">
        <f>_xlfn.CONCAT(Table162[[#This Row],[Veg Category]],"/",Table162[[#This Row],[Flower Category]])</f>
        <v>green/blue</v>
      </c>
      <c r="G2" t="s">
        <v>87</v>
      </c>
      <c r="H2" t="s">
        <v>88</v>
      </c>
      <c r="I2" t="s">
        <v>86</v>
      </c>
      <c r="J2" t="s">
        <v>84</v>
      </c>
      <c r="K2" t="s">
        <v>85</v>
      </c>
    </row>
    <row r="3" spans="1:11" x14ac:dyDescent="0.25">
      <c r="A3" s="6" t="s">
        <v>63</v>
      </c>
      <c r="B3" s="6" t="s">
        <v>84</v>
      </c>
      <c r="C3" s="6" t="s">
        <v>85</v>
      </c>
      <c r="D3" t="str">
        <f>_xlfn.CONCAT(Table162[[#This Row],[Veg Category]],"/",Table162[[#This Row],[Flower Category]])</f>
        <v>forest/blue</v>
      </c>
      <c r="F3" t="s">
        <v>87</v>
      </c>
      <c r="G3" t="str">
        <f>_xlfn.CONCAT(G$2,"/",$F3)</f>
        <v>red/red</v>
      </c>
      <c r="H3" t="str">
        <f t="shared" ref="G3:K7" si="0">_xlfn.CONCAT(H$2,"/",$F3)</f>
        <v>yellow/red</v>
      </c>
      <c r="I3" t="str">
        <f t="shared" si="0"/>
        <v>green/red</v>
      </c>
      <c r="J3" t="str">
        <f t="shared" si="0"/>
        <v>forest/red</v>
      </c>
      <c r="K3" t="str">
        <f t="shared" si="0"/>
        <v>blue/red</v>
      </c>
    </row>
    <row r="4" spans="1:11" x14ac:dyDescent="0.25">
      <c r="A4" s="6" t="s">
        <v>99</v>
      </c>
      <c r="B4" s="6" t="s">
        <v>87</v>
      </c>
      <c r="C4" s="6" t="s">
        <v>88</v>
      </c>
      <c r="D4" t="str">
        <f>_xlfn.CONCAT(Table162[[#This Row],[Veg Category]],"/",Table162[[#This Row],[Flower Category]])</f>
        <v>red/yellow</v>
      </c>
      <c r="F4" t="s">
        <v>88</v>
      </c>
      <c r="G4" t="str">
        <f t="shared" si="0"/>
        <v>red/yellow</v>
      </c>
      <c r="H4" t="str">
        <f t="shared" si="0"/>
        <v>yellow/yellow</v>
      </c>
      <c r="I4" t="str">
        <f t="shared" si="0"/>
        <v>green/yellow</v>
      </c>
      <c r="J4" t="str">
        <f t="shared" si="0"/>
        <v>forest/yellow</v>
      </c>
      <c r="K4" t="str">
        <f t="shared" si="0"/>
        <v>blue/yellow</v>
      </c>
    </row>
    <row r="5" spans="1:11" x14ac:dyDescent="0.25">
      <c r="A5" s="6" t="s">
        <v>122</v>
      </c>
      <c r="B5" s="6" t="s">
        <v>86</v>
      </c>
      <c r="C5" s="6" t="s">
        <v>85</v>
      </c>
      <c r="D5" t="str">
        <f>_xlfn.CONCAT(Table162[[#This Row],[Veg Category]],"/",Table162[[#This Row],[Flower Category]])</f>
        <v>green/blue</v>
      </c>
      <c r="F5" t="s">
        <v>86</v>
      </c>
      <c r="G5" t="str">
        <f t="shared" si="0"/>
        <v>red/green</v>
      </c>
      <c r="H5" t="str">
        <f t="shared" si="0"/>
        <v>yellow/green</v>
      </c>
      <c r="I5" t="str">
        <f t="shared" si="0"/>
        <v>green/green</v>
      </c>
      <c r="J5" t="str">
        <f t="shared" si="0"/>
        <v>forest/green</v>
      </c>
      <c r="K5" t="str">
        <f t="shared" si="0"/>
        <v>blue/green</v>
      </c>
    </row>
    <row r="6" spans="1:11" x14ac:dyDescent="0.25">
      <c r="A6" s="6" t="s">
        <v>135</v>
      </c>
      <c r="B6" s="6" t="s">
        <v>86</v>
      </c>
      <c r="C6" s="6" t="s">
        <v>85</v>
      </c>
      <c r="D6" t="str">
        <f>_xlfn.CONCAT(Table162[[#This Row],[Veg Category]],"/",Table162[[#This Row],[Flower Category]])</f>
        <v>green/blue</v>
      </c>
      <c r="F6" t="s">
        <v>84</v>
      </c>
      <c r="G6" t="str">
        <f t="shared" si="0"/>
        <v>red/forest</v>
      </c>
      <c r="H6" t="str">
        <f t="shared" si="0"/>
        <v>yellow/forest</v>
      </c>
      <c r="I6" t="str">
        <f t="shared" si="0"/>
        <v>green/forest</v>
      </c>
      <c r="J6" t="str">
        <f t="shared" si="0"/>
        <v>forest/forest</v>
      </c>
      <c r="K6" t="str">
        <f t="shared" si="0"/>
        <v>blue/forest</v>
      </c>
    </row>
    <row r="7" spans="1:11" x14ac:dyDescent="0.25">
      <c r="A7" s="6" t="s">
        <v>62</v>
      </c>
      <c r="B7" s="6" t="s">
        <v>84</v>
      </c>
      <c r="C7" s="6" t="s">
        <v>85</v>
      </c>
      <c r="D7" t="str">
        <f>_xlfn.CONCAT(Table162[[#This Row],[Veg Category]],"/",Table162[[#This Row],[Flower Category]])</f>
        <v>forest/blue</v>
      </c>
      <c r="F7" t="s">
        <v>85</v>
      </c>
      <c r="G7" t="str">
        <f t="shared" si="0"/>
        <v>red/blue</v>
      </c>
      <c r="H7" t="str">
        <f t="shared" si="0"/>
        <v>yellow/blue</v>
      </c>
      <c r="I7" t="str">
        <f t="shared" si="0"/>
        <v>green/blue</v>
      </c>
      <c r="J7" t="str">
        <f t="shared" si="0"/>
        <v>forest/blue</v>
      </c>
      <c r="K7" t="str">
        <f t="shared" si="0"/>
        <v>blue/blue</v>
      </c>
    </row>
    <row r="8" spans="1:11" x14ac:dyDescent="0.25">
      <c r="A8" s="6" t="s">
        <v>61</v>
      </c>
      <c r="B8" s="6" t="s">
        <v>86</v>
      </c>
      <c r="C8" s="6" t="s">
        <v>84</v>
      </c>
      <c r="D8" t="str">
        <f>_xlfn.CONCAT(Table162[[#This Row],[Veg Category]],"/",Table162[[#This Row],[Flower Category]])</f>
        <v>green/forest</v>
      </c>
    </row>
    <row r="9" spans="1:11" x14ac:dyDescent="0.25">
      <c r="A9" s="6" t="s">
        <v>60</v>
      </c>
      <c r="B9" s="6" t="s">
        <v>86</v>
      </c>
      <c r="C9" s="6" t="s">
        <v>86</v>
      </c>
      <c r="D9" t="str">
        <f>_xlfn.CONCAT(Table162[[#This Row],[Veg Category]],"/",Table162[[#This Row],[Flower Category]])</f>
        <v>green/green</v>
      </c>
      <c r="G9">
        <f t="shared" ref="G9:K13" si="1">COUNTIF($D$2:$D$117,G3)</f>
        <v>23</v>
      </c>
      <c r="H9">
        <f t="shared" si="1"/>
        <v>7</v>
      </c>
      <c r="I9">
        <f t="shared" si="1"/>
        <v>3</v>
      </c>
      <c r="J9">
        <f t="shared" si="1"/>
        <v>3</v>
      </c>
      <c r="K9">
        <f t="shared" si="1"/>
        <v>1</v>
      </c>
    </row>
    <row r="10" spans="1:11" x14ac:dyDescent="0.25">
      <c r="A10" s="6" t="s">
        <v>100</v>
      </c>
      <c r="B10" s="6" t="s">
        <v>86</v>
      </c>
      <c r="C10" s="6" t="s">
        <v>87</v>
      </c>
      <c r="D10" t="str">
        <f>_xlfn.CONCAT(Table162[[#This Row],[Veg Category]],"/",Table162[[#This Row],[Flower Category]])</f>
        <v>green/red</v>
      </c>
      <c r="G10">
        <f t="shared" si="1"/>
        <v>7</v>
      </c>
      <c r="H10">
        <f t="shared" si="1"/>
        <v>11</v>
      </c>
      <c r="I10">
        <f t="shared" si="1"/>
        <v>4</v>
      </c>
      <c r="J10">
        <f t="shared" si="1"/>
        <v>3</v>
      </c>
      <c r="K10">
        <f t="shared" si="1"/>
        <v>9</v>
      </c>
    </row>
    <row r="11" spans="1:11" x14ac:dyDescent="0.25">
      <c r="A11" s="6" t="s">
        <v>59</v>
      </c>
      <c r="B11" s="6" t="s">
        <v>87</v>
      </c>
      <c r="C11" s="6" t="s">
        <v>88</v>
      </c>
      <c r="D11" t="str">
        <f>_xlfn.CONCAT(Table162[[#This Row],[Veg Category]],"/",Table162[[#This Row],[Flower Category]])</f>
        <v>red/yellow</v>
      </c>
      <c r="G11">
        <f t="shared" si="1"/>
        <v>3</v>
      </c>
      <c r="H11">
        <f t="shared" si="1"/>
        <v>2</v>
      </c>
      <c r="I11">
        <f t="shared" si="1"/>
        <v>4</v>
      </c>
      <c r="J11">
        <f t="shared" si="1"/>
        <v>4</v>
      </c>
      <c r="K11">
        <f t="shared" si="1"/>
        <v>3</v>
      </c>
    </row>
    <row r="12" spans="1:11" x14ac:dyDescent="0.25">
      <c r="A12" s="6" t="s">
        <v>58</v>
      </c>
      <c r="B12" s="6" t="s">
        <v>87</v>
      </c>
      <c r="C12" s="6" t="s">
        <v>87</v>
      </c>
      <c r="D12" t="str">
        <f>_xlfn.CONCAT(Table162[[#This Row],[Veg Category]],"/",Table162[[#This Row],[Flower Category]])</f>
        <v>red/red</v>
      </c>
      <c r="G12">
        <f t="shared" si="1"/>
        <v>0</v>
      </c>
      <c r="H12">
        <f t="shared" si="1"/>
        <v>2</v>
      </c>
      <c r="I12">
        <f t="shared" si="1"/>
        <v>5</v>
      </c>
      <c r="J12">
        <f t="shared" si="1"/>
        <v>2</v>
      </c>
      <c r="K12">
        <f t="shared" si="1"/>
        <v>2</v>
      </c>
    </row>
    <row r="13" spans="1:11" x14ac:dyDescent="0.25">
      <c r="A13" s="6" t="s">
        <v>57</v>
      </c>
      <c r="B13" s="6" t="s">
        <v>87</v>
      </c>
      <c r="C13" s="6" t="s">
        <v>87</v>
      </c>
      <c r="D13" t="str">
        <f>_xlfn.CONCAT(Table162[[#This Row],[Veg Category]],"/",Table162[[#This Row],[Flower Category]])</f>
        <v>red/red</v>
      </c>
      <c r="G13">
        <f t="shared" si="1"/>
        <v>0</v>
      </c>
      <c r="H13">
        <f t="shared" si="1"/>
        <v>1</v>
      </c>
      <c r="I13">
        <f t="shared" si="1"/>
        <v>7</v>
      </c>
      <c r="J13">
        <f t="shared" si="1"/>
        <v>2</v>
      </c>
      <c r="K13">
        <f t="shared" si="1"/>
        <v>7</v>
      </c>
    </row>
    <row r="14" spans="1:11" x14ac:dyDescent="0.25">
      <c r="A14" s="6" t="s">
        <v>56</v>
      </c>
      <c r="B14" s="6" t="s">
        <v>86</v>
      </c>
      <c r="C14" s="6" t="s">
        <v>84</v>
      </c>
      <c r="D14" t="str">
        <f>_xlfn.CONCAT(Table162[[#This Row],[Veg Category]],"/",Table162[[#This Row],[Flower Category]])</f>
        <v>green/forest</v>
      </c>
    </row>
    <row r="15" spans="1:11" x14ac:dyDescent="0.25">
      <c r="A15" s="6" t="s">
        <v>123</v>
      </c>
      <c r="B15" s="6" t="s">
        <v>86</v>
      </c>
      <c r="C15" s="6" t="s">
        <v>85</v>
      </c>
      <c r="D15" t="str">
        <f>_xlfn.CONCAT(Table162[[#This Row],[Veg Category]],"/",Table162[[#This Row],[Flower Category]])</f>
        <v>green/blue</v>
      </c>
    </row>
    <row r="16" spans="1:11" x14ac:dyDescent="0.25">
      <c r="A16" s="6" t="s">
        <v>55</v>
      </c>
      <c r="B16" s="6" t="s">
        <v>88</v>
      </c>
      <c r="C16" s="6" t="s">
        <v>87</v>
      </c>
      <c r="D16" t="str">
        <f>_xlfn.CONCAT(Table162[[#This Row],[Veg Category]],"/",Table162[[#This Row],[Flower Category]])</f>
        <v>yellow/red</v>
      </c>
    </row>
    <row r="17" spans="1:13" x14ac:dyDescent="0.25">
      <c r="A17" s="6" t="s">
        <v>54</v>
      </c>
      <c r="B17" s="6" t="s">
        <v>88</v>
      </c>
      <c r="C17" s="6" t="s">
        <v>88</v>
      </c>
      <c r="D17" t="str">
        <f>_xlfn.CONCAT(Table162[[#This Row],[Veg Category]],"/",Table162[[#This Row],[Flower Category]])</f>
        <v>yellow/yellow</v>
      </c>
    </row>
    <row r="18" spans="1:13" x14ac:dyDescent="0.25">
      <c r="A18" s="6" t="s">
        <v>140</v>
      </c>
      <c r="B18" s="6" t="s">
        <v>88</v>
      </c>
      <c r="C18" s="6" t="s">
        <v>88</v>
      </c>
      <c r="D18" t="str">
        <f>_xlfn.CONCAT(Table162[[#This Row],[Veg Category]],"/",Table162[[#This Row],[Flower Category]])</f>
        <v>yellow/yellow</v>
      </c>
    </row>
    <row r="19" spans="1:13" x14ac:dyDescent="0.25">
      <c r="A19" s="6" t="s">
        <v>141</v>
      </c>
      <c r="B19" s="6" t="s">
        <v>84</v>
      </c>
      <c r="C19" s="6" t="s">
        <v>84</v>
      </c>
      <c r="D19" t="str">
        <f>_xlfn.CONCAT(Table162[[#This Row],[Veg Category]],"/",Table162[[#This Row],[Flower Category]])</f>
        <v>forest/forest</v>
      </c>
    </row>
    <row r="20" spans="1:13" x14ac:dyDescent="0.25">
      <c r="A20" s="6" t="s">
        <v>53</v>
      </c>
      <c r="B20" s="6" t="s">
        <v>87</v>
      </c>
      <c r="C20" s="6" t="s">
        <v>87</v>
      </c>
      <c r="D20" t="str">
        <f>_xlfn.CONCAT(Table162[[#This Row],[Veg Category]],"/",Table162[[#This Row],[Flower Category]])</f>
        <v>red/red</v>
      </c>
    </row>
    <row r="21" spans="1:13" x14ac:dyDescent="0.25">
      <c r="A21" s="6" t="s">
        <v>52</v>
      </c>
      <c r="B21" s="6" t="s">
        <v>87</v>
      </c>
      <c r="C21" s="6" t="s">
        <v>87</v>
      </c>
      <c r="D21" t="str">
        <f>_xlfn.CONCAT(Table162[[#This Row],[Veg Category]],"/",Table162[[#This Row],[Flower Category]])</f>
        <v>red/red</v>
      </c>
      <c r="G21" t="s">
        <v>172</v>
      </c>
      <c r="H21" t="s">
        <v>87</v>
      </c>
      <c r="I21">
        <v>8</v>
      </c>
      <c r="J21">
        <v>14.25</v>
      </c>
      <c r="L21" s="9" t="str">
        <f>_xlfn.CONCAT(G21,".",H21)</f>
        <v>VEG.red</v>
      </c>
      <c r="M21" t="str">
        <f>_xlfn.CONCAT(": between ",I21,"-",J21," inches")</f>
        <v>: between 8-14.25 inches</v>
      </c>
    </row>
    <row r="22" spans="1:13" x14ac:dyDescent="0.25">
      <c r="A22" s="6" t="s">
        <v>101</v>
      </c>
      <c r="B22" s="6" t="s">
        <v>87</v>
      </c>
      <c r="C22" s="6" t="s">
        <v>87</v>
      </c>
      <c r="D22" t="str">
        <f>_xlfn.CONCAT(Table162[[#This Row],[Veg Category]],"/",Table162[[#This Row],[Flower Category]])</f>
        <v>red/red</v>
      </c>
      <c r="G22" t="s">
        <v>172</v>
      </c>
      <c r="H22" t="s">
        <v>88</v>
      </c>
      <c r="I22">
        <v>14.5</v>
      </c>
      <c r="J22">
        <v>16.25</v>
      </c>
      <c r="L22" s="9" t="str">
        <f t="shared" ref="L22:L32" si="2">_xlfn.CONCAT(G22,".",H22)</f>
        <v>VEG.yellow</v>
      </c>
      <c r="M22" t="str">
        <f t="shared" ref="M22:M32" si="3">_xlfn.CONCAT(": between ",I22,"-",J22," inches")</f>
        <v>: between 14.5-16.25 inches</v>
      </c>
    </row>
    <row r="23" spans="1:13" x14ac:dyDescent="0.25">
      <c r="A23" s="6" t="s">
        <v>124</v>
      </c>
      <c r="B23" s="6" t="s">
        <v>87</v>
      </c>
      <c r="C23" s="6" t="s">
        <v>87</v>
      </c>
      <c r="D23" t="str">
        <f>_xlfn.CONCAT(Table162[[#This Row],[Veg Category]],"/",Table162[[#This Row],[Flower Category]])</f>
        <v>red/red</v>
      </c>
      <c r="G23" t="s">
        <v>172</v>
      </c>
      <c r="H23" t="s">
        <v>86</v>
      </c>
      <c r="I23">
        <v>16.5</v>
      </c>
      <c r="J23">
        <v>18.399999999999999</v>
      </c>
      <c r="L23" s="9" t="str">
        <f t="shared" si="2"/>
        <v>VEG.green</v>
      </c>
      <c r="M23" t="str">
        <f t="shared" si="3"/>
        <v>: between 16.5-18.4 inches</v>
      </c>
    </row>
    <row r="24" spans="1:13" x14ac:dyDescent="0.25">
      <c r="A24" s="6" t="s">
        <v>51</v>
      </c>
      <c r="B24" s="6" t="s">
        <v>85</v>
      </c>
      <c r="C24" s="6" t="s">
        <v>88</v>
      </c>
      <c r="D24" t="str">
        <f>_xlfn.CONCAT(Table162[[#This Row],[Veg Category]],"/",Table162[[#This Row],[Flower Category]])</f>
        <v>blue/yellow</v>
      </c>
      <c r="G24" t="s">
        <v>172</v>
      </c>
      <c r="H24" t="s">
        <v>84</v>
      </c>
      <c r="I24">
        <v>18.5</v>
      </c>
      <c r="J24">
        <v>20.375</v>
      </c>
      <c r="L24" s="9" t="str">
        <f t="shared" si="2"/>
        <v>VEG.forest</v>
      </c>
      <c r="M24" t="str">
        <f t="shared" si="3"/>
        <v>: between 18.5-20.375 inches</v>
      </c>
    </row>
    <row r="25" spans="1:13" x14ac:dyDescent="0.25">
      <c r="A25" s="6" t="s">
        <v>50</v>
      </c>
      <c r="B25" s="6" t="s">
        <v>85</v>
      </c>
      <c r="C25" s="6" t="s">
        <v>88</v>
      </c>
      <c r="D25" t="str">
        <f>_xlfn.CONCAT(Table162[[#This Row],[Veg Category]],"/",Table162[[#This Row],[Flower Category]])</f>
        <v>blue/yellow</v>
      </c>
      <c r="G25" t="s">
        <v>172</v>
      </c>
      <c r="H25" t="s">
        <v>85</v>
      </c>
      <c r="I25">
        <v>20.5</v>
      </c>
      <c r="J25">
        <v>28.5</v>
      </c>
      <c r="L25" s="9" t="str">
        <f t="shared" si="2"/>
        <v>VEG.blue</v>
      </c>
      <c r="M25" t="str">
        <f t="shared" si="3"/>
        <v>: between 20.5-28.5 inches</v>
      </c>
    </row>
    <row r="26" spans="1:13" x14ac:dyDescent="0.25">
      <c r="A26" s="6" t="s">
        <v>49</v>
      </c>
      <c r="B26" s="6" t="s">
        <v>85</v>
      </c>
      <c r="C26" s="6" t="s">
        <v>87</v>
      </c>
      <c r="D26" t="str">
        <f>_xlfn.CONCAT(Table162[[#This Row],[Veg Category]],"/",Table162[[#This Row],[Flower Category]])</f>
        <v>blue/red</v>
      </c>
      <c r="L26" s="9"/>
    </row>
    <row r="27" spans="1:13" x14ac:dyDescent="0.25">
      <c r="A27" s="6" t="s">
        <v>102</v>
      </c>
      <c r="B27" s="6" t="s">
        <v>86</v>
      </c>
      <c r="C27" s="6" t="s">
        <v>88</v>
      </c>
      <c r="D27" t="str">
        <f>_xlfn.CONCAT(Table162[[#This Row],[Veg Category]],"/",Table162[[#This Row],[Flower Category]])</f>
        <v>green/yellow</v>
      </c>
      <c r="L27" s="9"/>
    </row>
    <row r="28" spans="1:13" x14ac:dyDescent="0.25">
      <c r="A28" s="6" t="s">
        <v>48</v>
      </c>
      <c r="B28" s="6" t="s">
        <v>88</v>
      </c>
      <c r="C28" s="6" t="s">
        <v>87</v>
      </c>
      <c r="D28" t="str">
        <f>_xlfn.CONCAT(Table162[[#This Row],[Veg Category]],"/",Table162[[#This Row],[Flower Category]])</f>
        <v>yellow/red</v>
      </c>
      <c r="G28" t="s">
        <v>173</v>
      </c>
      <c r="H28" t="s">
        <v>87</v>
      </c>
      <c r="I28">
        <v>15</v>
      </c>
      <c r="J28">
        <v>28.5</v>
      </c>
      <c r="L28" s="9" t="str">
        <f t="shared" si="2"/>
        <v>FLOWER.red</v>
      </c>
      <c r="M28" t="str">
        <f t="shared" si="3"/>
        <v>: between 15-28.5 inches</v>
      </c>
    </row>
    <row r="29" spans="1:13" x14ac:dyDescent="0.25">
      <c r="A29" s="6" t="s">
        <v>146</v>
      </c>
      <c r="B29" s="6" t="s">
        <v>88</v>
      </c>
      <c r="C29" s="6" t="s">
        <v>87</v>
      </c>
      <c r="D29" t="str">
        <f>_xlfn.CONCAT(Table162[[#This Row],[Veg Category]],"/",Table162[[#This Row],[Flower Category]])</f>
        <v>yellow/red</v>
      </c>
      <c r="G29" t="s">
        <v>173</v>
      </c>
      <c r="H29" t="s">
        <v>88</v>
      </c>
      <c r="I29">
        <v>28.625</v>
      </c>
      <c r="J29">
        <v>33.75</v>
      </c>
      <c r="L29" s="9" t="str">
        <f t="shared" si="2"/>
        <v>FLOWER.yellow</v>
      </c>
      <c r="M29" t="str">
        <f t="shared" si="3"/>
        <v>: between 28.625-33.75 inches</v>
      </c>
    </row>
    <row r="30" spans="1:13" x14ac:dyDescent="0.25">
      <c r="A30" s="6" t="s">
        <v>142</v>
      </c>
      <c r="B30" s="6" t="s">
        <v>88</v>
      </c>
      <c r="C30" s="6" t="s">
        <v>88</v>
      </c>
      <c r="D30" t="str">
        <f>_xlfn.CONCAT(Table162[[#This Row],[Veg Category]],"/",Table162[[#This Row],[Flower Category]])</f>
        <v>yellow/yellow</v>
      </c>
      <c r="G30" t="s">
        <v>173</v>
      </c>
      <c r="H30" t="s">
        <v>86</v>
      </c>
      <c r="I30">
        <v>34</v>
      </c>
      <c r="J30">
        <v>36</v>
      </c>
      <c r="L30" s="9" t="str">
        <f t="shared" si="2"/>
        <v>FLOWER.green</v>
      </c>
      <c r="M30" t="str">
        <f t="shared" si="3"/>
        <v>: between 34-36 inches</v>
      </c>
    </row>
    <row r="31" spans="1:13" x14ac:dyDescent="0.25">
      <c r="A31" s="6" t="s">
        <v>47</v>
      </c>
      <c r="B31" s="6" t="s">
        <v>87</v>
      </c>
      <c r="C31" s="6" t="s">
        <v>87</v>
      </c>
      <c r="D31" t="str">
        <f>_xlfn.CONCAT(Table162[[#This Row],[Veg Category]],"/",Table162[[#This Row],[Flower Category]])</f>
        <v>red/red</v>
      </c>
      <c r="G31" t="s">
        <v>173</v>
      </c>
      <c r="H31" t="s">
        <v>84</v>
      </c>
      <c r="I31">
        <v>36.5</v>
      </c>
      <c r="J31">
        <v>39.5</v>
      </c>
      <c r="L31" s="9" t="str">
        <f t="shared" si="2"/>
        <v>FLOWER.forest</v>
      </c>
      <c r="M31" t="str">
        <f t="shared" si="3"/>
        <v>: between 36.5-39.5 inches</v>
      </c>
    </row>
    <row r="32" spans="1:13" x14ac:dyDescent="0.25">
      <c r="A32" s="6" t="s">
        <v>46</v>
      </c>
      <c r="B32" s="6" t="s">
        <v>86</v>
      </c>
      <c r="C32" s="6" t="s">
        <v>84</v>
      </c>
      <c r="D32" t="str">
        <f>_xlfn.CONCAT(Table162[[#This Row],[Veg Category]],"/",Table162[[#This Row],[Flower Category]])</f>
        <v>green/forest</v>
      </c>
      <c r="G32" t="s">
        <v>173</v>
      </c>
      <c r="H32" t="s">
        <v>85</v>
      </c>
      <c r="I32">
        <v>40</v>
      </c>
      <c r="J32">
        <v>61</v>
      </c>
      <c r="L32" s="9" t="str">
        <f t="shared" si="2"/>
        <v>FLOWER.blue</v>
      </c>
      <c r="M32" t="str">
        <f t="shared" si="3"/>
        <v>: between 40-61 inches</v>
      </c>
    </row>
    <row r="33" spans="1:4" x14ac:dyDescent="0.25">
      <c r="A33" s="6" t="s">
        <v>45</v>
      </c>
      <c r="B33" s="6" t="s">
        <v>86</v>
      </c>
      <c r="C33" s="6" t="s">
        <v>86</v>
      </c>
      <c r="D33" t="str">
        <f>_xlfn.CONCAT(Table162[[#This Row],[Veg Category]],"/",Table162[[#This Row],[Flower Category]])</f>
        <v>green/green</v>
      </c>
    </row>
    <row r="34" spans="1:4" x14ac:dyDescent="0.25">
      <c r="A34" s="6" t="s">
        <v>44</v>
      </c>
      <c r="B34" s="6" t="s">
        <v>85</v>
      </c>
      <c r="C34" s="6" t="s">
        <v>86</v>
      </c>
      <c r="D34" t="str">
        <f>_xlfn.CONCAT(Table162[[#This Row],[Veg Category]],"/",Table162[[#This Row],[Flower Category]])</f>
        <v>blue/green</v>
      </c>
    </row>
    <row r="35" spans="1:4" x14ac:dyDescent="0.25">
      <c r="A35" s="6" t="s">
        <v>43</v>
      </c>
      <c r="B35" s="6" t="s">
        <v>87</v>
      </c>
      <c r="C35" s="6" t="s">
        <v>88</v>
      </c>
      <c r="D35" t="str">
        <f>_xlfn.CONCAT(Table162[[#This Row],[Veg Category]],"/",Table162[[#This Row],[Flower Category]])</f>
        <v>red/yellow</v>
      </c>
    </row>
    <row r="36" spans="1:4" x14ac:dyDescent="0.25">
      <c r="A36" s="6" t="s">
        <v>42</v>
      </c>
      <c r="B36" s="6" t="s">
        <v>86</v>
      </c>
      <c r="C36" s="6" t="s">
        <v>85</v>
      </c>
      <c r="D36" t="str">
        <f>_xlfn.CONCAT(Table162[[#This Row],[Veg Category]],"/",Table162[[#This Row],[Flower Category]])</f>
        <v>green/blue</v>
      </c>
    </row>
    <row r="37" spans="1:4" x14ac:dyDescent="0.25">
      <c r="A37" s="6" t="s">
        <v>103</v>
      </c>
      <c r="B37" s="6" t="s">
        <v>84</v>
      </c>
      <c r="C37" s="6" t="s">
        <v>88</v>
      </c>
      <c r="D37" t="str">
        <f>_xlfn.CONCAT(Table162[[#This Row],[Veg Category]],"/",Table162[[#This Row],[Flower Category]])</f>
        <v>forest/yellow</v>
      </c>
    </row>
    <row r="38" spans="1:4" x14ac:dyDescent="0.25">
      <c r="A38" s="6" t="s">
        <v>104</v>
      </c>
      <c r="B38" s="6" t="s">
        <v>86</v>
      </c>
      <c r="C38" s="6" t="s">
        <v>88</v>
      </c>
      <c r="D38" t="str">
        <f>_xlfn.CONCAT(Table162[[#This Row],[Veg Category]],"/",Table162[[#This Row],[Flower Category]])</f>
        <v>green/yellow</v>
      </c>
    </row>
    <row r="39" spans="1:4" x14ac:dyDescent="0.25">
      <c r="A39" s="6" t="s">
        <v>41</v>
      </c>
      <c r="B39" s="6" t="s">
        <v>87</v>
      </c>
      <c r="C39" s="6" t="s">
        <v>87</v>
      </c>
      <c r="D39" t="str">
        <f>_xlfn.CONCAT(Table162[[#This Row],[Veg Category]],"/",Table162[[#This Row],[Flower Category]])</f>
        <v>red/red</v>
      </c>
    </row>
    <row r="40" spans="1:4" x14ac:dyDescent="0.25">
      <c r="A40" s="6" t="s">
        <v>105</v>
      </c>
      <c r="B40" s="6" t="s">
        <v>85</v>
      </c>
      <c r="C40" s="6" t="s">
        <v>85</v>
      </c>
      <c r="D40" t="str">
        <f>_xlfn.CONCAT(Table162[[#This Row],[Veg Category]],"/",Table162[[#This Row],[Flower Category]])</f>
        <v>blue/blue</v>
      </c>
    </row>
    <row r="41" spans="1:4" x14ac:dyDescent="0.25">
      <c r="A41" s="6" t="s">
        <v>40</v>
      </c>
      <c r="B41" s="6" t="s">
        <v>88</v>
      </c>
      <c r="C41" s="6" t="s">
        <v>88</v>
      </c>
      <c r="D41" t="str">
        <f>_xlfn.CONCAT(Table162[[#This Row],[Veg Category]],"/",Table162[[#This Row],[Flower Category]])</f>
        <v>yellow/yellow</v>
      </c>
    </row>
    <row r="42" spans="1:4" x14ac:dyDescent="0.25">
      <c r="A42" s="6" t="s">
        <v>106</v>
      </c>
      <c r="B42" s="6" t="s">
        <v>85</v>
      </c>
      <c r="C42" s="6" t="s">
        <v>88</v>
      </c>
      <c r="D42" t="str">
        <f>_xlfn.CONCAT(Table162[[#This Row],[Veg Category]],"/",Table162[[#This Row],[Flower Category]])</f>
        <v>blue/yellow</v>
      </c>
    </row>
    <row r="43" spans="1:4" x14ac:dyDescent="0.25">
      <c r="A43" s="6" t="s">
        <v>125</v>
      </c>
      <c r="B43" s="6" t="s">
        <v>86</v>
      </c>
      <c r="C43" s="6" t="s">
        <v>88</v>
      </c>
      <c r="D43" t="str">
        <f>_xlfn.CONCAT(Table162[[#This Row],[Veg Category]],"/",Table162[[#This Row],[Flower Category]])</f>
        <v>green/yellow</v>
      </c>
    </row>
    <row r="44" spans="1:4" x14ac:dyDescent="0.25">
      <c r="A44" s="6" t="s">
        <v>107</v>
      </c>
      <c r="B44" s="6" t="s">
        <v>85</v>
      </c>
      <c r="C44" s="6" t="s">
        <v>85</v>
      </c>
      <c r="D44" t="str">
        <f>_xlfn.CONCAT(Table162[[#This Row],[Veg Category]],"/",Table162[[#This Row],[Flower Category]])</f>
        <v>blue/blue</v>
      </c>
    </row>
    <row r="45" spans="1:4" x14ac:dyDescent="0.25">
      <c r="A45" s="6" t="s">
        <v>126</v>
      </c>
      <c r="B45" s="6" t="s">
        <v>85</v>
      </c>
      <c r="C45" s="6" t="s">
        <v>88</v>
      </c>
      <c r="D45" t="str">
        <f>_xlfn.CONCAT(Table162[[#This Row],[Veg Category]],"/",Table162[[#This Row],[Flower Category]])</f>
        <v>blue/yellow</v>
      </c>
    </row>
    <row r="46" spans="1:4" x14ac:dyDescent="0.25">
      <c r="A46" s="6" t="s">
        <v>39</v>
      </c>
      <c r="B46" s="6" t="s">
        <v>87</v>
      </c>
      <c r="C46" s="6" t="s">
        <v>87</v>
      </c>
      <c r="D46" t="str">
        <f>_xlfn.CONCAT(Table162[[#This Row],[Veg Category]],"/",Table162[[#This Row],[Flower Category]])</f>
        <v>red/red</v>
      </c>
    </row>
    <row r="47" spans="1:4" x14ac:dyDescent="0.25">
      <c r="A47" s="6" t="s">
        <v>38</v>
      </c>
      <c r="B47" s="6" t="s">
        <v>87</v>
      </c>
      <c r="C47" s="6" t="s">
        <v>87</v>
      </c>
      <c r="D47" t="str">
        <f>_xlfn.CONCAT(Table162[[#This Row],[Veg Category]],"/",Table162[[#This Row],[Flower Category]])</f>
        <v>red/red</v>
      </c>
    </row>
    <row r="48" spans="1:4" x14ac:dyDescent="0.25">
      <c r="A48" s="6" t="s">
        <v>35</v>
      </c>
      <c r="B48" s="6" t="s">
        <v>86</v>
      </c>
      <c r="C48" s="6" t="s">
        <v>84</v>
      </c>
      <c r="D48" t="str">
        <f>_xlfn.CONCAT(Table162[[#This Row],[Veg Category]],"/",Table162[[#This Row],[Flower Category]])</f>
        <v>green/forest</v>
      </c>
    </row>
    <row r="49" spans="1:4" x14ac:dyDescent="0.25">
      <c r="A49" s="6" t="s">
        <v>152</v>
      </c>
      <c r="B49" s="6" t="s">
        <v>86</v>
      </c>
      <c r="C49" s="6" t="s">
        <v>85</v>
      </c>
      <c r="D49" t="str">
        <f>_xlfn.CONCAT(Table162[[#This Row],[Veg Category]],"/",Table162[[#This Row],[Flower Category]])</f>
        <v>green/blue</v>
      </c>
    </row>
    <row r="50" spans="1:4" x14ac:dyDescent="0.25">
      <c r="A50" s="6" t="s">
        <v>34</v>
      </c>
      <c r="B50" s="6" t="s">
        <v>85</v>
      </c>
      <c r="C50" s="6" t="s">
        <v>88</v>
      </c>
      <c r="D50" t="str">
        <f>_xlfn.CONCAT(Table162[[#This Row],[Veg Category]],"/",Table162[[#This Row],[Flower Category]])</f>
        <v>blue/yellow</v>
      </c>
    </row>
    <row r="51" spans="1:4" x14ac:dyDescent="0.25">
      <c r="A51" s="6" t="s">
        <v>33</v>
      </c>
      <c r="B51" s="6" t="s">
        <v>85</v>
      </c>
      <c r="C51" s="6" t="s">
        <v>85</v>
      </c>
      <c r="D51" t="str">
        <f>_xlfn.CONCAT(Table162[[#This Row],[Veg Category]],"/",Table162[[#This Row],[Flower Category]])</f>
        <v>blue/blue</v>
      </c>
    </row>
    <row r="52" spans="1:4" x14ac:dyDescent="0.25">
      <c r="A52" s="6" t="s">
        <v>127</v>
      </c>
      <c r="B52" s="6" t="s">
        <v>85</v>
      </c>
      <c r="C52" s="6" t="s">
        <v>88</v>
      </c>
      <c r="D52" t="str">
        <f>_xlfn.CONCAT(Table162[[#This Row],[Veg Category]],"/",Table162[[#This Row],[Flower Category]])</f>
        <v>blue/yellow</v>
      </c>
    </row>
    <row r="53" spans="1:4" x14ac:dyDescent="0.25">
      <c r="A53" s="6" t="s">
        <v>32</v>
      </c>
      <c r="B53" s="6" t="s">
        <v>85</v>
      </c>
      <c r="C53" s="6" t="s">
        <v>88</v>
      </c>
      <c r="D53" t="str">
        <f>_xlfn.CONCAT(Table162[[#This Row],[Veg Category]],"/",Table162[[#This Row],[Flower Category]])</f>
        <v>blue/yellow</v>
      </c>
    </row>
    <row r="54" spans="1:4" x14ac:dyDescent="0.25">
      <c r="A54" s="6" t="s">
        <v>31</v>
      </c>
      <c r="B54" s="6" t="s">
        <v>85</v>
      </c>
      <c r="C54" s="6" t="s">
        <v>88</v>
      </c>
      <c r="D54" t="str">
        <f>_xlfn.CONCAT(Table162[[#This Row],[Veg Category]],"/",Table162[[#This Row],[Flower Category]])</f>
        <v>blue/yellow</v>
      </c>
    </row>
    <row r="55" spans="1:4" x14ac:dyDescent="0.25">
      <c r="A55" s="6" t="s">
        <v>30</v>
      </c>
      <c r="B55" s="6" t="s">
        <v>86</v>
      </c>
      <c r="C55" s="6" t="s">
        <v>86</v>
      </c>
      <c r="D55" t="str">
        <f>_xlfn.CONCAT(Table162[[#This Row],[Veg Category]],"/",Table162[[#This Row],[Flower Category]])</f>
        <v>green/green</v>
      </c>
    </row>
    <row r="56" spans="1:4" x14ac:dyDescent="0.25">
      <c r="A56" s="6" t="s">
        <v>29</v>
      </c>
      <c r="B56" s="6" t="s">
        <v>84</v>
      </c>
      <c r="C56" s="6" t="s">
        <v>87</v>
      </c>
      <c r="D56" t="str">
        <f>_xlfn.CONCAT(Table162[[#This Row],[Veg Category]],"/",Table162[[#This Row],[Flower Category]])</f>
        <v>forest/red</v>
      </c>
    </row>
    <row r="57" spans="1:4" x14ac:dyDescent="0.25">
      <c r="A57" s="6" t="s">
        <v>28</v>
      </c>
      <c r="B57" s="6" t="s">
        <v>88</v>
      </c>
      <c r="C57" s="6" t="s">
        <v>85</v>
      </c>
      <c r="D57" t="str">
        <f>_xlfn.CONCAT(Table162[[#This Row],[Veg Category]],"/",Table162[[#This Row],[Flower Category]])</f>
        <v>yellow/blue</v>
      </c>
    </row>
    <row r="58" spans="1:4" x14ac:dyDescent="0.25">
      <c r="A58" s="6" t="s">
        <v>27</v>
      </c>
      <c r="B58" s="6" t="s">
        <v>84</v>
      </c>
      <c r="C58" s="6" t="s">
        <v>87</v>
      </c>
      <c r="D58" t="str">
        <f>_xlfn.CONCAT(Table162[[#This Row],[Veg Category]],"/",Table162[[#This Row],[Flower Category]])</f>
        <v>forest/red</v>
      </c>
    </row>
    <row r="59" spans="1:4" x14ac:dyDescent="0.25">
      <c r="A59" s="6" t="s">
        <v>153</v>
      </c>
      <c r="B59" s="6" t="s">
        <v>85</v>
      </c>
      <c r="C59" s="6" t="s">
        <v>84</v>
      </c>
      <c r="D59" t="str">
        <f>_xlfn.CONCAT(Table162[[#This Row],[Veg Category]],"/",Table162[[#This Row],[Flower Category]])</f>
        <v>blue/forest</v>
      </c>
    </row>
    <row r="60" spans="1:4" x14ac:dyDescent="0.25">
      <c r="A60" s="10" t="s">
        <v>26</v>
      </c>
      <c r="B60" s="10" t="s">
        <v>88</v>
      </c>
      <c r="C60" s="10" t="s">
        <v>88</v>
      </c>
      <c r="D60" t="str">
        <f>_xlfn.CONCAT(Table162[[#This Row],[Veg Category]],"/",Table162[[#This Row],[Flower Category]])</f>
        <v>yellow/yellow</v>
      </c>
    </row>
    <row r="61" spans="1:4" x14ac:dyDescent="0.25">
      <c r="A61" s="6" t="s">
        <v>147</v>
      </c>
      <c r="B61" s="6" t="s">
        <v>87</v>
      </c>
      <c r="C61" s="6" t="s">
        <v>88</v>
      </c>
      <c r="D61" t="str">
        <f>_xlfn.CONCAT(Table162[[#This Row],[Veg Category]],"/",Table162[[#This Row],[Flower Category]])</f>
        <v>red/yellow</v>
      </c>
    </row>
    <row r="62" spans="1:4" x14ac:dyDescent="0.25">
      <c r="A62" s="6" t="s">
        <v>108</v>
      </c>
      <c r="B62" s="6" t="s">
        <v>88</v>
      </c>
      <c r="C62" s="6" t="s">
        <v>88</v>
      </c>
      <c r="D62" t="str">
        <f>_xlfn.CONCAT(Table162[[#This Row],[Veg Category]],"/",Table162[[#This Row],[Flower Category]])</f>
        <v>yellow/yellow</v>
      </c>
    </row>
    <row r="63" spans="1:4" x14ac:dyDescent="0.25">
      <c r="A63" s="6" t="s">
        <v>128</v>
      </c>
      <c r="B63" s="6" t="s">
        <v>84</v>
      </c>
      <c r="C63" s="6" t="s">
        <v>86</v>
      </c>
      <c r="D63" t="str">
        <f>_xlfn.CONCAT(Table162[[#This Row],[Veg Category]],"/",Table162[[#This Row],[Flower Category]])</f>
        <v>forest/green</v>
      </c>
    </row>
    <row r="64" spans="1:4" x14ac:dyDescent="0.25">
      <c r="A64" s="6" t="s">
        <v>143</v>
      </c>
      <c r="B64" s="6" t="s">
        <v>87</v>
      </c>
      <c r="C64" s="6" t="s">
        <v>86</v>
      </c>
      <c r="D64" t="str">
        <f>_xlfn.CONCAT(Table162[[#This Row],[Veg Category]],"/",Table162[[#This Row],[Flower Category]])</f>
        <v>red/green</v>
      </c>
    </row>
    <row r="65" spans="1:4" x14ac:dyDescent="0.25">
      <c r="A65" s="6" t="s">
        <v>25</v>
      </c>
      <c r="B65" s="6" t="s">
        <v>84</v>
      </c>
      <c r="C65" s="6" t="s">
        <v>84</v>
      </c>
      <c r="D65" t="str">
        <f>_xlfn.CONCAT(Table162[[#This Row],[Veg Category]],"/",Table162[[#This Row],[Flower Category]])</f>
        <v>forest/forest</v>
      </c>
    </row>
    <row r="66" spans="1:4" x14ac:dyDescent="0.25">
      <c r="A66" s="6" t="s">
        <v>24</v>
      </c>
      <c r="B66" s="6" t="s">
        <v>87</v>
      </c>
      <c r="C66" s="6" t="s">
        <v>87</v>
      </c>
      <c r="D66" t="str">
        <f>_xlfn.CONCAT(Table162[[#This Row],[Veg Category]],"/",Table162[[#This Row],[Flower Category]])</f>
        <v>red/red</v>
      </c>
    </row>
    <row r="67" spans="1:4" x14ac:dyDescent="0.25">
      <c r="A67" s="6" t="s">
        <v>109</v>
      </c>
      <c r="B67" s="6" t="s">
        <v>87</v>
      </c>
      <c r="C67" s="6" t="s">
        <v>87</v>
      </c>
      <c r="D67" t="str">
        <f>_xlfn.CONCAT(Table162[[#This Row],[Veg Category]],"/",Table162[[#This Row],[Flower Category]])</f>
        <v>red/red</v>
      </c>
    </row>
    <row r="68" spans="1:4" x14ac:dyDescent="0.25">
      <c r="A68" s="6" t="s">
        <v>110</v>
      </c>
      <c r="B68" s="6" t="s">
        <v>87</v>
      </c>
      <c r="C68" s="6" t="s">
        <v>87</v>
      </c>
      <c r="D68" t="str">
        <f>_xlfn.CONCAT(Table162[[#This Row],[Veg Category]],"/",Table162[[#This Row],[Flower Category]])</f>
        <v>red/red</v>
      </c>
    </row>
    <row r="69" spans="1:4" x14ac:dyDescent="0.25">
      <c r="A69" s="6" t="s">
        <v>111</v>
      </c>
      <c r="B69" s="6" t="s">
        <v>88</v>
      </c>
      <c r="C69" s="6" t="s">
        <v>87</v>
      </c>
      <c r="D69" t="str">
        <f>_xlfn.CONCAT(Table162[[#This Row],[Veg Category]],"/",Table162[[#This Row],[Flower Category]])</f>
        <v>yellow/red</v>
      </c>
    </row>
    <row r="70" spans="1:4" x14ac:dyDescent="0.25">
      <c r="A70" s="6" t="s">
        <v>144</v>
      </c>
      <c r="B70" s="6" t="s">
        <v>88</v>
      </c>
      <c r="C70" s="6" t="s">
        <v>88</v>
      </c>
      <c r="D70" t="str">
        <f>_xlfn.CONCAT(Table162[[#This Row],[Veg Category]],"/",Table162[[#This Row],[Flower Category]])</f>
        <v>yellow/yellow</v>
      </c>
    </row>
    <row r="71" spans="1:4" x14ac:dyDescent="0.25">
      <c r="A71" s="6" t="s">
        <v>112</v>
      </c>
      <c r="B71" s="6" t="s">
        <v>84</v>
      </c>
      <c r="C71" s="6" t="s">
        <v>88</v>
      </c>
      <c r="D71" t="str">
        <f>_xlfn.CONCAT(Table162[[#This Row],[Veg Category]],"/",Table162[[#This Row],[Flower Category]])</f>
        <v>forest/yellow</v>
      </c>
    </row>
    <row r="72" spans="1:4" x14ac:dyDescent="0.25">
      <c r="A72" s="6" t="s">
        <v>23</v>
      </c>
      <c r="B72" s="6" t="s">
        <v>85</v>
      </c>
      <c r="C72" s="6" t="s">
        <v>85</v>
      </c>
      <c r="D72" t="str">
        <f>_xlfn.CONCAT(Table162[[#This Row],[Veg Category]],"/",Table162[[#This Row],[Flower Category]])</f>
        <v>blue/blue</v>
      </c>
    </row>
    <row r="73" spans="1:4" x14ac:dyDescent="0.25">
      <c r="A73" s="6" t="s">
        <v>113</v>
      </c>
      <c r="B73" s="6" t="s">
        <v>87</v>
      </c>
      <c r="C73" s="6" t="s">
        <v>87</v>
      </c>
      <c r="D73" t="str">
        <f>_xlfn.CONCAT(Table162[[#This Row],[Veg Category]],"/",Table162[[#This Row],[Flower Category]])</f>
        <v>red/red</v>
      </c>
    </row>
    <row r="74" spans="1:4" x14ac:dyDescent="0.25">
      <c r="A74" s="6" t="s">
        <v>114</v>
      </c>
      <c r="B74" s="6" t="s">
        <v>87</v>
      </c>
      <c r="C74" s="6" t="s">
        <v>87</v>
      </c>
      <c r="D74" t="str">
        <f>_xlfn.CONCAT(Table162[[#This Row],[Veg Category]],"/",Table162[[#This Row],[Flower Category]])</f>
        <v>red/red</v>
      </c>
    </row>
    <row r="75" spans="1:4" x14ac:dyDescent="0.25">
      <c r="A75" s="6" t="s">
        <v>22</v>
      </c>
      <c r="B75" s="6" t="s">
        <v>88</v>
      </c>
      <c r="C75" s="6" t="s">
        <v>84</v>
      </c>
      <c r="D75" t="str">
        <f>_xlfn.CONCAT(Table162[[#This Row],[Veg Category]],"/",Table162[[#This Row],[Flower Category]])</f>
        <v>yellow/forest</v>
      </c>
    </row>
    <row r="76" spans="1:4" x14ac:dyDescent="0.25">
      <c r="A76" s="6" t="s">
        <v>21</v>
      </c>
      <c r="B76" s="6" t="s">
        <v>87</v>
      </c>
      <c r="C76" s="6" t="s">
        <v>87</v>
      </c>
      <c r="D76" t="str">
        <f>_xlfn.CONCAT(Table162[[#This Row],[Veg Category]],"/",Table162[[#This Row],[Flower Category]])</f>
        <v>red/red</v>
      </c>
    </row>
    <row r="77" spans="1:4" x14ac:dyDescent="0.25">
      <c r="A77" s="6" t="s">
        <v>20</v>
      </c>
      <c r="B77" s="6" t="s">
        <v>87</v>
      </c>
      <c r="C77" s="6" t="s">
        <v>87</v>
      </c>
      <c r="D77" t="str">
        <f>_xlfn.CONCAT(Table162[[#This Row],[Veg Category]],"/",Table162[[#This Row],[Flower Category]])</f>
        <v>red/red</v>
      </c>
    </row>
    <row r="78" spans="1:4" x14ac:dyDescent="0.25">
      <c r="A78" s="6" t="s">
        <v>115</v>
      </c>
      <c r="B78" s="6" t="s">
        <v>87</v>
      </c>
      <c r="C78" s="6" t="s">
        <v>87</v>
      </c>
      <c r="D78" t="str">
        <f>_xlfn.CONCAT(Table162[[#This Row],[Veg Category]],"/",Table162[[#This Row],[Flower Category]])</f>
        <v>red/red</v>
      </c>
    </row>
    <row r="79" spans="1:4" x14ac:dyDescent="0.25">
      <c r="A79" s="6" t="s">
        <v>129</v>
      </c>
      <c r="B79" s="6" t="s">
        <v>87</v>
      </c>
      <c r="C79" s="6" t="s">
        <v>88</v>
      </c>
      <c r="D79" t="str">
        <f>_xlfn.CONCAT(Table162[[#This Row],[Veg Category]],"/",Table162[[#This Row],[Flower Category]])</f>
        <v>red/yellow</v>
      </c>
    </row>
    <row r="80" spans="1:4" x14ac:dyDescent="0.25">
      <c r="A80" s="6" t="s">
        <v>130</v>
      </c>
      <c r="B80" s="6" t="s">
        <v>88</v>
      </c>
      <c r="C80" s="6" t="s">
        <v>88</v>
      </c>
      <c r="D80" t="str">
        <f>_xlfn.CONCAT(Table162[[#This Row],[Veg Category]],"/",Table162[[#This Row],[Flower Category]])</f>
        <v>yellow/yellow</v>
      </c>
    </row>
    <row r="81" spans="1:4" x14ac:dyDescent="0.25">
      <c r="A81" s="6" t="s">
        <v>148</v>
      </c>
      <c r="B81" s="6" t="s">
        <v>84</v>
      </c>
      <c r="C81" s="6" t="s">
        <v>86</v>
      </c>
      <c r="D81" t="str">
        <f>_xlfn.CONCAT(Table162[[#This Row],[Veg Category]],"/",Table162[[#This Row],[Flower Category]])</f>
        <v>forest/green</v>
      </c>
    </row>
    <row r="82" spans="1:4" x14ac:dyDescent="0.25">
      <c r="A82" s="6" t="s">
        <v>116</v>
      </c>
      <c r="B82" s="6" t="s">
        <v>85</v>
      </c>
      <c r="C82" s="6" t="s">
        <v>86</v>
      </c>
      <c r="D82" t="str">
        <f>_xlfn.CONCAT(Table162[[#This Row],[Veg Category]],"/",Table162[[#This Row],[Flower Category]])</f>
        <v>blue/green</v>
      </c>
    </row>
    <row r="83" spans="1:4" x14ac:dyDescent="0.25">
      <c r="A83" s="6" t="s">
        <v>174</v>
      </c>
      <c r="B83" s="6" t="s">
        <v>88</v>
      </c>
      <c r="C83" s="6" t="s">
        <v>87</v>
      </c>
      <c r="D83" t="str">
        <f>_xlfn.CONCAT(Table162[[#This Row],[Veg Category]],"/",Table162[[#This Row],[Flower Category]])</f>
        <v>yellow/red</v>
      </c>
    </row>
    <row r="84" spans="1:4" x14ac:dyDescent="0.25">
      <c r="A84" s="6" t="s">
        <v>117</v>
      </c>
      <c r="B84" s="6" t="s">
        <v>88</v>
      </c>
      <c r="C84" s="6" t="s">
        <v>84</v>
      </c>
      <c r="D84" t="str">
        <f>_xlfn.CONCAT(Table162[[#This Row],[Veg Category]],"/",Table162[[#This Row],[Flower Category]])</f>
        <v>yellow/forest</v>
      </c>
    </row>
    <row r="85" spans="1:4" x14ac:dyDescent="0.25">
      <c r="A85" s="6" t="s">
        <v>175</v>
      </c>
      <c r="B85" s="6" t="s">
        <v>88</v>
      </c>
      <c r="C85" s="6" t="s">
        <v>88</v>
      </c>
      <c r="D85" t="str">
        <f>_xlfn.CONCAT(Table162[[#This Row],[Veg Category]],"/",Table162[[#This Row],[Flower Category]])</f>
        <v>yellow/yellow</v>
      </c>
    </row>
    <row r="86" spans="1:4" x14ac:dyDescent="0.25">
      <c r="A86" s="6" t="s">
        <v>19</v>
      </c>
      <c r="B86" s="6" t="s">
        <v>85</v>
      </c>
      <c r="C86" s="6" t="s">
        <v>85</v>
      </c>
      <c r="D86" t="str">
        <f>_xlfn.CONCAT(Table162[[#This Row],[Veg Category]],"/",Table162[[#This Row],[Flower Category]])</f>
        <v>blue/blue</v>
      </c>
    </row>
    <row r="87" spans="1:4" x14ac:dyDescent="0.25">
      <c r="A87" s="6" t="s">
        <v>154</v>
      </c>
      <c r="B87" s="6" t="s">
        <v>86</v>
      </c>
      <c r="C87" s="6" t="s">
        <v>85</v>
      </c>
      <c r="D87" t="str">
        <f>_xlfn.CONCAT(Table162[[#This Row],[Veg Category]],"/",Table162[[#This Row],[Flower Category]])</f>
        <v>green/blue</v>
      </c>
    </row>
    <row r="88" spans="1:4" x14ac:dyDescent="0.25">
      <c r="A88" s="6" t="s">
        <v>145</v>
      </c>
      <c r="B88" s="6" t="s">
        <v>87</v>
      </c>
      <c r="C88" s="6" t="s">
        <v>88</v>
      </c>
      <c r="D88" t="str">
        <f>_xlfn.CONCAT(Table162[[#This Row],[Veg Category]],"/",Table162[[#This Row],[Flower Category]])</f>
        <v>red/yellow</v>
      </c>
    </row>
    <row r="89" spans="1:4" x14ac:dyDescent="0.25">
      <c r="A89" s="6" t="s">
        <v>131</v>
      </c>
      <c r="B89" s="6" t="s">
        <v>84</v>
      </c>
      <c r="C89" s="6" t="s">
        <v>86</v>
      </c>
      <c r="D89" t="str">
        <f>_xlfn.CONCAT(Table162[[#This Row],[Veg Category]],"/",Table162[[#This Row],[Flower Category]])</f>
        <v>forest/green</v>
      </c>
    </row>
    <row r="90" spans="1:4" x14ac:dyDescent="0.25">
      <c r="A90" s="6" t="s">
        <v>18</v>
      </c>
      <c r="B90" s="6" t="s">
        <v>88</v>
      </c>
      <c r="C90" s="6" t="s">
        <v>87</v>
      </c>
      <c r="D90" t="str">
        <f>_xlfn.CONCAT(Table162[[#This Row],[Veg Category]],"/",Table162[[#This Row],[Flower Category]])</f>
        <v>yellow/red</v>
      </c>
    </row>
    <row r="91" spans="1:4" x14ac:dyDescent="0.25">
      <c r="A91" s="6" t="s">
        <v>118</v>
      </c>
      <c r="B91" s="6" t="s">
        <v>87</v>
      </c>
      <c r="C91" s="6" t="s">
        <v>87</v>
      </c>
      <c r="D91" t="str">
        <f>_xlfn.CONCAT(Table162[[#This Row],[Veg Category]],"/",Table162[[#This Row],[Flower Category]])</f>
        <v>red/red</v>
      </c>
    </row>
    <row r="92" spans="1:4" x14ac:dyDescent="0.25">
      <c r="A92" s="6" t="s">
        <v>17</v>
      </c>
      <c r="B92" s="6" t="s">
        <v>87</v>
      </c>
      <c r="C92" s="6" t="e">
        <v>#N/A</v>
      </c>
      <c r="D92" t="e">
        <f>_xlfn.CONCAT(Table162[[#This Row],[Veg Category]],"/",Table162[[#This Row],[Flower Category]])</f>
        <v>#N/A</v>
      </c>
    </row>
    <row r="93" spans="1:4" x14ac:dyDescent="0.25">
      <c r="A93" s="6" t="s">
        <v>16</v>
      </c>
      <c r="B93" s="6" t="s">
        <v>87</v>
      </c>
      <c r="C93" s="6" t="s">
        <v>87</v>
      </c>
      <c r="D93" t="str">
        <f>_xlfn.CONCAT(Table162[[#This Row],[Veg Category]],"/",Table162[[#This Row],[Flower Category]])</f>
        <v>red/red</v>
      </c>
    </row>
    <row r="94" spans="1:4" x14ac:dyDescent="0.25">
      <c r="A94" s="6" t="s">
        <v>13</v>
      </c>
      <c r="B94" s="6" t="s">
        <v>84</v>
      </c>
      <c r="C94" s="6" t="s">
        <v>87</v>
      </c>
      <c r="D94" t="str">
        <f>_xlfn.CONCAT(Table162[[#This Row],[Veg Category]],"/",Table162[[#This Row],[Flower Category]])</f>
        <v>forest/red</v>
      </c>
    </row>
    <row r="95" spans="1:4" x14ac:dyDescent="0.25">
      <c r="A95" s="6" t="s">
        <v>12</v>
      </c>
      <c r="B95" s="6" t="s">
        <v>86</v>
      </c>
      <c r="C95" s="6" t="s">
        <v>84</v>
      </c>
      <c r="D95" t="str">
        <f>_xlfn.CONCAT(Table162[[#This Row],[Veg Category]],"/",Table162[[#This Row],[Flower Category]])</f>
        <v>green/forest</v>
      </c>
    </row>
    <row r="96" spans="1:4" x14ac:dyDescent="0.25">
      <c r="A96" s="6" t="s">
        <v>11</v>
      </c>
      <c r="B96" s="6" t="s">
        <v>87</v>
      </c>
      <c r="C96" s="6" t="s">
        <v>86</v>
      </c>
      <c r="D96" t="str">
        <f>_xlfn.CONCAT(Table162[[#This Row],[Veg Category]],"/",Table162[[#This Row],[Flower Category]])</f>
        <v>red/green</v>
      </c>
    </row>
    <row r="97" spans="1:4" x14ac:dyDescent="0.25">
      <c r="A97" s="6" t="s">
        <v>10</v>
      </c>
      <c r="B97" s="6" t="s">
        <v>87</v>
      </c>
      <c r="C97" s="6" t="s">
        <v>88</v>
      </c>
      <c r="D97" t="str">
        <f>_xlfn.CONCAT(Table162[[#This Row],[Veg Category]],"/",Table162[[#This Row],[Flower Category]])</f>
        <v>red/yellow</v>
      </c>
    </row>
    <row r="98" spans="1:4" x14ac:dyDescent="0.25">
      <c r="A98" s="6" t="s">
        <v>9</v>
      </c>
      <c r="B98" s="6" t="s">
        <v>84</v>
      </c>
      <c r="C98" s="6" t="s">
        <v>86</v>
      </c>
      <c r="D98" t="str">
        <f>_xlfn.CONCAT(Table162[[#This Row],[Veg Category]],"/",Table162[[#This Row],[Flower Category]])</f>
        <v>forest/green</v>
      </c>
    </row>
    <row r="99" spans="1:4" x14ac:dyDescent="0.25">
      <c r="A99" s="6" t="s">
        <v>157</v>
      </c>
      <c r="B99" s="6" t="s">
        <v>87</v>
      </c>
      <c r="C99" s="6" t="s">
        <v>87</v>
      </c>
      <c r="D99" t="str">
        <f>_xlfn.CONCAT(Table162[[#This Row],[Veg Category]],"/",Table162[[#This Row],[Flower Category]])</f>
        <v>red/red</v>
      </c>
    </row>
    <row r="100" spans="1:4" x14ac:dyDescent="0.25">
      <c r="A100" s="6" t="s">
        <v>8</v>
      </c>
      <c r="B100" s="6" t="s">
        <v>87</v>
      </c>
      <c r="C100" s="6" t="s">
        <v>86</v>
      </c>
      <c r="D100" t="str">
        <f>_xlfn.CONCAT(Table162[[#This Row],[Veg Category]],"/",Table162[[#This Row],[Flower Category]])</f>
        <v>red/green</v>
      </c>
    </row>
    <row r="101" spans="1:4" x14ac:dyDescent="0.25">
      <c r="A101" s="6" t="s">
        <v>7</v>
      </c>
      <c r="B101" s="6" t="s">
        <v>86</v>
      </c>
      <c r="C101" s="6" t="s">
        <v>88</v>
      </c>
      <c r="D101" t="str">
        <f>_xlfn.CONCAT(Table162[[#This Row],[Veg Category]],"/",Table162[[#This Row],[Flower Category]])</f>
        <v>green/yellow</v>
      </c>
    </row>
    <row r="102" spans="1:4" x14ac:dyDescent="0.25">
      <c r="A102" s="6" t="s">
        <v>132</v>
      </c>
      <c r="B102" s="6" t="s">
        <v>87</v>
      </c>
      <c r="C102" s="6" t="s">
        <v>87</v>
      </c>
      <c r="D102" t="str">
        <f>_xlfn.CONCAT(Table162[[#This Row],[Veg Category]],"/",Table162[[#This Row],[Flower Category]])</f>
        <v>red/red</v>
      </c>
    </row>
    <row r="103" spans="1:4" x14ac:dyDescent="0.25">
      <c r="A103" s="6" t="s">
        <v>133</v>
      </c>
      <c r="B103" s="6" t="s">
        <v>88</v>
      </c>
      <c r="C103" s="6" t="s">
        <v>88</v>
      </c>
      <c r="D103" t="str">
        <f>_xlfn.CONCAT(Table162[[#This Row],[Veg Category]],"/",Table162[[#This Row],[Flower Category]])</f>
        <v>yellow/yellow</v>
      </c>
    </row>
    <row r="104" spans="1:4" x14ac:dyDescent="0.25">
      <c r="A104" s="6" t="s">
        <v>134</v>
      </c>
      <c r="B104" s="6" t="s">
        <v>86</v>
      </c>
      <c r="C104" s="6" t="s">
        <v>87</v>
      </c>
      <c r="D104" t="str">
        <f>_xlfn.CONCAT(Table162[[#This Row],[Veg Category]],"/",Table162[[#This Row],[Flower Category]])</f>
        <v>green/red</v>
      </c>
    </row>
    <row r="105" spans="1:4" x14ac:dyDescent="0.25">
      <c r="A105" s="6" t="s">
        <v>6</v>
      </c>
      <c r="B105" s="6" t="s">
        <v>88</v>
      </c>
      <c r="C105" s="6" t="s">
        <v>87</v>
      </c>
      <c r="D105" t="str">
        <f>_xlfn.CONCAT(Table162[[#This Row],[Veg Category]],"/",Table162[[#This Row],[Flower Category]])</f>
        <v>yellow/red</v>
      </c>
    </row>
    <row r="106" spans="1:4" x14ac:dyDescent="0.25">
      <c r="A106" s="6" t="s">
        <v>5</v>
      </c>
      <c r="B106" s="6" t="s">
        <v>88</v>
      </c>
      <c r="C106" s="6" t="s">
        <v>86</v>
      </c>
      <c r="D106" t="str">
        <f>_xlfn.CONCAT(Table162[[#This Row],[Veg Category]],"/",Table162[[#This Row],[Flower Category]])</f>
        <v>yellow/green</v>
      </c>
    </row>
    <row r="107" spans="1:4" x14ac:dyDescent="0.25">
      <c r="A107" s="6" t="s">
        <v>149</v>
      </c>
      <c r="B107" s="6" t="s">
        <v>85</v>
      </c>
      <c r="C107" s="6" t="s">
        <v>86</v>
      </c>
      <c r="D107" t="str">
        <f>_xlfn.CONCAT(Table162[[#This Row],[Veg Category]],"/",Table162[[#This Row],[Flower Category]])</f>
        <v>blue/green</v>
      </c>
    </row>
    <row r="108" spans="1:4" x14ac:dyDescent="0.25">
      <c r="A108" s="6" t="s">
        <v>4</v>
      </c>
      <c r="B108" s="6" t="s">
        <v>85</v>
      </c>
      <c r="C108" s="6" t="s">
        <v>85</v>
      </c>
      <c r="D108" t="str">
        <f>_xlfn.CONCAT(Table162[[#This Row],[Veg Category]],"/",Table162[[#This Row],[Flower Category]])</f>
        <v>blue/blue</v>
      </c>
    </row>
    <row r="109" spans="1:4" x14ac:dyDescent="0.25">
      <c r="A109" s="6" t="s">
        <v>155</v>
      </c>
      <c r="B109" s="6" t="s">
        <v>85</v>
      </c>
      <c r="C109" s="6" t="s">
        <v>85</v>
      </c>
      <c r="D109" t="str">
        <f>_xlfn.CONCAT(Table162[[#This Row],[Veg Category]],"/",Table162[[#This Row],[Flower Category]])</f>
        <v>blue/blue</v>
      </c>
    </row>
    <row r="110" spans="1:4" x14ac:dyDescent="0.25">
      <c r="A110" s="6" t="s">
        <v>176</v>
      </c>
      <c r="B110" s="6" t="s">
        <v>84</v>
      </c>
      <c r="C110" s="6" t="s">
        <v>88</v>
      </c>
      <c r="D110" t="str">
        <f>_xlfn.CONCAT(Table162[[#This Row],[Veg Category]],"/",Table162[[#This Row],[Flower Category]])</f>
        <v>forest/yellow</v>
      </c>
    </row>
    <row r="111" spans="1:4" x14ac:dyDescent="0.25">
      <c r="A111" s="6" t="s">
        <v>136</v>
      </c>
      <c r="B111" s="6" t="s">
        <v>87</v>
      </c>
      <c r="C111" s="6" t="s">
        <v>87</v>
      </c>
      <c r="D111" t="str">
        <f>_xlfn.CONCAT(Table162[[#This Row],[Veg Category]],"/",Table162[[#This Row],[Flower Category]])</f>
        <v>red/red</v>
      </c>
    </row>
    <row r="112" spans="1:4" x14ac:dyDescent="0.25">
      <c r="A112" s="6" t="s">
        <v>177</v>
      </c>
      <c r="B112" s="6" t="s">
        <v>86</v>
      </c>
      <c r="C112" s="6" t="s">
        <v>87</v>
      </c>
      <c r="D112" t="str">
        <f>_xlfn.CONCAT(Table162[[#This Row],[Veg Category]],"/",Table162[[#This Row],[Flower Category]])</f>
        <v>green/red</v>
      </c>
    </row>
    <row r="113" spans="1:4" x14ac:dyDescent="0.25">
      <c r="A113" s="6" t="s">
        <v>137</v>
      </c>
      <c r="B113" s="6" t="s">
        <v>86</v>
      </c>
      <c r="C113" s="6" t="s">
        <v>86</v>
      </c>
      <c r="D113" t="str">
        <f>_xlfn.CONCAT(Table162[[#This Row],[Veg Category]],"/",Table162[[#This Row],[Flower Category]])</f>
        <v>green/green</v>
      </c>
    </row>
    <row r="114" spans="1:4" x14ac:dyDescent="0.25">
      <c r="A114" s="6" t="s">
        <v>3</v>
      </c>
      <c r="B114" s="6" t="s">
        <v>88</v>
      </c>
      <c r="C114" s="6" t="s">
        <v>86</v>
      </c>
      <c r="D114" t="str">
        <f>_xlfn.CONCAT(Table162[[#This Row],[Veg Category]],"/",Table162[[#This Row],[Flower Category]])</f>
        <v>yellow/green</v>
      </c>
    </row>
    <row r="115" spans="1:4" x14ac:dyDescent="0.25">
      <c r="A115" s="6" t="s">
        <v>2</v>
      </c>
      <c r="B115" s="6" t="s">
        <v>88</v>
      </c>
      <c r="C115" s="6" t="s">
        <v>88</v>
      </c>
      <c r="D115" t="str">
        <f>_xlfn.CONCAT(Table162[[#This Row],[Veg Category]],"/",Table162[[#This Row],[Flower Category]])</f>
        <v>yellow/yellow</v>
      </c>
    </row>
    <row r="116" spans="1:4" x14ac:dyDescent="0.25">
      <c r="A116" s="6" t="s">
        <v>1</v>
      </c>
      <c r="B116" s="6" t="s">
        <v>85</v>
      </c>
      <c r="C116" s="6" t="s">
        <v>84</v>
      </c>
      <c r="D116" t="str">
        <f>_xlfn.CONCAT(Table162[[#This Row],[Veg Category]],"/",Table162[[#This Row],[Flower Category]])</f>
        <v>blue/forest</v>
      </c>
    </row>
    <row r="117" spans="1:4" x14ac:dyDescent="0.25">
      <c r="A117" s="6" t="s">
        <v>0</v>
      </c>
      <c r="B117" s="6" t="s">
        <v>85</v>
      </c>
      <c r="C117" s="6" t="s">
        <v>88</v>
      </c>
      <c r="D117" t="str">
        <f>_xlfn.CONCAT(Table162[[#This Row],[Veg Category]],"/",Table162[[#This Row],[Flower Category]])</f>
        <v>blue/yellow</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8C36E-3D09-4DEC-BC9B-53E349DC7505}">
  <sheetPr codeName="Sheet5"/>
  <dimension ref="A1:AB231"/>
  <sheetViews>
    <sheetView topLeftCell="A122" zoomScale="76" workbookViewId="0">
      <selection activeCell="N19" sqref="N19"/>
    </sheetView>
  </sheetViews>
  <sheetFormatPr defaultRowHeight="15" x14ac:dyDescent="0.25"/>
  <cols>
    <col min="4" max="4" width="10.5703125" customWidth="1"/>
    <col min="5" max="5" width="10.7109375" customWidth="1"/>
    <col min="6" max="6" width="10.140625" customWidth="1"/>
    <col min="11" max="11" width="13.140625" bestFit="1" customWidth="1"/>
    <col min="12" max="12" width="16.28515625" bestFit="1" customWidth="1"/>
    <col min="13" max="13" width="14.7109375" bestFit="1" customWidth="1"/>
    <col min="14" max="14" width="15.7109375" bestFit="1" customWidth="1"/>
    <col min="15" max="15" width="14.7109375" bestFit="1" customWidth="1"/>
    <col min="16" max="16" width="15.7109375" bestFit="1" customWidth="1"/>
    <col min="17" max="17" width="14.7109375" bestFit="1" customWidth="1"/>
    <col min="18" max="18" width="15.7109375" bestFit="1" customWidth="1"/>
    <col min="19" max="19" width="14.7109375" bestFit="1" customWidth="1"/>
    <col min="20" max="20" width="15.7109375" bestFit="1" customWidth="1"/>
    <col min="21" max="21" width="14.7109375" bestFit="1" customWidth="1"/>
    <col min="22" max="22" width="15.7109375" bestFit="1" customWidth="1"/>
    <col min="23" max="23" width="14.7109375" bestFit="1" customWidth="1"/>
    <col min="24" max="24" width="15.7109375" bestFit="1" customWidth="1"/>
    <col min="25" max="25" width="14.7109375" bestFit="1" customWidth="1"/>
    <col min="26" max="26" width="20.7109375" bestFit="1" customWidth="1"/>
    <col min="27" max="27" width="19.85546875" bestFit="1" customWidth="1"/>
  </cols>
  <sheetData>
    <row r="1" spans="1:28" x14ac:dyDescent="0.25">
      <c r="A1" t="s">
        <v>119</v>
      </c>
      <c r="B1" t="s">
        <v>92</v>
      </c>
      <c r="C1" t="s">
        <v>93</v>
      </c>
      <c r="D1" t="s">
        <v>96</v>
      </c>
      <c r="E1" t="s">
        <v>94</v>
      </c>
      <c r="F1" t="s">
        <v>97</v>
      </c>
      <c r="G1" t="s">
        <v>95</v>
      </c>
      <c r="H1" t="s">
        <v>162</v>
      </c>
      <c r="K1" s="3" t="s">
        <v>162</v>
      </c>
      <c r="L1" t="s">
        <v>161</v>
      </c>
    </row>
    <row r="2" spans="1:28" x14ac:dyDescent="0.25">
      <c r="A2" t="s">
        <v>120</v>
      </c>
      <c r="B2" t="s">
        <v>115</v>
      </c>
      <c r="C2">
        <v>14</v>
      </c>
      <c r="E2">
        <v>17.75</v>
      </c>
      <c r="G2">
        <f>AvgV2F[[#This Row],[Flower 5]]/AvgV2F[[#This Row],[Veg 5]]</f>
        <v>1.2678571428571428</v>
      </c>
      <c r="H2" t="e">
        <f>_xlfn.IFNA(VLOOKUP(AvgV2F[[#This Row],[Pheno]],#REF!,2,FALSE),"DEAD")</f>
        <v>#REF!</v>
      </c>
    </row>
    <row r="3" spans="1:28" x14ac:dyDescent="0.25">
      <c r="A3" t="s">
        <v>120</v>
      </c>
      <c r="B3" t="s">
        <v>20</v>
      </c>
      <c r="C3">
        <v>14.75</v>
      </c>
      <c r="E3">
        <v>20.25</v>
      </c>
      <c r="G3">
        <f>AvgV2F[[#This Row],[Flower 5]]/AvgV2F[[#This Row],[Veg 5]]</f>
        <v>1.3728813559322033</v>
      </c>
      <c r="H3" t="e">
        <f>_xlfn.IFNA(VLOOKUP(AvgV2F[[#This Row],[Pheno]],#REF!,2,FALSE),"DEAD")</f>
        <v>#REF!</v>
      </c>
      <c r="L3" s="3" t="s">
        <v>163</v>
      </c>
    </row>
    <row r="4" spans="1:28" x14ac:dyDescent="0.25">
      <c r="A4" t="s">
        <v>120</v>
      </c>
      <c r="B4" t="s">
        <v>24</v>
      </c>
      <c r="C4">
        <v>12</v>
      </c>
      <c r="E4">
        <v>17</v>
      </c>
      <c r="G4">
        <f>AvgV2F[[#This Row],[Flower 5]]/AvgV2F[[#This Row],[Veg 5]]</f>
        <v>1.4166666666666667</v>
      </c>
      <c r="H4" t="e">
        <f>_xlfn.IFNA(VLOOKUP(AvgV2F[[#This Row],[Pheno]],#REF!,2,FALSE),"DEAD")</f>
        <v>#REF!</v>
      </c>
      <c r="L4" t="s">
        <v>120</v>
      </c>
      <c r="N4" t="s">
        <v>121</v>
      </c>
      <c r="P4" t="s">
        <v>138</v>
      </c>
      <c r="R4" t="s">
        <v>139</v>
      </c>
      <c r="T4" t="s">
        <v>150</v>
      </c>
      <c r="V4" t="s">
        <v>151</v>
      </c>
      <c r="X4" t="s">
        <v>156</v>
      </c>
      <c r="Z4" t="s">
        <v>167</v>
      </c>
      <c r="AA4" t="s">
        <v>168</v>
      </c>
    </row>
    <row r="5" spans="1:28" x14ac:dyDescent="0.25">
      <c r="A5" t="s">
        <v>120</v>
      </c>
      <c r="B5" t="s">
        <v>55</v>
      </c>
      <c r="C5">
        <v>15.7</v>
      </c>
      <c r="E5">
        <v>22.4</v>
      </c>
      <c r="G5">
        <f>AvgV2F[[#This Row],[Flower 5]]/AvgV2F[[#This Row],[Veg 5]]</f>
        <v>1.4267515923566878</v>
      </c>
      <c r="H5" t="e">
        <f>_xlfn.IFNA(VLOOKUP(AvgV2F[[#This Row],[Pheno]],#REF!,2,FALSE),"DEAD")</f>
        <v>#REF!</v>
      </c>
      <c r="K5" s="3" t="s">
        <v>158</v>
      </c>
      <c r="L5" t="s">
        <v>160</v>
      </c>
      <c r="M5" t="s">
        <v>169</v>
      </c>
      <c r="N5" t="s">
        <v>160</v>
      </c>
      <c r="O5" t="s">
        <v>169</v>
      </c>
      <c r="P5" t="s">
        <v>160</v>
      </c>
      <c r="Q5" t="s">
        <v>169</v>
      </c>
      <c r="R5" t="s">
        <v>160</v>
      </c>
      <c r="S5" t="s">
        <v>169</v>
      </c>
      <c r="T5" t="s">
        <v>160</v>
      </c>
      <c r="U5" t="s">
        <v>169</v>
      </c>
      <c r="V5" t="s">
        <v>160</v>
      </c>
      <c r="W5" t="s">
        <v>169</v>
      </c>
      <c r="X5" t="s">
        <v>160</v>
      </c>
      <c r="Y5" t="s">
        <v>169</v>
      </c>
    </row>
    <row r="6" spans="1:28" x14ac:dyDescent="0.25">
      <c r="A6" t="s">
        <v>120</v>
      </c>
      <c r="B6" t="s">
        <v>109</v>
      </c>
      <c r="C6">
        <v>12</v>
      </c>
      <c r="E6">
        <v>18</v>
      </c>
      <c r="G6">
        <f>AvgV2F[[#This Row],[Flower 5]]/AvgV2F[[#This Row],[Veg 5]]</f>
        <v>1.5</v>
      </c>
      <c r="H6" t="e">
        <f>_xlfn.IFNA(VLOOKUP(AvgV2F[[#This Row],[Pheno]],#REF!,2,FALSE),"DEAD")</f>
        <v>#REF!</v>
      </c>
      <c r="K6" s="4" t="s">
        <v>63</v>
      </c>
      <c r="L6" s="5">
        <v>1.8734177215189873</v>
      </c>
      <c r="M6" s="5" t="e">
        <v>#DIV/0!</v>
      </c>
      <c r="N6" s="5"/>
      <c r="O6" s="5"/>
      <c r="P6" s="5"/>
      <c r="Q6" s="5"/>
      <c r="R6" s="5"/>
      <c r="S6" s="5"/>
      <c r="T6" s="5">
        <v>2.3711340206185567</v>
      </c>
      <c r="U6" s="5" t="e">
        <v>#DIV/0!</v>
      </c>
      <c r="V6" s="5">
        <v>2.5</v>
      </c>
      <c r="W6" s="5" t="e">
        <v>#DIV/0!</v>
      </c>
      <c r="X6" s="5"/>
      <c r="Y6" s="5"/>
      <c r="Z6" s="5">
        <v>2.2481839140458479</v>
      </c>
      <c r="AA6" s="5">
        <v>0.33089104620145821</v>
      </c>
      <c r="AB6" s="7">
        <f>AA6/GETPIVOTDATA("Average of Ratio",$K$3,"Pheno","92CK082")</f>
        <v>0.14718148463485103</v>
      </c>
    </row>
    <row r="7" spans="1:28" x14ac:dyDescent="0.25">
      <c r="A7" t="s">
        <v>120</v>
      </c>
      <c r="B7" t="s">
        <v>18</v>
      </c>
      <c r="C7">
        <v>19.166666666666668</v>
      </c>
      <c r="E7">
        <v>29</v>
      </c>
      <c r="G7">
        <f>AvgV2F[[#This Row],[Flower 5]]/AvgV2F[[#This Row],[Veg 5]]</f>
        <v>1.5130434782608695</v>
      </c>
      <c r="H7" t="e">
        <f>_xlfn.IFNA(VLOOKUP(AvgV2F[[#This Row],[Pheno]],#REF!,2,FALSE),"DEAD")</f>
        <v>#REF!</v>
      </c>
      <c r="K7" s="4" t="s">
        <v>62</v>
      </c>
      <c r="L7" s="5"/>
      <c r="M7" s="5"/>
      <c r="N7" s="5"/>
      <c r="O7" s="5"/>
      <c r="P7" s="5">
        <v>2.068548387096774</v>
      </c>
      <c r="Q7" s="5" t="e">
        <v>#DIV/0!</v>
      </c>
      <c r="R7" s="5">
        <v>2.4487917146144995</v>
      </c>
      <c r="S7" s="5" t="e">
        <v>#DIV/0!</v>
      </c>
      <c r="T7" s="5"/>
      <c r="U7" s="5"/>
      <c r="V7" s="5"/>
      <c r="W7" s="5"/>
      <c r="X7" s="5"/>
      <c r="Y7" s="5"/>
      <c r="Z7" s="5">
        <v>2.2586700508556365</v>
      </c>
      <c r="AA7" s="5">
        <v>0.26887263538872536</v>
      </c>
      <c r="AB7" s="7">
        <f t="shared" ref="AB7:AB57" si="0">AA7/GETPIVOTDATA("Average of Ratio",$K$3,"Pheno","92CK082")</f>
        <v>0.11959548047155102</v>
      </c>
    </row>
    <row r="8" spans="1:28" x14ac:dyDescent="0.25">
      <c r="A8" t="s">
        <v>120</v>
      </c>
      <c r="B8" t="s">
        <v>34</v>
      </c>
      <c r="C8">
        <v>21</v>
      </c>
      <c r="E8">
        <v>31.833333333333332</v>
      </c>
      <c r="G8">
        <f>AvgV2F[[#This Row],[Flower 5]]/AvgV2F[[#This Row],[Veg 5]]</f>
        <v>1.5158730158730158</v>
      </c>
      <c r="H8" t="e">
        <f>_xlfn.IFNA(VLOOKUP(AvgV2F[[#This Row],[Pheno]],#REF!,2,FALSE),"DEAD")</f>
        <v>#REF!</v>
      </c>
      <c r="K8" s="4" t="s">
        <v>61</v>
      </c>
      <c r="L8" s="5">
        <v>1.9490196078431372</v>
      </c>
      <c r="M8" s="5" t="e">
        <v>#DIV/0!</v>
      </c>
      <c r="N8" s="5"/>
      <c r="O8" s="5"/>
      <c r="P8" s="5">
        <v>1.9411764705882351</v>
      </c>
      <c r="Q8" s="5" t="e">
        <v>#DIV/0!</v>
      </c>
      <c r="R8" s="5">
        <v>2.2524875621890548</v>
      </c>
      <c r="S8" s="5" t="e">
        <v>#DIV/0!</v>
      </c>
      <c r="T8" s="5"/>
      <c r="U8" s="5"/>
      <c r="V8" s="5">
        <v>2.0759856630824371</v>
      </c>
      <c r="W8" s="5" t="e">
        <v>#DIV/0!</v>
      </c>
      <c r="X8" s="5">
        <v>1.9198312236286919</v>
      </c>
      <c r="Y8" s="5" t="e">
        <v>#DIV/0!</v>
      </c>
      <c r="Z8" s="5">
        <v>2.0277001054663111</v>
      </c>
      <c r="AA8" s="5">
        <v>0.13979766766816112</v>
      </c>
      <c r="AB8" s="7">
        <f t="shared" si="0"/>
        <v>6.2182487293301655E-2</v>
      </c>
    </row>
    <row r="9" spans="1:28" x14ac:dyDescent="0.25">
      <c r="A9" t="s">
        <v>120</v>
      </c>
      <c r="B9" t="s">
        <v>110</v>
      </c>
      <c r="C9">
        <v>12</v>
      </c>
      <c r="E9">
        <v>19</v>
      </c>
      <c r="G9">
        <f>AvgV2F[[#This Row],[Flower 5]]/AvgV2F[[#This Row],[Veg 5]]</f>
        <v>1.5833333333333333</v>
      </c>
      <c r="H9" t="e">
        <f>_xlfn.IFNA(VLOOKUP(AvgV2F[[#This Row],[Pheno]],#REF!,2,FALSE),"DEAD")</f>
        <v>#REF!</v>
      </c>
      <c r="K9" s="4" t="s">
        <v>60</v>
      </c>
      <c r="L9" s="5">
        <v>1.8686131386861313</v>
      </c>
      <c r="M9" s="5" t="e">
        <v>#DIV/0!</v>
      </c>
      <c r="N9" s="5"/>
      <c r="O9" s="5"/>
      <c r="P9" s="5">
        <v>1.999269005847953</v>
      </c>
      <c r="Q9" s="5" t="e">
        <v>#DIV/0!</v>
      </c>
      <c r="R9" s="5"/>
      <c r="S9" s="5"/>
      <c r="T9" s="5"/>
      <c r="U9" s="5"/>
      <c r="V9" s="5"/>
      <c r="W9" s="5"/>
      <c r="X9" s="5">
        <v>1.9803370786516854</v>
      </c>
      <c r="Y9" s="5" t="e">
        <v>#DIV/0!</v>
      </c>
      <c r="Z9" s="5">
        <v>1.94940640772859</v>
      </c>
      <c r="AA9" s="5">
        <v>7.0606435321193789E-2</v>
      </c>
      <c r="AB9" s="7">
        <f t="shared" si="0"/>
        <v>3.1405987241555314E-2</v>
      </c>
    </row>
    <row r="10" spans="1:28" x14ac:dyDescent="0.25">
      <c r="A10" t="s">
        <v>120</v>
      </c>
      <c r="B10" t="s">
        <v>118</v>
      </c>
      <c r="C10">
        <v>14.5</v>
      </c>
      <c r="E10">
        <v>23</v>
      </c>
      <c r="G10">
        <f>AvgV2F[[#This Row],[Flower 5]]/AvgV2F[[#This Row],[Veg 5]]</f>
        <v>1.5862068965517242</v>
      </c>
      <c r="H10" t="e">
        <f>_xlfn.IFNA(VLOOKUP(AvgV2F[[#This Row],[Pheno]],#REF!,2,FALSE),"DEAD")</f>
        <v>#REF!</v>
      </c>
      <c r="K10" s="4" t="s">
        <v>59</v>
      </c>
      <c r="L10" s="5"/>
      <c r="M10" s="5"/>
      <c r="N10" s="5"/>
      <c r="O10" s="5"/>
      <c r="P10" s="5"/>
      <c r="Q10" s="5"/>
      <c r="R10" s="5"/>
      <c r="S10" s="5"/>
      <c r="T10" s="5">
        <v>2.4253246753246751</v>
      </c>
      <c r="U10" s="5" t="e">
        <v>#DIV/0!</v>
      </c>
      <c r="V10" s="5"/>
      <c r="W10" s="5"/>
      <c r="X10" s="5"/>
      <c r="Y10" s="5"/>
      <c r="Z10" s="5">
        <v>2.4253246753246751</v>
      </c>
      <c r="AA10" s="5" t="e">
        <v>#DIV/0!</v>
      </c>
      <c r="AB10" s="7" t="e">
        <f t="shared" si="0"/>
        <v>#DIV/0!</v>
      </c>
    </row>
    <row r="11" spans="1:28" x14ac:dyDescent="0.25">
      <c r="A11" t="s">
        <v>120</v>
      </c>
      <c r="B11" t="s">
        <v>44</v>
      </c>
      <c r="C11">
        <v>20.3</v>
      </c>
      <c r="E11">
        <v>32.25</v>
      </c>
      <c r="G11">
        <f>AvgV2F[[#This Row],[Flower 5]]/AvgV2F[[#This Row],[Veg 5]]</f>
        <v>1.5886699507389161</v>
      </c>
      <c r="H11" t="e">
        <f>_xlfn.IFNA(VLOOKUP(AvgV2F[[#This Row],[Pheno]],#REF!,2,FALSE),"DEAD")</f>
        <v>#REF!</v>
      </c>
      <c r="K11" s="4" t="s">
        <v>58</v>
      </c>
      <c r="L11" s="5"/>
      <c r="M11" s="5"/>
      <c r="N11" s="5"/>
      <c r="O11" s="5"/>
      <c r="P11" s="5"/>
      <c r="Q11" s="5"/>
      <c r="R11" s="5"/>
      <c r="S11" s="5"/>
      <c r="T11" s="5">
        <v>2.1805555555555558</v>
      </c>
      <c r="U11" s="5" t="e">
        <v>#DIV/0!</v>
      </c>
      <c r="V11" s="5"/>
      <c r="W11" s="5"/>
      <c r="X11" s="5"/>
      <c r="Y11" s="5"/>
      <c r="Z11" s="5">
        <v>2.1805555555555558</v>
      </c>
      <c r="AA11" s="5" t="e">
        <v>#DIV/0!</v>
      </c>
      <c r="AB11" s="7" t="e">
        <f t="shared" si="0"/>
        <v>#DIV/0!</v>
      </c>
    </row>
    <row r="12" spans="1:28" x14ac:dyDescent="0.25">
      <c r="A12" t="s">
        <v>120</v>
      </c>
      <c r="B12" t="s">
        <v>31</v>
      </c>
      <c r="C12">
        <v>20.75</v>
      </c>
      <c r="E12">
        <v>33</v>
      </c>
      <c r="F12">
        <v>1.4142135623730951</v>
      </c>
      <c r="G12">
        <f>AvgV2F[[#This Row],[Flower 5]]/AvgV2F[[#This Row],[Veg 5]]</f>
        <v>1.5903614457831325</v>
      </c>
      <c r="H12" t="e">
        <f>_xlfn.IFNA(VLOOKUP(AvgV2F[[#This Row],[Pheno]],#REF!,2,FALSE),"DEAD")</f>
        <v>#REF!</v>
      </c>
      <c r="K12" s="4" t="s">
        <v>57</v>
      </c>
      <c r="L12" s="5"/>
      <c r="M12" s="5"/>
      <c r="N12" s="5"/>
      <c r="O12" s="5"/>
      <c r="P12" s="5"/>
      <c r="Q12" s="5"/>
      <c r="R12" s="5"/>
      <c r="S12" s="5"/>
      <c r="T12" s="5">
        <v>2.2400000000000002</v>
      </c>
      <c r="U12" s="5" t="e">
        <v>#DIV/0!</v>
      </c>
      <c r="V12" s="5"/>
      <c r="W12" s="5"/>
      <c r="X12" s="5"/>
      <c r="Y12" s="5"/>
      <c r="Z12" s="5">
        <v>2.2400000000000002</v>
      </c>
      <c r="AA12" s="5" t="e">
        <v>#DIV/0!</v>
      </c>
      <c r="AB12" s="7" t="e">
        <f t="shared" si="0"/>
        <v>#DIV/0!</v>
      </c>
    </row>
    <row r="13" spans="1:28" x14ac:dyDescent="0.25">
      <c r="A13" t="s">
        <v>120</v>
      </c>
      <c r="B13" t="s">
        <v>112</v>
      </c>
      <c r="C13">
        <v>17.75</v>
      </c>
      <c r="E13">
        <v>29</v>
      </c>
      <c r="G13">
        <f>AvgV2F[[#This Row],[Flower 5]]/AvgV2F[[#This Row],[Veg 5]]</f>
        <v>1.6338028169014085</v>
      </c>
      <c r="H13" t="e">
        <f>_xlfn.IFNA(VLOOKUP(AvgV2F[[#This Row],[Pheno]],#REF!,2,FALSE),"DEAD")</f>
        <v>#REF!</v>
      </c>
      <c r="K13" s="4" t="s">
        <v>56</v>
      </c>
      <c r="L13" s="5"/>
      <c r="M13" s="5"/>
      <c r="N13" s="5">
        <v>1.7515151515151515</v>
      </c>
      <c r="O13" s="5" t="e">
        <v>#DIV/0!</v>
      </c>
      <c r="P13" s="5">
        <v>1.9039548022598873</v>
      </c>
      <c r="Q13" s="5" t="e">
        <v>#DIV/0!</v>
      </c>
      <c r="R13" s="5"/>
      <c r="S13" s="5"/>
      <c r="T13" s="5">
        <v>2.3070422535211268</v>
      </c>
      <c r="U13" s="5" t="e">
        <v>#DIV/0!</v>
      </c>
      <c r="V13" s="5"/>
      <c r="W13" s="5"/>
      <c r="X13" s="5"/>
      <c r="Y13" s="5"/>
      <c r="Z13" s="5">
        <v>1.9875040690987218</v>
      </c>
      <c r="AA13" s="5">
        <v>0.28703301248771024</v>
      </c>
      <c r="AB13" s="7">
        <f t="shared" si="0"/>
        <v>0.12767327917188215</v>
      </c>
    </row>
    <row r="14" spans="1:28" x14ac:dyDescent="0.25">
      <c r="A14" t="s">
        <v>120</v>
      </c>
      <c r="B14" t="s">
        <v>39</v>
      </c>
      <c r="C14">
        <v>14.75</v>
      </c>
      <c r="E14">
        <v>24.25</v>
      </c>
      <c r="F14">
        <v>1.7677669529663689</v>
      </c>
      <c r="G14">
        <f>AvgV2F[[#This Row],[Flower 5]]/AvgV2F[[#This Row],[Veg 5]]</f>
        <v>1.6440677966101696</v>
      </c>
      <c r="H14" t="e">
        <f>_xlfn.IFNA(VLOOKUP(AvgV2F[[#This Row],[Pheno]],#REF!,2,FALSE),"DEAD")</f>
        <v>#REF!</v>
      </c>
      <c r="K14" s="4" t="s">
        <v>54</v>
      </c>
      <c r="L14" s="5"/>
      <c r="M14" s="5"/>
      <c r="N14" s="5"/>
      <c r="O14" s="5"/>
      <c r="P14" s="5"/>
      <c r="Q14" s="5"/>
      <c r="R14" s="5">
        <v>2.1310344827586207</v>
      </c>
      <c r="S14" s="5" t="e">
        <v>#DIV/0!</v>
      </c>
      <c r="T14" s="5"/>
      <c r="U14" s="5"/>
      <c r="V14" s="5">
        <v>2.3736263736263736</v>
      </c>
      <c r="W14" s="5" t="e">
        <v>#DIV/0!</v>
      </c>
      <c r="X14" s="5">
        <v>2.1057692307692308</v>
      </c>
      <c r="Y14" s="5" t="e">
        <v>#DIV/0!</v>
      </c>
      <c r="Z14" s="5">
        <v>2.2034766957180749</v>
      </c>
      <c r="AA14" s="5">
        <v>0.14789444853930356</v>
      </c>
      <c r="AB14" s="7">
        <f t="shared" si="0"/>
        <v>6.5783963498409537E-2</v>
      </c>
    </row>
    <row r="15" spans="1:28" x14ac:dyDescent="0.25">
      <c r="A15" t="s">
        <v>120</v>
      </c>
      <c r="B15" t="s">
        <v>114</v>
      </c>
      <c r="C15">
        <v>13</v>
      </c>
      <c r="E15">
        <v>21.5</v>
      </c>
      <c r="G15">
        <f>AvgV2F[[#This Row],[Flower 5]]/AvgV2F[[#This Row],[Veg 5]]</f>
        <v>1.6538461538461537</v>
      </c>
      <c r="H15" t="e">
        <f>_xlfn.IFNA(VLOOKUP(AvgV2F[[#This Row],[Pheno]],#REF!,2,FALSE),"DEAD")</f>
        <v>#REF!</v>
      </c>
      <c r="K15" s="4" t="s">
        <v>53</v>
      </c>
      <c r="L15" s="5"/>
      <c r="M15" s="5"/>
      <c r="N15" s="5"/>
      <c r="O15" s="5"/>
      <c r="P15" s="5">
        <v>2.2302631578947367</v>
      </c>
      <c r="Q15" s="5" t="e">
        <v>#DIV/0!</v>
      </c>
      <c r="R15" s="5">
        <v>3.0249999999999999</v>
      </c>
      <c r="S15" s="5" t="e">
        <v>#DIV/0!</v>
      </c>
      <c r="T15" s="5"/>
      <c r="U15" s="5"/>
      <c r="V15" s="5">
        <v>2.7307692307692308</v>
      </c>
      <c r="W15" s="5" t="e">
        <v>#DIV/0!</v>
      </c>
      <c r="X15" s="5">
        <v>2.2871287128712869</v>
      </c>
      <c r="Y15" s="5" t="e">
        <v>#DIV/0!</v>
      </c>
      <c r="Z15" s="5">
        <v>2.5682902753838137</v>
      </c>
      <c r="AA15" s="5">
        <v>0.37784359193304123</v>
      </c>
      <c r="AB15" s="7">
        <f t="shared" si="0"/>
        <v>0.16806613977282275</v>
      </c>
    </row>
    <row r="16" spans="1:28" x14ac:dyDescent="0.25">
      <c r="A16" t="s">
        <v>120</v>
      </c>
      <c r="B16" t="s">
        <v>103</v>
      </c>
      <c r="C16">
        <v>20</v>
      </c>
      <c r="E16">
        <v>33.25</v>
      </c>
      <c r="F16">
        <v>0.70710678118654757</v>
      </c>
      <c r="G16">
        <f>AvgV2F[[#This Row],[Flower 5]]/AvgV2F[[#This Row],[Veg 5]]</f>
        <v>1.6625000000000001</v>
      </c>
      <c r="H16" t="e">
        <f>_xlfn.IFNA(VLOOKUP(AvgV2F[[#This Row],[Pheno]],#REF!,2,FALSE),"DEAD")</f>
        <v>#REF!</v>
      </c>
      <c r="K16" s="4" t="s">
        <v>52</v>
      </c>
      <c r="L16" s="5">
        <v>2.0350877192982457</v>
      </c>
      <c r="M16" s="5" t="e">
        <v>#DIV/0!</v>
      </c>
      <c r="N16" s="5"/>
      <c r="O16" s="5"/>
      <c r="P16" s="5">
        <v>2.3199999999999998</v>
      </c>
      <c r="Q16" s="5" t="e">
        <v>#DIV/0!</v>
      </c>
      <c r="R16" s="5"/>
      <c r="S16" s="5"/>
      <c r="T16" s="5"/>
      <c r="U16" s="5"/>
      <c r="V16" s="5"/>
      <c r="W16" s="5"/>
      <c r="X16" s="5"/>
      <c r="Y16" s="5"/>
      <c r="Z16" s="5">
        <v>2.1775438596491226</v>
      </c>
      <c r="AA16" s="5">
        <v>0.20146340572753985</v>
      </c>
      <c r="AB16" s="7">
        <f t="shared" si="0"/>
        <v>8.9611621393102511E-2</v>
      </c>
    </row>
    <row r="17" spans="1:28" x14ac:dyDescent="0.25">
      <c r="A17" t="s">
        <v>120</v>
      </c>
      <c r="B17" t="s">
        <v>113</v>
      </c>
      <c r="C17">
        <v>13.5</v>
      </c>
      <c r="E17">
        <v>22.625</v>
      </c>
      <c r="G17">
        <f>AvgV2F[[#This Row],[Flower 5]]/AvgV2F[[#This Row],[Veg 5]]</f>
        <v>1.6759259259259258</v>
      </c>
      <c r="H17" t="e">
        <f>_xlfn.IFNA(VLOOKUP(AvgV2F[[#This Row],[Pheno]],#REF!,2,FALSE),"DEAD")</f>
        <v>#REF!</v>
      </c>
      <c r="K17" s="4" t="s">
        <v>51</v>
      </c>
      <c r="L17" s="5"/>
      <c r="M17" s="5"/>
      <c r="N17" s="5"/>
      <c r="O17" s="5"/>
      <c r="P17" s="5"/>
      <c r="Q17" s="5"/>
      <c r="R17" s="5"/>
      <c r="S17" s="5"/>
      <c r="T17" s="5"/>
      <c r="U17" s="5"/>
      <c r="V17" s="5"/>
      <c r="W17" s="5"/>
      <c r="X17" s="5">
        <v>1.8805970149253732</v>
      </c>
      <c r="Y17" s="5" t="e">
        <v>#DIV/0!</v>
      </c>
      <c r="Z17" s="5">
        <v>1.8805970149253732</v>
      </c>
      <c r="AA17" s="5" t="e">
        <v>#DIV/0!</v>
      </c>
      <c r="AB17" s="7" t="e">
        <f t="shared" si="0"/>
        <v>#DIV/0!</v>
      </c>
    </row>
    <row r="18" spans="1:28" x14ac:dyDescent="0.25">
      <c r="A18" t="s">
        <v>120</v>
      </c>
      <c r="B18" t="s">
        <v>38</v>
      </c>
      <c r="C18">
        <v>13.75</v>
      </c>
      <c r="E18">
        <v>23.5</v>
      </c>
      <c r="F18">
        <v>1.4142135623730951</v>
      </c>
      <c r="G18">
        <f>AvgV2F[[#This Row],[Flower 5]]/AvgV2F[[#This Row],[Veg 5]]</f>
        <v>1.709090909090909</v>
      </c>
      <c r="H18" t="e">
        <f>_xlfn.IFNA(VLOOKUP(AvgV2F[[#This Row],[Pheno]],#REF!,2,FALSE),"DEAD")</f>
        <v>#REF!</v>
      </c>
      <c r="K18" s="4" t="s">
        <v>50</v>
      </c>
      <c r="L18" s="5"/>
      <c r="M18" s="5"/>
      <c r="N18" s="5"/>
      <c r="O18" s="5"/>
      <c r="P18" s="5"/>
      <c r="Q18" s="5"/>
      <c r="R18" s="5"/>
      <c r="S18" s="5"/>
      <c r="T18" s="5"/>
      <c r="U18" s="5"/>
      <c r="V18" s="5"/>
      <c r="W18" s="5"/>
      <c r="X18" s="5">
        <v>1.9513991163475699</v>
      </c>
      <c r="Y18" s="5" t="e">
        <v>#DIV/0!</v>
      </c>
      <c r="Z18" s="5">
        <v>1.9513991163475699</v>
      </c>
      <c r="AA18" s="5" t="e">
        <v>#DIV/0!</v>
      </c>
      <c r="AB18" s="7" t="e">
        <f t="shared" si="0"/>
        <v>#DIV/0!</v>
      </c>
    </row>
    <row r="19" spans="1:28" x14ac:dyDescent="0.25">
      <c r="A19" t="s">
        <v>120</v>
      </c>
      <c r="B19" t="s">
        <v>116</v>
      </c>
      <c r="C19">
        <v>20.5</v>
      </c>
      <c r="E19">
        <v>35.5</v>
      </c>
      <c r="F19">
        <v>0.70710678118654757</v>
      </c>
      <c r="G19">
        <f>AvgV2F[[#This Row],[Flower 5]]/AvgV2F[[#This Row],[Veg 5]]</f>
        <v>1.7317073170731707</v>
      </c>
      <c r="H19" t="e">
        <f>_xlfn.IFNA(VLOOKUP(AvgV2F[[#This Row],[Pheno]],#REF!,2,FALSE),"DEAD")</f>
        <v>#REF!</v>
      </c>
      <c r="K19" s="4" t="s">
        <v>48</v>
      </c>
      <c r="L19" s="5">
        <v>1.8571428571428572</v>
      </c>
      <c r="M19" s="5" t="e">
        <v>#DIV/0!</v>
      </c>
      <c r="N19" s="5">
        <v>1.71875</v>
      </c>
      <c r="O19" s="5" t="e">
        <v>#DIV/0!</v>
      </c>
      <c r="P19" s="5"/>
      <c r="Q19" s="5"/>
      <c r="R19" s="5"/>
      <c r="S19" s="5"/>
      <c r="T19" s="5"/>
      <c r="U19" s="5"/>
      <c r="V19" s="5"/>
      <c r="W19" s="5"/>
      <c r="X19" s="5"/>
      <c r="Y19" s="5"/>
      <c r="Z19" s="5">
        <v>1.7879464285714286</v>
      </c>
      <c r="AA19" s="5">
        <v>9.7858527753493935E-2</v>
      </c>
      <c r="AB19" s="7">
        <f t="shared" si="0"/>
        <v>4.3527812445462714E-2</v>
      </c>
    </row>
    <row r="20" spans="1:28" x14ac:dyDescent="0.25">
      <c r="A20" t="s">
        <v>120</v>
      </c>
      <c r="B20" t="s">
        <v>108</v>
      </c>
      <c r="C20">
        <v>16.625</v>
      </c>
      <c r="E20">
        <v>29</v>
      </c>
      <c r="F20">
        <v>1.4142135623730951</v>
      </c>
      <c r="G20">
        <f>AvgV2F[[#This Row],[Flower 5]]/AvgV2F[[#This Row],[Veg 5]]</f>
        <v>1.744360902255639</v>
      </c>
      <c r="H20" t="e">
        <f>_xlfn.IFNA(VLOOKUP(AvgV2F[[#This Row],[Pheno]],#REF!,2,FALSE),"DEAD")</f>
        <v>#REF!</v>
      </c>
      <c r="K20" s="4" t="s">
        <v>47</v>
      </c>
      <c r="L20" s="5"/>
      <c r="M20" s="5"/>
      <c r="N20" s="5"/>
      <c r="O20" s="5"/>
      <c r="P20" s="5">
        <v>1.8660714285714286</v>
      </c>
      <c r="Q20" s="5" t="e">
        <v>#DIV/0!</v>
      </c>
      <c r="R20" s="5">
        <v>3</v>
      </c>
      <c r="S20" s="5" t="e">
        <v>#DIV/0!</v>
      </c>
      <c r="T20" s="5">
        <v>2.6886597938144332</v>
      </c>
      <c r="U20" s="5" t="e">
        <v>#DIV/0!</v>
      </c>
      <c r="V20" s="5">
        <v>2.5</v>
      </c>
      <c r="W20" s="5" t="e">
        <v>#DIV/0!</v>
      </c>
      <c r="X20" s="5"/>
      <c r="Y20" s="5"/>
      <c r="Z20" s="5">
        <v>2.5136828055964653</v>
      </c>
      <c r="AA20" s="5">
        <v>0.47843810982529822</v>
      </c>
      <c r="AB20" s="7">
        <f t="shared" si="0"/>
        <v>0.21281093011838945</v>
      </c>
    </row>
    <row r="21" spans="1:28" x14ac:dyDescent="0.25">
      <c r="A21" t="s">
        <v>120</v>
      </c>
      <c r="B21" t="s">
        <v>23</v>
      </c>
      <c r="C21">
        <v>22.9</v>
      </c>
      <c r="E21">
        <v>41.25</v>
      </c>
      <c r="F21">
        <v>1.0606601717798212</v>
      </c>
      <c r="G21">
        <f>AvgV2F[[#This Row],[Flower 5]]/AvgV2F[[#This Row],[Veg 5]]</f>
        <v>1.8013100436681224</v>
      </c>
      <c r="H21" t="e">
        <f>_xlfn.IFNA(VLOOKUP(AvgV2F[[#This Row],[Pheno]],#REF!,2,FALSE),"DEAD")</f>
        <v>#REF!</v>
      </c>
      <c r="K21" s="4" t="s">
        <v>46</v>
      </c>
      <c r="L21" s="5"/>
      <c r="M21" s="5"/>
      <c r="N21" s="5"/>
      <c r="O21" s="5"/>
      <c r="P21" s="5"/>
      <c r="Q21" s="5"/>
      <c r="R21" s="5"/>
      <c r="S21" s="5"/>
      <c r="T21" s="5"/>
      <c r="U21" s="5"/>
      <c r="V21" s="5">
        <v>2.2748538011695905</v>
      </c>
      <c r="W21" s="5" t="e">
        <v>#DIV/0!</v>
      </c>
      <c r="X21" s="5"/>
      <c r="Y21" s="5"/>
      <c r="Z21" s="5">
        <v>2.2748538011695905</v>
      </c>
      <c r="AA21" s="5" t="e">
        <v>#DIV/0!</v>
      </c>
      <c r="AB21" s="7" t="e">
        <f t="shared" si="0"/>
        <v>#DIV/0!</v>
      </c>
    </row>
    <row r="22" spans="1:28" x14ac:dyDescent="0.25">
      <c r="A22" t="s">
        <v>120</v>
      </c>
      <c r="B22" t="s">
        <v>102</v>
      </c>
      <c r="C22">
        <v>16.5</v>
      </c>
      <c r="E22">
        <v>29.833333333333332</v>
      </c>
      <c r="G22">
        <f>AvgV2F[[#This Row],[Flower 5]]/AvgV2F[[#This Row],[Veg 5]]</f>
        <v>1.808080808080808</v>
      </c>
      <c r="H22" t="e">
        <f>_xlfn.IFNA(VLOOKUP(AvgV2F[[#This Row],[Pheno]],#REF!,2,FALSE),"DEAD")</f>
        <v>#REF!</v>
      </c>
      <c r="K22" s="4" t="s">
        <v>45</v>
      </c>
      <c r="L22" s="5"/>
      <c r="M22" s="5"/>
      <c r="N22" s="5"/>
      <c r="O22" s="5"/>
      <c r="P22" s="5">
        <v>2.1696428571428572</v>
      </c>
      <c r="Q22" s="5" t="e">
        <v>#DIV/0!</v>
      </c>
      <c r="R22" s="5">
        <v>2.4310344827586206</v>
      </c>
      <c r="S22" s="5" t="e">
        <v>#DIV/0!</v>
      </c>
      <c r="T22" s="5"/>
      <c r="U22" s="5"/>
      <c r="V22" s="5">
        <v>2.18546365914787</v>
      </c>
      <c r="W22" s="5" t="e">
        <v>#DIV/0!</v>
      </c>
      <c r="X22" s="5"/>
      <c r="Y22" s="5"/>
      <c r="Z22" s="5">
        <v>2.2620469996831161</v>
      </c>
      <c r="AA22" s="5">
        <v>0.14656108460694772</v>
      </c>
      <c r="AB22" s="7">
        <f t="shared" si="0"/>
        <v>6.5190878598181651E-2</v>
      </c>
    </row>
    <row r="23" spans="1:28" x14ac:dyDescent="0.25">
      <c r="A23" t="s">
        <v>120</v>
      </c>
      <c r="B23" t="s">
        <v>111</v>
      </c>
      <c r="C23">
        <v>15.666666666666666</v>
      </c>
      <c r="E23">
        <v>28.333333333333332</v>
      </c>
      <c r="G23">
        <f>AvgV2F[[#This Row],[Flower 5]]/AvgV2F[[#This Row],[Veg 5]]</f>
        <v>1.8085106382978724</v>
      </c>
      <c r="H23" t="e">
        <f>_xlfn.IFNA(VLOOKUP(AvgV2F[[#This Row],[Pheno]],#REF!,2,FALSE),"DEAD")</f>
        <v>#REF!</v>
      </c>
      <c r="K23" s="4" t="s">
        <v>44</v>
      </c>
      <c r="L23" s="5">
        <v>1.5886699507389161</v>
      </c>
      <c r="M23" s="5" t="e">
        <v>#DIV/0!</v>
      </c>
      <c r="N23" s="5"/>
      <c r="O23" s="5"/>
      <c r="P23" s="5">
        <v>1.7373949579831935</v>
      </c>
      <c r="Q23" s="5" t="e">
        <v>#DIV/0!</v>
      </c>
      <c r="R23" s="5"/>
      <c r="S23" s="5"/>
      <c r="T23" s="5"/>
      <c r="U23" s="5"/>
      <c r="V23" s="5"/>
      <c r="W23" s="5"/>
      <c r="X23" s="5">
        <v>1.8591042824452437</v>
      </c>
      <c r="Y23" s="5" t="e">
        <v>#DIV/0!</v>
      </c>
      <c r="Z23" s="5">
        <v>1.7283897303891178</v>
      </c>
      <c r="AA23" s="5">
        <v>0.13544187880555433</v>
      </c>
      <c r="AB23" s="7">
        <f t="shared" si="0"/>
        <v>6.0245017304572809E-2</v>
      </c>
    </row>
    <row r="24" spans="1:28" x14ac:dyDescent="0.25">
      <c r="A24" t="s">
        <v>120</v>
      </c>
      <c r="B24" t="s">
        <v>48</v>
      </c>
      <c r="C24">
        <v>14</v>
      </c>
      <c r="E24">
        <v>26</v>
      </c>
      <c r="G24">
        <f>AvgV2F[[#This Row],[Flower 5]]/AvgV2F[[#This Row],[Veg 5]]</f>
        <v>1.8571428571428572</v>
      </c>
      <c r="H24" t="e">
        <f>_xlfn.IFNA(VLOOKUP(AvgV2F[[#This Row],[Pheno]],#REF!,2,FALSE),"DEAD")</f>
        <v>#REF!</v>
      </c>
      <c r="K24" s="4" t="s">
        <v>43</v>
      </c>
      <c r="L24" s="5">
        <v>1.9076923076923078</v>
      </c>
      <c r="M24" s="5" t="e">
        <v>#DIV/0!</v>
      </c>
      <c r="N24" s="5"/>
      <c r="O24" s="5"/>
      <c r="P24" s="5"/>
      <c r="Q24" s="5"/>
      <c r="R24" s="5"/>
      <c r="S24" s="5"/>
      <c r="T24" s="5"/>
      <c r="U24" s="5"/>
      <c r="V24" s="5"/>
      <c r="W24" s="5"/>
      <c r="X24" s="5">
        <v>2.3833333333333333</v>
      </c>
      <c r="Y24" s="5" t="e">
        <v>#DIV/0!</v>
      </c>
      <c r="Z24" s="5">
        <v>2.1455128205128204</v>
      </c>
      <c r="AA24" s="5">
        <v>0.3363289946412934</v>
      </c>
      <c r="AB24" s="7">
        <f t="shared" si="0"/>
        <v>0.14960030295565691</v>
      </c>
    </row>
    <row r="25" spans="1:28" x14ac:dyDescent="0.25">
      <c r="A25" t="s">
        <v>120</v>
      </c>
      <c r="B25" t="s">
        <v>60</v>
      </c>
      <c r="C25">
        <v>17.125</v>
      </c>
      <c r="E25">
        <v>32</v>
      </c>
      <c r="G25">
        <f>AvgV2F[[#This Row],[Flower 5]]/AvgV2F[[#This Row],[Veg 5]]</f>
        <v>1.8686131386861313</v>
      </c>
      <c r="H25" t="e">
        <f>_xlfn.IFNA(VLOOKUP(AvgV2F[[#This Row],[Pheno]],#REF!,2,FALSE),"DEAD")</f>
        <v>#REF!</v>
      </c>
      <c r="K25" s="4" t="s">
        <v>42</v>
      </c>
      <c r="L25" s="5">
        <v>1.9473684210526316</v>
      </c>
      <c r="M25" s="5" t="e">
        <v>#DIV/0!</v>
      </c>
      <c r="N25" s="5">
        <v>1.9714285714285715</v>
      </c>
      <c r="O25" s="5" t="e">
        <v>#DIV/0!</v>
      </c>
      <c r="P25" s="5">
        <v>2.035326086956522</v>
      </c>
      <c r="Q25" s="5" t="e">
        <v>#DIV/0!</v>
      </c>
      <c r="R25" s="5">
        <v>2.5027090694935219</v>
      </c>
      <c r="S25" s="5" t="e">
        <v>#DIV/0!</v>
      </c>
      <c r="T25" s="5"/>
      <c r="U25" s="5"/>
      <c r="V25" s="5"/>
      <c r="W25" s="5"/>
      <c r="X25" s="5"/>
      <c r="Y25" s="5"/>
      <c r="Z25" s="5">
        <v>2.1142080372328116</v>
      </c>
      <c r="AA25" s="5">
        <v>0.26164661124598865</v>
      </c>
      <c r="AB25" s="7">
        <f t="shared" si="0"/>
        <v>0.11638131987837576</v>
      </c>
    </row>
    <row r="26" spans="1:28" x14ac:dyDescent="0.25">
      <c r="A26" t="s">
        <v>120</v>
      </c>
      <c r="B26" t="s">
        <v>63</v>
      </c>
      <c r="C26">
        <v>19.75</v>
      </c>
      <c r="E26">
        <v>37</v>
      </c>
      <c r="G26">
        <f>AvgV2F[[#This Row],[Flower 5]]/AvgV2F[[#This Row],[Veg 5]]</f>
        <v>1.8734177215189873</v>
      </c>
      <c r="H26" t="e">
        <f>_xlfn.IFNA(VLOOKUP(AvgV2F[[#This Row],[Pheno]],#REF!,2,FALSE),"DEAD")</f>
        <v>#REF!</v>
      </c>
      <c r="K26" s="4" t="s">
        <v>41</v>
      </c>
      <c r="L26" s="5"/>
      <c r="M26" s="5"/>
      <c r="N26" s="5"/>
      <c r="O26" s="5"/>
      <c r="P26" s="5"/>
      <c r="Q26" s="5"/>
      <c r="R26" s="5"/>
      <c r="S26" s="5"/>
      <c r="T26" s="5">
        <v>1.803921568627451</v>
      </c>
      <c r="U26" s="5" t="e">
        <v>#DIV/0!</v>
      </c>
      <c r="V26" s="5"/>
      <c r="W26" s="5"/>
      <c r="X26" s="5">
        <v>1.3559322033898304</v>
      </c>
      <c r="Y26" s="5" t="e">
        <v>#DIV/0!</v>
      </c>
      <c r="Z26" s="5">
        <v>1.5799268860086406</v>
      </c>
      <c r="AA26" s="5">
        <v>0.31677631805897988</v>
      </c>
      <c r="AB26" s="7">
        <f t="shared" si="0"/>
        <v>0.14090320461768047</v>
      </c>
    </row>
    <row r="27" spans="1:28" x14ac:dyDescent="0.25">
      <c r="A27" t="s">
        <v>120</v>
      </c>
      <c r="B27" t="s">
        <v>100</v>
      </c>
      <c r="C27">
        <v>17.375</v>
      </c>
      <c r="E27">
        <v>33</v>
      </c>
      <c r="G27">
        <f>AvgV2F[[#This Row],[Flower 5]]/AvgV2F[[#This Row],[Veg 5]]</f>
        <v>1.8992805755395683</v>
      </c>
      <c r="H27" t="e">
        <f>_xlfn.IFNA(VLOOKUP(AvgV2F[[#This Row],[Pheno]],#REF!,2,FALSE),"DEAD")</f>
        <v>#REF!</v>
      </c>
      <c r="K27" s="4" t="s">
        <v>39</v>
      </c>
      <c r="L27" s="5">
        <v>1.6440677966101696</v>
      </c>
      <c r="M27" s="5" t="e">
        <v>#DIV/0!</v>
      </c>
      <c r="N27" s="5">
        <v>1.6551724137931034</v>
      </c>
      <c r="O27" s="5" t="e">
        <v>#DIV/0!</v>
      </c>
      <c r="P27" s="5"/>
      <c r="Q27" s="5"/>
      <c r="R27" s="5"/>
      <c r="S27" s="5"/>
      <c r="T27" s="5"/>
      <c r="U27" s="5"/>
      <c r="V27" s="5"/>
      <c r="W27" s="5"/>
      <c r="X27" s="5">
        <v>1.8828947368421052</v>
      </c>
      <c r="Y27" s="5" t="e">
        <v>#DIV/0!</v>
      </c>
      <c r="Z27" s="5">
        <v>1.7273783157484592</v>
      </c>
      <c r="AA27" s="5">
        <v>0.13479557134055656</v>
      </c>
      <c r="AB27" s="7">
        <f t="shared" si="0"/>
        <v>5.995753750322743E-2</v>
      </c>
    </row>
    <row r="28" spans="1:28" x14ac:dyDescent="0.25">
      <c r="A28" t="s">
        <v>120</v>
      </c>
      <c r="B28" t="s">
        <v>105</v>
      </c>
      <c r="C28">
        <v>21</v>
      </c>
      <c r="E28">
        <v>40</v>
      </c>
      <c r="G28">
        <f>AvgV2F[[#This Row],[Flower 5]]/AvgV2F[[#This Row],[Veg 5]]</f>
        <v>1.9047619047619047</v>
      </c>
      <c r="H28" t="e">
        <f>_xlfn.IFNA(VLOOKUP(AvgV2F[[#This Row],[Pheno]],#REF!,2,FALSE),"DEAD")</f>
        <v>#REF!</v>
      </c>
      <c r="K28" s="4" t="s">
        <v>35</v>
      </c>
      <c r="L28" s="5"/>
      <c r="M28" s="5"/>
      <c r="N28" s="5"/>
      <c r="O28" s="5"/>
      <c r="P28" s="5"/>
      <c r="Q28" s="5"/>
      <c r="R28" s="5"/>
      <c r="S28" s="5"/>
      <c r="T28" s="5"/>
      <c r="U28" s="5"/>
      <c r="V28" s="5">
        <v>2.069010416666667</v>
      </c>
      <c r="W28" s="5" t="e">
        <v>#DIV/0!</v>
      </c>
      <c r="X28" s="5">
        <v>1.825825825825826</v>
      </c>
      <c r="Y28" s="5" t="e">
        <v>#DIV/0!</v>
      </c>
      <c r="Z28" s="5">
        <v>1.9474181212462465</v>
      </c>
      <c r="AA28" s="5">
        <v>0.17195747326363398</v>
      </c>
      <c r="AB28" s="7">
        <f t="shared" si="0"/>
        <v>7.6487280328493265E-2</v>
      </c>
    </row>
    <row r="29" spans="1:28" x14ac:dyDescent="0.25">
      <c r="A29" t="s">
        <v>120</v>
      </c>
      <c r="B29" t="s">
        <v>43</v>
      </c>
      <c r="C29">
        <v>16.25</v>
      </c>
      <c r="E29">
        <v>31</v>
      </c>
      <c r="G29">
        <f>AvgV2F[[#This Row],[Flower 5]]/AvgV2F[[#This Row],[Veg 5]]</f>
        <v>1.9076923076923078</v>
      </c>
      <c r="H29" t="e">
        <f>_xlfn.IFNA(VLOOKUP(AvgV2F[[#This Row],[Pheno]],#REF!,2,FALSE),"DEAD")</f>
        <v>#REF!</v>
      </c>
      <c r="K29" s="4" t="s">
        <v>34</v>
      </c>
      <c r="L29" s="5">
        <v>1.5158730158730158</v>
      </c>
      <c r="M29" s="5" t="e">
        <v>#DIV/0!</v>
      </c>
      <c r="N29" s="5">
        <v>1.5182926829268293</v>
      </c>
      <c r="O29" s="5" t="e">
        <v>#DIV/0!</v>
      </c>
      <c r="P29" s="5"/>
      <c r="Q29" s="5"/>
      <c r="R29" s="5"/>
      <c r="S29" s="5"/>
      <c r="T29" s="5"/>
      <c r="U29" s="5"/>
      <c r="V29" s="5"/>
      <c r="W29" s="5"/>
      <c r="X29" s="5">
        <v>1.8018648018648018</v>
      </c>
      <c r="Y29" s="5" t="e">
        <v>#DIV/0!</v>
      </c>
      <c r="Z29" s="5">
        <v>1.6120101668882156</v>
      </c>
      <c r="AA29" s="5">
        <v>0.1644233879766866</v>
      </c>
      <c r="AB29" s="7">
        <f t="shared" si="0"/>
        <v>7.3136093070245795E-2</v>
      </c>
    </row>
    <row r="30" spans="1:28" x14ac:dyDescent="0.25">
      <c r="A30" t="s">
        <v>120</v>
      </c>
      <c r="B30" t="s">
        <v>42</v>
      </c>
      <c r="C30">
        <v>19</v>
      </c>
      <c r="E30">
        <v>37</v>
      </c>
      <c r="F30">
        <v>1.4142135623730951</v>
      </c>
      <c r="G30">
        <f>AvgV2F[[#This Row],[Flower 5]]/AvgV2F[[#This Row],[Veg 5]]</f>
        <v>1.9473684210526316</v>
      </c>
      <c r="H30" t="e">
        <f>_xlfn.IFNA(VLOOKUP(AvgV2F[[#This Row],[Pheno]],#REF!,2,FALSE),"DEAD")</f>
        <v>#REF!</v>
      </c>
      <c r="K30" s="4" t="s">
        <v>33</v>
      </c>
      <c r="L30" s="5"/>
      <c r="M30" s="5"/>
      <c r="N30" s="5"/>
      <c r="O30" s="5"/>
      <c r="P30" s="5"/>
      <c r="Q30" s="5"/>
      <c r="R30" s="5"/>
      <c r="S30" s="5"/>
      <c r="T30" s="5"/>
      <c r="U30" s="5"/>
      <c r="V30" s="5">
        <v>2.1742160278745644</v>
      </c>
      <c r="W30" s="5" t="e">
        <v>#DIV/0!</v>
      </c>
      <c r="X30" s="5"/>
      <c r="Y30" s="5"/>
      <c r="Z30" s="5">
        <v>2.1742160278745644</v>
      </c>
      <c r="AA30" s="5" t="e">
        <v>#DIV/0!</v>
      </c>
      <c r="AB30" s="7" t="e">
        <f t="shared" si="0"/>
        <v>#DIV/0!</v>
      </c>
    </row>
    <row r="31" spans="1:28" x14ac:dyDescent="0.25">
      <c r="A31" t="s">
        <v>120</v>
      </c>
      <c r="B31" t="s">
        <v>61</v>
      </c>
      <c r="C31">
        <v>18.214285714285715</v>
      </c>
      <c r="E31">
        <v>35.5</v>
      </c>
      <c r="G31">
        <f>AvgV2F[[#This Row],[Flower 5]]/AvgV2F[[#This Row],[Veg 5]]</f>
        <v>1.9490196078431372</v>
      </c>
      <c r="H31" t="e">
        <f>_xlfn.IFNA(VLOOKUP(AvgV2F[[#This Row],[Pheno]],#REF!,2,FALSE),"DEAD")</f>
        <v>#REF!</v>
      </c>
      <c r="K31" s="4" t="s">
        <v>32</v>
      </c>
      <c r="L31" s="5"/>
      <c r="M31" s="5"/>
      <c r="N31" s="5">
        <v>1.5677966101694916</v>
      </c>
      <c r="O31" s="5" t="e">
        <v>#DIV/0!</v>
      </c>
      <c r="P31" s="5">
        <v>1.7986577181208054</v>
      </c>
      <c r="Q31" s="5" t="e">
        <v>#DIV/0!</v>
      </c>
      <c r="R31" s="5"/>
      <c r="S31" s="5"/>
      <c r="T31" s="5"/>
      <c r="U31" s="5"/>
      <c r="V31" s="5"/>
      <c r="W31" s="5"/>
      <c r="X31" s="5">
        <v>1.8505050505050504</v>
      </c>
      <c r="Y31" s="5" t="e">
        <v>#DIV/0!</v>
      </c>
      <c r="Z31" s="5">
        <v>1.7389864595984494</v>
      </c>
      <c r="AA31" s="5">
        <v>0.1505041855878794</v>
      </c>
      <c r="AB31" s="7">
        <f t="shared" si="0"/>
        <v>6.6944783586246281E-2</v>
      </c>
    </row>
    <row r="32" spans="1:28" x14ac:dyDescent="0.25">
      <c r="A32" t="s">
        <v>120</v>
      </c>
      <c r="B32" t="s">
        <v>106</v>
      </c>
      <c r="C32">
        <v>18</v>
      </c>
      <c r="E32">
        <v>36</v>
      </c>
      <c r="G32">
        <f>AvgV2F[[#This Row],[Flower 5]]/AvgV2F[[#This Row],[Veg 5]]</f>
        <v>2</v>
      </c>
      <c r="H32" t="e">
        <f>_xlfn.IFNA(VLOOKUP(AvgV2F[[#This Row],[Pheno]],#REF!,2,FALSE),"DEAD")</f>
        <v>#REF!</v>
      </c>
      <c r="K32" s="4" t="s">
        <v>31</v>
      </c>
      <c r="L32" s="5">
        <v>1.5903614457831325</v>
      </c>
      <c r="M32" s="5" t="e">
        <v>#DIV/0!</v>
      </c>
      <c r="N32" s="5"/>
      <c r="O32" s="5"/>
      <c r="P32" s="5">
        <v>1.4631578947368422</v>
      </c>
      <c r="Q32" s="5" t="e">
        <v>#DIV/0!</v>
      </c>
      <c r="R32" s="5"/>
      <c r="S32" s="5"/>
      <c r="T32" s="5"/>
      <c r="U32" s="5"/>
      <c r="V32" s="5"/>
      <c r="W32" s="5"/>
      <c r="X32" s="5">
        <v>1.7316176470588234</v>
      </c>
      <c r="Y32" s="5" t="e">
        <v>#DIV/0!</v>
      </c>
      <c r="Z32" s="5">
        <v>1.5950456625262659</v>
      </c>
      <c r="AA32" s="5">
        <v>0.1342911615448604</v>
      </c>
      <c r="AB32" s="7">
        <f t="shared" si="0"/>
        <v>5.9733174277183158E-2</v>
      </c>
    </row>
    <row r="33" spans="1:28" x14ac:dyDescent="0.25">
      <c r="A33" t="s">
        <v>120</v>
      </c>
      <c r="B33" t="s">
        <v>30</v>
      </c>
      <c r="C33">
        <v>17.25</v>
      </c>
      <c r="E33">
        <v>35</v>
      </c>
      <c r="F33">
        <v>1.4142135623730951</v>
      </c>
      <c r="G33">
        <f>AvgV2F[[#This Row],[Flower 5]]/AvgV2F[[#This Row],[Veg 5]]</f>
        <v>2.0289855072463769</v>
      </c>
      <c r="H33" t="e">
        <f>_xlfn.IFNA(VLOOKUP(AvgV2F[[#This Row],[Pheno]],#REF!,2,FALSE),"DEAD")</f>
        <v>#REF!</v>
      </c>
      <c r="K33" s="4" t="s">
        <v>30</v>
      </c>
      <c r="L33" s="5">
        <v>2.0289855072463769</v>
      </c>
      <c r="M33" s="5" t="e">
        <v>#DIV/0!</v>
      </c>
      <c r="N33" s="5">
        <v>1.7</v>
      </c>
      <c r="O33" s="5" t="e">
        <v>#DIV/0!</v>
      </c>
      <c r="P33" s="5"/>
      <c r="Q33" s="5"/>
      <c r="R33" s="5">
        <v>2.2663551401869158</v>
      </c>
      <c r="S33" s="5" t="e">
        <v>#DIV/0!</v>
      </c>
      <c r="T33" s="5"/>
      <c r="U33" s="5"/>
      <c r="V33" s="5"/>
      <c r="W33" s="5"/>
      <c r="X33" s="5"/>
      <c r="Y33" s="5"/>
      <c r="Z33" s="5">
        <v>1.9984468824777644</v>
      </c>
      <c r="AA33" s="5">
        <v>0.28440990120968362</v>
      </c>
      <c r="AB33" s="7">
        <f t="shared" si="0"/>
        <v>0.12650651018041381</v>
      </c>
    </row>
    <row r="34" spans="1:28" x14ac:dyDescent="0.25">
      <c r="A34" t="s">
        <v>120</v>
      </c>
      <c r="B34" t="s">
        <v>52</v>
      </c>
      <c r="C34">
        <v>14.25</v>
      </c>
      <c r="E34">
        <v>29</v>
      </c>
      <c r="G34">
        <f>AvgV2F[[#This Row],[Flower 5]]/AvgV2F[[#This Row],[Veg 5]]</f>
        <v>2.0350877192982457</v>
      </c>
      <c r="H34" t="e">
        <f>_xlfn.IFNA(VLOOKUP(AvgV2F[[#This Row],[Pheno]],#REF!,2,FALSE),"DEAD")</f>
        <v>#REF!</v>
      </c>
      <c r="K34" s="4" t="s">
        <v>28</v>
      </c>
      <c r="L34" s="5"/>
      <c r="M34" s="5"/>
      <c r="N34" s="5"/>
      <c r="O34" s="5"/>
      <c r="P34" s="5"/>
      <c r="Q34" s="5"/>
      <c r="R34" s="5">
        <v>2.731182795698925</v>
      </c>
      <c r="S34" s="5" t="e">
        <v>#DIV/0!</v>
      </c>
      <c r="T34" s="5"/>
      <c r="U34" s="5"/>
      <c r="V34" s="5">
        <v>2.4236111111111112</v>
      </c>
      <c r="W34" s="5" t="e">
        <v>#DIV/0!</v>
      </c>
      <c r="X34" s="5">
        <v>2.5294117647058822</v>
      </c>
      <c r="Y34" s="5" t="e">
        <v>#DIV/0!</v>
      </c>
      <c r="Z34" s="5">
        <v>2.5614018905053064</v>
      </c>
      <c r="AA34" s="5">
        <v>0.15626135607226252</v>
      </c>
      <c r="AB34" s="7">
        <f t="shared" si="0"/>
        <v>6.9505592979292097E-2</v>
      </c>
    </row>
    <row r="35" spans="1:28" x14ac:dyDescent="0.25">
      <c r="A35" t="s">
        <v>120</v>
      </c>
      <c r="B35" t="s">
        <v>107</v>
      </c>
      <c r="C35">
        <v>20.375</v>
      </c>
      <c r="E35">
        <v>41.666666666666664</v>
      </c>
      <c r="G35">
        <f>AvgV2F[[#This Row],[Flower 5]]/AvgV2F[[#This Row],[Veg 5]]</f>
        <v>2.0449897750511248</v>
      </c>
      <c r="H35" t="e">
        <f>_xlfn.IFNA(VLOOKUP(AvgV2F[[#This Row],[Pheno]],#REF!,2,FALSE),"DEAD")</f>
        <v>#REF!</v>
      </c>
      <c r="K35" s="4" t="s">
        <v>27</v>
      </c>
      <c r="L35" s="5"/>
      <c r="M35" s="5"/>
      <c r="N35" s="5"/>
      <c r="O35" s="5"/>
      <c r="P35" s="5"/>
      <c r="Q35" s="5"/>
      <c r="R35" s="5"/>
      <c r="S35" s="5"/>
      <c r="T35" s="5"/>
      <c r="U35" s="5"/>
      <c r="V35" s="5"/>
      <c r="W35" s="5"/>
      <c r="X35" s="5">
        <v>1.8684563758389261</v>
      </c>
      <c r="Y35" s="5" t="e">
        <v>#DIV/0!</v>
      </c>
      <c r="Z35" s="5">
        <v>1.8684563758389261</v>
      </c>
      <c r="AA35" s="5" t="e">
        <v>#DIV/0!</v>
      </c>
      <c r="AB35" s="7" t="e">
        <f t="shared" si="0"/>
        <v>#DIV/0!</v>
      </c>
    </row>
    <row r="36" spans="1:28" x14ac:dyDescent="0.25">
      <c r="A36" t="s">
        <v>120</v>
      </c>
      <c r="B36" t="s">
        <v>99</v>
      </c>
      <c r="C36">
        <v>14.5</v>
      </c>
      <c r="E36">
        <v>30</v>
      </c>
      <c r="G36">
        <f>AvgV2F[[#This Row],[Flower 5]]/AvgV2F[[#This Row],[Veg 5]]</f>
        <v>2.0689655172413794</v>
      </c>
      <c r="H36" t="e">
        <f>_xlfn.IFNA(VLOOKUP(AvgV2F[[#This Row],[Pheno]],#REF!,2,FALSE),"DEAD")</f>
        <v>#REF!</v>
      </c>
      <c r="K36" s="4" t="s">
        <v>26</v>
      </c>
      <c r="L36" s="5"/>
      <c r="M36" s="5"/>
      <c r="N36" s="5"/>
      <c r="O36" s="5"/>
      <c r="P36" s="5"/>
      <c r="Q36" s="5"/>
      <c r="R36" s="5"/>
      <c r="S36" s="5"/>
      <c r="T36" s="5">
        <v>2.2602739726027399</v>
      </c>
      <c r="U36" s="5" t="e">
        <v>#DIV/0!</v>
      </c>
      <c r="V36" s="5"/>
      <c r="W36" s="5"/>
      <c r="X36" s="5"/>
      <c r="Y36" s="5"/>
      <c r="Z36" s="5">
        <v>2.2602739726027399</v>
      </c>
      <c r="AA36" s="5" t="e">
        <v>#DIV/0!</v>
      </c>
      <c r="AB36" s="7" t="e">
        <f t="shared" si="0"/>
        <v>#DIV/0!</v>
      </c>
    </row>
    <row r="37" spans="1:28" x14ac:dyDescent="0.25">
      <c r="A37" t="s">
        <v>120</v>
      </c>
      <c r="B37" t="s">
        <v>98</v>
      </c>
      <c r="C37">
        <v>17.5</v>
      </c>
      <c r="E37">
        <v>37</v>
      </c>
      <c r="G37">
        <f>AvgV2F[[#This Row],[Flower 5]]/AvgV2F[[#This Row],[Veg 5]]</f>
        <v>2.1142857142857143</v>
      </c>
      <c r="H37" t="e">
        <f>_xlfn.IFNA(VLOOKUP(AvgV2F[[#This Row],[Pheno]],#REF!,2,FALSE),"DEAD")</f>
        <v>#REF!</v>
      </c>
      <c r="K37" s="4" t="s">
        <v>25</v>
      </c>
      <c r="L37" s="5"/>
      <c r="M37" s="5"/>
      <c r="N37" s="5"/>
      <c r="O37" s="5"/>
      <c r="P37" s="5"/>
      <c r="Q37" s="5"/>
      <c r="R37" s="5"/>
      <c r="S37" s="5"/>
      <c r="T37" s="5">
        <v>2.162848297213622</v>
      </c>
      <c r="U37" s="5" t="e">
        <v>#DIV/0!</v>
      </c>
      <c r="V37" s="5">
        <v>1.9698658410732715</v>
      </c>
      <c r="W37" s="5" t="e">
        <v>#DIV/0!</v>
      </c>
      <c r="X37" s="5">
        <v>1.8666994589276933</v>
      </c>
      <c r="Y37" s="5" t="e">
        <v>#DIV/0!</v>
      </c>
      <c r="Z37" s="5">
        <v>1.9998045324048619</v>
      </c>
      <c r="AA37" s="5">
        <v>0.15032723483625263</v>
      </c>
      <c r="AB37" s="7">
        <f t="shared" si="0"/>
        <v>6.6866075278388878E-2</v>
      </c>
    </row>
    <row r="38" spans="1:28" x14ac:dyDescent="0.25">
      <c r="A38" t="s">
        <v>120</v>
      </c>
      <c r="B38" t="s">
        <v>101</v>
      </c>
      <c r="C38">
        <v>13.833333333333334</v>
      </c>
      <c r="E38">
        <v>29.5</v>
      </c>
      <c r="G38">
        <f>AvgV2F[[#This Row],[Flower 5]]/AvgV2F[[#This Row],[Veg 5]]</f>
        <v>2.1325301204819276</v>
      </c>
      <c r="H38" t="e">
        <f>_xlfn.IFNA(VLOOKUP(AvgV2F[[#This Row],[Pheno]],#REF!,2,FALSE),"DEAD")</f>
        <v>#REF!</v>
      </c>
      <c r="K38" s="4" t="s">
        <v>23</v>
      </c>
      <c r="L38" s="5">
        <v>1.8013100436681224</v>
      </c>
      <c r="M38" s="5" t="e">
        <v>#DIV/0!</v>
      </c>
      <c r="N38" s="5"/>
      <c r="O38" s="5"/>
      <c r="P38" s="5"/>
      <c r="Q38" s="5"/>
      <c r="R38" s="5">
        <v>2.1417582417582417</v>
      </c>
      <c r="S38" s="5" t="e">
        <v>#DIV/0!</v>
      </c>
      <c r="T38" s="5"/>
      <c r="U38" s="5"/>
      <c r="V38" s="5"/>
      <c r="W38" s="5"/>
      <c r="X38" s="5"/>
      <c r="Y38" s="5"/>
      <c r="Z38" s="5">
        <v>1.9715341427131821</v>
      </c>
      <c r="AA38" s="5">
        <v>0.24073322951226495</v>
      </c>
      <c r="AB38" s="7">
        <f t="shared" si="0"/>
        <v>0.107078975171137</v>
      </c>
    </row>
    <row r="39" spans="1:28" x14ac:dyDescent="0.25">
      <c r="A39" t="s">
        <v>120</v>
      </c>
      <c r="B39" t="s">
        <v>104</v>
      </c>
      <c r="C39">
        <v>14.125</v>
      </c>
      <c r="E39">
        <v>30.375</v>
      </c>
      <c r="F39">
        <v>0.17677669529663689</v>
      </c>
      <c r="G39">
        <f>AvgV2F[[#This Row],[Flower 5]]/AvgV2F[[#This Row],[Veg 5]]</f>
        <v>2.1504424778761062</v>
      </c>
      <c r="H39" t="e">
        <f>_xlfn.IFNA(VLOOKUP(AvgV2F[[#This Row],[Pheno]],#REF!,2,FALSE),"DEAD")</f>
        <v>#REF!</v>
      </c>
      <c r="K39" s="4" t="s">
        <v>22</v>
      </c>
      <c r="L39" s="5"/>
      <c r="M39" s="5"/>
      <c r="N39" s="5"/>
      <c r="O39" s="5"/>
      <c r="P39" s="5">
        <v>2.2169312169312168</v>
      </c>
      <c r="Q39" s="5" t="e">
        <v>#DIV/0!</v>
      </c>
      <c r="R39" s="5"/>
      <c r="S39" s="5"/>
      <c r="T39" s="5">
        <v>2.4474393530997305</v>
      </c>
      <c r="U39" s="5" t="e">
        <v>#DIV/0!</v>
      </c>
      <c r="V39" s="5"/>
      <c r="W39" s="5"/>
      <c r="X39" s="5"/>
      <c r="Y39" s="5"/>
      <c r="Z39" s="5">
        <v>2.3321852850154734</v>
      </c>
      <c r="AA39" s="5">
        <v>0.16299386620343478</v>
      </c>
      <c r="AB39" s="7">
        <f t="shared" si="0"/>
        <v>7.2500236828983378E-2</v>
      </c>
    </row>
    <row r="40" spans="1:28" x14ac:dyDescent="0.25">
      <c r="A40" t="s">
        <v>120</v>
      </c>
      <c r="B40" t="s">
        <v>117</v>
      </c>
      <c r="C40">
        <v>17.100000000000001</v>
      </c>
      <c r="E40">
        <v>38.125</v>
      </c>
      <c r="F40">
        <v>1.9445436482630056</v>
      </c>
      <c r="G40">
        <f>AvgV2F[[#This Row],[Flower 5]]/AvgV2F[[#This Row],[Veg 5]]</f>
        <v>2.2295321637426899</v>
      </c>
      <c r="H40" t="e">
        <f>_xlfn.IFNA(VLOOKUP(AvgV2F[[#This Row],[Pheno]],#REF!,2,FALSE),"DEAD")</f>
        <v>#REF!</v>
      </c>
      <c r="K40" s="4" t="s">
        <v>21</v>
      </c>
      <c r="L40" s="5"/>
      <c r="M40" s="5"/>
      <c r="N40" s="5"/>
      <c r="O40" s="5"/>
      <c r="P40" s="5"/>
      <c r="Q40" s="5"/>
      <c r="R40" s="5"/>
      <c r="S40" s="5"/>
      <c r="T40" s="5">
        <v>2.3477564102564101</v>
      </c>
      <c r="U40" s="5" t="e">
        <v>#DIV/0!</v>
      </c>
      <c r="V40" s="5"/>
      <c r="W40" s="5"/>
      <c r="X40" s="5"/>
      <c r="Y40" s="5"/>
      <c r="Z40" s="5">
        <v>2.3477564102564101</v>
      </c>
      <c r="AA40" s="5" t="e">
        <v>#DIV/0!</v>
      </c>
      <c r="AB40" s="7" t="e">
        <f t="shared" si="0"/>
        <v>#DIV/0!</v>
      </c>
    </row>
    <row r="41" spans="1:28" x14ac:dyDescent="0.25">
      <c r="A41" t="s">
        <v>121</v>
      </c>
      <c r="B41" t="s">
        <v>0</v>
      </c>
      <c r="C41">
        <v>20.833333333333332</v>
      </c>
      <c r="E41">
        <v>30.166665999999999</v>
      </c>
      <c r="G41">
        <f>AvgV2F[[#This Row],[Flower 5]]/AvgV2F[[#This Row],[Veg 5]]</f>
        <v>1.447999968</v>
      </c>
      <c r="H41" t="e">
        <f>_xlfn.IFNA(VLOOKUP(AvgV2F[[#This Row],[Pheno]],#REF!,2,FALSE),"DEAD")</f>
        <v>#REF!</v>
      </c>
      <c r="K41" s="4" t="s">
        <v>20</v>
      </c>
      <c r="L41" s="5">
        <v>1.3728813559322033</v>
      </c>
      <c r="M41" s="5" t="e">
        <v>#DIV/0!</v>
      </c>
      <c r="N41" s="5"/>
      <c r="O41" s="5"/>
      <c r="P41" s="5">
        <v>1.5726708074534164</v>
      </c>
      <c r="Q41" s="5" t="e">
        <v>#DIV/0!</v>
      </c>
      <c r="R41" s="5"/>
      <c r="S41" s="5"/>
      <c r="T41" s="5">
        <v>1.8861081370449679</v>
      </c>
      <c r="U41" s="5" t="e">
        <v>#DIV/0!</v>
      </c>
      <c r="V41" s="5"/>
      <c r="W41" s="5"/>
      <c r="X41" s="5"/>
      <c r="Y41" s="5"/>
      <c r="Z41" s="5">
        <v>1.6105534334768628</v>
      </c>
      <c r="AA41" s="5">
        <v>0.25870205300434934</v>
      </c>
      <c r="AB41" s="7">
        <f t="shared" si="0"/>
        <v>0.11507157016295311</v>
      </c>
    </row>
    <row r="42" spans="1:28" x14ac:dyDescent="0.25">
      <c r="A42" t="s">
        <v>121</v>
      </c>
      <c r="B42" t="s">
        <v>1</v>
      </c>
      <c r="C42">
        <v>21.5</v>
      </c>
      <c r="E42">
        <v>31.333333333333332</v>
      </c>
      <c r="G42">
        <f>AvgV2F[[#This Row],[Flower 5]]/AvgV2F[[#This Row],[Veg 5]]</f>
        <v>1.4573643410852712</v>
      </c>
      <c r="H42" t="e">
        <f>_xlfn.IFNA(VLOOKUP(AvgV2F[[#This Row],[Pheno]],#REF!,2,FALSE),"DEAD")</f>
        <v>#REF!</v>
      </c>
      <c r="K42" s="4" t="s">
        <v>19</v>
      </c>
      <c r="L42" s="5"/>
      <c r="M42" s="5"/>
      <c r="N42" s="5"/>
      <c r="O42" s="5"/>
      <c r="P42" s="5">
        <v>1.8805970149253732</v>
      </c>
      <c r="Q42" s="5" t="e">
        <v>#DIV/0!</v>
      </c>
      <c r="R42" s="5">
        <v>1.9219219219219219</v>
      </c>
      <c r="S42" s="5" t="e">
        <v>#DIV/0!</v>
      </c>
      <c r="T42" s="5"/>
      <c r="U42" s="5"/>
      <c r="V42" s="5">
        <v>2.3763440860215055</v>
      </c>
      <c r="W42" s="5" t="e">
        <v>#DIV/0!</v>
      </c>
      <c r="X42" s="5"/>
      <c r="Y42" s="5"/>
      <c r="Z42" s="5">
        <v>2.0596210076229333</v>
      </c>
      <c r="AA42" s="5">
        <v>0.27506738861099345</v>
      </c>
      <c r="AB42" s="7">
        <f t="shared" si="0"/>
        <v>0.12235092818362009</v>
      </c>
    </row>
    <row r="43" spans="1:28" x14ac:dyDescent="0.25">
      <c r="A43" t="s">
        <v>121</v>
      </c>
      <c r="B43" t="s">
        <v>6</v>
      </c>
      <c r="C43">
        <v>17</v>
      </c>
      <c r="E43">
        <v>25</v>
      </c>
      <c r="G43">
        <f>AvgV2F[[#This Row],[Flower 5]]/AvgV2F[[#This Row],[Veg 5]]</f>
        <v>1.4705882352941178</v>
      </c>
      <c r="H43" t="e">
        <f>_xlfn.IFNA(VLOOKUP(AvgV2F[[#This Row],[Pheno]],#REF!,2,FALSE),"DEAD")</f>
        <v>#REF!</v>
      </c>
      <c r="K43" s="4" t="s">
        <v>18</v>
      </c>
      <c r="L43" s="5">
        <v>1.5130434782608695</v>
      </c>
      <c r="M43" s="5" t="e">
        <v>#DIV/0!</v>
      </c>
      <c r="N43" s="5">
        <v>1.5277777777777777</v>
      </c>
      <c r="O43" s="5" t="e">
        <v>#DIV/0!</v>
      </c>
      <c r="P43" s="5"/>
      <c r="Q43" s="5"/>
      <c r="R43" s="5"/>
      <c r="S43" s="5"/>
      <c r="T43" s="5"/>
      <c r="U43" s="5"/>
      <c r="V43" s="5"/>
      <c r="W43" s="5"/>
      <c r="X43" s="5">
        <v>1.8662674650698605</v>
      </c>
      <c r="Y43" s="5" t="e">
        <v>#DIV/0!</v>
      </c>
      <c r="Z43" s="5">
        <v>1.6356962403695026</v>
      </c>
      <c r="AA43" s="5">
        <v>0.1998163960750706</v>
      </c>
      <c r="AB43" s="7">
        <f t="shared" si="0"/>
        <v>8.887902578907772E-2</v>
      </c>
    </row>
    <row r="44" spans="1:28" x14ac:dyDescent="0.25">
      <c r="A44" t="s">
        <v>121</v>
      </c>
      <c r="B44" t="s">
        <v>103</v>
      </c>
      <c r="C44">
        <v>19</v>
      </c>
      <c r="E44">
        <v>28.25</v>
      </c>
      <c r="F44">
        <v>0.35355339059327379</v>
      </c>
      <c r="G44">
        <f>AvgV2F[[#This Row],[Flower 5]]/AvgV2F[[#This Row],[Veg 5]]</f>
        <v>1.486842105263158</v>
      </c>
      <c r="H44" t="e">
        <f>_xlfn.IFNA(VLOOKUP(AvgV2F[[#This Row],[Pheno]],#REF!,2,FALSE),"DEAD")</f>
        <v>#REF!</v>
      </c>
      <c r="K44" s="4" t="s">
        <v>13</v>
      </c>
      <c r="L44" s="5"/>
      <c r="M44" s="5"/>
      <c r="N44" s="5"/>
      <c r="O44" s="5"/>
      <c r="P44" s="5"/>
      <c r="Q44" s="5"/>
      <c r="R44" s="5"/>
      <c r="S44" s="5"/>
      <c r="T44" s="5"/>
      <c r="U44" s="5"/>
      <c r="V44" s="5"/>
      <c r="W44" s="5"/>
      <c r="X44" s="5">
        <v>1.9230769230769231</v>
      </c>
      <c r="Y44" s="5" t="e">
        <v>#DIV/0!</v>
      </c>
      <c r="Z44" s="5">
        <v>1.9230769230769231</v>
      </c>
      <c r="AA44" s="5" t="e">
        <v>#DIV/0!</v>
      </c>
      <c r="AB44" s="7" t="e">
        <f t="shared" si="0"/>
        <v>#DIV/0!</v>
      </c>
    </row>
    <row r="45" spans="1:28" x14ac:dyDescent="0.25">
      <c r="A45" t="s">
        <v>121</v>
      </c>
      <c r="B45" t="s">
        <v>116</v>
      </c>
      <c r="C45">
        <v>23.375</v>
      </c>
      <c r="E45">
        <v>35.25</v>
      </c>
      <c r="F45">
        <v>1.0606601717798212</v>
      </c>
      <c r="G45">
        <f>AvgV2F[[#This Row],[Flower 5]]/AvgV2F[[#This Row],[Veg 5]]</f>
        <v>1.5080213903743316</v>
      </c>
      <c r="H45" t="e">
        <f>_xlfn.IFNA(VLOOKUP(AvgV2F[[#This Row],[Pheno]],#REF!,2,FALSE),"DEAD")</f>
        <v>#REF!</v>
      </c>
      <c r="K45" s="4" t="s">
        <v>12</v>
      </c>
      <c r="L45" s="5"/>
      <c r="M45" s="5"/>
      <c r="N45" s="5"/>
      <c r="O45" s="5"/>
      <c r="P45" s="5"/>
      <c r="Q45" s="5"/>
      <c r="R45" s="5"/>
      <c r="S45" s="5"/>
      <c r="T45" s="5">
        <v>2.3030303030303032</v>
      </c>
      <c r="U45" s="5" t="e">
        <v>#DIV/0!</v>
      </c>
      <c r="V45" s="5">
        <v>1.982142857142857</v>
      </c>
      <c r="W45" s="5" t="e">
        <v>#DIV/0!</v>
      </c>
      <c r="X45" s="5">
        <v>1.8715596330275228</v>
      </c>
      <c r="Y45" s="5" t="e">
        <v>#DIV/0!</v>
      </c>
      <c r="Z45" s="5">
        <v>2.0522442644002279</v>
      </c>
      <c r="AA45" s="5">
        <v>0.22411468100675083</v>
      </c>
      <c r="AB45" s="7">
        <f t="shared" si="0"/>
        <v>9.9686987175098343E-2</v>
      </c>
    </row>
    <row r="46" spans="1:28" x14ac:dyDescent="0.25">
      <c r="A46" t="s">
        <v>121</v>
      </c>
      <c r="B46" t="s">
        <v>34</v>
      </c>
      <c r="C46">
        <v>20.5</v>
      </c>
      <c r="E46">
        <v>31.125</v>
      </c>
      <c r="F46">
        <v>1.2374368670764582</v>
      </c>
      <c r="G46">
        <f>AvgV2F[[#This Row],[Flower 5]]/AvgV2F[[#This Row],[Veg 5]]</f>
        <v>1.5182926829268293</v>
      </c>
      <c r="H46" t="e">
        <f>_xlfn.IFNA(VLOOKUP(AvgV2F[[#This Row],[Pheno]],#REF!,2,FALSE),"DEAD")</f>
        <v>#REF!</v>
      </c>
      <c r="K46" s="4" t="s">
        <v>11</v>
      </c>
      <c r="L46" s="5"/>
      <c r="M46" s="5"/>
      <c r="N46" s="5"/>
      <c r="O46" s="5"/>
      <c r="P46" s="5"/>
      <c r="Q46" s="5"/>
      <c r="R46" s="5"/>
      <c r="S46" s="5"/>
      <c r="T46" s="5"/>
      <c r="U46" s="5"/>
      <c r="V46" s="5">
        <v>2.2419354838709675</v>
      </c>
      <c r="W46" s="5" t="e">
        <v>#DIV/0!</v>
      </c>
      <c r="X46" s="5"/>
      <c r="Y46" s="5"/>
      <c r="Z46" s="5">
        <v>2.2419354838709675</v>
      </c>
      <c r="AA46" s="5" t="e">
        <v>#DIV/0!</v>
      </c>
      <c r="AB46" s="7" t="e">
        <f t="shared" si="0"/>
        <v>#DIV/0!</v>
      </c>
    </row>
    <row r="47" spans="1:28" x14ac:dyDescent="0.25">
      <c r="A47" t="s">
        <v>121</v>
      </c>
      <c r="B47" t="s">
        <v>18</v>
      </c>
      <c r="C47">
        <v>18</v>
      </c>
      <c r="E47">
        <v>27.5</v>
      </c>
      <c r="G47">
        <f>AvgV2F[[#This Row],[Flower 5]]/AvgV2F[[#This Row],[Veg 5]]</f>
        <v>1.5277777777777777</v>
      </c>
      <c r="H47" t="e">
        <f>_xlfn.IFNA(VLOOKUP(AvgV2F[[#This Row],[Pheno]],#REF!,2,FALSE),"DEAD")</f>
        <v>#REF!</v>
      </c>
      <c r="K47" s="4" t="s">
        <v>10</v>
      </c>
      <c r="L47" s="5"/>
      <c r="M47" s="5"/>
      <c r="N47" s="5"/>
      <c r="O47" s="5"/>
      <c r="P47" s="5"/>
      <c r="Q47" s="5"/>
      <c r="R47" s="5"/>
      <c r="S47" s="5"/>
      <c r="T47" s="5"/>
      <c r="U47" s="5"/>
      <c r="V47" s="5">
        <v>1.945054945054945</v>
      </c>
      <c r="W47" s="5" t="e">
        <v>#DIV/0!</v>
      </c>
      <c r="X47" s="5">
        <v>2.5217391304347827</v>
      </c>
      <c r="Y47" s="5" t="e">
        <v>#DIV/0!</v>
      </c>
      <c r="Z47" s="5">
        <v>2.2333970377448638</v>
      </c>
      <c r="AA47" s="5">
        <v>0.40777729808512425</v>
      </c>
      <c r="AB47" s="7">
        <f t="shared" si="0"/>
        <v>0.18138075605713472</v>
      </c>
    </row>
    <row r="48" spans="1:28" x14ac:dyDescent="0.25">
      <c r="A48" t="s">
        <v>121</v>
      </c>
      <c r="B48" t="s">
        <v>32</v>
      </c>
      <c r="C48">
        <v>20.65</v>
      </c>
      <c r="E48">
        <v>32.375</v>
      </c>
      <c r="F48">
        <v>1.9445436482630056</v>
      </c>
      <c r="G48">
        <f>AvgV2F[[#This Row],[Flower 5]]/AvgV2F[[#This Row],[Veg 5]]</f>
        <v>1.5677966101694916</v>
      </c>
      <c r="H48" t="e">
        <f>_xlfn.IFNA(VLOOKUP(AvgV2F[[#This Row],[Pheno]],#REF!,2,FALSE),"DEAD")</f>
        <v>#REF!</v>
      </c>
      <c r="K48" s="4" t="s">
        <v>9</v>
      </c>
      <c r="L48" s="5"/>
      <c r="M48" s="5"/>
      <c r="N48" s="5"/>
      <c r="O48" s="5"/>
      <c r="P48" s="5"/>
      <c r="Q48" s="5"/>
      <c r="R48" s="5"/>
      <c r="S48" s="5"/>
      <c r="T48" s="5">
        <v>2.3571428571428572</v>
      </c>
      <c r="U48" s="5" t="e">
        <v>#DIV/0!</v>
      </c>
      <c r="V48" s="5">
        <v>1.84</v>
      </c>
      <c r="W48" s="5" t="e">
        <v>#DIV/0!</v>
      </c>
      <c r="X48" s="5">
        <v>1.6440677966101696</v>
      </c>
      <c r="Y48" s="5" t="e">
        <v>#DIV/0!</v>
      </c>
      <c r="Z48" s="5">
        <v>1.9470702179176758</v>
      </c>
      <c r="AA48" s="5">
        <v>0.36839792909587421</v>
      </c>
      <c r="AB48" s="7">
        <f t="shared" si="0"/>
        <v>0.1638646761923061</v>
      </c>
    </row>
    <row r="49" spans="1:28" x14ac:dyDescent="0.25">
      <c r="A49" t="s">
        <v>121</v>
      </c>
      <c r="B49" t="s">
        <v>132</v>
      </c>
      <c r="C49">
        <v>14.083333333333334</v>
      </c>
      <c r="E49">
        <v>22.083333333333332</v>
      </c>
      <c r="G49">
        <f>AvgV2F[[#This Row],[Flower 5]]/AvgV2F[[#This Row],[Veg 5]]</f>
        <v>1.5680473372781063</v>
      </c>
      <c r="H49" t="e">
        <f>_xlfn.IFNA(VLOOKUP(AvgV2F[[#This Row],[Pheno]],#REF!,2,FALSE),"DEAD")</f>
        <v>#REF!</v>
      </c>
      <c r="K49" s="4" t="s">
        <v>8</v>
      </c>
      <c r="L49" s="5"/>
      <c r="M49" s="5"/>
      <c r="N49" s="5"/>
      <c r="O49" s="5"/>
      <c r="P49" s="5"/>
      <c r="Q49" s="5"/>
      <c r="R49" s="5">
        <v>2.7606679035250465</v>
      </c>
      <c r="S49" s="5" t="e">
        <v>#DIV/0!</v>
      </c>
      <c r="T49" s="5"/>
      <c r="U49" s="5"/>
      <c r="V49" s="5"/>
      <c r="W49" s="5"/>
      <c r="X49" s="5">
        <v>1.9350708733424784</v>
      </c>
      <c r="Y49" s="5" t="e">
        <v>#DIV/0!</v>
      </c>
      <c r="Z49" s="5">
        <v>2.3478693884337627</v>
      </c>
      <c r="AA49" s="5">
        <v>0.58378525856956676</v>
      </c>
      <c r="AB49" s="7">
        <f t="shared" si="0"/>
        <v>0.25966970714552556</v>
      </c>
    </row>
    <row r="50" spans="1:28" x14ac:dyDescent="0.25">
      <c r="A50" t="s">
        <v>121</v>
      </c>
      <c r="B50" t="s">
        <v>38</v>
      </c>
      <c r="C50">
        <v>13.833333333333334</v>
      </c>
      <c r="E50">
        <v>22</v>
      </c>
      <c r="G50">
        <f>AvgV2F[[#This Row],[Flower 5]]/AvgV2F[[#This Row],[Veg 5]]</f>
        <v>1.5903614457831325</v>
      </c>
      <c r="H50" t="e">
        <f>_xlfn.IFNA(VLOOKUP(AvgV2F[[#This Row],[Pheno]],#REF!,2,FALSE),"DEAD")</f>
        <v>#REF!</v>
      </c>
      <c r="K50" s="4" t="s">
        <v>7</v>
      </c>
      <c r="L50" s="5"/>
      <c r="M50" s="5"/>
      <c r="N50" s="5"/>
      <c r="O50" s="5"/>
      <c r="P50" s="5"/>
      <c r="Q50" s="5"/>
      <c r="R50" s="5">
        <v>2.2745098039215685</v>
      </c>
      <c r="S50" s="5" t="e">
        <v>#DIV/0!</v>
      </c>
      <c r="T50" s="5"/>
      <c r="U50" s="5"/>
      <c r="V50" s="5"/>
      <c r="W50" s="5"/>
      <c r="X50" s="5"/>
      <c r="Y50" s="5"/>
      <c r="Z50" s="5">
        <v>2.2745098039215685</v>
      </c>
      <c r="AA50" s="5" t="e">
        <v>#DIV/0!</v>
      </c>
      <c r="AB50" s="7" t="e">
        <f t="shared" si="0"/>
        <v>#DIV/0!</v>
      </c>
    </row>
    <row r="51" spans="1:28" x14ac:dyDescent="0.25">
      <c r="A51" t="s">
        <v>121</v>
      </c>
      <c r="B51" t="s">
        <v>126</v>
      </c>
      <c r="C51">
        <v>22</v>
      </c>
      <c r="E51">
        <v>35</v>
      </c>
      <c r="G51">
        <f>AvgV2F[[#This Row],[Flower 5]]/AvgV2F[[#This Row],[Veg 5]]</f>
        <v>1.5909090909090908</v>
      </c>
      <c r="H51" t="e">
        <f>_xlfn.IFNA(VLOOKUP(AvgV2F[[#This Row],[Pheno]],#REF!,2,FALSE),"DEAD")</f>
        <v>#REF!</v>
      </c>
      <c r="K51" s="4" t="s">
        <v>6</v>
      </c>
      <c r="L51" s="5"/>
      <c r="M51" s="5"/>
      <c r="N51" s="5">
        <v>1.4705882352941178</v>
      </c>
      <c r="O51" s="5" t="e">
        <v>#DIV/0!</v>
      </c>
      <c r="P51" s="5"/>
      <c r="Q51" s="5"/>
      <c r="R51" s="5"/>
      <c r="S51" s="5"/>
      <c r="T51" s="5">
        <v>2.1185567010309279</v>
      </c>
      <c r="U51" s="5" t="e">
        <v>#DIV/0!</v>
      </c>
      <c r="V51" s="5"/>
      <c r="W51" s="5"/>
      <c r="X51" s="5">
        <v>1.7923728813559323</v>
      </c>
      <c r="Y51" s="5" t="e">
        <v>#DIV/0!</v>
      </c>
      <c r="Z51" s="5">
        <v>1.7938392725603258</v>
      </c>
      <c r="AA51" s="5">
        <v>0.32398672175677534</v>
      </c>
      <c r="AB51" s="7">
        <f t="shared" si="0"/>
        <v>0.14411041718278578</v>
      </c>
    </row>
    <row r="52" spans="1:28" x14ac:dyDescent="0.25">
      <c r="A52" t="s">
        <v>121</v>
      </c>
      <c r="B52" t="s">
        <v>118</v>
      </c>
      <c r="C52">
        <v>12.833333333333334</v>
      </c>
      <c r="E52">
        <v>21</v>
      </c>
      <c r="G52">
        <f>AvgV2F[[#This Row],[Flower 5]]/AvgV2F[[#This Row],[Veg 5]]</f>
        <v>1.6363636363636362</v>
      </c>
      <c r="H52" t="e">
        <f>_xlfn.IFNA(VLOOKUP(AvgV2F[[#This Row],[Pheno]],#REF!,2,FALSE),"DEAD")</f>
        <v>#REF!</v>
      </c>
      <c r="K52" s="4" t="s">
        <v>5</v>
      </c>
      <c r="L52" s="5"/>
      <c r="M52" s="5"/>
      <c r="N52" s="5"/>
      <c r="O52" s="5"/>
      <c r="P52" s="5"/>
      <c r="Q52" s="5"/>
      <c r="R52" s="5"/>
      <c r="S52" s="5"/>
      <c r="T52" s="5">
        <v>2.4024390243902438</v>
      </c>
      <c r="U52" s="5" t="e">
        <v>#DIV/0!</v>
      </c>
      <c r="V52" s="5">
        <v>2.1556886227544911</v>
      </c>
      <c r="W52" s="5" t="e">
        <v>#DIV/0!</v>
      </c>
      <c r="X52" s="5">
        <v>2.1730769230769229</v>
      </c>
      <c r="Y52" s="5" t="e">
        <v>#DIV/0!</v>
      </c>
      <c r="Z52" s="5">
        <v>2.2437348567405526</v>
      </c>
      <c r="AA52" s="5">
        <v>0.13771654900214739</v>
      </c>
      <c r="AB52" s="7">
        <f t="shared" si="0"/>
        <v>6.1256798494884565E-2</v>
      </c>
    </row>
    <row r="53" spans="1:28" x14ac:dyDescent="0.25">
      <c r="A53" t="s">
        <v>121</v>
      </c>
      <c r="B53" t="s">
        <v>39</v>
      </c>
      <c r="C53">
        <v>14.5</v>
      </c>
      <c r="E53">
        <v>24</v>
      </c>
      <c r="G53">
        <f>AvgV2F[[#This Row],[Flower 5]]/AvgV2F[[#This Row],[Veg 5]]</f>
        <v>1.6551724137931034</v>
      </c>
      <c r="H53" t="e">
        <f>_xlfn.IFNA(VLOOKUP(AvgV2F[[#This Row],[Pheno]],#REF!,2,FALSE),"DEAD")</f>
        <v>#REF!</v>
      </c>
      <c r="K53" s="4" t="s">
        <v>4</v>
      </c>
      <c r="L53" s="5"/>
      <c r="M53" s="5"/>
      <c r="N53" s="5"/>
      <c r="O53" s="5"/>
      <c r="P53" s="5"/>
      <c r="Q53" s="5"/>
      <c r="R53" s="5"/>
      <c r="S53" s="5"/>
      <c r="T53" s="5"/>
      <c r="U53" s="5"/>
      <c r="V53" s="5">
        <v>2.039790996784566</v>
      </c>
      <c r="W53" s="5" t="e">
        <v>#DIV/0!</v>
      </c>
      <c r="X53" s="5"/>
      <c r="Y53" s="5"/>
      <c r="Z53" s="5">
        <v>2.039790996784566</v>
      </c>
      <c r="AA53" s="5" t="e">
        <v>#DIV/0!</v>
      </c>
      <c r="AB53" s="7" t="e">
        <f t="shared" si="0"/>
        <v>#DIV/0!</v>
      </c>
    </row>
    <row r="54" spans="1:28" x14ac:dyDescent="0.25">
      <c r="A54" t="s">
        <v>121</v>
      </c>
      <c r="B54" t="s">
        <v>99</v>
      </c>
      <c r="C54">
        <v>18.5</v>
      </c>
      <c r="E54">
        <v>31</v>
      </c>
      <c r="G54">
        <f>AvgV2F[[#This Row],[Flower 5]]/AvgV2F[[#This Row],[Veg 5]]</f>
        <v>1.6756756756756757</v>
      </c>
      <c r="H54" t="e">
        <f>_xlfn.IFNA(VLOOKUP(AvgV2F[[#This Row],[Pheno]],#REF!,2,FALSE),"DEAD")</f>
        <v>#REF!</v>
      </c>
      <c r="K54" s="4" t="s">
        <v>3</v>
      </c>
      <c r="L54" s="5"/>
      <c r="M54" s="5"/>
      <c r="N54" s="5"/>
      <c r="O54" s="5"/>
      <c r="P54" s="5"/>
      <c r="Q54" s="5"/>
      <c r="R54" s="5">
        <v>2.15625</v>
      </c>
      <c r="S54" s="5" t="e">
        <v>#DIV/0!</v>
      </c>
      <c r="T54" s="5"/>
      <c r="U54" s="5"/>
      <c r="V54" s="5"/>
      <c r="W54" s="5"/>
      <c r="X54" s="5"/>
      <c r="Y54" s="5"/>
      <c r="Z54" s="5">
        <v>2.15625</v>
      </c>
      <c r="AA54" s="5" t="e">
        <v>#DIV/0!</v>
      </c>
      <c r="AB54" s="7" t="e">
        <f t="shared" si="0"/>
        <v>#DIV/0!</v>
      </c>
    </row>
    <row r="55" spans="1:28" x14ac:dyDescent="0.25">
      <c r="A55" t="s">
        <v>121</v>
      </c>
      <c r="B55" t="s">
        <v>30</v>
      </c>
      <c r="C55">
        <v>20</v>
      </c>
      <c r="E55">
        <v>34</v>
      </c>
      <c r="G55">
        <f>AvgV2F[[#This Row],[Flower 5]]/AvgV2F[[#This Row],[Veg 5]]</f>
        <v>1.7</v>
      </c>
      <c r="H55" t="e">
        <f>_xlfn.IFNA(VLOOKUP(AvgV2F[[#This Row],[Pheno]],#REF!,2,FALSE),"DEAD")</f>
        <v>#REF!</v>
      </c>
      <c r="K55" s="4" t="s">
        <v>2</v>
      </c>
      <c r="L55" s="5"/>
      <c r="M55" s="5"/>
      <c r="N55" s="5"/>
      <c r="O55" s="5"/>
      <c r="P55" s="5"/>
      <c r="Q55" s="5"/>
      <c r="R55" s="5">
        <v>2.3607843137254902</v>
      </c>
      <c r="S55" s="5" t="e">
        <v>#DIV/0!</v>
      </c>
      <c r="T55" s="5"/>
      <c r="U55" s="5"/>
      <c r="V55" s="5"/>
      <c r="W55" s="5"/>
      <c r="X55" s="5"/>
      <c r="Y55" s="5"/>
      <c r="Z55" s="5">
        <v>2.3607843137254902</v>
      </c>
      <c r="AA55" s="5" t="e">
        <v>#DIV/0!</v>
      </c>
      <c r="AB55" s="7" t="e">
        <f t="shared" si="0"/>
        <v>#DIV/0!</v>
      </c>
    </row>
    <row r="56" spans="1:28" x14ac:dyDescent="0.25">
      <c r="A56" t="s">
        <v>121</v>
      </c>
      <c r="B56" t="s">
        <v>131</v>
      </c>
      <c r="C56">
        <v>18.100000000000001</v>
      </c>
      <c r="E56">
        <v>30.9</v>
      </c>
      <c r="G56">
        <f>AvgV2F[[#This Row],[Flower 5]]/AvgV2F[[#This Row],[Veg 5]]</f>
        <v>1.7071823204419887</v>
      </c>
      <c r="H56" t="e">
        <f>_xlfn.IFNA(VLOOKUP(AvgV2F[[#This Row],[Pheno]],#REF!,2,FALSE),"DEAD")</f>
        <v>#REF!</v>
      </c>
      <c r="K56" s="4" t="s">
        <v>1</v>
      </c>
      <c r="L56" s="5"/>
      <c r="M56" s="5"/>
      <c r="N56" s="5">
        <v>1.4573643410852712</v>
      </c>
      <c r="O56" s="5" t="e">
        <v>#DIV/0!</v>
      </c>
      <c r="P56" s="5">
        <v>1.7165898617511521</v>
      </c>
      <c r="Q56" s="5" t="e">
        <v>#DIV/0!</v>
      </c>
      <c r="R56" s="5">
        <v>1.7927710843373494</v>
      </c>
      <c r="S56" s="5" t="e">
        <v>#DIV/0!</v>
      </c>
      <c r="T56" s="5"/>
      <c r="U56" s="5"/>
      <c r="V56" s="5"/>
      <c r="W56" s="5"/>
      <c r="X56" s="5">
        <v>1.8196078431372549</v>
      </c>
      <c r="Y56" s="5" t="e">
        <v>#DIV/0!</v>
      </c>
      <c r="Z56" s="5">
        <v>1.6965832825777569</v>
      </c>
      <c r="AA56" s="5">
        <v>0.16534116334335908</v>
      </c>
      <c r="AB56" s="7">
        <f t="shared" si="0"/>
        <v>7.354432273550518E-2</v>
      </c>
    </row>
    <row r="57" spans="1:28" x14ac:dyDescent="0.25">
      <c r="A57" t="s">
        <v>121</v>
      </c>
      <c r="B57" t="s">
        <v>106</v>
      </c>
      <c r="C57">
        <v>17.5</v>
      </c>
      <c r="E57">
        <v>30</v>
      </c>
      <c r="G57">
        <f>AvgV2F[[#This Row],[Flower 5]]/AvgV2F[[#This Row],[Veg 5]]</f>
        <v>1.7142857142857142</v>
      </c>
      <c r="H57" t="e">
        <f>_xlfn.IFNA(VLOOKUP(AvgV2F[[#This Row],[Pheno]],#REF!,2,FALSE),"DEAD")</f>
        <v>#REF!</v>
      </c>
      <c r="K57" s="4" t="s">
        <v>0</v>
      </c>
      <c r="L57" s="5"/>
      <c r="M57" s="5"/>
      <c r="N57" s="5">
        <v>1.447999968</v>
      </c>
      <c r="O57" s="5" t="e">
        <v>#DIV/0!</v>
      </c>
      <c r="P57" s="5"/>
      <c r="Q57" s="5"/>
      <c r="R57" s="5"/>
      <c r="S57" s="5"/>
      <c r="T57" s="5"/>
      <c r="U57" s="5"/>
      <c r="V57" s="5"/>
      <c r="W57" s="5"/>
      <c r="X57" s="5"/>
      <c r="Y57" s="5"/>
      <c r="Z57" s="5">
        <v>1.447999968</v>
      </c>
      <c r="AA57" s="5" t="e">
        <v>#DIV/0!</v>
      </c>
      <c r="AB57" s="7" t="e">
        <f t="shared" si="0"/>
        <v>#DIV/0!</v>
      </c>
    </row>
    <row r="58" spans="1:28" x14ac:dyDescent="0.25">
      <c r="A58" t="s">
        <v>121</v>
      </c>
      <c r="B58" t="s">
        <v>48</v>
      </c>
      <c r="C58">
        <v>16</v>
      </c>
      <c r="E58">
        <v>27.5</v>
      </c>
      <c r="F58">
        <v>0</v>
      </c>
      <c r="G58">
        <f>AvgV2F[[#This Row],[Flower 5]]/AvgV2F[[#This Row],[Veg 5]]</f>
        <v>1.71875</v>
      </c>
      <c r="H58" t="e">
        <f>_xlfn.IFNA(VLOOKUP(AvgV2F[[#This Row],[Pheno]],#REF!,2,FALSE),"DEAD")</f>
        <v>#REF!</v>
      </c>
      <c r="K58" s="4" t="s">
        <v>159</v>
      </c>
      <c r="L58" s="5">
        <v>1.766235624489807</v>
      </c>
      <c r="M58" s="5">
        <v>0.21008723824339434</v>
      </c>
      <c r="N58" s="5">
        <v>1.6169714319991195</v>
      </c>
      <c r="O58" s="5">
        <v>0.16062963522952139</v>
      </c>
      <c r="P58" s="5">
        <v>1.9325157292662749</v>
      </c>
      <c r="Q58" s="5">
        <v>0.24081116110192652</v>
      </c>
      <c r="R58" s="5">
        <v>2.3873286573056109</v>
      </c>
      <c r="S58" s="5">
        <v>0.35160107575927108</v>
      </c>
      <c r="T58" s="5">
        <v>2.2688895577046004</v>
      </c>
      <c r="U58" s="5">
        <v>0.21334659675324338</v>
      </c>
      <c r="V58" s="5">
        <v>2.2143532842305809</v>
      </c>
      <c r="W58" s="5">
        <v>0.23422958182062864</v>
      </c>
      <c r="X58" s="5">
        <v>1.9472133587331995</v>
      </c>
      <c r="Y58" s="5">
        <v>0.25832459878372355</v>
      </c>
      <c r="Z58" s="5">
        <v>2.0354734717879226</v>
      </c>
      <c r="AA58" s="5">
        <v>0.34217052801394215</v>
      </c>
    </row>
    <row r="59" spans="1:28" x14ac:dyDescent="0.25">
      <c r="A59" t="s">
        <v>121</v>
      </c>
      <c r="B59" t="s">
        <v>107</v>
      </c>
      <c r="C59">
        <v>21</v>
      </c>
      <c r="E59">
        <v>36.5</v>
      </c>
      <c r="G59">
        <f>AvgV2F[[#This Row],[Flower 5]]/AvgV2F[[#This Row],[Veg 5]]</f>
        <v>1.7380952380952381</v>
      </c>
      <c r="H59" t="e">
        <f>_xlfn.IFNA(VLOOKUP(AvgV2F[[#This Row],[Pheno]],#REF!,2,FALSE),"DEAD")</f>
        <v>#REF!</v>
      </c>
    </row>
    <row r="60" spans="1:28" x14ac:dyDescent="0.25">
      <c r="A60" t="s">
        <v>121</v>
      </c>
      <c r="B60" t="s">
        <v>56</v>
      </c>
      <c r="C60">
        <v>16.5</v>
      </c>
      <c r="E60">
        <v>28.9</v>
      </c>
      <c r="G60">
        <f>AvgV2F[[#This Row],[Flower 5]]/AvgV2F[[#This Row],[Veg 5]]</f>
        <v>1.7515151515151515</v>
      </c>
      <c r="H60" t="e">
        <f>_xlfn.IFNA(VLOOKUP(AvgV2F[[#This Row],[Pheno]],#REF!,2,FALSE),"DEAD")</f>
        <v>#REF!</v>
      </c>
    </row>
    <row r="61" spans="1:28" x14ac:dyDescent="0.25">
      <c r="A61" t="s">
        <v>121</v>
      </c>
      <c r="B61" t="s">
        <v>133</v>
      </c>
      <c r="C61">
        <v>16.5</v>
      </c>
      <c r="E61">
        <v>29</v>
      </c>
      <c r="G61">
        <f>AvgV2F[[#This Row],[Flower 5]]/AvgV2F[[#This Row],[Veg 5]]</f>
        <v>1.7575757575757576</v>
      </c>
      <c r="H61" t="e">
        <f>_xlfn.IFNA(VLOOKUP(AvgV2F[[#This Row],[Pheno]],#REF!,2,FALSE),"DEAD")</f>
        <v>#REF!</v>
      </c>
    </row>
    <row r="62" spans="1:28" x14ac:dyDescent="0.25">
      <c r="A62" t="s">
        <v>121</v>
      </c>
      <c r="B62" t="s">
        <v>98</v>
      </c>
      <c r="C62">
        <v>19.5</v>
      </c>
      <c r="E62">
        <v>34.5</v>
      </c>
      <c r="G62">
        <f>AvgV2F[[#This Row],[Flower 5]]/AvgV2F[[#This Row],[Veg 5]]</f>
        <v>1.7692307692307692</v>
      </c>
      <c r="H62" t="e">
        <f>_xlfn.IFNA(VLOOKUP(AvgV2F[[#This Row],[Pheno]],#REF!,2,FALSE),"DEAD")</f>
        <v>#REF!</v>
      </c>
    </row>
    <row r="63" spans="1:28" x14ac:dyDescent="0.25">
      <c r="A63" t="s">
        <v>121</v>
      </c>
      <c r="B63" t="s">
        <v>127</v>
      </c>
      <c r="C63">
        <v>18</v>
      </c>
      <c r="E63">
        <v>32</v>
      </c>
      <c r="F63">
        <v>0</v>
      </c>
      <c r="G63">
        <f>AvgV2F[[#This Row],[Flower 5]]/AvgV2F[[#This Row],[Veg 5]]</f>
        <v>1.7777777777777777</v>
      </c>
      <c r="H63" t="e">
        <f>_xlfn.IFNA(VLOOKUP(AvgV2F[[#This Row],[Pheno]],#REF!,2,FALSE),"DEAD")</f>
        <v>#REF!</v>
      </c>
    </row>
    <row r="64" spans="1:28" x14ac:dyDescent="0.25">
      <c r="A64" t="s">
        <v>121</v>
      </c>
      <c r="B64" t="s">
        <v>128</v>
      </c>
      <c r="C64">
        <v>17.333333333333332</v>
      </c>
      <c r="E64">
        <v>30.875</v>
      </c>
      <c r="F64">
        <v>0.88388347648318444</v>
      </c>
      <c r="G64">
        <f>AvgV2F[[#This Row],[Flower 5]]/AvgV2F[[#This Row],[Veg 5]]</f>
        <v>1.7812500000000002</v>
      </c>
      <c r="H64" t="e">
        <f>_xlfn.IFNA(VLOOKUP(AvgV2F[[#This Row],[Pheno]],#REF!,2,FALSE),"DEAD")</f>
        <v>#REF!</v>
      </c>
    </row>
    <row r="65" spans="1:8" x14ac:dyDescent="0.25">
      <c r="A65" t="s">
        <v>121</v>
      </c>
      <c r="B65" t="s">
        <v>105</v>
      </c>
      <c r="C65">
        <v>20.666666666666668</v>
      </c>
      <c r="E65">
        <v>37.166666666666664</v>
      </c>
      <c r="G65">
        <f>AvgV2F[[#This Row],[Flower 5]]/AvgV2F[[#This Row],[Veg 5]]</f>
        <v>1.7983870967741933</v>
      </c>
      <c r="H65" t="e">
        <f>_xlfn.IFNA(VLOOKUP(AvgV2F[[#This Row],[Pheno]],#REF!,2,FALSE),"DEAD")</f>
        <v>#REF!</v>
      </c>
    </row>
    <row r="66" spans="1:8" x14ac:dyDescent="0.25">
      <c r="A66" t="s">
        <v>121</v>
      </c>
      <c r="B66" t="s">
        <v>40</v>
      </c>
      <c r="C66">
        <v>16.399999999999999</v>
      </c>
      <c r="E66">
        <v>30</v>
      </c>
      <c r="G66">
        <f>AvgV2F[[#This Row],[Flower 5]]/AvgV2F[[#This Row],[Veg 5]]</f>
        <v>1.8292682926829269</v>
      </c>
      <c r="H66" t="e">
        <f>_xlfn.IFNA(VLOOKUP(AvgV2F[[#This Row],[Pheno]],#REF!,2,FALSE),"DEAD")</f>
        <v>#REF!</v>
      </c>
    </row>
    <row r="67" spans="1:8" x14ac:dyDescent="0.25">
      <c r="A67" t="s">
        <v>121</v>
      </c>
      <c r="B67" t="s">
        <v>122</v>
      </c>
      <c r="C67">
        <v>14.75</v>
      </c>
      <c r="E67">
        <v>27</v>
      </c>
      <c r="G67">
        <f>AvgV2F[[#This Row],[Flower 5]]/AvgV2F[[#This Row],[Veg 5]]</f>
        <v>1.8305084745762712</v>
      </c>
      <c r="H67" t="e">
        <f>_xlfn.IFNA(VLOOKUP(AvgV2F[[#This Row],[Pheno]],#REF!,2,FALSE),"DEAD")</f>
        <v>#REF!</v>
      </c>
    </row>
    <row r="68" spans="1:8" x14ac:dyDescent="0.25">
      <c r="A68" t="s">
        <v>121</v>
      </c>
      <c r="B68" t="s">
        <v>108</v>
      </c>
      <c r="C68">
        <v>16.25</v>
      </c>
      <c r="E68">
        <v>31</v>
      </c>
      <c r="F68">
        <v>0.70710678118654757</v>
      </c>
      <c r="G68">
        <f>AvgV2F[[#This Row],[Flower 5]]/AvgV2F[[#This Row],[Veg 5]]</f>
        <v>1.9076923076923078</v>
      </c>
      <c r="H68" t="e">
        <f>_xlfn.IFNA(VLOOKUP(AvgV2F[[#This Row],[Pheno]],#REF!,2,FALSE),"DEAD")</f>
        <v>#REF!</v>
      </c>
    </row>
    <row r="69" spans="1:8" x14ac:dyDescent="0.25">
      <c r="A69" t="s">
        <v>121</v>
      </c>
      <c r="B69" t="s">
        <v>117</v>
      </c>
      <c r="C69">
        <v>19</v>
      </c>
      <c r="E69">
        <v>36.25</v>
      </c>
      <c r="F69">
        <v>0.35355339059327379</v>
      </c>
      <c r="G69">
        <f>AvgV2F[[#This Row],[Flower 5]]/AvgV2F[[#This Row],[Veg 5]]</f>
        <v>1.9078947368421053</v>
      </c>
      <c r="H69" t="e">
        <f>_xlfn.IFNA(VLOOKUP(AvgV2F[[#This Row],[Pheno]],#REF!,2,FALSE),"DEAD")</f>
        <v>#REF!</v>
      </c>
    </row>
    <row r="70" spans="1:8" x14ac:dyDescent="0.25">
      <c r="A70" t="s">
        <v>121</v>
      </c>
      <c r="B70" t="s">
        <v>134</v>
      </c>
      <c r="C70">
        <v>17.899999999999999</v>
      </c>
      <c r="E70">
        <v>34.700000000000003</v>
      </c>
      <c r="G70">
        <f>AvgV2F[[#This Row],[Flower 5]]/AvgV2F[[#This Row],[Veg 5]]</f>
        <v>1.9385474860335199</v>
      </c>
      <c r="H70" t="e">
        <f>_xlfn.IFNA(VLOOKUP(AvgV2F[[#This Row],[Pheno]],#REF!,2,FALSE),"DEAD")</f>
        <v>#REF!</v>
      </c>
    </row>
    <row r="71" spans="1:8" x14ac:dyDescent="0.25">
      <c r="A71" t="s">
        <v>121</v>
      </c>
      <c r="B71" t="s">
        <v>124</v>
      </c>
      <c r="C71">
        <v>14.166666666666666</v>
      </c>
      <c r="E71">
        <v>27.5</v>
      </c>
      <c r="G71">
        <f>AvgV2F[[#This Row],[Flower 5]]/AvgV2F[[#This Row],[Veg 5]]</f>
        <v>1.9411764705882353</v>
      </c>
      <c r="H71" t="e">
        <f>_xlfn.IFNA(VLOOKUP(AvgV2F[[#This Row],[Pheno]],#REF!,2,FALSE),"DEAD")</f>
        <v>#REF!</v>
      </c>
    </row>
    <row r="72" spans="1:8" x14ac:dyDescent="0.25">
      <c r="A72" t="s">
        <v>121</v>
      </c>
      <c r="B72" t="s">
        <v>42</v>
      </c>
      <c r="C72">
        <v>17.5</v>
      </c>
      <c r="E72">
        <v>34.5</v>
      </c>
      <c r="F72">
        <v>0.70710678118654757</v>
      </c>
      <c r="G72">
        <f>AvgV2F[[#This Row],[Flower 5]]/AvgV2F[[#This Row],[Veg 5]]</f>
        <v>1.9714285714285715</v>
      </c>
      <c r="H72" t="e">
        <f>_xlfn.IFNA(VLOOKUP(AvgV2F[[#This Row],[Pheno]],#REF!,2,FALSE),"DEAD")</f>
        <v>#REF!</v>
      </c>
    </row>
    <row r="73" spans="1:8" x14ac:dyDescent="0.25">
      <c r="A73" t="s">
        <v>121</v>
      </c>
      <c r="B73" t="s">
        <v>123</v>
      </c>
      <c r="C73">
        <v>18</v>
      </c>
      <c r="E73">
        <v>35.5</v>
      </c>
      <c r="G73">
        <f>AvgV2F[[#This Row],[Flower 5]]/AvgV2F[[#This Row],[Veg 5]]</f>
        <v>1.9722222222222223</v>
      </c>
      <c r="H73" t="e">
        <f>_xlfn.IFNA(VLOOKUP(AvgV2F[[#This Row],[Pheno]],#REF!,2,FALSE),"DEAD")</f>
        <v>#REF!</v>
      </c>
    </row>
    <row r="74" spans="1:8" x14ac:dyDescent="0.25">
      <c r="A74" t="s">
        <v>121</v>
      </c>
      <c r="B74" t="s">
        <v>125</v>
      </c>
      <c r="C74">
        <v>17</v>
      </c>
      <c r="E74">
        <v>34.5</v>
      </c>
      <c r="G74">
        <f>AvgV2F[[#This Row],[Flower 5]]/AvgV2F[[#This Row],[Veg 5]]</f>
        <v>2.0294117647058822</v>
      </c>
      <c r="H74" t="e">
        <f>_xlfn.IFNA(VLOOKUP(AvgV2F[[#This Row],[Pheno]],#REF!,2,FALSE),"DEAD")</f>
        <v>#REF!</v>
      </c>
    </row>
    <row r="75" spans="1:8" x14ac:dyDescent="0.25">
      <c r="A75" t="s">
        <v>121</v>
      </c>
      <c r="B75" t="s">
        <v>101</v>
      </c>
      <c r="C75">
        <v>13.25</v>
      </c>
      <c r="E75">
        <v>27.5</v>
      </c>
      <c r="G75">
        <f>AvgV2F[[#This Row],[Flower 5]]/AvgV2F[[#This Row],[Veg 5]]</f>
        <v>2.0754716981132075</v>
      </c>
      <c r="H75" t="e">
        <f>_xlfn.IFNA(VLOOKUP(AvgV2F[[#This Row],[Pheno]],#REF!,2,FALSE),"DEAD")</f>
        <v>#REF!</v>
      </c>
    </row>
    <row r="76" spans="1:8" x14ac:dyDescent="0.25">
      <c r="A76" t="s">
        <v>138</v>
      </c>
      <c r="B76" t="s">
        <v>31</v>
      </c>
      <c r="C76">
        <v>23.75</v>
      </c>
      <c r="E76">
        <v>34.75</v>
      </c>
      <c r="F76">
        <v>1.6046806535881213</v>
      </c>
      <c r="G76">
        <f>AvgV2F[[#This Row],[Flower 5]]/AvgV2F[[#This Row],[Veg 5]]</f>
        <v>1.4631578947368422</v>
      </c>
      <c r="H76" t="e">
        <f>_xlfn.IFNA(VLOOKUP(AvgV2F[[#This Row],[Pheno]],#REF!,2,FALSE),"DEAD")</f>
        <v>#REF!</v>
      </c>
    </row>
    <row r="77" spans="1:8" x14ac:dyDescent="0.25">
      <c r="A77" t="s">
        <v>138</v>
      </c>
      <c r="B77" t="s">
        <v>20</v>
      </c>
      <c r="C77">
        <v>13.416666666666666</v>
      </c>
      <c r="E77">
        <v>21.1</v>
      </c>
      <c r="F77">
        <v>1.1005049346145934</v>
      </c>
      <c r="G77">
        <f>AvgV2F[[#This Row],[Flower 5]]/AvgV2F[[#This Row],[Veg 5]]</f>
        <v>1.5726708074534164</v>
      </c>
      <c r="H77" t="e">
        <f>_xlfn.IFNA(VLOOKUP(AvgV2F[[#This Row],[Pheno]],#REF!,2,FALSE),"DEAD")</f>
        <v>#REF!</v>
      </c>
    </row>
    <row r="78" spans="1:8" x14ac:dyDescent="0.25">
      <c r="A78" t="s">
        <v>138</v>
      </c>
      <c r="B78" t="s">
        <v>103</v>
      </c>
      <c r="C78">
        <v>20.5</v>
      </c>
      <c r="E78">
        <v>32.25</v>
      </c>
      <c r="F78">
        <v>0.92582009977255142</v>
      </c>
      <c r="G78">
        <f>AvgV2F[[#This Row],[Flower 5]]/AvgV2F[[#This Row],[Veg 5]]</f>
        <v>1.5731707317073171</v>
      </c>
      <c r="H78" t="e">
        <f>_xlfn.IFNA(VLOOKUP(AvgV2F[[#This Row],[Pheno]],#REF!,2,FALSE),"DEAD")</f>
        <v>#REF!</v>
      </c>
    </row>
    <row r="79" spans="1:8" x14ac:dyDescent="0.25">
      <c r="A79" t="s">
        <v>138</v>
      </c>
      <c r="B79" t="s">
        <v>109</v>
      </c>
      <c r="C79">
        <v>12.75</v>
      </c>
      <c r="E79">
        <v>20.350000000000001</v>
      </c>
      <c r="F79">
        <v>0.74721705904863611</v>
      </c>
      <c r="G79">
        <f>AvgV2F[[#This Row],[Flower 5]]/AvgV2F[[#This Row],[Veg 5]]</f>
        <v>1.5960784313725491</v>
      </c>
      <c r="H79" t="e">
        <f>_xlfn.IFNA(VLOOKUP(AvgV2F[[#This Row],[Pheno]],#REF!,2,FALSE),"DEAD")</f>
        <v>#REF!</v>
      </c>
    </row>
    <row r="80" spans="1:8" x14ac:dyDescent="0.25">
      <c r="A80" t="s">
        <v>138</v>
      </c>
      <c r="B80" t="s">
        <v>1</v>
      </c>
      <c r="C80">
        <v>21.7</v>
      </c>
      <c r="E80">
        <v>37.25</v>
      </c>
      <c r="F80">
        <v>1.0341394704992379</v>
      </c>
      <c r="G80">
        <f>AvgV2F[[#This Row],[Flower 5]]/AvgV2F[[#This Row],[Veg 5]]</f>
        <v>1.7165898617511521</v>
      </c>
      <c r="H80" t="e">
        <f>_xlfn.IFNA(VLOOKUP(AvgV2F[[#This Row],[Pheno]],#REF!,2,FALSE),"DEAD")</f>
        <v>#REF!</v>
      </c>
    </row>
    <row r="81" spans="1:8" x14ac:dyDescent="0.25">
      <c r="A81" t="s">
        <v>138</v>
      </c>
      <c r="B81" t="s">
        <v>44</v>
      </c>
      <c r="C81">
        <v>19.833333333333332</v>
      </c>
      <c r="E81">
        <v>34.458333333333336</v>
      </c>
      <c r="F81">
        <v>0.96432579682604536</v>
      </c>
      <c r="G81">
        <f>AvgV2F[[#This Row],[Flower 5]]/AvgV2F[[#This Row],[Veg 5]]</f>
        <v>1.7373949579831935</v>
      </c>
      <c r="H81" t="e">
        <f>_xlfn.IFNA(VLOOKUP(AvgV2F[[#This Row],[Pheno]],#REF!,2,FALSE),"DEAD")</f>
        <v>#REF!</v>
      </c>
    </row>
    <row r="82" spans="1:8" x14ac:dyDescent="0.25">
      <c r="A82" t="s">
        <v>138</v>
      </c>
      <c r="B82" t="s">
        <v>132</v>
      </c>
      <c r="C82">
        <v>13.8</v>
      </c>
      <c r="E82">
        <v>24.75</v>
      </c>
      <c r="F82">
        <v>1.2527746981977423</v>
      </c>
      <c r="G82">
        <f>AvgV2F[[#This Row],[Flower 5]]/AvgV2F[[#This Row],[Veg 5]]</f>
        <v>1.7934782608695652</v>
      </c>
      <c r="H82" t="e">
        <f>_xlfn.IFNA(VLOOKUP(AvgV2F[[#This Row],[Pheno]],#REF!,2,FALSE),"DEAD")</f>
        <v>#REF!</v>
      </c>
    </row>
    <row r="83" spans="1:8" x14ac:dyDescent="0.25">
      <c r="A83" t="s">
        <v>138</v>
      </c>
      <c r="B83" t="s">
        <v>32</v>
      </c>
      <c r="C83">
        <v>18.625</v>
      </c>
      <c r="E83">
        <v>33.5</v>
      </c>
      <c r="F83">
        <v>0.61237243569579447</v>
      </c>
      <c r="G83">
        <f>AvgV2F[[#This Row],[Flower 5]]/AvgV2F[[#This Row],[Veg 5]]</f>
        <v>1.7986577181208054</v>
      </c>
      <c r="H83" t="e">
        <f>_xlfn.IFNA(VLOOKUP(AvgV2F[[#This Row],[Pheno]],#REF!,2,FALSE),"DEAD")</f>
        <v>#REF!</v>
      </c>
    </row>
    <row r="84" spans="1:8" x14ac:dyDescent="0.25">
      <c r="A84" t="s">
        <v>138</v>
      </c>
      <c r="B84" t="s">
        <v>47</v>
      </c>
      <c r="C84">
        <v>14</v>
      </c>
      <c r="E84">
        <v>26.125</v>
      </c>
      <c r="F84">
        <v>1.6520189667999174</v>
      </c>
      <c r="G84">
        <f>AvgV2F[[#This Row],[Flower 5]]/AvgV2F[[#This Row],[Veg 5]]</f>
        <v>1.8660714285714286</v>
      </c>
      <c r="H84" t="e">
        <f>_xlfn.IFNA(VLOOKUP(AvgV2F[[#This Row],[Pheno]],#REF!,2,FALSE),"DEAD")</f>
        <v>#REF!</v>
      </c>
    </row>
    <row r="85" spans="1:8" x14ac:dyDescent="0.25">
      <c r="A85" t="s">
        <v>138</v>
      </c>
      <c r="B85" t="s">
        <v>131</v>
      </c>
      <c r="C85">
        <v>19.3</v>
      </c>
      <c r="E85">
        <v>36.200000000000003</v>
      </c>
      <c r="F85">
        <v>0.67494855771058282</v>
      </c>
      <c r="G85">
        <f>AvgV2F[[#This Row],[Flower 5]]/AvgV2F[[#This Row],[Veg 5]]</f>
        <v>1.8756476683937824</v>
      </c>
      <c r="H85" t="e">
        <f>_xlfn.IFNA(VLOOKUP(AvgV2F[[#This Row],[Pheno]],#REF!,2,FALSE),"DEAD")</f>
        <v>#REF!</v>
      </c>
    </row>
    <row r="86" spans="1:8" x14ac:dyDescent="0.25">
      <c r="A86" t="s">
        <v>138</v>
      </c>
      <c r="B86" t="s">
        <v>19</v>
      </c>
      <c r="C86">
        <v>22.333333333333332</v>
      </c>
      <c r="E86">
        <v>42</v>
      </c>
      <c r="F86">
        <v>0.63245553203367588</v>
      </c>
      <c r="G86">
        <f>AvgV2F[[#This Row],[Flower 5]]/AvgV2F[[#This Row],[Veg 5]]</f>
        <v>1.8805970149253732</v>
      </c>
      <c r="H86" t="e">
        <f>_xlfn.IFNA(VLOOKUP(AvgV2F[[#This Row],[Pheno]],#REF!,2,FALSE),"DEAD")</f>
        <v>#REF!</v>
      </c>
    </row>
    <row r="87" spans="1:8" x14ac:dyDescent="0.25">
      <c r="A87" t="s">
        <v>138</v>
      </c>
      <c r="B87" t="s">
        <v>56</v>
      </c>
      <c r="C87">
        <v>17.7</v>
      </c>
      <c r="E87">
        <v>33.700000000000003</v>
      </c>
      <c r="F87">
        <v>0.67082039324997078</v>
      </c>
      <c r="G87">
        <f>AvgV2F[[#This Row],[Flower 5]]/AvgV2F[[#This Row],[Veg 5]]</f>
        <v>1.9039548022598873</v>
      </c>
      <c r="H87" t="e">
        <f>_xlfn.IFNA(VLOOKUP(AvgV2F[[#This Row],[Pheno]],#REF!,2,FALSE),"DEAD")</f>
        <v>#REF!</v>
      </c>
    </row>
    <row r="88" spans="1:8" x14ac:dyDescent="0.25">
      <c r="A88" t="s">
        <v>138</v>
      </c>
      <c r="B88" t="s">
        <v>61</v>
      </c>
      <c r="C88">
        <v>18.214285714285715</v>
      </c>
      <c r="E88">
        <v>35.357142857142854</v>
      </c>
      <c r="F88">
        <v>1.4862002586432452</v>
      </c>
      <c r="G88">
        <f>AvgV2F[[#This Row],[Flower 5]]/AvgV2F[[#This Row],[Veg 5]]</f>
        <v>1.9411764705882351</v>
      </c>
      <c r="H88" t="e">
        <f>_xlfn.IFNA(VLOOKUP(AvgV2F[[#This Row],[Pheno]],#REF!,2,FALSE),"DEAD")</f>
        <v>#REF!</v>
      </c>
    </row>
    <row r="89" spans="1:8" x14ac:dyDescent="0.25">
      <c r="A89" t="s">
        <v>138</v>
      </c>
      <c r="B89" t="s">
        <v>137</v>
      </c>
      <c r="C89">
        <v>17.625</v>
      </c>
      <c r="E89">
        <v>35.125</v>
      </c>
      <c r="F89">
        <v>0.99103120896511487</v>
      </c>
      <c r="G89">
        <f>AvgV2F[[#This Row],[Flower 5]]/AvgV2F[[#This Row],[Veg 5]]</f>
        <v>1.9929078014184398</v>
      </c>
      <c r="H89" t="e">
        <f>_xlfn.IFNA(VLOOKUP(AvgV2F[[#This Row],[Pheno]],#REF!,2,FALSE),"DEAD")</f>
        <v>#REF!</v>
      </c>
    </row>
    <row r="90" spans="1:8" x14ac:dyDescent="0.25">
      <c r="A90" t="s">
        <v>138</v>
      </c>
      <c r="B90" t="s">
        <v>60</v>
      </c>
      <c r="C90">
        <v>17.100000000000001</v>
      </c>
      <c r="E90">
        <v>34.1875</v>
      </c>
      <c r="F90">
        <v>0.79899490432846765</v>
      </c>
      <c r="G90">
        <f>AvgV2F[[#This Row],[Flower 5]]/AvgV2F[[#This Row],[Veg 5]]</f>
        <v>1.999269005847953</v>
      </c>
      <c r="H90" t="e">
        <f>_xlfn.IFNA(VLOOKUP(AvgV2F[[#This Row],[Pheno]],#REF!,2,FALSE),"DEAD")</f>
        <v>#REF!</v>
      </c>
    </row>
    <row r="91" spans="1:8" x14ac:dyDescent="0.25">
      <c r="A91" t="s">
        <v>138</v>
      </c>
      <c r="B91" t="s">
        <v>118</v>
      </c>
      <c r="C91">
        <v>11.75</v>
      </c>
      <c r="E91">
        <v>23.6</v>
      </c>
      <c r="F91">
        <v>0.2236067977498773</v>
      </c>
      <c r="G91">
        <f>AvgV2F[[#This Row],[Flower 5]]/AvgV2F[[#This Row],[Veg 5]]</f>
        <v>2.0085106382978726</v>
      </c>
      <c r="H91" t="e">
        <f>_xlfn.IFNA(VLOOKUP(AvgV2F[[#This Row],[Pheno]],#REF!,2,FALSE),"DEAD")</f>
        <v>#REF!</v>
      </c>
    </row>
    <row r="92" spans="1:8" x14ac:dyDescent="0.25">
      <c r="A92" t="s">
        <v>138</v>
      </c>
      <c r="B92" t="s">
        <v>42</v>
      </c>
      <c r="C92">
        <v>18.399999999999999</v>
      </c>
      <c r="E92">
        <v>37.450000000000003</v>
      </c>
      <c r="F92">
        <v>1.9642640691448219</v>
      </c>
      <c r="G92">
        <f>AvgV2F[[#This Row],[Flower 5]]/AvgV2F[[#This Row],[Veg 5]]</f>
        <v>2.035326086956522</v>
      </c>
      <c r="H92" t="e">
        <f>_xlfn.IFNA(VLOOKUP(AvgV2F[[#This Row],[Pheno]],#REF!,2,FALSE),"DEAD")</f>
        <v>#REF!</v>
      </c>
    </row>
    <row r="93" spans="1:8" x14ac:dyDescent="0.25">
      <c r="A93" t="s">
        <v>138</v>
      </c>
      <c r="B93" t="s">
        <v>62</v>
      </c>
      <c r="C93">
        <v>20.666666666666668</v>
      </c>
      <c r="E93">
        <v>42.75</v>
      </c>
      <c r="F93">
        <v>1.4053469322555197</v>
      </c>
      <c r="G93">
        <f>AvgV2F[[#This Row],[Flower 5]]/AvgV2F[[#This Row],[Veg 5]]</f>
        <v>2.068548387096774</v>
      </c>
      <c r="H93" t="e">
        <f>_xlfn.IFNA(VLOOKUP(AvgV2F[[#This Row],[Pheno]],#REF!,2,FALSE),"DEAD")</f>
        <v>#REF!</v>
      </c>
    </row>
    <row r="94" spans="1:8" x14ac:dyDescent="0.25">
      <c r="A94" t="s">
        <v>138</v>
      </c>
      <c r="B94" t="s">
        <v>133</v>
      </c>
      <c r="C94">
        <v>15.7</v>
      </c>
      <c r="E94">
        <v>32.5</v>
      </c>
      <c r="F94">
        <v>1.5456030825826172</v>
      </c>
      <c r="G94">
        <f>AvgV2F[[#This Row],[Flower 5]]/AvgV2F[[#This Row],[Veg 5]]</f>
        <v>2.0700636942675161</v>
      </c>
      <c r="H94" t="e">
        <f>_xlfn.IFNA(VLOOKUP(AvgV2F[[#This Row],[Pheno]],#REF!,2,FALSE),"DEAD")</f>
        <v>#REF!</v>
      </c>
    </row>
    <row r="95" spans="1:8" x14ac:dyDescent="0.25">
      <c r="A95" t="s">
        <v>138</v>
      </c>
      <c r="B95" t="s">
        <v>45</v>
      </c>
      <c r="C95">
        <v>14</v>
      </c>
      <c r="E95">
        <v>30.375</v>
      </c>
      <c r="F95">
        <v>2.2126530078919591</v>
      </c>
      <c r="G95">
        <f>AvgV2F[[#This Row],[Flower 5]]/AvgV2F[[#This Row],[Veg 5]]</f>
        <v>2.1696428571428572</v>
      </c>
      <c r="H95" t="e">
        <f>_xlfn.IFNA(VLOOKUP(AvgV2F[[#This Row],[Pheno]],#REF!,2,FALSE),"DEAD")</f>
        <v>#REF!</v>
      </c>
    </row>
    <row r="96" spans="1:8" x14ac:dyDescent="0.25">
      <c r="A96" t="s">
        <v>138</v>
      </c>
      <c r="B96" t="s">
        <v>136</v>
      </c>
      <c r="C96">
        <v>12.5</v>
      </c>
      <c r="E96">
        <v>27.25</v>
      </c>
      <c r="F96">
        <v>1.0606601717798212</v>
      </c>
      <c r="G96">
        <f>AvgV2F[[#This Row],[Flower 5]]/AvgV2F[[#This Row],[Veg 5]]</f>
        <v>2.1800000000000002</v>
      </c>
      <c r="H96" t="e">
        <f>_xlfn.IFNA(VLOOKUP(AvgV2F[[#This Row],[Pheno]],#REF!,2,FALSE),"DEAD")</f>
        <v>#REF!</v>
      </c>
    </row>
    <row r="97" spans="1:8" x14ac:dyDescent="0.25">
      <c r="A97" t="s">
        <v>138</v>
      </c>
      <c r="B97" t="s">
        <v>117</v>
      </c>
      <c r="C97">
        <v>16.928571428571427</v>
      </c>
      <c r="E97">
        <v>37.214285714285715</v>
      </c>
      <c r="F97">
        <v>1.7509808867985812</v>
      </c>
      <c r="G97">
        <f>AvgV2F[[#This Row],[Flower 5]]/AvgV2F[[#This Row],[Veg 5]]</f>
        <v>2.1983122362869203</v>
      </c>
      <c r="H97" t="e">
        <f>_xlfn.IFNA(VLOOKUP(AvgV2F[[#This Row],[Pheno]],#REF!,2,FALSE),"DEAD")</f>
        <v>#REF!</v>
      </c>
    </row>
    <row r="98" spans="1:8" x14ac:dyDescent="0.25">
      <c r="A98" t="s">
        <v>138</v>
      </c>
      <c r="B98" t="s">
        <v>107</v>
      </c>
      <c r="C98">
        <v>18.666666666666668</v>
      </c>
      <c r="E98">
        <v>41.2</v>
      </c>
      <c r="F98">
        <v>2.3828088000881684</v>
      </c>
      <c r="G98">
        <f>AvgV2F[[#This Row],[Flower 5]]/AvgV2F[[#This Row],[Veg 5]]</f>
        <v>2.2071428571428573</v>
      </c>
      <c r="H98" t="e">
        <f>_xlfn.IFNA(VLOOKUP(AvgV2F[[#This Row],[Pheno]],#REF!,2,FALSE),"DEAD")</f>
        <v>#REF!</v>
      </c>
    </row>
    <row r="99" spans="1:8" x14ac:dyDescent="0.25">
      <c r="A99" t="s">
        <v>138</v>
      </c>
      <c r="B99" t="s">
        <v>22</v>
      </c>
      <c r="C99">
        <v>15.75</v>
      </c>
      <c r="E99">
        <v>34.916666666666664</v>
      </c>
      <c r="F99">
        <v>1.1143009766964247</v>
      </c>
      <c r="G99">
        <f>AvgV2F[[#This Row],[Flower 5]]/AvgV2F[[#This Row],[Veg 5]]</f>
        <v>2.2169312169312168</v>
      </c>
      <c r="H99" t="e">
        <f>_xlfn.IFNA(VLOOKUP(AvgV2F[[#This Row],[Pheno]],#REF!,2,FALSE),"DEAD")</f>
        <v>#REF!</v>
      </c>
    </row>
    <row r="100" spans="1:8" x14ac:dyDescent="0.25">
      <c r="A100" t="s">
        <v>138</v>
      </c>
      <c r="B100" t="s">
        <v>53</v>
      </c>
      <c r="C100">
        <v>12.666666666666666</v>
      </c>
      <c r="E100">
        <v>28.25</v>
      </c>
      <c r="F100">
        <v>0.27386127875258304</v>
      </c>
      <c r="G100">
        <f>AvgV2F[[#This Row],[Flower 5]]/AvgV2F[[#This Row],[Veg 5]]</f>
        <v>2.2302631578947367</v>
      </c>
      <c r="H100" t="e">
        <f>_xlfn.IFNA(VLOOKUP(AvgV2F[[#This Row],[Pheno]],#REF!,2,FALSE),"DEAD")</f>
        <v>#REF!</v>
      </c>
    </row>
    <row r="101" spans="1:8" x14ac:dyDescent="0.25">
      <c r="A101" t="s">
        <v>138</v>
      </c>
      <c r="B101" t="s">
        <v>123</v>
      </c>
      <c r="C101">
        <v>17.333333333333332</v>
      </c>
      <c r="E101">
        <v>39.14</v>
      </c>
      <c r="F101">
        <v>1.8343936327844372</v>
      </c>
      <c r="G101">
        <f>AvgV2F[[#This Row],[Flower 5]]/AvgV2F[[#This Row],[Veg 5]]</f>
        <v>2.2580769230769233</v>
      </c>
      <c r="H101" t="e">
        <f>_xlfn.IFNA(VLOOKUP(AvgV2F[[#This Row],[Pheno]],#REF!,2,FALSE),"DEAD")</f>
        <v>#REF!</v>
      </c>
    </row>
    <row r="102" spans="1:8" x14ac:dyDescent="0.25">
      <c r="A102" t="s">
        <v>138</v>
      </c>
      <c r="B102" t="s">
        <v>52</v>
      </c>
      <c r="C102">
        <v>12.5</v>
      </c>
      <c r="E102">
        <v>29</v>
      </c>
      <c r="F102">
        <v>3.0413812651491097</v>
      </c>
      <c r="G102">
        <f>AvgV2F[[#This Row],[Flower 5]]/AvgV2F[[#This Row],[Veg 5]]</f>
        <v>2.3199999999999998</v>
      </c>
      <c r="H102" t="e">
        <f>_xlfn.IFNA(VLOOKUP(AvgV2F[[#This Row],[Pheno]],#REF!,2,FALSE),"DEAD")</f>
        <v>#REF!</v>
      </c>
    </row>
    <row r="103" spans="1:8" x14ac:dyDescent="0.25">
      <c r="A103" t="s">
        <v>138</v>
      </c>
      <c r="B103" t="s">
        <v>104</v>
      </c>
      <c r="C103">
        <v>14</v>
      </c>
      <c r="E103">
        <v>32.892857142857146</v>
      </c>
      <c r="F103">
        <v>1.2886870394763523</v>
      </c>
      <c r="G103">
        <f>AvgV2F[[#This Row],[Flower 5]]/AvgV2F[[#This Row],[Veg 5]]</f>
        <v>2.3494897959183674</v>
      </c>
      <c r="H103" t="e">
        <f>_xlfn.IFNA(VLOOKUP(AvgV2F[[#This Row],[Pheno]],#REF!,2,FALSE),"DEAD")</f>
        <v>#REF!</v>
      </c>
    </row>
    <row r="104" spans="1:8" x14ac:dyDescent="0.25">
      <c r="A104" t="s">
        <v>138</v>
      </c>
      <c r="B104" t="s">
        <v>135</v>
      </c>
      <c r="C104">
        <v>18.166666666666668</v>
      </c>
      <c r="E104">
        <v>48.416666666666664</v>
      </c>
      <c r="F104">
        <v>1.4288690166235629</v>
      </c>
      <c r="G104">
        <f>AvgV2F[[#This Row],[Flower 5]]/AvgV2F[[#This Row],[Veg 5]]</f>
        <v>2.665137614678899</v>
      </c>
      <c r="H104" t="e">
        <f>_xlfn.IFNA(VLOOKUP(AvgV2F[[#This Row],[Pheno]],#REF!,2,FALSE),"DEAD")</f>
        <v>#REF!</v>
      </c>
    </row>
    <row r="105" spans="1:8" x14ac:dyDescent="0.25">
      <c r="A105" t="s">
        <v>139</v>
      </c>
      <c r="B105" t="s">
        <v>1</v>
      </c>
      <c r="C105">
        <v>20.75</v>
      </c>
      <c r="E105">
        <v>37.200000000000003</v>
      </c>
      <c r="F105">
        <v>1.9235384061671463</v>
      </c>
      <c r="G105">
        <f>AvgV2F[[#This Row],[Flower 5]]/AvgV2F[[#This Row],[Veg 5]]</f>
        <v>1.7927710843373494</v>
      </c>
      <c r="H105" t="e">
        <f>_xlfn.IFNA(VLOOKUP(AvgV2F[[#This Row],[Pheno]],#REF!,2,FALSE),"DEAD")</f>
        <v>#REF!</v>
      </c>
    </row>
    <row r="106" spans="1:8" x14ac:dyDescent="0.25">
      <c r="A106" t="s">
        <v>139</v>
      </c>
      <c r="B106" t="s">
        <v>19</v>
      </c>
      <c r="C106">
        <v>18.5</v>
      </c>
      <c r="E106">
        <v>35.555555555555557</v>
      </c>
      <c r="F106">
        <v>0.52704627669477777</v>
      </c>
      <c r="G106">
        <f>AvgV2F[[#This Row],[Flower 5]]/AvgV2F[[#This Row],[Veg 5]]</f>
        <v>1.9219219219219219</v>
      </c>
      <c r="H106" t="e">
        <f>_xlfn.IFNA(VLOOKUP(AvgV2F[[#This Row],[Pheno]],#REF!,2,FALSE),"DEAD")</f>
        <v>#REF!</v>
      </c>
    </row>
    <row r="107" spans="1:8" x14ac:dyDescent="0.25">
      <c r="A107" t="s">
        <v>139</v>
      </c>
      <c r="B107" t="s">
        <v>140</v>
      </c>
      <c r="C107">
        <v>16.142857142857142</v>
      </c>
      <c r="E107">
        <v>31.566666666666666</v>
      </c>
      <c r="F107">
        <v>0.90369611411503037</v>
      </c>
      <c r="G107">
        <f>AvgV2F[[#This Row],[Flower 5]]/AvgV2F[[#This Row],[Veg 5]]</f>
        <v>1.955457227138643</v>
      </c>
      <c r="H107" t="e">
        <f>_xlfn.IFNA(VLOOKUP(AvgV2F[[#This Row],[Pheno]],#REF!,2,FALSE),"DEAD")</f>
        <v>#REF!</v>
      </c>
    </row>
    <row r="108" spans="1:8" x14ac:dyDescent="0.25">
      <c r="A108" t="s">
        <v>139</v>
      </c>
      <c r="B108" t="s">
        <v>103</v>
      </c>
      <c r="C108">
        <v>17.399999999999999</v>
      </c>
      <c r="E108">
        <v>34.636363636363633</v>
      </c>
      <c r="F108">
        <v>1.4158197111727908</v>
      </c>
      <c r="G108">
        <f>AvgV2F[[#This Row],[Flower 5]]/AvgV2F[[#This Row],[Veg 5]]</f>
        <v>1.9905956112852665</v>
      </c>
      <c r="H108" t="e">
        <f>_xlfn.IFNA(VLOOKUP(AvgV2F[[#This Row],[Pheno]],#REF!,2,FALSE),"DEAD")</f>
        <v>#REF!</v>
      </c>
    </row>
    <row r="109" spans="1:8" x14ac:dyDescent="0.25">
      <c r="A109" t="s">
        <v>139</v>
      </c>
      <c r="B109" t="s">
        <v>142</v>
      </c>
      <c r="C109">
        <v>14.5</v>
      </c>
      <c r="E109">
        <v>30.785714285714285</v>
      </c>
      <c r="F109">
        <v>1.1495340671022296</v>
      </c>
      <c r="G109">
        <f>AvgV2F[[#This Row],[Flower 5]]/AvgV2F[[#This Row],[Veg 5]]</f>
        <v>2.1231527093596059</v>
      </c>
      <c r="H109" t="e">
        <f>_xlfn.IFNA(VLOOKUP(AvgV2F[[#This Row],[Pheno]],#REF!,2,FALSE),"DEAD")</f>
        <v>#REF!</v>
      </c>
    </row>
    <row r="110" spans="1:8" x14ac:dyDescent="0.25">
      <c r="A110" t="s">
        <v>139</v>
      </c>
      <c r="B110" t="s">
        <v>54</v>
      </c>
      <c r="C110">
        <v>14.5</v>
      </c>
      <c r="E110">
        <v>30.9</v>
      </c>
      <c r="F110">
        <v>1.8841443681416652</v>
      </c>
      <c r="G110">
        <f>AvgV2F[[#This Row],[Flower 5]]/AvgV2F[[#This Row],[Veg 5]]</f>
        <v>2.1310344827586207</v>
      </c>
      <c r="H110" t="e">
        <f>_xlfn.IFNA(VLOOKUP(AvgV2F[[#This Row],[Pheno]],#REF!,2,FALSE),"DEAD")</f>
        <v>#REF!</v>
      </c>
    </row>
    <row r="111" spans="1:8" x14ac:dyDescent="0.25">
      <c r="A111" t="s">
        <v>139</v>
      </c>
      <c r="B111" t="s">
        <v>23</v>
      </c>
      <c r="C111">
        <v>21.666666666666668</v>
      </c>
      <c r="E111">
        <v>46.404761904761905</v>
      </c>
      <c r="F111">
        <v>3.4373647159526626</v>
      </c>
      <c r="G111">
        <f>AvgV2F[[#This Row],[Flower 5]]/AvgV2F[[#This Row],[Veg 5]]</f>
        <v>2.1417582417582417</v>
      </c>
      <c r="H111" t="e">
        <f>_xlfn.IFNA(VLOOKUP(AvgV2F[[#This Row],[Pheno]],#REF!,2,FALSE),"DEAD")</f>
        <v>#REF!</v>
      </c>
    </row>
    <row r="112" spans="1:8" x14ac:dyDescent="0.25">
      <c r="A112" t="s">
        <v>139</v>
      </c>
      <c r="B112" t="s">
        <v>131</v>
      </c>
      <c r="C112">
        <v>16.833333333333332</v>
      </c>
      <c r="E112">
        <v>36.071428571428569</v>
      </c>
      <c r="F112">
        <v>0.60749289629402714</v>
      </c>
      <c r="G112">
        <f>AvgV2F[[#This Row],[Flower 5]]/AvgV2F[[#This Row],[Veg 5]]</f>
        <v>2.1428571428571428</v>
      </c>
      <c r="H112" t="e">
        <f>_xlfn.IFNA(VLOOKUP(AvgV2F[[#This Row],[Pheno]],#REF!,2,FALSE),"DEAD")</f>
        <v>#REF!</v>
      </c>
    </row>
    <row r="113" spans="1:8" x14ac:dyDescent="0.25">
      <c r="A113" t="s">
        <v>139</v>
      </c>
      <c r="B113" t="s">
        <v>3</v>
      </c>
      <c r="C113">
        <v>16</v>
      </c>
      <c r="E113">
        <v>34.5</v>
      </c>
      <c r="F113">
        <v>0.57735026918962573</v>
      </c>
      <c r="G113">
        <f>AvgV2F[[#This Row],[Flower 5]]/AvgV2F[[#This Row],[Veg 5]]</f>
        <v>2.15625</v>
      </c>
      <c r="H113" t="e">
        <f>_xlfn.IFNA(VLOOKUP(AvgV2F[[#This Row],[Pheno]],#REF!,2,FALSE),"DEAD")</f>
        <v>#REF!</v>
      </c>
    </row>
    <row r="114" spans="1:8" x14ac:dyDescent="0.25">
      <c r="A114" t="s">
        <v>139</v>
      </c>
      <c r="B114" t="s">
        <v>144</v>
      </c>
      <c r="C114">
        <v>14.5</v>
      </c>
      <c r="E114">
        <v>32.5</v>
      </c>
      <c r="F114">
        <v>0.8660254037844386</v>
      </c>
      <c r="G114">
        <f>AvgV2F[[#This Row],[Flower 5]]/AvgV2F[[#This Row],[Veg 5]]</f>
        <v>2.2413793103448274</v>
      </c>
      <c r="H114" t="e">
        <f>_xlfn.IFNA(VLOOKUP(AvgV2F[[#This Row],[Pheno]],#REF!,2,FALSE),"DEAD")</f>
        <v>#REF!</v>
      </c>
    </row>
    <row r="115" spans="1:8" x14ac:dyDescent="0.25">
      <c r="A115" t="s">
        <v>139</v>
      </c>
      <c r="B115" t="s">
        <v>132</v>
      </c>
      <c r="C115">
        <v>13.25</v>
      </c>
      <c r="E115">
        <v>29.821428571428573</v>
      </c>
      <c r="F115">
        <v>4.7255733997097007</v>
      </c>
      <c r="G115">
        <f>AvgV2F[[#This Row],[Flower 5]]/AvgV2F[[#This Row],[Veg 5]]</f>
        <v>2.2506738544474394</v>
      </c>
      <c r="H115" t="e">
        <f>_xlfn.IFNA(VLOOKUP(AvgV2F[[#This Row],[Pheno]],#REF!,2,FALSE),"DEAD")</f>
        <v>#REF!</v>
      </c>
    </row>
    <row r="116" spans="1:8" x14ac:dyDescent="0.25">
      <c r="A116" t="s">
        <v>139</v>
      </c>
      <c r="B116" t="s">
        <v>61</v>
      </c>
      <c r="C116">
        <v>16.75</v>
      </c>
      <c r="E116">
        <v>37.729166666666664</v>
      </c>
      <c r="F116">
        <v>2.2888157497343444</v>
      </c>
      <c r="G116">
        <f>AvgV2F[[#This Row],[Flower 5]]/AvgV2F[[#This Row],[Veg 5]]</f>
        <v>2.2524875621890548</v>
      </c>
      <c r="H116" t="e">
        <f>_xlfn.IFNA(VLOOKUP(AvgV2F[[#This Row],[Pheno]],#REF!,2,FALSE),"DEAD")</f>
        <v>#REF!</v>
      </c>
    </row>
    <row r="117" spans="1:8" x14ac:dyDescent="0.25">
      <c r="A117" t="s">
        <v>139</v>
      </c>
      <c r="B117" t="s">
        <v>30</v>
      </c>
      <c r="C117">
        <v>17.833333333333332</v>
      </c>
      <c r="E117">
        <v>40.416666666666664</v>
      </c>
      <c r="F117">
        <v>3.07272951407487</v>
      </c>
      <c r="G117">
        <f>AvgV2F[[#This Row],[Flower 5]]/AvgV2F[[#This Row],[Veg 5]]</f>
        <v>2.2663551401869158</v>
      </c>
      <c r="H117" t="e">
        <f>_xlfn.IFNA(VLOOKUP(AvgV2F[[#This Row],[Pheno]],#REF!,2,FALSE),"DEAD")</f>
        <v>#REF!</v>
      </c>
    </row>
    <row r="118" spans="1:8" x14ac:dyDescent="0.25">
      <c r="A118" t="s">
        <v>139</v>
      </c>
      <c r="B118" t="s">
        <v>7</v>
      </c>
      <c r="C118">
        <v>17</v>
      </c>
      <c r="E118">
        <v>38.666666666666664</v>
      </c>
      <c r="F118">
        <v>2.8867513459481549</v>
      </c>
      <c r="G118">
        <f>AvgV2F[[#This Row],[Flower 5]]/AvgV2F[[#This Row],[Veg 5]]</f>
        <v>2.2745098039215685</v>
      </c>
      <c r="H118" t="e">
        <f>_xlfn.IFNA(VLOOKUP(AvgV2F[[#This Row],[Pheno]],#REF!,2,FALSE),"DEAD")</f>
        <v>#REF!</v>
      </c>
    </row>
    <row r="119" spans="1:8" x14ac:dyDescent="0.25">
      <c r="A119" t="s">
        <v>139</v>
      </c>
      <c r="B119" t="s">
        <v>98</v>
      </c>
      <c r="C119">
        <v>17.75</v>
      </c>
      <c r="E119">
        <v>41.5</v>
      </c>
      <c r="F119">
        <v>1.8708286933869707</v>
      </c>
      <c r="G119">
        <f>AvgV2F[[#This Row],[Flower 5]]/AvgV2F[[#This Row],[Veg 5]]</f>
        <v>2.3380281690140845</v>
      </c>
      <c r="H119" t="e">
        <f>_xlfn.IFNA(VLOOKUP(AvgV2F[[#This Row],[Pheno]],#REF!,2,FALSE),"DEAD")</f>
        <v>#REF!</v>
      </c>
    </row>
    <row r="120" spans="1:8" x14ac:dyDescent="0.25">
      <c r="A120" t="s">
        <v>139</v>
      </c>
      <c r="B120" t="s">
        <v>133</v>
      </c>
      <c r="C120">
        <v>15.125</v>
      </c>
      <c r="E120">
        <v>35.375</v>
      </c>
      <c r="F120">
        <v>1.3024701806293193</v>
      </c>
      <c r="G120">
        <f>AvgV2F[[#This Row],[Flower 5]]/AvgV2F[[#This Row],[Veg 5]]</f>
        <v>2.3388429752066116</v>
      </c>
      <c r="H120" t="e">
        <f>_xlfn.IFNA(VLOOKUP(AvgV2F[[#This Row],[Pheno]],#REF!,2,FALSE),"DEAD")</f>
        <v>#REF!</v>
      </c>
    </row>
    <row r="121" spans="1:8" x14ac:dyDescent="0.25">
      <c r="A121" t="s">
        <v>139</v>
      </c>
      <c r="B121" t="s">
        <v>2</v>
      </c>
      <c r="C121">
        <v>12.75</v>
      </c>
      <c r="E121">
        <v>30.1</v>
      </c>
      <c r="F121">
        <v>1.5165750888102951</v>
      </c>
      <c r="G121">
        <f>AvgV2F[[#This Row],[Flower 5]]/AvgV2F[[#This Row],[Veg 5]]</f>
        <v>2.3607843137254902</v>
      </c>
      <c r="H121" t="e">
        <f>_xlfn.IFNA(VLOOKUP(AvgV2F[[#This Row],[Pheno]],#REF!,2,FALSE),"DEAD")</f>
        <v>#REF!</v>
      </c>
    </row>
    <row r="122" spans="1:8" x14ac:dyDescent="0.25">
      <c r="A122" t="s">
        <v>139</v>
      </c>
      <c r="B122" t="s">
        <v>128</v>
      </c>
      <c r="C122">
        <v>14.75</v>
      </c>
      <c r="E122">
        <v>35</v>
      </c>
      <c r="F122">
        <v>0.61237243569579447</v>
      </c>
      <c r="G122">
        <f>AvgV2F[[#This Row],[Flower 5]]/AvgV2F[[#This Row],[Veg 5]]</f>
        <v>2.3728813559322033</v>
      </c>
      <c r="H122" t="e">
        <f>_xlfn.IFNA(VLOOKUP(AvgV2F[[#This Row],[Pheno]],#REF!,2,FALSE),"DEAD")</f>
        <v>#REF!</v>
      </c>
    </row>
    <row r="123" spans="1:8" x14ac:dyDescent="0.25">
      <c r="A123" t="s">
        <v>139</v>
      </c>
      <c r="B123" t="s">
        <v>45</v>
      </c>
      <c r="C123">
        <v>14.5</v>
      </c>
      <c r="E123">
        <v>35.25</v>
      </c>
      <c r="F123">
        <v>0.6454972243679028</v>
      </c>
      <c r="G123">
        <f>AvgV2F[[#This Row],[Flower 5]]/AvgV2F[[#This Row],[Veg 5]]</f>
        <v>2.4310344827586206</v>
      </c>
      <c r="H123" t="e">
        <f>_xlfn.IFNA(VLOOKUP(AvgV2F[[#This Row],[Pheno]],#REF!,2,FALSE),"DEAD")</f>
        <v>#REF!</v>
      </c>
    </row>
    <row r="124" spans="1:8" x14ac:dyDescent="0.25">
      <c r="A124" t="s">
        <v>139</v>
      </c>
      <c r="B124" t="s">
        <v>62</v>
      </c>
      <c r="C124">
        <v>19.75</v>
      </c>
      <c r="E124">
        <v>48.363636363636367</v>
      </c>
      <c r="F124">
        <v>1.8586407545692059</v>
      </c>
      <c r="G124">
        <f>AvgV2F[[#This Row],[Flower 5]]/AvgV2F[[#This Row],[Veg 5]]</f>
        <v>2.4487917146144995</v>
      </c>
      <c r="H124" t="e">
        <f>_xlfn.IFNA(VLOOKUP(AvgV2F[[#This Row],[Pheno]],#REF!,2,FALSE),"DEAD")</f>
        <v>#REF!</v>
      </c>
    </row>
    <row r="125" spans="1:8" x14ac:dyDescent="0.25">
      <c r="A125" t="s">
        <v>139</v>
      </c>
      <c r="B125" t="s">
        <v>145</v>
      </c>
      <c r="C125">
        <v>12</v>
      </c>
      <c r="E125">
        <v>29.928571428571427</v>
      </c>
      <c r="F125">
        <v>0.9322272357357696</v>
      </c>
      <c r="G125">
        <f>AvgV2F[[#This Row],[Flower 5]]/AvgV2F[[#This Row],[Veg 5]]</f>
        <v>2.4940476190476191</v>
      </c>
      <c r="H125" t="e">
        <f>_xlfn.IFNA(VLOOKUP(AvgV2F[[#This Row],[Pheno]],#REF!,2,FALSE),"DEAD")</f>
        <v>#REF!</v>
      </c>
    </row>
    <row r="126" spans="1:8" x14ac:dyDescent="0.25">
      <c r="A126" t="s">
        <v>139</v>
      </c>
      <c r="B126" t="s">
        <v>42</v>
      </c>
      <c r="C126">
        <v>17.6875</v>
      </c>
      <c r="E126">
        <v>44.266666666666666</v>
      </c>
      <c r="F126">
        <v>2.7377432485969471</v>
      </c>
      <c r="G126">
        <f>AvgV2F[[#This Row],[Flower 5]]/AvgV2F[[#This Row],[Veg 5]]</f>
        <v>2.5027090694935219</v>
      </c>
      <c r="H126" t="e">
        <f>_xlfn.IFNA(VLOOKUP(AvgV2F[[#This Row],[Pheno]],#REF!,2,FALSE),"DEAD")</f>
        <v>#REF!</v>
      </c>
    </row>
    <row r="127" spans="1:8" x14ac:dyDescent="0.25">
      <c r="A127" t="s">
        <v>139</v>
      </c>
      <c r="B127" t="s">
        <v>141</v>
      </c>
      <c r="C127">
        <v>14</v>
      </c>
      <c r="E127">
        <v>37.1</v>
      </c>
      <c r="F127">
        <v>0.89442719099989043</v>
      </c>
      <c r="G127">
        <f>AvgV2F[[#This Row],[Flower 5]]/AvgV2F[[#This Row],[Veg 5]]</f>
        <v>2.65</v>
      </c>
      <c r="H127" t="e">
        <f>_xlfn.IFNA(VLOOKUP(AvgV2F[[#This Row],[Pheno]],#REF!,2,FALSE),"DEAD")</f>
        <v>#REF!</v>
      </c>
    </row>
    <row r="128" spans="1:8" x14ac:dyDescent="0.25">
      <c r="A128" t="s">
        <v>139</v>
      </c>
      <c r="B128" t="s">
        <v>143</v>
      </c>
      <c r="C128">
        <v>12.833333333333334</v>
      </c>
      <c r="E128">
        <v>34.5</v>
      </c>
      <c r="F128">
        <v>0.89442719099991586</v>
      </c>
      <c r="G128">
        <f>AvgV2F[[#This Row],[Flower 5]]/AvgV2F[[#This Row],[Veg 5]]</f>
        <v>2.6883116883116882</v>
      </c>
      <c r="H128" t="e">
        <f>_xlfn.IFNA(VLOOKUP(AvgV2F[[#This Row],[Pheno]],#REF!,2,FALSE),"DEAD")</f>
        <v>#REF!</v>
      </c>
    </row>
    <row r="129" spans="1:8" x14ac:dyDescent="0.25">
      <c r="A129" t="s">
        <v>139</v>
      </c>
      <c r="B129" t="s">
        <v>117</v>
      </c>
      <c r="C129">
        <v>15.571428571428571</v>
      </c>
      <c r="E129">
        <v>42.25</v>
      </c>
      <c r="F129">
        <v>2.3011854652449344</v>
      </c>
      <c r="G129">
        <f>AvgV2F[[#This Row],[Flower 5]]/AvgV2F[[#This Row],[Veg 5]]</f>
        <v>2.7133027522935782</v>
      </c>
      <c r="H129" t="e">
        <f>_xlfn.IFNA(VLOOKUP(AvgV2F[[#This Row],[Pheno]],#REF!,2,FALSE),"DEAD")</f>
        <v>#REF!</v>
      </c>
    </row>
    <row r="130" spans="1:8" x14ac:dyDescent="0.25">
      <c r="A130" t="s">
        <v>139</v>
      </c>
      <c r="B130" t="s">
        <v>28</v>
      </c>
      <c r="C130">
        <v>15.5</v>
      </c>
      <c r="E130">
        <v>42.333333333333336</v>
      </c>
      <c r="F130">
        <v>1.1547005383793172</v>
      </c>
      <c r="G130">
        <f>AvgV2F[[#This Row],[Flower 5]]/AvgV2F[[#This Row],[Veg 5]]</f>
        <v>2.731182795698925</v>
      </c>
      <c r="H130" t="e">
        <f>_xlfn.IFNA(VLOOKUP(AvgV2F[[#This Row],[Pheno]],#REF!,2,FALSE),"DEAD")</f>
        <v>#REF!</v>
      </c>
    </row>
    <row r="131" spans="1:8" x14ac:dyDescent="0.25">
      <c r="A131" t="s">
        <v>139</v>
      </c>
      <c r="B131" t="s">
        <v>8</v>
      </c>
      <c r="C131">
        <v>12.833333333333334</v>
      </c>
      <c r="E131">
        <v>35.428571428571431</v>
      </c>
      <c r="F131">
        <v>1.5118578920369374</v>
      </c>
      <c r="G131">
        <f>AvgV2F[[#This Row],[Flower 5]]/AvgV2F[[#This Row],[Veg 5]]</f>
        <v>2.7606679035250465</v>
      </c>
      <c r="H131" t="e">
        <f>_xlfn.IFNA(VLOOKUP(AvgV2F[[#This Row],[Pheno]],#REF!,2,FALSE),"DEAD")</f>
        <v>#REF!</v>
      </c>
    </row>
    <row r="132" spans="1:8" x14ac:dyDescent="0.25">
      <c r="A132" t="s">
        <v>139</v>
      </c>
      <c r="B132" t="s">
        <v>47</v>
      </c>
      <c r="C132">
        <v>10</v>
      </c>
      <c r="E132">
        <v>30</v>
      </c>
      <c r="F132">
        <v>1.7795130420052185</v>
      </c>
      <c r="G132">
        <f>AvgV2F[[#This Row],[Flower 5]]/AvgV2F[[#This Row],[Veg 5]]</f>
        <v>3</v>
      </c>
      <c r="H132" t="e">
        <f>_xlfn.IFNA(VLOOKUP(AvgV2F[[#This Row],[Pheno]],#REF!,2,FALSE),"DEAD")</f>
        <v>#REF!</v>
      </c>
    </row>
    <row r="133" spans="1:8" x14ac:dyDescent="0.25">
      <c r="A133" t="s">
        <v>139</v>
      </c>
      <c r="B133" t="s">
        <v>53</v>
      </c>
      <c r="C133">
        <v>10</v>
      </c>
      <c r="E133">
        <v>30.25</v>
      </c>
      <c r="F133">
        <v>3.1819805153394638</v>
      </c>
      <c r="G133">
        <f>AvgV2F[[#This Row],[Flower 5]]/AvgV2F[[#This Row],[Veg 5]]</f>
        <v>3.0249999999999999</v>
      </c>
      <c r="H133" t="e">
        <f>_xlfn.IFNA(VLOOKUP(AvgV2F[[#This Row],[Pheno]],#REF!,2,FALSE),"DEAD")</f>
        <v>#REF!</v>
      </c>
    </row>
    <row r="134" spans="1:8" x14ac:dyDescent="0.25">
      <c r="A134" t="s">
        <v>150</v>
      </c>
      <c r="B134" t="s">
        <v>41</v>
      </c>
      <c r="C134">
        <v>12.75</v>
      </c>
      <c r="D134">
        <v>1.7677669529663689</v>
      </c>
      <c r="E134">
        <v>23</v>
      </c>
      <c r="F134">
        <v>0</v>
      </c>
      <c r="G134">
        <f>AvgV2F[[#This Row],[Flower 5]]/AvgV2F[[#This Row],[Veg 5]]</f>
        <v>1.803921568627451</v>
      </c>
      <c r="H134" t="e">
        <f>_xlfn.IFNA(VLOOKUP(AvgV2F[[#This Row],[Pheno]],#REF!,2,FALSE),"DEAD")</f>
        <v>#REF!</v>
      </c>
    </row>
    <row r="135" spans="1:8" x14ac:dyDescent="0.25">
      <c r="A135" t="s">
        <v>150</v>
      </c>
      <c r="B135" t="s">
        <v>149</v>
      </c>
      <c r="C135">
        <v>20.083333333333332</v>
      </c>
      <c r="D135">
        <v>2.3540744819709287</v>
      </c>
      <c r="E135">
        <v>37.25</v>
      </c>
      <c r="F135">
        <v>1.5</v>
      </c>
      <c r="G135">
        <f>AvgV2F[[#This Row],[Flower 5]]/AvgV2F[[#This Row],[Veg 5]]</f>
        <v>1.8547717842323652</v>
      </c>
      <c r="H135" t="e">
        <f>_xlfn.IFNA(VLOOKUP(AvgV2F[[#This Row],[Pheno]],#REF!,2,FALSE),"DEAD")</f>
        <v>#REF!</v>
      </c>
    </row>
    <row r="136" spans="1:8" x14ac:dyDescent="0.25">
      <c r="A136" t="s">
        <v>150</v>
      </c>
      <c r="B136" t="s">
        <v>20</v>
      </c>
      <c r="C136">
        <v>13.735294117647058</v>
      </c>
      <c r="D136">
        <v>1.3932610920384707</v>
      </c>
      <c r="E136">
        <v>25.90625</v>
      </c>
      <c r="F136">
        <v>1.0680004681646913</v>
      </c>
      <c r="G136">
        <f>AvgV2F[[#This Row],[Flower 5]]/AvgV2F[[#This Row],[Veg 5]]</f>
        <v>1.8861081370449679</v>
      </c>
      <c r="H136" t="e">
        <f>_xlfn.IFNA(VLOOKUP(AvgV2F[[#This Row],[Pheno]],#REF!,2,FALSE),"DEAD")</f>
        <v>#REF!</v>
      </c>
    </row>
    <row r="137" spans="1:8" x14ac:dyDescent="0.25">
      <c r="A137" t="s">
        <v>150</v>
      </c>
      <c r="B137" t="s">
        <v>148</v>
      </c>
      <c r="C137">
        <v>17.333333333333332</v>
      </c>
      <c r="D137">
        <v>1.7795130420052125</v>
      </c>
      <c r="E137">
        <v>35.083333333333336</v>
      </c>
      <c r="F137">
        <v>1.3789543689024291</v>
      </c>
      <c r="G137">
        <f>AvgV2F[[#This Row],[Flower 5]]/AvgV2F[[#This Row],[Veg 5]]</f>
        <v>2.0240384615384617</v>
      </c>
      <c r="H137" t="e">
        <f>_xlfn.IFNA(VLOOKUP(AvgV2F[[#This Row],[Pheno]],#REF!,2,FALSE),"DEAD")</f>
        <v>#REF!</v>
      </c>
    </row>
    <row r="138" spans="1:8" x14ac:dyDescent="0.25">
      <c r="A138" t="s">
        <v>150</v>
      </c>
      <c r="B138" t="s">
        <v>130</v>
      </c>
      <c r="C138">
        <v>14.692307692307692</v>
      </c>
      <c r="D138">
        <v>1.5212174611483325</v>
      </c>
      <c r="E138">
        <v>30.035714285714285</v>
      </c>
      <c r="F138">
        <v>2.2486259540703299</v>
      </c>
      <c r="G138">
        <f>AvgV2F[[#This Row],[Flower 5]]/AvgV2F[[#This Row],[Veg 5]]</f>
        <v>2.0443156320119673</v>
      </c>
      <c r="H138" t="e">
        <f>_xlfn.IFNA(VLOOKUP(AvgV2F[[#This Row],[Pheno]],#REF!,2,FALSE),"DEAD")</f>
        <v>#REF!</v>
      </c>
    </row>
    <row r="139" spans="1:8" x14ac:dyDescent="0.25">
      <c r="A139" t="s">
        <v>150</v>
      </c>
      <c r="B139" t="s">
        <v>6</v>
      </c>
      <c r="C139">
        <v>16.166666666666668</v>
      </c>
      <c r="D139">
        <v>1.5275252316519405</v>
      </c>
      <c r="E139">
        <v>34.25</v>
      </c>
      <c r="F139">
        <v>0.35355339059327379</v>
      </c>
      <c r="G139">
        <f>AvgV2F[[#This Row],[Flower 5]]/AvgV2F[[#This Row],[Veg 5]]</f>
        <v>2.1185567010309279</v>
      </c>
      <c r="H139" t="e">
        <f>_xlfn.IFNA(VLOOKUP(AvgV2F[[#This Row],[Pheno]],#REF!,2,FALSE),"DEAD")</f>
        <v>#REF!</v>
      </c>
    </row>
    <row r="140" spans="1:8" x14ac:dyDescent="0.25">
      <c r="A140" t="s">
        <v>150</v>
      </c>
      <c r="B140" t="s">
        <v>129</v>
      </c>
      <c r="C140">
        <v>13.3</v>
      </c>
      <c r="D140">
        <v>1.0368220676663806</v>
      </c>
      <c r="E140">
        <v>28.5</v>
      </c>
      <c r="F140">
        <v>0</v>
      </c>
      <c r="G140">
        <f>AvgV2F[[#This Row],[Flower 5]]/AvgV2F[[#This Row],[Veg 5]]</f>
        <v>2.1428571428571428</v>
      </c>
      <c r="H140" t="e">
        <f>_xlfn.IFNA(VLOOKUP(AvgV2F[[#This Row],[Pheno]],#REF!,2,FALSE),"DEAD")</f>
        <v>#REF!</v>
      </c>
    </row>
    <row r="141" spans="1:8" x14ac:dyDescent="0.25">
      <c r="A141" t="s">
        <v>150</v>
      </c>
      <c r="B141" t="s">
        <v>25</v>
      </c>
      <c r="C141">
        <v>18.214285714285715</v>
      </c>
      <c r="D141">
        <v>2.3268617737815314</v>
      </c>
      <c r="E141">
        <v>39.39473684210526</v>
      </c>
      <c r="F141">
        <v>1.2864566686188408</v>
      </c>
      <c r="G141">
        <f>AvgV2F[[#This Row],[Flower 5]]/AvgV2F[[#This Row],[Veg 5]]</f>
        <v>2.162848297213622</v>
      </c>
      <c r="H141" t="e">
        <f>_xlfn.IFNA(VLOOKUP(AvgV2F[[#This Row],[Pheno]],#REF!,2,FALSE),"DEAD")</f>
        <v>#REF!</v>
      </c>
    </row>
    <row r="142" spans="1:8" x14ac:dyDescent="0.25">
      <c r="A142" t="s">
        <v>150</v>
      </c>
      <c r="B142" t="s">
        <v>58</v>
      </c>
      <c r="C142">
        <v>12</v>
      </c>
      <c r="D142">
        <v>0.63245553203367588</v>
      </c>
      <c r="E142">
        <v>26.166666666666668</v>
      </c>
      <c r="F142">
        <v>1.9407902170679361</v>
      </c>
      <c r="G142">
        <f>AvgV2F[[#This Row],[Flower 5]]/AvgV2F[[#This Row],[Veg 5]]</f>
        <v>2.1805555555555558</v>
      </c>
      <c r="H142" t="e">
        <f>_xlfn.IFNA(VLOOKUP(AvgV2F[[#This Row],[Pheno]],#REF!,2,FALSE),"DEAD")</f>
        <v>#REF!</v>
      </c>
    </row>
    <row r="143" spans="1:8" x14ac:dyDescent="0.25">
      <c r="A143" t="s">
        <v>150</v>
      </c>
      <c r="B143" t="s">
        <v>57</v>
      </c>
      <c r="C143">
        <v>12.5</v>
      </c>
      <c r="D143">
        <v>0.9128709291752769</v>
      </c>
      <c r="E143">
        <v>28</v>
      </c>
      <c r="F143">
        <v>1.4142135623730951</v>
      </c>
      <c r="G143">
        <f>AvgV2F[[#This Row],[Flower 5]]/AvgV2F[[#This Row],[Veg 5]]</f>
        <v>2.2400000000000002</v>
      </c>
      <c r="H143" t="e">
        <f>_xlfn.IFNA(VLOOKUP(AvgV2F[[#This Row],[Pheno]],#REF!,2,FALSE),"DEAD")</f>
        <v>#REF!</v>
      </c>
    </row>
    <row r="144" spans="1:8" x14ac:dyDescent="0.25">
      <c r="A144" t="s">
        <v>150</v>
      </c>
      <c r="B144" t="s">
        <v>147</v>
      </c>
      <c r="C144">
        <v>14</v>
      </c>
      <c r="D144">
        <v>0.9128709291752769</v>
      </c>
      <c r="E144">
        <v>31.416666666666668</v>
      </c>
      <c r="F144">
        <v>1.1143009766964247</v>
      </c>
      <c r="G144">
        <f>AvgV2F[[#This Row],[Flower 5]]/AvgV2F[[#This Row],[Veg 5]]</f>
        <v>2.2440476190476191</v>
      </c>
      <c r="H144" t="e">
        <f>_xlfn.IFNA(VLOOKUP(AvgV2F[[#This Row],[Pheno]],#REF!,2,FALSE),"DEAD")</f>
        <v>#REF!</v>
      </c>
    </row>
    <row r="145" spans="1:8" x14ac:dyDescent="0.25">
      <c r="A145" t="s">
        <v>150</v>
      </c>
      <c r="B145" t="s">
        <v>26</v>
      </c>
      <c r="C145">
        <v>14.6</v>
      </c>
      <c r="D145">
        <v>1.3291601358251295</v>
      </c>
      <c r="E145">
        <v>33</v>
      </c>
      <c r="F145">
        <v>2.2803508501982761</v>
      </c>
      <c r="G145">
        <f>AvgV2F[[#This Row],[Flower 5]]/AvgV2F[[#This Row],[Veg 5]]</f>
        <v>2.2602739726027399</v>
      </c>
      <c r="H145" t="e">
        <f>_xlfn.IFNA(VLOOKUP(AvgV2F[[#This Row],[Pheno]],#REF!,2,FALSE),"DEAD")</f>
        <v>#REF!</v>
      </c>
    </row>
    <row r="146" spans="1:8" x14ac:dyDescent="0.25">
      <c r="A146" t="s">
        <v>150</v>
      </c>
      <c r="B146" t="s">
        <v>142</v>
      </c>
      <c r="C146">
        <v>14.5</v>
      </c>
      <c r="D146">
        <v>1.2247448713915889</v>
      </c>
      <c r="E146">
        <v>33.166666666666664</v>
      </c>
      <c r="F146">
        <v>2.639444385977209</v>
      </c>
      <c r="G146">
        <f>AvgV2F[[#This Row],[Flower 5]]/AvgV2F[[#This Row],[Veg 5]]</f>
        <v>2.2873563218390802</v>
      </c>
      <c r="H146" t="e">
        <f>_xlfn.IFNA(VLOOKUP(AvgV2F[[#This Row],[Pheno]],#REF!,2,FALSE),"DEAD")</f>
        <v>#REF!</v>
      </c>
    </row>
    <row r="147" spans="1:8" x14ac:dyDescent="0.25">
      <c r="A147" t="s">
        <v>150</v>
      </c>
      <c r="B147" t="s">
        <v>128</v>
      </c>
      <c r="C147">
        <v>17.5</v>
      </c>
      <c r="D147">
        <v>2.6457513110645907</v>
      </c>
      <c r="E147">
        <v>40.25</v>
      </c>
      <c r="F147">
        <v>0.6454972243679028</v>
      </c>
      <c r="G147">
        <f>AvgV2F[[#This Row],[Flower 5]]/AvgV2F[[#This Row],[Veg 5]]</f>
        <v>2.2999999999999998</v>
      </c>
      <c r="H147" t="e">
        <f>_xlfn.IFNA(VLOOKUP(AvgV2F[[#This Row],[Pheno]],#REF!,2,FALSE),"DEAD")</f>
        <v>#REF!</v>
      </c>
    </row>
    <row r="148" spans="1:8" x14ac:dyDescent="0.25">
      <c r="A148" t="s">
        <v>150</v>
      </c>
      <c r="B148" t="s">
        <v>12</v>
      </c>
      <c r="C148">
        <v>16.5</v>
      </c>
      <c r="E148">
        <v>38</v>
      </c>
      <c r="G148">
        <f>AvgV2F[[#This Row],[Flower 5]]/AvgV2F[[#This Row],[Veg 5]]</f>
        <v>2.3030303030303032</v>
      </c>
      <c r="H148" t="e">
        <f>_xlfn.IFNA(VLOOKUP(AvgV2F[[#This Row],[Pheno]],#REF!,2,FALSE),"DEAD")</f>
        <v>#REF!</v>
      </c>
    </row>
    <row r="149" spans="1:8" x14ac:dyDescent="0.25">
      <c r="A149" t="s">
        <v>150</v>
      </c>
      <c r="B149" t="s">
        <v>99</v>
      </c>
      <c r="C149">
        <v>15.7</v>
      </c>
      <c r="D149">
        <v>1.8234582528810437</v>
      </c>
      <c r="E149">
        <v>36.166666666666664</v>
      </c>
      <c r="F149">
        <v>1.2583057392117616</v>
      </c>
      <c r="G149">
        <f>AvgV2F[[#This Row],[Flower 5]]/AvgV2F[[#This Row],[Veg 5]]</f>
        <v>2.3036093418259025</v>
      </c>
      <c r="H149" t="e">
        <f>_xlfn.IFNA(VLOOKUP(AvgV2F[[#This Row],[Pheno]],#REF!,2,FALSE),"DEAD")</f>
        <v>#REF!</v>
      </c>
    </row>
    <row r="150" spans="1:8" x14ac:dyDescent="0.25">
      <c r="A150" t="s">
        <v>150</v>
      </c>
      <c r="B150" t="s">
        <v>56</v>
      </c>
      <c r="C150">
        <v>16.904761904761905</v>
      </c>
      <c r="D150">
        <v>2.0038653124589469</v>
      </c>
      <c r="E150">
        <v>39</v>
      </c>
      <c r="F150">
        <v>1.3944333775567925</v>
      </c>
      <c r="G150">
        <f>AvgV2F[[#This Row],[Flower 5]]/AvgV2F[[#This Row],[Veg 5]]</f>
        <v>2.3070422535211268</v>
      </c>
      <c r="H150" t="e">
        <f>_xlfn.IFNA(VLOOKUP(AvgV2F[[#This Row],[Pheno]],#REF!,2,FALSE),"DEAD")</f>
        <v>#REF!</v>
      </c>
    </row>
    <row r="151" spans="1:8" x14ac:dyDescent="0.25">
      <c r="A151" t="s">
        <v>150</v>
      </c>
      <c r="B151" t="s">
        <v>21</v>
      </c>
      <c r="C151">
        <v>15.6</v>
      </c>
      <c r="D151">
        <v>1.9550504398153599</v>
      </c>
      <c r="E151">
        <v>36.625</v>
      </c>
      <c r="F151">
        <v>1.7017148213885114</v>
      </c>
      <c r="G151">
        <f>AvgV2F[[#This Row],[Flower 5]]/AvgV2F[[#This Row],[Veg 5]]</f>
        <v>2.3477564102564101</v>
      </c>
      <c r="H151" t="e">
        <f>_xlfn.IFNA(VLOOKUP(AvgV2F[[#This Row],[Pheno]],#REF!,2,FALSE),"DEAD")</f>
        <v>#REF!</v>
      </c>
    </row>
    <row r="152" spans="1:8" x14ac:dyDescent="0.25">
      <c r="A152" t="s">
        <v>150</v>
      </c>
      <c r="B152" t="s">
        <v>9</v>
      </c>
      <c r="C152">
        <v>14</v>
      </c>
      <c r="D152">
        <v>1.4142135623730951</v>
      </c>
      <c r="E152">
        <v>33</v>
      </c>
      <c r="G152">
        <f>AvgV2F[[#This Row],[Flower 5]]/AvgV2F[[#This Row],[Veg 5]]</f>
        <v>2.3571428571428572</v>
      </c>
      <c r="H152" t="e">
        <f>_xlfn.IFNA(VLOOKUP(AvgV2F[[#This Row],[Pheno]],#REF!,2,FALSE),"DEAD")</f>
        <v>#REF!</v>
      </c>
    </row>
    <row r="153" spans="1:8" x14ac:dyDescent="0.25">
      <c r="A153" t="s">
        <v>150</v>
      </c>
      <c r="B153" t="s">
        <v>63</v>
      </c>
      <c r="C153">
        <v>20.785714285714285</v>
      </c>
      <c r="D153">
        <v>0.9511897312113532</v>
      </c>
      <c r="E153">
        <v>49.285714285714285</v>
      </c>
      <c r="F153">
        <v>0.75592894601856908</v>
      </c>
      <c r="G153">
        <f>AvgV2F[[#This Row],[Flower 5]]/AvgV2F[[#This Row],[Veg 5]]</f>
        <v>2.3711340206185567</v>
      </c>
      <c r="H153" t="e">
        <f>_xlfn.IFNA(VLOOKUP(AvgV2F[[#This Row],[Pheno]],#REF!,2,FALSE),"DEAD")</f>
        <v>#REF!</v>
      </c>
    </row>
    <row r="154" spans="1:8" x14ac:dyDescent="0.25">
      <c r="A154" t="s">
        <v>150</v>
      </c>
      <c r="B154" t="s">
        <v>122</v>
      </c>
      <c r="C154">
        <v>16.75</v>
      </c>
      <c r="D154">
        <v>1.96143371598997</v>
      </c>
      <c r="E154">
        <v>40.200000000000003</v>
      </c>
      <c r="F154">
        <v>0.75277265270910787</v>
      </c>
      <c r="G154">
        <f>AvgV2F[[#This Row],[Flower 5]]/AvgV2F[[#This Row],[Veg 5]]</f>
        <v>2.4000000000000004</v>
      </c>
      <c r="H154" t="e">
        <f>_xlfn.IFNA(VLOOKUP(AvgV2F[[#This Row],[Pheno]],#REF!,2,FALSE),"DEAD")</f>
        <v>#REF!</v>
      </c>
    </row>
    <row r="155" spans="1:8" x14ac:dyDescent="0.25">
      <c r="A155" t="s">
        <v>150</v>
      </c>
      <c r="B155" t="s">
        <v>5</v>
      </c>
      <c r="C155">
        <v>15.375</v>
      </c>
      <c r="D155">
        <v>0.95431351542052767</v>
      </c>
      <c r="E155">
        <v>36.9375</v>
      </c>
      <c r="F155">
        <v>1.8791620472966135</v>
      </c>
      <c r="G155">
        <f>AvgV2F[[#This Row],[Flower 5]]/AvgV2F[[#This Row],[Veg 5]]</f>
        <v>2.4024390243902438</v>
      </c>
      <c r="H155" t="e">
        <f>_xlfn.IFNA(VLOOKUP(AvgV2F[[#This Row],[Pheno]],#REF!,2,FALSE),"DEAD")</f>
        <v>#REF!</v>
      </c>
    </row>
    <row r="156" spans="1:8" x14ac:dyDescent="0.25">
      <c r="A156" t="s">
        <v>150</v>
      </c>
      <c r="B156" t="s">
        <v>59</v>
      </c>
      <c r="C156">
        <v>12.833333333333334</v>
      </c>
      <c r="D156">
        <v>1.4577379737113252</v>
      </c>
      <c r="E156">
        <v>31.125</v>
      </c>
      <c r="F156">
        <v>0.64086994446165568</v>
      </c>
      <c r="G156">
        <f>AvgV2F[[#This Row],[Flower 5]]/AvgV2F[[#This Row],[Veg 5]]</f>
        <v>2.4253246753246751</v>
      </c>
      <c r="H156" t="e">
        <f>_xlfn.IFNA(VLOOKUP(AvgV2F[[#This Row],[Pheno]],#REF!,2,FALSE),"DEAD")</f>
        <v>#REF!</v>
      </c>
    </row>
    <row r="157" spans="1:8" x14ac:dyDescent="0.25">
      <c r="A157" t="s">
        <v>150</v>
      </c>
      <c r="B157" t="s">
        <v>22</v>
      </c>
      <c r="C157">
        <v>15.458333333333334</v>
      </c>
      <c r="D157">
        <v>1.5441728196577231</v>
      </c>
      <c r="E157">
        <v>37.833333333333336</v>
      </c>
      <c r="F157">
        <v>1.6560266430297408</v>
      </c>
      <c r="G157">
        <f>AvgV2F[[#This Row],[Flower 5]]/AvgV2F[[#This Row],[Veg 5]]</f>
        <v>2.4474393530997305</v>
      </c>
      <c r="H157" t="e">
        <f>_xlfn.IFNA(VLOOKUP(AvgV2F[[#This Row],[Pheno]],#REF!,2,FALSE),"DEAD")</f>
        <v>#REF!</v>
      </c>
    </row>
    <row r="158" spans="1:8" x14ac:dyDescent="0.25">
      <c r="A158" t="s">
        <v>150</v>
      </c>
      <c r="B158" t="s">
        <v>143</v>
      </c>
      <c r="C158">
        <v>15</v>
      </c>
      <c r="D158">
        <v>2.9439202887759488</v>
      </c>
      <c r="E158">
        <v>37.375</v>
      </c>
      <c r="F158">
        <v>1.181453906563152</v>
      </c>
      <c r="G158">
        <f>AvgV2F[[#This Row],[Flower 5]]/AvgV2F[[#This Row],[Veg 5]]</f>
        <v>2.4916666666666667</v>
      </c>
      <c r="H158" t="e">
        <f>_xlfn.IFNA(VLOOKUP(AvgV2F[[#This Row],[Pheno]],#REF!,2,FALSE),"DEAD")</f>
        <v>#REF!</v>
      </c>
    </row>
    <row r="159" spans="1:8" x14ac:dyDescent="0.25">
      <c r="A159" t="s">
        <v>150</v>
      </c>
      <c r="B159" t="s">
        <v>146</v>
      </c>
      <c r="C159">
        <v>15.3125</v>
      </c>
      <c r="D159">
        <v>0.96130491669248364</v>
      </c>
      <c r="E159">
        <v>39.25</v>
      </c>
      <c r="F159">
        <v>2.2173557826083452</v>
      </c>
      <c r="G159">
        <f>AvgV2F[[#This Row],[Flower 5]]/AvgV2F[[#This Row],[Veg 5]]</f>
        <v>2.5632653061224491</v>
      </c>
      <c r="H159" t="e">
        <f>_xlfn.IFNA(VLOOKUP(AvgV2F[[#This Row],[Pheno]],#REF!,2,FALSE),"DEAD")</f>
        <v>#REF!</v>
      </c>
    </row>
    <row r="160" spans="1:8" x14ac:dyDescent="0.25">
      <c r="A160" t="s">
        <v>150</v>
      </c>
      <c r="B160" t="s">
        <v>123</v>
      </c>
      <c r="C160">
        <v>17.921052631578949</v>
      </c>
      <c r="D160">
        <v>1.7501044246204334</v>
      </c>
      <c r="E160">
        <v>47.25</v>
      </c>
      <c r="F160">
        <v>2.2377115411009685</v>
      </c>
      <c r="G160">
        <f>AvgV2F[[#This Row],[Flower 5]]/AvgV2F[[#This Row],[Veg 5]]</f>
        <v>2.6365638766519823</v>
      </c>
      <c r="H160" t="e">
        <f>_xlfn.IFNA(VLOOKUP(AvgV2F[[#This Row],[Pheno]],#REF!,2,FALSE),"DEAD")</f>
        <v>#REF!</v>
      </c>
    </row>
    <row r="161" spans="1:8" x14ac:dyDescent="0.25">
      <c r="A161" t="s">
        <v>150</v>
      </c>
      <c r="B161" t="s">
        <v>47</v>
      </c>
      <c r="C161">
        <v>12.125</v>
      </c>
      <c r="D161">
        <v>0.8539125638299665</v>
      </c>
      <c r="E161">
        <v>32.6</v>
      </c>
      <c r="F161">
        <v>1.2942179105544609</v>
      </c>
      <c r="G161">
        <f>AvgV2F[[#This Row],[Flower 5]]/AvgV2F[[#This Row],[Veg 5]]</f>
        <v>2.6886597938144332</v>
      </c>
      <c r="H161" t="e">
        <f>_xlfn.IFNA(VLOOKUP(AvgV2F[[#This Row],[Pheno]],#REF!,2,FALSE),"DEAD")</f>
        <v>#REF!</v>
      </c>
    </row>
    <row r="162" spans="1:8" x14ac:dyDescent="0.25">
      <c r="A162" t="s">
        <v>151</v>
      </c>
      <c r="B162" t="s">
        <v>153</v>
      </c>
      <c r="C162">
        <v>22.5</v>
      </c>
      <c r="D162">
        <v>1.5545631755148024</v>
      </c>
      <c r="E162">
        <v>39.416666666666664</v>
      </c>
      <c r="F162">
        <v>1.3197221929886562</v>
      </c>
      <c r="G162">
        <f>AvgV2F[[#This Row],[Flower 5]]/AvgV2F[[#This Row],[Veg 5]]</f>
        <v>1.7518518518518518</v>
      </c>
      <c r="H162" t="e">
        <f>_xlfn.IFNA(VLOOKUP(AvgV2F[[#This Row],[Pheno]],#REF!,2,FALSE),"DEAD")</f>
        <v>#REF!</v>
      </c>
    </row>
    <row r="163" spans="1:8" x14ac:dyDescent="0.25">
      <c r="A163" t="s">
        <v>151</v>
      </c>
      <c r="B163" t="s">
        <v>9</v>
      </c>
      <c r="C163">
        <v>18.75</v>
      </c>
      <c r="D163">
        <v>1.0408329997330663</v>
      </c>
      <c r="E163">
        <v>34.5</v>
      </c>
      <c r="F163">
        <v>0.40824829046386302</v>
      </c>
      <c r="G163">
        <f>AvgV2F[[#This Row],[Flower 5]]/AvgV2F[[#This Row],[Veg 5]]</f>
        <v>1.84</v>
      </c>
      <c r="H163" t="e">
        <f>_xlfn.IFNA(VLOOKUP(AvgV2F[[#This Row],[Pheno]],#REF!,2,FALSE),"DEAD")</f>
        <v>#REF!</v>
      </c>
    </row>
    <row r="164" spans="1:8" x14ac:dyDescent="0.25">
      <c r="A164" t="s">
        <v>151</v>
      </c>
      <c r="B164" t="s">
        <v>129</v>
      </c>
      <c r="C164">
        <v>15.590909090909092</v>
      </c>
      <c r="D164">
        <v>2.022599587389728</v>
      </c>
      <c r="E164">
        <v>29.75</v>
      </c>
      <c r="F164">
        <v>1.8142950880897701</v>
      </c>
      <c r="G164">
        <f>AvgV2F[[#This Row],[Flower 5]]/AvgV2F[[#This Row],[Veg 5]]</f>
        <v>1.9081632653061225</v>
      </c>
      <c r="H164" t="e">
        <f>_xlfn.IFNA(VLOOKUP(AvgV2F[[#This Row],[Pheno]],#REF!,2,FALSE),"DEAD")</f>
        <v>#REF!</v>
      </c>
    </row>
    <row r="165" spans="1:8" x14ac:dyDescent="0.25">
      <c r="A165" t="s">
        <v>151</v>
      </c>
      <c r="B165" t="s">
        <v>127</v>
      </c>
      <c r="C165">
        <v>20.625</v>
      </c>
      <c r="D165">
        <v>2.6468248559702281</v>
      </c>
      <c r="E165">
        <v>40</v>
      </c>
      <c r="F165">
        <v>2.2607766610417559</v>
      </c>
      <c r="G165">
        <f>AvgV2F[[#This Row],[Flower 5]]/AvgV2F[[#This Row],[Veg 5]]</f>
        <v>1.9393939393939394</v>
      </c>
      <c r="H165" t="e">
        <f>_xlfn.IFNA(VLOOKUP(AvgV2F[[#This Row],[Pheno]],#REF!,2,FALSE),"DEAD")</f>
        <v>#REF!</v>
      </c>
    </row>
    <row r="166" spans="1:8" x14ac:dyDescent="0.25">
      <c r="A166" t="s">
        <v>151</v>
      </c>
      <c r="B166" t="s">
        <v>10</v>
      </c>
      <c r="C166">
        <v>15.166666666666666</v>
      </c>
      <c r="D166">
        <v>2.7537852736430475</v>
      </c>
      <c r="E166">
        <v>29.5</v>
      </c>
      <c r="G166">
        <f>AvgV2F[[#This Row],[Flower 5]]/AvgV2F[[#This Row],[Veg 5]]</f>
        <v>1.945054945054945</v>
      </c>
      <c r="H166" t="e">
        <f>_xlfn.IFNA(VLOOKUP(AvgV2F[[#This Row],[Pheno]],#REF!,2,FALSE),"DEAD")</f>
        <v>#REF!</v>
      </c>
    </row>
    <row r="167" spans="1:8" x14ac:dyDescent="0.25">
      <c r="A167" t="s">
        <v>151</v>
      </c>
      <c r="B167" t="s">
        <v>25</v>
      </c>
      <c r="C167">
        <v>20.1875</v>
      </c>
      <c r="D167">
        <v>1.5903353943953669</v>
      </c>
      <c r="E167">
        <v>39.766666666666666</v>
      </c>
      <c r="F167">
        <v>2.5203930154602916</v>
      </c>
      <c r="G167">
        <f>AvgV2F[[#This Row],[Flower 5]]/AvgV2F[[#This Row],[Veg 5]]</f>
        <v>1.9698658410732715</v>
      </c>
      <c r="H167" t="e">
        <f>_xlfn.IFNA(VLOOKUP(AvgV2F[[#This Row],[Pheno]],#REF!,2,FALSE),"DEAD")</f>
        <v>#REF!</v>
      </c>
    </row>
    <row r="168" spans="1:8" x14ac:dyDescent="0.25">
      <c r="A168" t="s">
        <v>151</v>
      </c>
      <c r="B168" t="s">
        <v>12</v>
      </c>
      <c r="C168">
        <v>18.666666666666668</v>
      </c>
      <c r="D168">
        <v>1.0408329997330845</v>
      </c>
      <c r="E168">
        <v>37</v>
      </c>
      <c r="F168">
        <v>1</v>
      </c>
      <c r="G168">
        <f>AvgV2F[[#This Row],[Flower 5]]/AvgV2F[[#This Row],[Veg 5]]</f>
        <v>1.982142857142857</v>
      </c>
      <c r="H168" t="e">
        <f>_xlfn.IFNA(VLOOKUP(AvgV2F[[#This Row],[Pheno]],#REF!,2,FALSE),"DEAD")</f>
        <v>#REF!</v>
      </c>
    </row>
    <row r="169" spans="1:8" x14ac:dyDescent="0.25">
      <c r="A169" t="s">
        <v>151</v>
      </c>
      <c r="B169" t="s">
        <v>148</v>
      </c>
      <c r="C169">
        <v>17.5</v>
      </c>
      <c r="D169">
        <v>2.0816659994661326</v>
      </c>
      <c r="E169">
        <v>35.083333333333336</v>
      </c>
      <c r="F169">
        <v>1.068488028321612</v>
      </c>
      <c r="G169">
        <f>AvgV2F[[#This Row],[Flower 5]]/AvgV2F[[#This Row],[Veg 5]]</f>
        <v>2.0047619047619047</v>
      </c>
      <c r="H169" t="e">
        <f>_xlfn.IFNA(VLOOKUP(AvgV2F[[#This Row],[Pheno]],#REF!,2,FALSE),"DEAD")</f>
        <v>#REF!</v>
      </c>
    </row>
    <row r="170" spans="1:8" x14ac:dyDescent="0.25">
      <c r="A170" t="s">
        <v>151</v>
      </c>
      <c r="B170" t="s">
        <v>4</v>
      </c>
      <c r="C170">
        <v>22.214285714285715</v>
      </c>
      <c r="D170">
        <v>3.7177181941923183</v>
      </c>
      <c r="E170">
        <v>45.3125</v>
      </c>
      <c r="F170">
        <v>3.2506867406310143</v>
      </c>
      <c r="G170">
        <f>AvgV2F[[#This Row],[Flower 5]]/AvgV2F[[#This Row],[Veg 5]]</f>
        <v>2.039790996784566</v>
      </c>
      <c r="H170" t="e">
        <f>_xlfn.IFNA(VLOOKUP(AvgV2F[[#This Row],[Pheno]],#REF!,2,FALSE),"DEAD")</f>
        <v>#REF!</v>
      </c>
    </row>
    <row r="171" spans="1:8" x14ac:dyDescent="0.25">
      <c r="A171" t="s">
        <v>151</v>
      </c>
      <c r="B171" t="s">
        <v>155</v>
      </c>
      <c r="C171">
        <v>19.850000000000001</v>
      </c>
      <c r="D171">
        <v>2.6775818277775292</v>
      </c>
      <c r="E171">
        <v>40.611111111111114</v>
      </c>
      <c r="F171">
        <v>2.0581815058714055</v>
      </c>
      <c r="G171">
        <f>AvgV2F[[#This Row],[Flower 5]]/AvgV2F[[#This Row],[Veg 5]]</f>
        <v>2.045899804086202</v>
      </c>
      <c r="H171" t="e">
        <f>_xlfn.IFNA(VLOOKUP(AvgV2F[[#This Row],[Pheno]],#REF!,2,FALSE),"DEAD")</f>
        <v>#REF!</v>
      </c>
    </row>
    <row r="172" spans="1:8" x14ac:dyDescent="0.25">
      <c r="A172" t="s">
        <v>151</v>
      </c>
      <c r="B172" t="s">
        <v>35</v>
      </c>
      <c r="C172">
        <v>18.285714285714285</v>
      </c>
      <c r="D172">
        <v>2.395680636955964</v>
      </c>
      <c r="E172">
        <v>37.833333333333336</v>
      </c>
      <c r="F172">
        <v>1.5996323106926056</v>
      </c>
      <c r="G172">
        <f>AvgV2F[[#This Row],[Flower 5]]/AvgV2F[[#This Row],[Veg 5]]</f>
        <v>2.069010416666667</v>
      </c>
      <c r="H172" t="e">
        <f>_xlfn.IFNA(VLOOKUP(AvgV2F[[#This Row],[Pheno]],#REF!,2,FALSE),"DEAD")</f>
        <v>#REF!</v>
      </c>
    </row>
    <row r="173" spans="1:8" x14ac:dyDescent="0.25">
      <c r="A173" t="s">
        <v>151</v>
      </c>
      <c r="B173" t="s">
        <v>61</v>
      </c>
      <c r="C173">
        <v>19.375</v>
      </c>
      <c r="D173">
        <v>2.0658792662827961</v>
      </c>
      <c r="E173">
        <v>40.222222222222221</v>
      </c>
      <c r="F173">
        <v>2.8074800879871513</v>
      </c>
      <c r="G173">
        <f>AvgV2F[[#This Row],[Flower 5]]/AvgV2F[[#This Row],[Veg 5]]</f>
        <v>2.0759856630824371</v>
      </c>
      <c r="H173" t="e">
        <f>_xlfn.IFNA(VLOOKUP(AvgV2F[[#This Row],[Pheno]],#REF!,2,FALSE),"DEAD")</f>
        <v>#REF!</v>
      </c>
    </row>
    <row r="174" spans="1:8" x14ac:dyDescent="0.25">
      <c r="A174" t="s">
        <v>151</v>
      </c>
      <c r="B174" t="s">
        <v>142</v>
      </c>
      <c r="C174">
        <v>17.5</v>
      </c>
      <c r="D174">
        <v>1.1180339887498949</v>
      </c>
      <c r="E174">
        <v>37.071428571428569</v>
      </c>
      <c r="F174">
        <v>1.0578504710249486</v>
      </c>
      <c r="G174">
        <f>AvgV2F[[#This Row],[Flower 5]]/AvgV2F[[#This Row],[Veg 5]]</f>
        <v>2.1183673469387756</v>
      </c>
      <c r="H174" t="e">
        <f>_xlfn.IFNA(VLOOKUP(AvgV2F[[#This Row],[Pheno]],#REF!,2,FALSE),"DEAD")</f>
        <v>#REF!</v>
      </c>
    </row>
    <row r="175" spans="1:8" x14ac:dyDescent="0.25">
      <c r="A175" t="s">
        <v>151</v>
      </c>
      <c r="B175" t="s">
        <v>122</v>
      </c>
      <c r="C175">
        <v>16.928571428571427</v>
      </c>
      <c r="D175">
        <v>2.0902266908274876</v>
      </c>
      <c r="E175">
        <v>36.166666666666664</v>
      </c>
      <c r="F175">
        <v>0.7527726527090407</v>
      </c>
      <c r="G175">
        <f>AvgV2F[[#This Row],[Flower 5]]/AvgV2F[[#This Row],[Veg 5]]</f>
        <v>2.1364275668073138</v>
      </c>
      <c r="H175" t="e">
        <f>_xlfn.IFNA(VLOOKUP(AvgV2F[[#This Row],[Pheno]],#REF!,2,FALSE),"DEAD")</f>
        <v>#REF!</v>
      </c>
    </row>
    <row r="176" spans="1:8" x14ac:dyDescent="0.25">
      <c r="A176" t="s">
        <v>151</v>
      </c>
      <c r="B176" t="s">
        <v>5</v>
      </c>
      <c r="C176">
        <v>16.7</v>
      </c>
      <c r="D176">
        <v>1.753567791675015</v>
      </c>
      <c r="E176">
        <v>36</v>
      </c>
      <c r="F176">
        <v>0.70710678118654757</v>
      </c>
      <c r="G176">
        <f>AvgV2F[[#This Row],[Flower 5]]/AvgV2F[[#This Row],[Veg 5]]</f>
        <v>2.1556886227544911</v>
      </c>
      <c r="H176" t="e">
        <f>_xlfn.IFNA(VLOOKUP(AvgV2F[[#This Row],[Pheno]],#REF!,2,FALSE),"DEAD")</f>
        <v>#REF!</v>
      </c>
    </row>
    <row r="177" spans="1:8" x14ac:dyDescent="0.25">
      <c r="A177" t="s">
        <v>151</v>
      </c>
      <c r="B177" t="s">
        <v>33</v>
      </c>
      <c r="C177">
        <v>22.208333333333332</v>
      </c>
      <c r="D177">
        <v>2.8401211028383817</v>
      </c>
      <c r="E177">
        <v>48.285714285714285</v>
      </c>
      <c r="F177">
        <v>2.5471739709126875</v>
      </c>
      <c r="G177">
        <f>AvgV2F[[#This Row],[Flower 5]]/AvgV2F[[#This Row],[Veg 5]]</f>
        <v>2.1742160278745644</v>
      </c>
      <c r="H177" t="e">
        <f>_xlfn.IFNA(VLOOKUP(AvgV2F[[#This Row],[Pheno]],#REF!,2,FALSE),"DEAD")</f>
        <v>#REF!</v>
      </c>
    </row>
    <row r="178" spans="1:8" x14ac:dyDescent="0.25">
      <c r="A178" t="s">
        <v>151</v>
      </c>
      <c r="B178" t="s">
        <v>45</v>
      </c>
      <c r="C178">
        <v>16.625</v>
      </c>
      <c r="D178">
        <v>1.3562026818605375</v>
      </c>
      <c r="E178">
        <v>36.333333333333336</v>
      </c>
      <c r="F178">
        <v>0.60553007081944821</v>
      </c>
      <c r="G178">
        <f>AvgV2F[[#This Row],[Flower 5]]/AvgV2F[[#This Row],[Veg 5]]</f>
        <v>2.18546365914787</v>
      </c>
      <c r="H178" t="e">
        <f>_xlfn.IFNA(VLOOKUP(AvgV2F[[#This Row],[Pheno]],#REF!,2,FALSE),"DEAD")</f>
        <v>#REF!</v>
      </c>
    </row>
    <row r="179" spans="1:8" x14ac:dyDescent="0.25">
      <c r="A179" t="s">
        <v>151</v>
      </c>
      <c r="B179" t="s">
        <v>141</v>
      </c>
      <c r="C179">
        <v>17.142857142857142</v>
      </c>
      <c r="D179">
        <v>2.0557700445795106</v>
      </c>
      <c r="E179">
        <v>37.666666666666664</v>
      </c>
      <c r="F179">
        <v>1.4719601443880157</v>
      </c>
      <c r="G179">
        <f>AvgV2F[[#This Row],[Flower 5]]/AvgV2F[[#This Row],[Veg 5]]</f>
        <v>2.197222222222222</v>
      </c>
      <c r="H179" t="e">
        <f>_xlfn.IFNA(VLOOKUP(AvgV2F[[#This Row],[Pheno]],#REF!,2,FALSE),"DEAD")</f>
        <v>#REF!</v>
      </c>
    </row>
    <row r="180" spans="1:8" x14ac:dyDescent="0.25">
      <c r="A180" t="s">
        <v>151</v>
      </c>
      <c r="B180" t="s">
        <v>143</v>
      </c>
      <c r="C180">
        <v>16.5</v>
      </c>
      <c r="D180">
        <v>1.7320508075688772</v>
      </c>
      <c r="E180">
        <v>36.625</v>
      </c>
      <c r="F180">
        <v>0.9464847243000456</v>
      </c>
      <c r="G180">
        <f>AvgV2F[[#This Row],[Flower 5]]/AvgV2F[[#This Row],[Veg 5]]</f>
        <v>2.2196969696969697</v>
      </c>
      <c r="H180" t="e">
        <f>_xlfn.IFNA(VLOOKUP(AvgV2F[[#This Row],[Pheno]],#REF!,2,FALSE),"DEAD")</f>
        <v>#REF!</v>
      </c>
    </row>
    <row r="181" spans="1:8" x14ac:dyDescent="0.25">
      <c r="A181" t="s">
        <v>151</v>
      </c>
      <c r="B181" t="s">
        <v>106</v>
      </c>
      <c r="C181">
        <v>21.5</v>
      </c>
      <c r="D181">
        <v>1.4433756729740645</v>
      </c>
      <c r="E181">
        <v>47.916666666666664</v>
      </c>
      <c r="F181">
        <v>3.9801591257972069</v>
      </c>
      <c r="G181">
        <f>AvgV2F[[#This Row],[Flower 5]]/AvgV2F[[#This Row],[Veg 5]]</f>
        <v>2.2286821705426356</v>
      </c>
      <c r="H181" t="e">
        <f>_xlfn.IFNA(VLOOKUP(AvgV2F[[#This Row],[Pheno]],#REF!,2,FALSE),"DEAD")</f>
        <v>#REF!</v>
      </c>
    </row>
    <row r="182" spans="1:8" x14ac:dyDescent="0.25">
      <c r="A182" t="s">
        <v>151</v>
      </c>
      <c r="B182" t="s">
        <v>11</v>
      </c>
      <c r="C182">
        <v>15.5</v>
      </c>
      <c r="D182">
        <v>2.1213203435596424</v>
      </c>
      <c r="E182">
        <v>34.75</v>
      </c>
      <c r="F182">
        <v>1.0606601717798212</v>
      </c>
      <c r="G182">
        <f>AvgV2F[[#This Row],[Flower 5]]/AvgV2F[[#This Row],[Veg 5]]</f>
        <v>2.2419354838709675</v>
      </c>
      <c r="H182" t="e">
        <f>_xlfn.IFNA(VLOOKUP(AvgV2F[[#This Row],[Pheno]],#REF!,2,FALSE),"DEAD")</f>
        <v>#REF!</v>
      </c>
    </row>
    <row r="183" spans="1:8" x14ac:dyDescent="0.25">
      <c r="A183" t="s">
        <v>151</v>
      </c>
      <c r="B183" t="s">
        <v>46</v>
      </c>
      <c r="C183">
        <v>17.100000000000001</v>
      </c>
      <c r="D183">
        <v>0.82158383625775611</v>
      </c>
      <c r="E183">
        <v>38.9</v>
      </c>
      <c r="F183">
        <v>1.244989959798855</v>
      </c>
      <c r="G183">
        <f>AvgV2F[[#This Row],[Flower 5]]/AvgV2F[[#This Row],[Veg 5]]</f>
        <v>2.2748538011695905</v>
      </c>
      <c r="H183" t="e">
        <f>_xlfn.IFNA(VLOOKUP(AvgV2F[[#This Row],[Pheno]],#REF!,2,FALSE),"DEAD")</f>
        <v>#REF!</v>
      </c>
    </row>
    <row r="184" spans="1:8" x14ac:dyDescent="0.25">
      <c r="A184" t="s">
        <v>151</v>
      </c>
      <c r="B184" t="s">
        <v>152</v>
      </c>
      <c r="C184">
        <v>18.75</v>
      </c>
      <c r="D184">
        <v>2.0528725518857018</v>
      </c>
      <c r="E184">
        <v>43.214285714285715</v>
      </c>
      <c r="F184">
        <v>2.3426684012243619</v>
      </c>
      <c r="G184">
        <f>AvgV2F[[#This Row],[Flower 5]]/AvgV2F[[#This Row],[Veg 5]]</f>
        <v>2.304761904761905</v>
      </c>
      <c r="H184" t="e">
        <f>_xlfn.IFNA(VLOOKUP(AvgV2F[[#This Row],[Pheno]],#REF!,2,FALSE),"DEAD")</f>
        <v>#REF!</v>
      </c>
    </row>
    <row r="185" spans="1:8" x14ac:dyDescent="0.25">
      <c r="A185" t="s">
        <v>151</v>
      </c>
      <c r="B185" t="s">
        <v>128</v>
      </c>
      <c r="C185">
        <v>16.666666666666668</v>
      </c>
      <c r="D185">
        <v>2.73252020425589</v>
      </c>
      <c r="E185">
        <v>38.666666666666664</v>
      </c>
      <c r="F185">
        <v>1.9407902170679827</v>
      </c>
      <c r="G185">
        <f>AvgV2F[[#This Row],[Flower 5]]/AvgV2F[[#This Row],[Veg 5]]</f>
        <v>2.3199999999999998</v>
      </c>
      <c r="H185" t="e">
        <f>_xlfn.IFNA(VLOOKUP(AvgV2F[[#This Row],[Pheno]],#REF!,2,FALSE),"DEAD")</f>
        <v>#REF!</v>
      </c>
    </row>
    <row r="186" spans="1:8" x14ac:dyDescent="0.25">
      <c r="A186" t="s">
        <v>151</v>
      </c>
      <c r="B186" t="s">
        <v>104</v>
      </c>
      <c r="C186">
        <v>16.470588235294116</v>
      </c>
      <c r="D186">
        <v>1.6721112051394571</v>
      </c>
      <c r="E186">
        <v>39</v>
      </c>
      <c r="F186">
        <v>1.6583123951776999</v>
      </c>
      <c r="G186">
        <f>AvgV2F[[#This Row],[Flower 5]]/AvgV2F[[#This Row],[Veg 5]]</f>
        <v>2.3678571428571429</v>
      </c>
      <c r="H186" t="e">
        <f>_xlfn.IFNA(VLOOKUP(AvgV2F[[#This Row],[Pheno]],#REF!,2,FALSE),"DEAD")</f>
        <v>#REF!</v>
      </c>
    </row>
    <row r="187" spans="1:8" x14ac:dyDescent="0.25">
      <c r="A187" t="s">
        <v>151</v>
      </c>
      <c r="B187" t="s">
        <v>105</v>
      </c>
      <c r="C187">
        <v>21.714285714285715</v>
      </c>
      <c r="D187">
        <v>2.3426684012243943</v>
      </c>
      <c r="E187">
        <v>51.428571428571431</v>
      </c>
      <c r="F187">
        <v>4.3534332373864464</v>
      </c>
      <c r="G187">
        <f>AvgV2F[[#This Row],[Flower 5]]/AvgV2F[[#This Row],[Veg 5]]</f>
        <v>2.3684210526315788</v>
      </c>
      <c r="H187" t="e">
        <f>_xlfn.IFNA(VLOOKUP(AvgV2F[[#This Row],[Pheno]],#REF!,2,FALSE),"DEAD")</f>
        <v>#REF!</v>
      </c>
    </row>
    <row r="188" spans="1:8" x14ac:dyDescent="0.25">
      <c r="A188" t="s">
        <v>151</v>
      </c>
      <c r="B188" t="s">
        <v>54</v>
      </c>
      <c r="C188">
        <v>15.166666666666666</v>
      </c>
      <c r="D188">
        <v>3.2532035493238531</v>
      </c>
      <c r="E188">
        <v>36</v>
      </c>
      <c r="F188">
        <v>0</v>
      </c>
      <c r="G188">
        <f>AvgV2F[[#This Row],[Flower 5]]/AvgV2F[[#This Row],[Veg 5]]</f>
        <v>2.3736263736263736</v>
      </c>
      <c r="H188" t="e">
        <f>_xlfn.IFNA(VLOOKUP(AvgV2F[[#This Row],[Pheno]],#REF!,2,FALSE),"DEAD")</f>
        <v>#REF!</v>
      </c>
    </row>
    <row r="189" spans="1:8" x14ac:dyDescent="0.25">
      <c r="A189" t="s">
        <v>151</v>
      </c>
      <c r="B189" t="s">
        <v>19</v>
      </c>
      <c r="C189">
        <v>23.25</v>
      </c>
      <c r="D189">
        <v>2.3611437906235189</v>
      </c>
      <c r="E189">
        <v>55.25</v>
      </c>
      <c r="F189">
        <v>3.8955102361564911</v>
      </c>
      <c r="G189">
        <f>AvgV2F[[#This Row],[Flower 5]]/AvgV2F[[#This Row],[Veg 5]]</f>
        <v>2.3763440860215055</v>
      </c>
      <c r="H189" t="e">
        <f>_xlfn.IFNA(VLOOKUP(AvgV2F[[#This Row],[Pheno]],#REF!,2,FALSE),"DEAD")</f>
        <v>#REF!</v>
      </c>
    </row>
    <row r="190" spans="1:8" x14ac:dyDescent="0.25">
      <c r="A190" t="s">
        <v>151</v>
      </c>
      <c r="B190" t="s">
        <v>28</v>
      </c>
      <c r="C190">
        <v>18</v>
      </c>
      <c r="D190">
        <v>3.0207614933986431</v>
      </c>
      <c r="E190">
        <v>43.625</v>
      </c>
      <c r="F190">
        <v>2.5617376914898995</v>
      </c>
      <c r="G190">
        <f>AvgV2F[[#This Row],[Flower 5]]/AvgV2F[[#This Row],[Veg 5]]</f>
        <v>2.4236111111111112</v>
      </c>
      <c r="H190" t="e">
        <f>_xlfn.IFNA(VLOOKUP(AvgV2F[[#This Row],[Pheno]],#REF!,2,FALSE),"DEAD")</f>
        <v>#REF!</v>
      </c>
    </row>
    <row r="191" spans="1:8" x14ac:dyDescent="0.25">
      <c r="A191" t="s">
        <v>151</v>
      </c>
      <c r="B191" t="s">
        <v>63</v>
      </c>
      <c r="C191">
        <v>19.25</v>
      </c>
      <c r="D191">
        <v>1.5545631755148024</v>
      </c>
      <c r="E191">
        <v>48.125</v>
      </c>
      <c r="F191">
        <v>3.6600318759996249</v>
      </c>
      <c r="G191">
        <f>AvgV2F[[#This Row],[Flower 5]]/AvgV2F[[#This Row],[Veg 5]]</f>
        <v>2.5</v>
      </c>
      <c r="H191" t="e">
        <f>_xlfn.IFNA(VLOOKUP(AvgV2F[[#This Row],[Pheno]],#REF!,2,FALSE),"DEAD")</f>
        <v>#REF!</v>
      </c>
    </row>
    <row r="192" spans="1:8" x14ac:dyDescent="0.25">
      <c r="A192" t="s">
        <v>151</v>
      </c>
      <c r="B192" t="s">
        <v>47</v>
      </c>
      <c r="C192">
        <v>14</v>
      </c>
      <c r="D192">
        <v>1.7320508075688772</v>
      </c>
      <c r="E192">
        <v>35</v>
      </c>
      <c r="F192">
        <v>1.4142135623730951</v>
      </c>
      <c r="G192">
        <f>AvgV2F[[#This Row],[Flower 5]]/AvgV2F[[#This Row],[Veg 5]]</f>
        <v>2.5</v>
      </c>
      <c r="H192" t="e">
        <f>_xlfn.IFNA(VLOOKUP(AvgV2F[[#This Row],[Pheno]],#REF!,2,FALSE),"DEAD")</f>
        <v>#REF!</v>
      </c>
    </row>
    <row r="193" spans="1:8" x14ac:dyDescent="0.25">
      <c r="A193" t="s">
        <v>151</v>
      </c>
      <c r="B193" t="s">
        <v>154</v>
      </c>
      <c r="C193">
        <v>17.350000000000001</v>
      </c>
      <c r="D193">
        <v>2.6039499909859187</v>
      </c>
      <c r="E193">
        <v>43.636363636363633</v>
      </c>
      <c r="F193">
        <v>2.4908925016037098</v>
      </c>
      <c r="G193">
        <f>AvgV2F[[#This Row],[Flower 5]]/AvgV2F[[#This Row],[Veg 5]]</f>
        <v>2.5150641865339267</v>
      </c>
      <c r="H193" t="e">
        <f>_xlfn.IFNA(VLOOKUP(AvgV2F[[#This Row],[Pheno]],#REF!,2,FALSE),"DEAD")</f>
        <v>#REF!</v>
      </c>
    </row>
    <row r="194" spans="1:8" x14ac:dyDescent="0.25">
      <c r="A194" t="s">
        <v>151</v>
      </c>
      <c r="B194" t="s">
        <v>123</v>
      </c>
      <c r="C194">
        <v>17.600000000000001</v>
      </c>
      <c r="D194">
        <v>1.7818529681205493</v>
      </c>
      <c r="E194">
        <v>44.4</v>
      </c>
      <c r="F194">
        <v>4.0373258476372929</v>
      </c>
      <c r="G194">
        <f>AvgV2F[[#This Row],[Flower 5]]/AvgV2F[[#This Row],[Veg 5]]</f>
        <v>2.5227272727272725</v>
      </c>
      <c r="H194" t="e">
        <f>_xlfn.IFNA(VLOOKUP(AvgV2F[[#This Row],[Pheno]],#REF!,2,FALSE),"DEAD")</f>
        <v>#REF!</v>
      </c>
    </row>
    <row r="195" spans="1:8" x14ac:dyDescent="0.25">
      <c r="A195" t="s">
        <v>151</v>
      </c>
      <c r="B195" t="s">
        <v>99</v>
      </c>
      <c r="C195">
        <v>14.625</v>
      </c>
      <c r="D195">
        <v>1.973786547054502</v>
      </c>
      <c r="E195">
        <v>38</v>
      </c>
      <c r="F195">
        <v>6.9282032302755088</v>
      </c>
      <c r="G195">
        <f>AvgV2F[[#This Row],[Flower 5]]/AvgV2F[[#This Row],[Veg 5]]</f>
        <v>2.5982905982905984</v>
      </c>
      <c r="H195" t="e">
        <f>_xlfn.IFNA(VLOOKUP(AvgV2F[[#This Row],[Pheno]],#REF!,2,FALSE),"DEAD")</f>
        <v>#REF!</v>
      </c>
    </row>
    <row r="196" spans="1:8" x14ac:dyDescent="0.25">
      <c r="A196" t="s">
        <v>151</v>
      </c>
      <c r="B196" t="s">
        <v>53</v>
      </c>
      <c r="C196">
        <v>13</v>
      </c>
      <c r="E196">
        <v>35.5</v>
      </c>
      <c r="F196">
        <v>0.70710678118654757</v>
      </c>
      <c r="G196">
        <f>AvgV2F[[#This Row],[Flower 5]]/AvgV2F[[#This Row],[Veg 5]]</f>
        <v>2.7307692307692308</v>
      </c>
      <c r="H196" t="e">
        <f>_xlfn.IFNA(VLOOKUP(AvgV2F[[#This Row],[Pheno]],#REF!,2,FALSE),"DEAD")</f>
        <v>#REF!</v>
      </c>
    </row>
    <row r="197" spans="1:8" x14ac:dyDescent="0.25">
      <c r="A197" t="s">
        <v>156</v>
      </c>
      <c r="B197" t="s">
        <v>41</v>
      </c>
      <c r="C197">
        <v>14.75</v>
      </c>
      <c r="D197">
        <v>0.35355339059327379</v>
      </c>
      <c r="E197">
        <v>20</v>
      </c>
      <c r="F197">
        <v>2.8284271247461903</v>
      </c>
      <c r="G197">
        <f>AvgV2F[[#This Row],[Flower 5]]/AvgV2F[[#This Row],[Veg 5]]</f>
        <v>1.3559322033898304</v>
      </c>
      <c r="H197" t="e">
        <f>_xlfn.IFNA(VLOOKUP(AvgV2F[[#This Row],[Pheno]],#REF!,2,FALSE),"DEAD")</f>
        <v>#REF!</v>
      </c>
    </row>
    <row r="198" spans="1:8" x14ac:dyDescent="0.25">
      <c r="A198" t="s">
        <v>156</v>
      </c>
      <c r="B198" t="s">
        <v>9</v>
      </c>
      <c r="C198">
        <v>14.75</v>
      </c>
      <c r="D198">
        <v>2.4748737341529163</v>
      </c>
      <c r="E198">
        <v>24.25</v>
      </c>
      <c r="F198">
        <v>2.4748737341529163</v>
      </c>
      <c r="G198">
        <f>AvgV2F[[#This Row],[Flower 5]]/AvgV2F[[#This Row],[Veg 5]]</f>
        <v>1.6440677966101696</v>
      </c>
      <c r="H198" t="e">
        <f>_xlfn.IFNA(VLOOKUP(AvgV2F[[#This Row],[Pheno]],#REF!,2,FALSE),"DEAD")</f>
        <v>#REF!</v>
      </c>
    </row>
    <row r="199" spans="1:8" x14ac:dyDescent="0.25">
      <c r="A199" t="s">
        <v>156</v>
      </c>
      <c r="B199" t="s">
        <v>31</v>
      </c>
      <c r="C199">
        <v>22.666666666666668</v>
      </c>
      <c r="D199">
        <v>4.5018514709691058</v>
      </c>
      <c r="E199">
        <v>39.25</v>
      </c>
      <c r="F199">
        <v>3.76497011940334</v>
      </c>
      <c r="G199">
        <f>AvgV2F[[#This Row],[Flower 5]]/AvgV2F[[#This Row],[Veg 5]]</f>
        <v>1.7316176470588234</v>
      </c>
      <c r="H199" t="e">
        <f>_xlfn.IFNA(VLOOKUP(AvgV2F[[#This Row],[Pheno]],#REF!,2,FALSE),"DEAD")</f>
        <v>#REF!</v>
      </c>
    </row>
    <row r="200" spans="1:8" x14ac:dyDescent="0.25">
      <c r="A200" t="s">
        <v>156</v>
      </c>
      <c r="B200" t="s">
        <v>127</v>
      </c>
      <c r="C200">
        <v>20.875</v>
      </c>
      <c r="D200">
        <v>3.2482512777856893</v>
      </c>
      <c r="E200">
        <v>37.366666666666667</v>
      </c>
      <c r="F200">
        <v>1.2459458063579529</v>
      </c>
      <c r="G200">
        <f>AvgV2F[[#This Row],[Flower 5]]/AvgV2F[[#This Row],[Veg 5]]</f>
        <v>1.7900199600798403</v>
      </c>
      <c r="H200" t="e">
        <f>_xlfn.IFNA(VLOOKUP(AvgV2F[[#This Row],[Pheno]],#REF!,2,FALSE),"DEAD")</f>
        <v>#REF!</v>
      </c>
    </row>
    <row r="201" spans="1:8" x14ac:dyDescent="0.25">
      <c r="A201" t="s">
        <v>156</v>
      </c>
      <c r="B201" t="s">
        <v>6</v>
      </c>
      <c r="C201">
        <v>14.75</v>
      </c>
      <c r="D201">
        <v>1.9456912102680337</v>
      </c>
      <c r="E201">
        <v>26.4375</v>
      </c>
      <c r="F201">
        <v>3.1559184762239072</v>
      </c>
      <c r="G201">
        <f>AvgV2F[[#This Row],[Flower 5]]/AvgV2F[[#This Row],[Veg 5]]</f>
        <v>1.7923728813559323</v>
      </c>
      <c r="H201" t="e">
        <f>_xlfn.IFNA(VLOOKUP(AvgV2F[[#This Row],[Pheno]],#REF!,2,FALSE),"DEAD")</f>
        <v>#REF!</v>
      </c>
    </row>
    <row r="202" spans="1:8" x14ac:dyDescent="0.25">
      <c r="A202" t="s">
        <v>156</v>
      </c>
      <c r="B202" t="s">
        <v>34</v>
      </c>
      <c r="C202">
        <v>19.5</v>
      </c>
      <c r="D202">
        <v>3.191786333700926</v>
      </c>
      <c r="E202">
        <v>35.136363636363633</v>
      </c>
      <c r="F202">
        <v>1.3055824196677148</v>
      </c>
      <c r="G202">
        <f>AvgV2F[[#This Row],[Flower 5]]/AvgV2F[[#This Row],[Veg 5]]</f>
        <v>1.8018648018648018</v>
      </c>
      <c r="H202" t="e">
        <f>_xlfn.IFNA(VLOOKUP(AvgV2F[[#This Row],[Pheno]],#REF!,2,FALSE),"DEAD")</f>
        <v>#REF!</v>
      </c>
    </row>
    <row r="203" spans="1:8" x14ac:dyDescent="0.25">
      <c r="A203" t="s">
        <v>156</v>
      </c>
      <c r="B203" t="s">
        <v>1</v>
      </c>
      <c r="C203">
        <v>21.25</v>
      </c>
      <c r="D203">
        <v>2.8308812919105049</v>
      </c>
      <c r="E203">
        <v>38.666666666666664</v>
      </c>
      <c r="F203">
        <v>2.0463381929681126</v>
      </c>
      <c r="G203">
        <f>AvgV2F[[#This Row],[Flower 5]]/AvgV2F[[#This Row],[Veg 5]]</f>
        <v>1.8196078431372549</v>
      </c>
      <c r="H203" t="e">
        <f>_xlfn.IFNA(VLOOKUP(AvgV2F[[#This Row],[Pheno]],#REF!,2,FALSE),"DEAD")</f>
        <v>#REF!</v>
      </c>
    </row>
    <row r="204" spans="1:8" x14ac:dyDescent="0.25">
      <c r="A204" t="s">
        <v>156</v>
      </c>
      <c r="B204" t="s">
        <v>35</v>
      </c>
      <c r="C204">
        <v>18.5</v>
      </c>
      <c r="D204">
        <v>3.3911649915626341</v>
      </c>
      <c r="E204">
        <v>33.777777777777779</v>
      </c>
      <c r="F204">
        <v>0.87002554240915442</v>
      </c>
      <c r="G204">
        <f>AvgV2F[[#This Row],[Flower 5]]/AvgV2F[[#This Row],[Veg 5]]</f>
        <v>1.825825825825826</v>
      </c>
      <c r="H204" t="e">
        <f>_xlfn.IFNA(VLOOKUP(AvgV2F[[#This Row],[Pheno]],#REF!,2,FALSE),"DEAD")</f>
        <v>#REF!</v>
      </c>
    </row>
    <row r="205" spans="1:8" x14ac:dyDescent="0.25">
      <c r="A205" t="s">
        <v>156</v>
      </c>
      <c r="B205" t="s">
        <v>32</v>
      </c>
      <c r="C205">
        <v>20.625</v>
      </c>
      <c r="D205">
        <v>3.4970225430595478</v>
      </c>
      <c r="E205">
        <v>38.166666666666664</v>
      </c>
      <c r="F205">
        <v>0.76376261582607252</v>
      </c>
      <c r="G205">
        <f>AvgV2F[[#This Row],[Flower 5]]/AvgV2F[[#This Row],[Veg 5]]</f>
        <v>1.8505050505050504</v>
      </c>
      <c r="H205" t="e">
        <f>_xlfn.IFNA(VLOOKUP(AvgV2F[[#This Row],[Pheno]],#REF!,2,FALSE),"DEAD")</f>
        <v>#REF!</v>
      </c>
    </row>
    <row r="206" spans="1:8" x14ac:dyDescent="0.25">
      <c r="A206" t="s">
        <v>156</v>
      </c>
      <c r="B206" t="s">
        <v>118</v>
      </c>
      <c r="C206">
        <v>13.777777777777779</v>
      </c>
      <c r="D206">
        <v>2.5752561900604096</v>
      </c>
      <c r="E206">
        <v>25.5625</v>
      </c>
      <c r="F206">
        <v>1.2374368670764582</v>
      </c>
      <c r="G206">
        <f>AvgV2F[[#This Row],[Flower 5]]/AvgV2F[[#This Row],[Veg 5]]</f>
        <v>1.8553427419354838</v>
      </c>
      <c r="H206" t="e">
        <f>_xlfn.IFNA(VLOOKUP(AvgV2F[[#This Row],[Pheno]],#REF!,2,FALSE),"DEAD")</f>
        <v>#REF!</v>
      </c>
    </row>
    <row r="207" spans="1:8" x14ac:dyDescent="0.25">
      <c r="A207" t="s">
        <v>156</v>
      </c>
      <c r="B207" t="s">
        <v>44</v>
      </c>
      <c r="C207">
        <v>19.863636363636363</v>
      </c>
      <c r="D207">
        <v>3.1708903252155372</v>
      </c>
      <c r="E207">
        <v>36.928571428571431</v>
      </c>
      <c r="F207">
        <v>1.5548576840285087</v>
      </c>
      <c r="G207">
        <f>AvgV2F[[#This Row],[Flower 5]]/AvgV2F[[#This Row],[Veg 5]]</f>
        <v>1.8591042824452437</v>
      </c>
      <c r="H207" t="e">
        <f>_xlfn.IFNA(VLOOKUP(AvgV2F[[#This Row],[Pheno]],#REF!,2,FALSE),"DEAD")</f>
        <v>#REF!</v>
      </c>
    </row>
    <row r="208" spans="1:8" x14ac:dyDescent="0.25">
      <c r="A208" t="s">
        <v>156</v>
      </c>
      <c r="B208" t="s">
        <v>18</v>
      </c>
      <c r="C208">
        <v>16.7</v>
      </c>
      <c r="D208">
        <v>1.5652475842498492</v>
      </c>
      <c r="E208">
        <v>31.166666666666668</v>
      </c>
      <c r="F208">
        <v>1.0801234497346153</v>
      </c>
      <c r="G208">
        <f>AvgV2F[[#This Row],[Flower 5]]/AvgV2F[[#This Row],[Veg 5]]</f>
        <v>1.8662674650698605</v>
      </c>
      <c r="H208" t="e">
        <f>_xlfn.IFNA(VLOOKUP(AvgV2F[[#This Row],[Pheno]],#REF!,2,FALSE),"DEAD")</f>
        <v>#REF!</v>
      </c>
    </row>
    <row r="209" spans="1:8" x14ac:dyDescent="0.25">
      <c r="A209" t="s">
        <v>156</v>
      </c>
      <c r="B209" t="s">
        <v>25</v>
      </c>
      <c r="C209">
        <v>17.833333333333332</v>
      </c>
      <c r="D209">
        <v>2.578189058918956</v>
      </c>
      <c r="E209">
        <v>33.289473684210527</v>
      </c>
      <c r="F209">
        <v>1.8052068939112313</v>
      </c>
      <c r="G209">
        <f>AvgV2F[[#This Row],[Flower 5]]/AvgV2F[[#This Row],[Veg 5]]</f>
        <v>1.8666994589276933</v>
      </c>
      <c r="H209" t="e">
        <f>_xlfn.IFNA(VLOOKUP(AvgV2F[[#This Row],[Pheno]],#REF!,2,FALSE),"DEAD")</f>
        <v>#REF!</v>
      </c>
    </row>
    <row r="210" spans="1:8" x14ac:dyDescent="0.25">
      <c r="A210" t="s">
        <v>156</v>
      </c>
      <c r="B210" t="s">
        <v>27</v>
      </c>
      <c r="C210">
        <v>18.625</v>
      </c>
      <c r="D210">
        <v>4.2695628191498329</v>
      </c>
      <c r="E210">
        <v>34.799999999999997</v>
      </c>
      <c r="F210">
        <v>3.1144823004794948</v>
      </c>
      <c r="G210">
        <f>AvgV2F[[#This Row],[Flower 5]]/AvgV2F[[#This Row],[Veg 5]]</f>
        <v>1.8684563758389261</v>
      </c>
      <c r="H210" t="e">
        <f>_xlfn.IFNA(VLOOKUP(AvgV2F[[#This Row],[Pheno]],#REF!,2,FALSE),"DEAD")</f>
        <v>#REF!</v>
      </c>
    </row>
    <row r="211" spans="1:8" x14ac:dyDescent="0.25">
      <c r="A211" t="s">
        <v>156</v>
      </c>
      <c r="B211" t="s">
        <v>12</v>
      </c>
      <c r="C211">
        <v>18.166666666666668</v>
      </c>
      <c r="D211">
        <v>0.28867513459478006</v>
      </c>
      <c r="E211">
        <v>34</v>
      </c>
      <c r="F211">
        <v>1</v>
      </c>
      <c r="G211">
        <f>AvgV2F[[#This Row],[Flower 5]]/AvgV2F[[#This Row],[Veg 5]]</f>
        <v>1.8715596330275228</v>
      </c>
      <c r="H211" t="e">
        <f>_xlfn.IFNA(VLOOKUP(AvgV2F[[#This Row],[Pheno]],#REF!,2,FALSE),"DEAD")</f>
        <v>#REF!</v>
      </c>
    </row>
    <row r="212" spans="1:8" x14ac:dyDescent="0.25">
      <c r="A212" t="s">
        <v>156</v>
      </c>
      <c r="B212" t="s">
        <v>51</v>
      </c>
      <c r="C212">
        <v>22.333333333333332</v>
      </c>
      <c r="D212">
        <v>5.5075705472861056</v>
      </c>
      <c r="E212">
        <v>42</v>
      </c>
      <c r="G212">
        <f>AvgV2F[[#This Row],[Flower 5]]/AvgV2F[[#This Row],[Veg 5]]</f>
        <v>1.8805970149253732</v>
      </c>
      <c r="H212" t="e">
        <f>_xlfn.IFNA(VLOOKUP(AvgV2F[[#This Row],[Pheno]],#REF!,2,FALSE),"DEAD")</f>
        <v>#REF!</v>
      </c>
    </row>
    <row r="213" spans="1:8" x14ac:dyDescent="0.25">
      <c r="A213" t="s">
        <v>156</v>
      </c>
      <c r="B213" t="s">
        <v>39</v>
      </c>
      <c r="C213">
        <v>15.833333333333334</v>
      </c>
      <c r="D213">
        <v>2.9499798223684452</v>
      </c>
      <c r="E213">
        <v>29.8125</v>
      </c>
      <c r="F213">
        <v>1.6007810593582121</v>
      </c>
      <c r="G213">
        <f>AvgV2F[[#This Row],[Flower 5]]/AvgV2F[[#This Row],[Veg 5]]</f>
        <v>1.8828947368421052</v>
      </c>
      <c r="H213" t="e">
        <f>_xlfn.IFNA(VLOOKUP(AvgV2F[[#This Row],[Pheno]],#REF!,2,FALSE),"DEAD")</f>
        <v>#REF!</v>
      </c>
    </row>
    <row r="214" spans="1:8" x14ac:dyDescent="0.25">
      <c r="A214" t="s">
        <v>156</v>
      </c>
      <c r="B214" t="s">
        <v>114</v>
      </c>
      <c r="C214">
        <v>12.416666666666666</v>
      </c>
      <c r="D214">
        <v>1.2416387021459481</v>
      </c>
      <c r="E214">
        <v>23.5</v>
      </c>
      <c r="F214">
        <v>1.0488088481701516</v>
      </c>
      <c r="G214">
        <f>AvgV2F[[#This Row],[Flower 5]]/AvgV2F[[#This Row],[Veg 5]]</f>
        <v>1.8926174496644297</v>
      </c>
      <c r="H214" t="e">
        <f>_xlfn.IFNA(VLOOKUP(AvgV2F[[#This Row],[Pheno]],#REF!,2,FALSE),"DEAD")</f>
        <v>#REF!</v>
      </c>
    </row>
    <row r="215" spans="1:8" x14ac:dyDescent="0.25">
      <c r="A215" t="s">
        <v>156</v>
      </c>
      <c r="B215" t="s">
        <v>132</v>
      </c>
      <c r="C215">
        <v>13.5</v>
      </c>
      <c r="D215">
        <v>1.8027756377319946</v>
      </c>
      <c r="E215">
        <v>25.833333333333332</v>
      </c>
      <c r="F215">
        <v>0.76376261582599814</v>
      </c>
      <c r="G215">
        <f>AvgV2F[[#This Row],[Flower 5]]/AvgV2F[[#This Row],[Veg 5]]</f>
        <v>1.9135802469135801</v>
      </c>
      <c r="H215" t="e">
        <f>_xlfn.IFNA(VLOOKUP(AvgV2F[[#This Row],[Pheno]],#REF!,2,FALSE),"DEAD")</f>
        <v>#REF!</v>
      </c>
    </row>
    <row r="216" spans="1:8" x14ac:dyDescent="0.25">
      <c r="A216" t="s">
        <v>156</v>
      </c>
      <c r="B216" t="s">
        <v>61</v>
      </c>
      <c r="C216">
        <v>19.75</v>
      </c>
      <c r="D216">
        <v>3.6571847095819483</v>
      </c>
      <c r="E216">
        <v>37.916666666666664</v>
      </c>
      <c r="F216">
        <v>3.1968260774863997</v>
      </c>
      <c r="G216">
        <f>AvgV2F[[#This Row],[Flower 5]]/AvgV2F[[#This Row],[Veg 5]]</f>
        <v>1.9198312236286919</v>
      </c>
      <c r="H216" t="e">
        <f>_xlfn.IFNA(VLOOKUP(AvgV2F[[#This Row],[Pheno]],#REF!,2,FALSE),"DEAD")</f>
        <v>#REF!</v>
      </c>
    </row>
    <row r="217" spans="1:8" x14ac:dyDescent="0.25">
      <c r="A217" t="s">
        <v>156</v>
      </c>
      <c r="B217" t="s">
        <v>13</v>
      </c>
      <c r="C217">
        <v>26</v>
      </c>
      <c r="E217">
        <v>50</v>
      </c>
      <c r="G217">
        <f>AvgV2F[[#This Row],[Flower 5]]/AvgV2F[[#This Row],[Veg 5]]</f>
        <v>1.9230769230769231</v>
      </c>
      <c r="H217" t="e">
        <f>_xlfn.IFNA(VLOOKUP(AvgV2F[[#This Row],[Pheno]],#REF!,2,FALSE),"DEAD")</f>
        <v>#REF!</v>
      </c>
    </row>
    <row r="218" spans="1:8" x14ac:dyDescent="0.25">
      <c r="A218" t="s">
        <v>156</v>
      </c>
      <c r="B218" t="s">
        <v>8</v>
      </c>
      <c r="C218">
        <v>15.1875</v>
      </c>
      <c r="D218">
        <v>2.069118169655856</v>
      </c>
      <c r="E218">
        <v>29.388888888888889</v>
      </c>
      <c r="F218">
        <v>0.99303127398440272</v>
      </c>
      <c r="G218">
        <f>AvgV2F[[#This Row],[Flower 5]]/AvgV2F[[#This Row],[Veg 5]]</f>
        <v>1.9350708733424784</v>
      </c>
      <c r="H218" t="e">
        <f>_xlfn.IFNA(VLOOKUP(AvgV2F[[#This Row],[Pheno]],#REF!,2,FALSE),"DEAD")</f>
        <v>#REF!</v>
      </c>
    </row>
    <row r="219" spans="1:8" x14ac:dyDescent="0.25">
      <c r="A219" t="s">
        <v>156</v>
      </c>
      <c r="B219" t="s">
        <v>50</v>
      </c>
      <c r="C219">
        <v>19.399999999999999</v>
      </c>
      <c r="D219">
        <v>3.5951356024495116</v>
      </c>
      <c r="E219">
        <v>37.857142857142854</v>
      </c>
      <c r="F219">
        <v>3.7161167647860385</v>
      </c>
      <c r="G219">
        <f>AvgV2F[[#This Row],[Flower 5]]/AvgV2F[[#This Row],[Veg 5]]</f>
        <v>1.9513991163475699</v>
      </c>
      <c r="H219" t="e">
        <f>_xlfn.IFNA(VLOOKUP(AvgV2F[[#This Row],[Pheno]],#REF!,2,FALSE),"DEAD")</f>
        <v>#REF!</v>
      </c>
    </row>
    <row r="220" spans="1:8" x14ac:dyDescent="0.25">
      <c r="A220" t="s">
        <v>156</v>
      </c>
      <c r="B220" t="s">
        <v>60</v>
      </c>
      <c r="C220">
        <v>17.8</v>
      </c>
      <c r="D220">
        <v>4.9283758875403239</v>
      </c>
      <c r="E220">
        <v>35.25</v>
      </c>
      <c r="F220">
        <v>1.3093073414159542</v>
      </c>
      <c r="G220">
        <f>AvgV2F[[#This Row],[Flower 5]]/AvgV2F[[#This Row],[Veg 5]]</f>
        <v>1.9803370786516854</v>
      </c>
      <c r="H220" t="e">
        <f>_xlfn.IFNA(VLOOKUP(AvgV2F[[#This Row],[Pheno]],#REF!,2,FALSE),"DEAD")</f>
        <v>#REF!</v>
      </c>
    </row>
    <row r="221" spans="1:8" x14ac:dyDescent="0.25">
      <c r="A221" t="s">
        <v>156</v>
      </c>
      <c r="B221" t="s">
        <v>157</v>
      </c>
      <c r="C221">
        <v>12.5</v>
      </c>
      <c r="D221">
        <v>2.1602468994692869</v>
      </c>
      <c r="E221">
        <v>24.9</v>
      </c>
      <c r="F221">
        <v>1.1401754250991181</v>
      </c>
      <c r="G221">
        <f>AvgV2F[[#This Row],[Flower 5]]/AvgV2F[[#This Row],[Veg 5]]</f>
        <v>1.992</v>
      </c>
      <c r="H221" t="e">
        <f>_xlfn.IFNA(VLOOKUP(AvgV2F[[#This Row],[Pheno]],#REF!,2,FALSE),"DEAD")</f>
        <v>#REF!</v>
      </c>
    </row>
    <row r="222" spans="1:8" x14ac:dyDescent="0.25">
      <c r="A222" t="s">
        <v>156</v>
      </c>
      <c r="B222" t="s">
        <v>131</v>
      </c>
      <c r="C222">
        <v>17.444444444444443</v>
      </c>
      <c r="D222">
        <v>3.5394600969325491</v>
      </c>
      <c r="E222">
        <v>36.5625</v>
      </c>
      <c r="F222">
        <v>1.7204131563585034</v>
      </c>
      <c r="G222">
        <f>AvgV2F[[#This Row],[Flower 5]]/AvgV2F[[#This Row],[Veg 5]]</f>
        <v>2.0959394904458599</v>
      </c>
      <c r="H222" t="e">
        <f>_xlfn.IFNA(VLOOKUP(AvgV2F[[#This Row],[Pheno]],#REF!,2,FALSE),"DEAD")</f>
        <v>#REF!</v>
      </c>
    </row>
    <row r="223" spans="1:8" x14ac:dyDescent="0.25">
      <c r="A223" t="s">
        <v>156</v>
      </c>
      <c r="B223" t="s">
        <v>54</v>
      </c>
      <c r="C223">
        <v>13</v>
      </c>
      <c r="D223">
        <v>1.6832508230603465</v>
      </c>
      <c r="E223">
        <v>27.375</v>
      </c>
      <c r="F223">
        <v>0.9464847243000456</v>
      </c>
      <c r="G223">
        <f>AvgV2F[[#This Row],[Flower 5]]/AvgV2F[[#This Row],[Veg 5]]</f>
        <v>2.1057692307692308</v>
      </c>
      <c r="H223" t="e">
        <f>_xlfn.IFNA(VLOOKUP(AvgV2F[[#This Row],[Pheno]],#REF!,2,FALSE),"DEAD")</f>
        <v>#REF!</v>
      </c>
    </row>
    <row r="224" spans="1:8" x14ac:dyDescent="0.25">
      <c r="A224" t="s">
        <v>156</v>
      </c>
      <c r="B224" t="s">
        <v>134</v>
      </c>
      <c r="C224">
        <v>17.125</v>
      </c>
      <c r="D224">
        <v>2.7195281453467866</v>
      </c>
      <c r="E224">
        <v>36.9</v>
      </c>
      <c r="F224">
        <v>1.0246950765959377</v>
      </c>
      <c r="G224">
        <f>AvgV2F[[#This Row],[Flower 5]]/AvgV2F[[#This Row],[Veg 5]]</f>
        <v>2.1547445255474451</v>
      </c>
      <c r="H224" t="e">
        <f>_xlfn.IFNA(VLOOKUP(AvgV2F[[#This Row],[Pheno]],#REF!,2,FALSE),"DEAD")</f>
        <v>#REF!</v>
      </c>
    </row>
    <row r="225" spans="1:8" x14ac:dyDescent="0.25">
      <c r="A225" t="s">
        <v>156</v>
      </c>
      <c r="B225" t="s">
        <v>5</v>
      </c>
      <c r="C225">
        <v>13</v>
      </c>
      <c r="D225">
        <v>0.8660254037844386</v>
      </c>
      <c r="E225">
        <v>28.25</v>
      </c>
      <c r="F225">
        <v>5.3033008588991066</v>
      </c>
      <c r="G225">
        <f>AvgV2F[[#This Row],[Flower 5]]/AvgV2F[[#This Row],[Veg 5]]</f>
        <v>2.1730769230769229</v>
      </c>
      <c r="H225" t="e">
        <f>_xlfn.IFNA(VLOOKUP(AvgV2F[[#This Row],[Pheno]],#REF!,2,FALSE),"DEAD")</f>
        <v>#REF!</v>
      </c>
    </row>
    <row r="226" spans="1:8" x14ac:dyDescent="0.25">
      <c r="A226" t="s">
        <v>156</v>
      </c>
      <c r="B226" t="s">
        <v>113</v>
      </c>
      <c r="C226">
        <v>12.4375</v>
      </c>
      <c r="D226">
        <v>2.1619683491802424</v>
      </c>
      <c r="E226">
        <v>27.166666666666668</v>
      </c>
      <c r="F226">
        <v>1.2516655570345483</v>
      </c>
      <c r="G226">
        <f>AvgV2F[[#This Row],[Flower 5]]/AvgV2F[[#This Row],[Veg 5]]</f>
        <v>2.1842546063651591</v>
      </c>
      <c r="H226" t="e">
        <f>_xlfn.IFNA(VLOOKUP(AvgV2F[[#This Row],[Pheno]],#REF!,2,FALSE),"DEAD")</f>
        <v>#REF!</v>
      </c>
    </row>
    <row r="227" spans="1:8" x14ac:dyDescent="0.25">
      <c r="A227" t="s">
        <v>156</v>
      </c>
      <c r="B227" t="s">
        <v>53</v>
      </c>
      <c r="C227">
        <v>12.625</v>
      </c>
      <c r="D227">
        <v>3.1983068437325812</v>
      </c>
      <c r="E227">
        <v>28.875</v>
      </c>
      <c r="F227">
        <v>2.056493779875511</v>
      </c>
      <c r="G227">
        <f>AvgV2F[[#This Row],[Flower 5]]/AvgV2F[[#This Row],[Veg 5]]</f>
        <v>2.2871287128712869</v>
      </c>
      <c r="H227" t="e">
        <f>_xlfn.IFNA(VLOOKUP(AvgV2F[[#This Row],[Pheno]],#REF!,2,FALSE),"DEAD")</f>
        <v>#REF!</v>
      </c>
    </row>
    <row r="228" spans="1:8" x14ac:dyDescent="0.25">
      <c r="A228" t="s">
        <v>156</v>
      </c>
      <c r="B228" t="s">
        <v>117</v>
      </c>
      <c r="C228">
        <v>18.9375</v>
      </c>
      <c r="D228">
        <v>3.709784360309909</v>
      </c>
      <c r="E228">
        <v>44.325000000000003</v>
      </c>
      <c r="F228">
        <v>2.0018083929550077</v>
      </c>
      <c r="G228">
        <f>AvgV2F[[#This Row],[Flower 5]]/AvgV2F[[#This Row],[Veg 5]]</f>
        <v>2.3405940594059409</v>
      </c>
      <c r="H228" t="e">
        <f>_xlfn.IFNA(VLOOKUP(AvgV2F[[#This Row],[Pheno]],#REF!,2,FALSE),"DEAD")</f>
        <v>#REF!</v>
      </c>
    </row>
    <row r="229" spans="1:8" x14ac:dyDescent="0.25">
      <c r="A229" t="s">
        <v>156</v>
      </c>
      <c r="B229" t="s">
        <v>43</v>
      </c>
      <c r="C229">
        <v>15</v>
      </c>
      <c r="D229">
        <v>2.8284271247461903</v>
      </c>
      <c r="E229">
        <v>35.75</v>
      </c>
      <c r="F229">
        <v>1.0606601717798212</v>
      </c>
      <c r="G229">
        <f>AvgV2F[[#This Row],[Flower 5]]/AvgV2F[[#This Row],[Veg 5]]</f>
        <v>2.3833333333333333</v>
      </c>
      <c r="H229" t="e">
        <f>_xlfn.IFNA(VLOOKUP(AvgV2F[[#This Row],[Pheno]],#REF!,2,FALSE),"DEAD")</f>
        <v>#REF!</v>
      </c>
    </row>
    <row r="230" spans="1:8" x14ac:dyDescent="0.25">
      <c r="A230" t="s">
        <v>156</v>
      </c>
      <c r="B230" t="s">
        <v>10</v>
      </c>
      <c r="C230">
        <v>11.5</v>
      </c>
      <c r="E230">
        <v>29</v>
      </c>
      <c r="F230">
        <v>4.2426406871192848</v>
      </c>
      <c r="G230">
        <f>AvgV2F[[#This Row],[Flower 5]]/AvgV2F[[#This Row],[Veg 5]]</f>
        <v>2.5217391304347827</v>
      </c>
      <c r="H230" t="e">
        <f>_xlfn.IFNA(VLOOKUP(AvgV2F[[#This Row],[Pheno]],#REF!,2,FALSE),"DEAD")</f>
        <v>#REF!</v>
      </c>
    </row>
    <row r="231" spans="1:8" x14ac:dyDescent="0.25">
      <c r="A231" t="s">
        <v>156</v>
      </c>
      <c r="B231" t="s">
        <v>28</v>
      </c>
      <c r="C231">
        <v>17</v>
      </c>
      <c r="D231">
        <v>2.1213203435596424</v>
      </c>
      <c r="E231">
        <v>43</v>
      </c>
      <c r="F231">
        <v>4.2426406871192848</v>
      </c>
      <c r="G231">
        <f>AvgV2F[[#This Row],[Flower 5]]/AvgV2F[[#This Row],[Veg 5]]</f>
        <v>2.5294117647058822</v>
      </c>
      <c r="H231" t="e">
        <f>_xlfn.IFNA(VLOOKUP(AvgV2F[[#This Row],[Pheno]],#REF!,2,FALSE),"DEAD")</f>
        <v>#REF!</v>
      </c>
    </row>
  </sheetData>
  <conditionalFormatting sqref="D2:D231">
    <cfRule type="cellIs" dxfId="8" priority="5" operator="greaterThan">
      <formula>2.02</formula>
    </cfRule>
    <cfRule type="cellIs" dxfId="7" priority="6" operator="between">
      <formula>1.52</formula>
      <formula>3.01</formula>
    </cfRule>
    <cfRule type="cellIs" dxfId="6" priority="7" operator="lessThan">
      <formula>1.51</formula>
    </cfRule>
  </conditionalFormatting>
  <conditionalFormatting sqref="F2:F231">
    <cfRule type="cellIs" dxfId="5" priority="2" operator="greaterThan">
      <formula>4</formula>
    </cfRule>
    <cfRule type="cellIs" dxfId="4" priority="3" operator="between">
      <formula>2.02</formula>
      <formula>4</formula>
    </cfRule>
    <cfRule type="cellIs" dxfId="3" priority="4" operator="lessThan">
      <formula>2.01</formula>
    </cfRule>
  </conditionalFormatting>
  <conditionalFormatting sqref="AB6:AB57">
    <cfRule type="cellIs" dxfId="2" priority="1" operator="lessThan">
      <formula>0.05</formula>
    </cfRule>
  </conditionalFormatting>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064C9-D353-43B1-AED0-27D1C88F6AEA}">
  <dimension ref="A2:S55"/>
  <sheetViews>
    <sheetView showGridLines="0" zoomScale="52" zoomScaleNormal="64" workbookViewId="0">
      <selection activeCell="I26" sqref="I26:J26"/>
    </sheetView>
  </sheetViews>
  <sheetFormatPr defaultRowHeight="15" x14ac:dyDescent="0.25"/>
  <cols>
    <col min="1" max="1" width="8.140625" customWidth="1"/>
    <col min="2" max="2" width="7.7109375" customWidth="1"/>
    <col min="3" max="3" width="28.7109375" customWidth="1"/>
    <col min="5" max="5" width="13.85546875" customWidth="1"/>
    <col min="6" max="6" width="16.140625" customWidth="1"/>
    <col min="7" max="7" width="7.140625" style="33" customWidth="1"/>
    <col min="8" max="8" width="35.5703125" customWidth="1"/>
    <col min="9" max="9" width="25.5703125" customWidth="1"/>
    <col min="10" max="14" width="19.5703125" customWidth="1"/>
    <col min="15" max="15" width="7.7109375" customWidth="1"/>
    <col min="16" max="16" width="14.7109375" customWidth="1"/>
    <col min="17" max="17" width="6.140625" customWidth="1"/>
    <col min="18" max="18" width="26.140625" customWidth="1"/>
    <col min="19" max="19" width="14.5703125" customWidth="1"/>
  </cols>
  <sheetData>
    <row r="2" spans="1:19" x14ac:dyDescent="0.25">
      <c r="A2" s="34"/>
      <c r="B2" s="34"/>
      <c r="C2" s="34"/>
      <c r="D2" s="34"/>
      <c r="E2" s="34"/>
      <c r="F2" s="34"/>
      <c r="G2" s="77"/>
      <c r="H2" s="34"/>
    </row>
    <row r="3" spans="1:19" x14ac:dyDescent="0.25">
      <c r="A3" s="34"/>
      <c r="B3" s="34"/>
      <c r="C3" s="34"/>
      <c r="D3" s="34"/>
      <c r="E3" s="34"/>
      <c r="F3" s="34"/>
      <c r="G3" s="77"/>
      <c r="H3" s="34"/>
    </row>
    <row r="4" spans="1:19" x14ac:dyDescent="0.25">
      <c r="A4" s="34"/>
      <c r="B4" s="34"/>
      <c r="C4" s="34"/>
      <c r="D4" s="34"/>
      <c r="E4" s="34"/>
      <c r="F4" s="34"/>
      <c r="G4" s="77"/>
      <c r="H4" s="34"/>
      <c r="I4" s="34"/>
      <c r="J4" s="34"/>
      <c r="K4" s="34"/>
      <c r="L4" s="34"/>
      <c r="M4" s="34"/>
      <c r="N4" s="34"/>
      <c r="O4" s="34"/>
      <c r="P4" s="34"/>
    </row>
    <row r="5" spans="1:19" x14ac:dyDescent="0.25">
      <c r="A5" s="34"/>
      <c r="B5" s="34"/>
      <c r="C5" s="76">
        <v>1</v>
      </c>
      <c r="D5" s="34"/>
      <c r="E5" s="34"/>
      <c r="F5" s="34"/>
      <c r="G5" s="77"/>
      <c r="H5" s="34"/>
      <c r="I5" s="77"/>
      <c r="J5" s="77"/>
      <c r="K5" s="77"/>
      <c r="L5" s="34"/>
      <c r="M5" s="34"/>
      <c r="N5" s="34"/>
      <c r="O5" s="34"/>
      <c r="P5" s="34"/>
      <c r="Q5" s="34"/>
      <c r="R5" s="34"/>
      <c r="S5" s="34"/>
    </row>
    <row r="6" spans="1:19" ht="41.25" customHeight="1" x14ac:dyDescent="0.25">
      <c r="A6" s="34"/>
      <c r="B6" s="34"/>
      <c r="C6" s="268" t="s">
        <v>364</v>
      </c>
      <c r="D6" s="269" t="str">
        <f>INDEX(Table3[Phenotype],C5,0)</f>
        <v>92CK119</v>
      </c>
      <c r="E6" s="269"/>
      <c r="F6" s="269"/>
      <c r="G6" s="81"/>
      <c r="H6" s="34"/>
      <c r="I6" s="34"/>
      <c r="J6" s="34"/>
      <c r="K6" s="34"/>
      <c r="L6" s="34"/>
      <c r="M6" s="34"/>
      <c r="N6" s="34"/>
      <c r="O6" s="34"/>
      <c r="P6" s="34"/>
      <c r="S6" s="34"/>
    </row>
    <row r="7" spans="1:19" ht="36.75" customHeight="1" x14ac:dyDescent="0.25">
      <c r="A7" s="34"/>
      <c r="B7" s="34"/>
      <c r="C7" s="268"/>
      <c r="D7" s="269"/>
      <c r="E7" s="269"/>
      <c r="F7" s="269"/>
      <c r="G7" s="81"/>
      <c r="H7" s="116" t="s">
        <v>388</v>
      </c>
      <c r="I7" s="78" t="str">
        <f>_xlfn.CONCAT(INDEX(Table3[Status of Description],MATCH($D$6,Table3[Phenotype],0)),"), updated")</f>
        <v>in progress), updated</v>
      </c>
      <c r="J7" s="117">
        <f ca="1">TODAY()</f>
        <v>44195</v>
      </c>
      <c r="K7" s="34"/>
      <c r="L7" s="34"/>
      <c r="M7" s="34"/>
      <c r="N7" s="34"/>
      <c r="O7" s="34"/>
      <c r="P7" s="34"/>
      <c r="S7" s="34"/>
    </row>
    <row r="8" spans="1:19" ht="36.75" customHeight="1" x14ac:dyDescent="0.35">
      <c r="A8" s="34"/>
      <c r="B8" s="34"/>
      <c r="C8" s="268"/>
      <c r="D8" s="269"/>
      <c r="E8" s="269"/>
      <c r="F8" s="269"/>
      <c r="G8" s="81"/>
      <c r="H8" s="119" t="s">
        <v>394</v>
      </c>
      <c r="I8" s="34"/>
      <c r="J8" s="34"/>
      <c r="K8" s="34"/>
      <c r="L8" s="34"/>
      <c r="M8" s="34"/>
      <c r="N8" s="34"/>
      <c r="O8" s="34"/>
      <c r="P8" s="34"/>
      <c r="S8" s="34"/>
    </row>
    <row r="9" spans="1:19" ht="46.5" customHeight="1" x14ac:dyDescent="0.25">
      <c r="A9" s="34"/>
      <c r="B9" s="34"/>
      <c r="C9" s="105" t="s">
        <v>338</v>
      </c>
      <c r="D9" s="270" t="e">
        <f>INDEX(#REF!,MATCH($D$6,Table3[Phenotype],0))</f>
        <v>#REF!</v>
      </c>
      <c r="E9" s="270"/>
      <c r="F9" s="270"/>
      <c r="G9" s="79"/>
      <c r="H9" s="112" t="s">
        <v>351</v>
      </c>
      <c r="I9" s="254" t="str">
        <f>INDEX(Table3[Pruning Requirements (Veg)],MATCH($D$6,Table3[Phenotype],0))</f>
        <v>not determined</v>
      </c>
      <c r="J9" s="255"/>
      <c r="K9" s="255"/>
      <c r="L9" s="255"/>
      <c r="M9" s="255"/>
      <c r="N9" s="256"/>
      <c r="O9" s="34"/>
      <c r="P9" s="34"/>
      <c r="S9" s="34"/>
    </row>
    <row r="10" spans="1:19" ht="58.5" customHeight="1" x14ac:dyDescent="0.35">
      <c r="A10" s="34"/>
      <c r="B10" s="34"/>
      <c r="C10" s="120" t="s">
        <v>390</v>
      </c>
      <c r="D10" s="82"/>
      <c r="E10" s="82"/>
      <c r="F10" s="82"/>
      <c r="G10" s="77"/>
      <c r="H10" s="112" t="s">
        <v>352</v>
      </c>
      <c r="I10" s="271" t="str">
        <f>INDEX(Table3[Pruning Requirements (Flower)],MATCH($D$6,Table3[Phenotype],0))</f>
        <v>Moderate/Heavy</v>
      </c>
      <c r="J10" s="272"/>
      <c r="K10" s="101"/>
      <c r="L10" s="101"/>
      <c r="M10" s="101"/>
      <c r="N10" s="102"/>
      <c r="O10" s="34"/>
      <c r="P10" s="34"/>
      <c r="S10" s="34"/>
    </row>
    <row r="11" spans="1:19" ht="39" customHeight="1" x14ac:dyDescent="0.35">
      <c r="A11" s="34"/>
      <c r="B11" s="34"/>
      <c r="C11" s="106" t="s">
        <v>89</v>
      </c>
      <c r="D11" s="85"/>
      <c r="E11" s="86" t="e">
        <f>INDEX(#REF!,MATCH($D$6,Table3[Phenotype],0))</f>
        <v>#REF!</v>
      </c>
      <c r="F11" s="87"/>
      <c r="G11" s="79"/>
      <c r="H11" s="273" t="s">
        <v>342</v>
      </c>
      <c r="I11" s="275" t="str">
        <f>INDEX(Table3[Pruning Technique],MATCH($D$6,Table3[Phenotype],0))</f>
        <v xml:space="preserve">Prune more heavily due to their potential for future growth and dense inner canopy. </v>
      </c>
      <c r="J11" s="275"/>
      <c r="K11" s="275"/>
      <c r="L11" s="275"/>
      <c r="M11" s="275"/>
      <c r="N11" s="275"/>
      <c r="O11" s="34"/>
      <c r="P11" s="34"/>
      <c r="S11" s="34"/>
    </row>
    <row r="12" spans="1:19" ht="39" customHeight="1" x14ac:dyDescent="0.35">
      <c r="A12" s="34"/>
      <c r="B12" s="34"/>
      <c r="C12" s="106" t="s">
        <v>90</v>
      </c>
      <c r="D12" s="83"/>
      <c r="E12" s="84" t="e">
        <f>INDEX(#REF!,MATCH($D$6,Table3[Phenotype],0))</f>
        <v>#REF!</v>
      </c>
      <c r="F12" s="88"/>
      <c r="G12" s="77"/>
      <c r="H12" s="273"/>
      <c r="I12" s="276"/>
      <c r="J12" s="276"/>
      <c r="K12" s="276"/>
      <c r="L12" s="276"/>
      <c r="M12" s="276"/>
      <c r="N12" s="276"/>
      <c r="O12" s="34"/>
      <c r="P12" s="34"/>
      <c r="S12" s="34"/>
    </row>
    <row r="13" spans="1:19" ht="39" customHeight="1" x14ac:dyDescent="0.35">
      <c r="A13" s="34"/>
      <c r="B13" s="34"/>
      <c r="C13" s="120" t="s">
        <v>391</v>
      </c>
      <c r="D13" s="82"/>
      <c r="E13" s="82"/>
      <c r="F13" s="79"/>
      <c r="G13" s="79"/>
      <c r="H13" s="273"/>
      <c r="I13" s="276"/>
      <c r="J13" s="276"/>
      <c r="K13" s="276"/>
      <c r="L13" s="276"/>
      <c r="M13" s="276"/>
      <c r="N13" s="276"/>
      <c r="O13" s="34"/>
      <c r="P13" s="34"/>
      <c r="S13" s="34"/>
    </row>
    <row r="14" spans="1:19" ht="39" customHeight="1" x14ac:dyDescent="0.35">
      <c r="A14" s="34"/>
      <c r="B14" s="34"/>
      <c r="C14" s="107" t="s">
        <v>359</v>
      </c>
      <c r="D14" s="91">
        <f>INDEX(Table3[Final Veg Height (C27-C36)],MATCH($D$6,Table3[Phenotype],0))</f>
        <v>22.083769633507853</v>
      </c>
      <c r="E14" s="92"/>
      <c r="F14" s="93"/>
      <c r="G14" s="75"/>
      <c r="H14" s="118" t="s">
        <v>395</v>
      </c>
      <c r="I14" s="34"/>
      <c r="J14" s="34"/>
      <c r="K14" s="34"/>
      <c r="L14" s="34"/>
      <c r="M14" s="34"/>
      <c r="N14" s="34"/>
      <c r="O14" s="34"/>
      <c r="P14" s="34"/>
      <c r="S14" s="34"/>
    </row>
    <row r="15" spans="1:19" ht="39" customHeight="1" x14ac:dyDescent="0.25">
      <c r="A15" s="34"/>
      <c r="B15" s="34"/>
      <c r="C15" s="107" t="s">
        <v>348</v>
      </c>
      <c r="D15" s="94" t="s">
        <v>362</v>
      </c>
      <c r="E15" s="95">
        <f>INDEX(Table3[Final Veg Height Variability],MATCH($D$6,Table3[Phenotype],0))</f>
        <v>4.0911712940401701</v>
      </c>
      <c r="F15" s="93"/>
      <c r="G15" s="75"/>
      <c r="H15" s="113" t="s">
        <v>361</v>
      </c>
      <c r="I15" s="100">
        <f>INDEX(Table3[Number of Trellises],MATCH($D$6,Table3[Phenotype],0))</f>
        <v>3</v>
      </c>
      <c r="J15" s="89"/>
      <c r="K15" s="89"/>
      <c r="L15" s="89"/>
      <c r="M15" s="89"/>
      <c r="N15" s="90"/>
      <c r="O15" s="34"/>
      <c r="P15" s="34"/>
      <c r="S15" s="34"/>
    </row>
    <row r="16" spans="1:19" ht="45" customHeight="1" x14ac:dyDescent="0.25">
      <c r="A16" s="34"/>
      <c r="B16" s="34"/>
      <c r="C16" s="107" t="s">
        <v>366</v>
      </c>
      <c r="D16" s="91">
        <f>INDEX(Table3[Final Flower Height (C28-C34)],MATCH($D$6,Table3[Phenotype],0))</f>
        <v>51.58064516129032</v>
      </c>
      <c r="E16" s="92"/>
      <c r="F16" s="93"/>
      <c r="G16" s="75"/>
      <c r="H16" s="114" t="s">
        <v>344</v>
      </c>
      <c r="I16" s="274" t="str">
        <f>INDEX(Table3[Second and Third Trellis Instructions],MATCH($D$6,Table3[Phenotype],0))</f>
        <v>set second trellis at slightly more than a hands length above the first, and add third trellis just above the canopy.</v>
      </c>
      <c r="J16" s="274"/>
      <c r="K16" s="274"/>
      <c r="L16" s="274"/>
      <c r="M16" s="274"/>
      <c r="N16" s="274"/>
      <c r="O16" s="34"/>
      <c r="P16" s="34"/>
      <c r="Q16" s="34"/>
      <c r="R16" s="34"/>
      <c r="S16" s="34"/>
    </row>
    <row r="17" spans="1:19" ht="37.5" customHeight="1" x14ac:dyDescent="0.25">
      <c r="A17" s="34"/>
      <c r="B17" s="34"/>
      <c r="C17" s="108" t="s">
        <v>349</v>
      </c>
      <c r="D17" s="96" t="s">
        <v>362</v>
      </c>
      <c r="E17" s="97">
        <f>INDEX(Table3[Final Flower Height Variability],MATCH($D$6,Table3[Phenotype],0))</f>
        <v>5.0615669256648657</v>
      </c>
      <c r="F17" s="98"/>
      <c r="G17" s="75"/>
      <c r="H17" s="113" t="s">
        <v>402</v>
      </c>
      <c r="I17" s="265" t="str">
        <f>INDEX(Table3[Early Second],MATCH($D$6,Table3[Phenotype],0))</f>
        <v>yes</v>
      </c>
      <c r="J17" s="266"/>
      <c r="K17" s="123"/>
      <c r="L17" s="123"/>
      <c r="M17" s="123"/>
      <c r="N17" s="124"/>
      <c r="O17" s="34"/>
      <c r="P17" s="34"/>
      <c r="Q17" s="34"/>
      <c r="R17" s="34"/>
      <c r="S17" s="34"/>
    </row>
    <row r="18" spans="1:19" ht="68.25" customHeight="1" x14ac:dyDescent="0.35">
      <c r="A18" s="34"/>
      <c r="B18" s="34"/>
      <c r="C18" s="120" t="s">
        <v>392</v>
      </c>
      <c r="D18" s="82"/>
      <c r="E18" s="82"/>
      <c r="F18" s="82"/>
      <c r="G18" s="77"/>
      <c r="H18" s="246" t="s">
        <v>345</v>
      </c>
      <c r="I18" s="248" t="str">
        <f>INDEX(Table3[Trellising Technique],MATCH($D$6,Table3[Phenotype],0))</f>
        <v>Set second trellis very low, at about hand away from the first trellis. The third trellis can be set just above the canopy so that only tall branches poke through.</v>
      </c>
      <c r="J18" s="249"/>
      <c r="K18" s="249"/>
      <c r="L18" s="249"/>
      <c r="M18" s="249"/>
      <c r="N18" s="250"/>
      <c r="O18" s="34"/>
      <c r="P18" s="34"/>
    </row>
    <row r="19" spans="1:19" ht="42" customHeight="1" x14ac:dyDescent="0.25">
      <c r="A19" s="34"/>
      <c r="B19" s="34"/>
      <c r="C19" s="110" t="s">
        <v>339</v>
      </c>
      <c r="D19" s="271" t="str">
        <f>INDEX(Table3[Growth Habit],MATCH($D$6,Table3[Phenotype],0))</f>
        <v>Orthotropic</v>
      </c>
      <c r="E19" s="272"/>
      <c r="F19" s="277"/>
      <c r="G19" s="77"/>
      <c r="H19" s="247"/>
      <c r="I19" s="251"/>
      <c r="J19" s="252"/>
      <c r="K19" s="252"/>
      <c r="L19" s="252"/>
      <c r="M19" s="252"/>
      <c r="N19" s="253"/>
      <c r="O19" s="34"/>
      <c r="P19" s="34"/>
    </row>
    <row r="20" spans="1:19" ht="42" customHeight="1" x14ac:dyDescent="0.35">
      <c r="A20" s="34"/>
      <c r="B20" s="34"/>
      <c r="C20" s="110" t="s">
        <v>340</v>
      </c>
      <c r="D20" s="271" t="str">
        <f>INDEX(Table3[Stem Structure],MATCH($D$6,Table3[Phenotype],0))</f>
        <v>Weak</v>
      </c>
      <c r="E20" s="272"/>
      <c r="F20" s="277"/>
      <c r="G20" s="75"/>
      <c r="H20" s="118" t="s">
        <v>396</v>
      </c>
      <c r="I20" s="82"/>
      <c r="J20" s="82"/>
      <c r="K20" s="82"/>
      <c r="L20" s="82"/>
      <c r="M20" s="82"/>
      <c r="N20" s="82"/>
      <c r="O20" s="34"/>
      <c r="P20" s="34"/>
    </row>
    <row r="21" spans="1:19" ht="75.75" customHeight="1" x14ac:dyDescent="0.25">
      <c r="A21" s="34"/>
      <c r="B21" s="34"/>
      <c r="C21" s="110" t="s">
        <v>350</v>
      </c>
      <c r="D21" s="271" t="str">
        <f>INDEX(Table3[Tertiary Branch Length],MATCH($D$6,Table3[Phenotype],0))</f>
        <v>long</v>
      </c>
      <c r="E21" s="272"/>
      <c r="F21" s="277"/>
      <c r="G21" s="75"/>
      <c r="H21" s="125" t="s">
        <v>346</v>
      </c>
      <c r="I21" s="254" t="str">
        <f>INDEX(Table3[Training Technique],MATCH($D$6,Table3[Phenotype],0))</f>
        <v>Spread into first trellis but focus on setting them on a vertical path into the second and third trellis. During or after hard prune, set and stretch tertiary branches into second and third trellis where possible.</v>
      </c>
      <c r="J21" s="255"/>
      <c r="K21" s="255"/>
      <c r="L21" s="255"/>
      <c r="M21" s="255"/>
      <c r="N21" s="256"/>
      <c r="O21" s="34"/>
      <c r="P21" s="34"/>
    </row>
    <row r="22" spans="1:19" ht="30" customHeight="1" x14ac:dyDescent="0.3">
      <c r="A22" s="34"/>
      <c r="B22" s="34"/>
      <c r="C22" s="109"/>
      <c r="D22" s="34"/>
      <c r="E22" s="34"/>
      <c r="F22" s="34"/>
      <c r="G22" s="75"/>
      <c r="H22" s="257" t="s">
        <v>353</v>
      </c>
      <c r="I22" s="259" t="str">
        <f>INDEX(Table3[Recommended training times],MATCH($D$6,Table3[Phenotype],0))</f>
        <v>Week 1, Week 3, Week 6</v>
      </c>
      <c r="J22" s="260"/>
      <c r="K22" s="260"/>
      <c r="L22" s="260"/>
      <c r="M22" s="260"/>
      <c r="N22" s="261"/>
      <c r="O22" s="34"/>
      <c r="P22" s="34"/>
    </row>
    <row r="23" spans="1:19" ht="40.5" customHeight="1" x14ac:dyDescent="0.35">
      <c r="A23" s="34"/>
      <c r="B23" s="34"/>
      <c r="C23" s="120" t="s">
        <v>393</v>
      </c>
      <c r="D23" s="82"/>
      <c r="E23" s="82"/>
      <c r="F23" s="82"/>
      <c r="G23" s="77"/>
      <c r="H23" s="258"/>
      <c r="I23" s="262"/>
      <c r="J23" s="263"/>
      <c r="K23" s="263"/>
      <c r="L23" s="263"/>
      <c r="M23" s="263"/>
      <c r="N23" s="264"/>
      <c r="O23" s="34"/>
      <c r="P23" s="34"/>
    </row>
    <row r="24" spans="1:19" ht="45" customHeight="1" x14ac:dyDescent="0.35">
      <c r="A24" s="34"/>
      <c r="B24" s="34"/>
      <c r="C24" s="111" t="s">
        <v>356</v>
      </c>
      <c r="D24" s="270" t="str">
        <f>INDEX(Table3[Early/Late First Top],MATCH($D$6,Table3[Phenotype],0))</f>
        <v>Early</v>
      </c>
      <c r="E24" s="270"/>
      <c r="F24" s="270"/>
      <c r="G24" s="75"/>
      <c r="H24" s="118" t="s">
        <v>397</v>
      </c>
      <c r="I24" s="82"/>
      <c r="J24" s="82"/>
      <c r="K24" s="82"/>
      <c r="L24" s="82"/>
      <c r="M24" s="82"/>
      <c r="N24" s="82"/>
      <c r="O24" s="34"/>
      <c r="P24" s="34"/>
    </row>
    <row r="25" spans="1:19" ht="38.25" customHeight="1" x14ac:dyDescent="0.25">
      <c r="A25" s="34"/>
      <c r="B25" s="34"/>
      <c r="C25" s="111" t="s">
        <v>341</v>
      </c>
      <c r="D25" s="270" t="str">
        <f>INDEX(Table3[Topping Strategy],MATCH($D$6,Table3[Phenotype],0))</f>
        <v>not determined</v>
      </c>
      <c r="E25" s="270"/>
      <c r="F25" s="270"/>
      <c r="G25" s="80"/>
      <c r="H25" s="115" t="s">
        <v>354</v>
      </c>
      <c r="I25" s="121">
        <f>INDEX(Table3[Plants per Flower Table],MATCH($D$6,Table3[Phenotype],0))</f>
        <v>12</v>
      </c>
      <c r="J25" s="122"/>
      <c r="K25" s="103"/>
      <c r="L25" s="103"/>
      <c r="M25" s="103"/>
      <c r="N25" s="104"/>
      <c r="O25" s="34"/>
      <c r="P25" s="34"/>
    </row>
    <row r="26" spans="1:19" ht="41.25" customHeight="1" x14ac:dyDescent="0.25">
      <c r="A26" s="34"/>
      <c r="B26" s="34"/>
      <c r="C26" s="34"/>
      <c r="D26" s="34"/>
      <c r="E26" s="34"/>
      <c r="F26" s="34"/>
      <c r="G26" s="77"/>
      <c r="H26" s="115" t="s">
        <v>347</v>
      </c>
      <c r="I26" s="265">
        <f>INDEX(Table3[PM INDEX],MATCH($D$6,Table3[Phenotype],0))</f>
        <v>11</v>
      </c>
      <c r="J26" s="266"/>
      <c r="K26" s="99" t="s">
        <v>398</v>
      </c>
      <c r="L26" s="89">
        <f>(MAX(Table3[PM INDEX]))</f>
        <v>14</v>
      </c>
      <c r="M26" s="266" t="s">
        <v>399</v>
      </c>
      <c r="N26" s="267"/>
      <c r="O26" s="34"/>
      <c r="P26" s="34"/>
    </row>
    <row r="27" spans="1:19" x14ac:dyDescent="0.25">
      <c r="A27" s="34"/>
      <c r="B27" s="34"/>
      <c r="C27" s="34"/>
      <c r="D27" s="34"/>
      <c r="E27" s="34"/>
      <c r="F27" s="34"/>
      <c r="G27" s="77"/>
      <c r="H27" s="34"/>
      <c r="I27" s="34"/>
      <c r="J27" s="34"/>
      <c r="K27" s="34"/>
      <c r="L27" s="34"/>
      <c r="M27" s="34"/>
      <c r="N27" s="34"/>
      <c r="O27" s="34"/>
      <c r="P27" s="34"/>
    </row>
    <row r="28" spans="1:19" x14ac:dyDescent="0.25">
      <c r="A28" s="34"/>
      <c r="B28" s="34"/>
      <c r="C28" s="34"/>
      <c r="D28" s="34"/>
      <c r="E28" s="34"/>
      <c r="F28" s="34"/>
      <c r="G28" s="77"/>
      <c r="H28" s="34"/>
      <c r="I28" s="34"/>
      <c r="J28" s="34"/>
      <c r="K28" s="34"/>
      <c r="L28" s="34"/>
      <c r="M28" s="34"/>
      <c r="N28" s="34"/>
      <c r="O28" s="34"/>
      <c r="P28" s="34"/>
    </row>
    <row r="29" spans="1:19" x14ac:dyDescent="0.25">
      <c r="A29" s="34"/>
    </row>
    <row r="30" spans="1:19" x14ac:dyDescent="0.25">
      <c r="A30" s="34"/>
    </row>
    <row r="31" spans="1:19" x14ac:dyDescent="0.25">
      <c r="A31" s="34"/>
    </row>
    <row r="32" spans="1:19" x14ac:dyDescent="0.25">
      <c r="A32" s="34"/>
    </row>
    <row r="33" spans="1:1" x14ac:dyDescent="0.25">
      <c r="A33" s="34"/>
    </row>
    <row r="34" spans="1:1" x14ac:dyDescent="0.25">
      <c r="A34" s="34"/>
    </row>
    <row r="35" spans="1:1" x14ac:dyDescent="0.25">
      <c r="A35" s="34"/>
    </row>
    <row r="36" spans="1:1" x14ac:dyDescent="0.25">
      <c r="A36" s="34"/>
    </row>
    <row r="37" spans="1:1" x14ac:dyDescent="0.25">
      <c r="A37" s="34"/>
    </row>
    <row r="38" spans="1:1" x14ac:dyDescent="0.25">
      <c r="A38" s="34"/>
    </row>
    <row r="39" spans="1:1" x14ac:dyDescent="0.25">
      <c r="A39" s="34"/>
    </row>
    <row r="40" spans="1:1" x14ac:dyDescent="0.25">
      <c r="A40" s="34"/>
    </row>
    <row r="41" spans="1:1" x14ac:dyDescent="0.25">
      <c r="A41" s="34"/>
    </row>
    <row r="42" spans="1:1" x14ac:dyDescent="0.25">
      <c r="A42" s="34"/>
    </row>
    <row r="43" spans="1:1" x14ac:dyDescent="0.25">
      <c r="A43" s="34"/>
    </row>
    <row r="44" spans="1:1" x14ac:dyDescent="0.25">
      <c r="A44" s="34"/>
    </row>
    <row r="45" spans="1:1" x14ac:dyDescent="0.25">
      <c r="A45" s="34"/>
    </row>
    <row r="46" spans="1:1" x14ac:dyDescent="0.25">
      <c r="A46" s="34"/>
    </row>
    <row r="47" spans="1:1" x14ac:dyDescent="0.25">
      <c r="A47" s="34"/>
    </row>
    <row r="48" spans="1:1" x14ac:dyDescent="0.25">
      <c r="A48" s="34"/>
    </row>
    <row r="49" spans="1:1" x14ac:dyDescent="0.25">
      <c r="A49" s="34"/>
    </row>
    <row r="50" spans="1:1" x14ac:dyDescent="0.25">
      <c r="A50" s="34"/>
    </row>
    <row r="51" spans="1:1" x14ac:dyDescent="0.25">
      <c r="A51" s="34"/>
    </row>
    <row r="52" spans="1:1" x14ac:dyDescent="0.25">
      <c r="A52" s="34"/>
    </row>
    <row r="53" spans="1:1" x14ac:dyDescent="0.25">
      <c r="A53" s="34"/>
    </row>
    <row r="54" spans="1:1" x14ac:dyDescent="0.25">
      <c r="A54" s="34"/>
    </row>
    <row r="55" spans="1:1" x14ac:dyDescent="0.25">
      <c r="A55" s="34"/>
    </row>
  </sheetData>
  <mergeCells count="21">
    <mergeCell ref="I26:J26"/>
    <mergeCell ref="M26:N26"/>
    <mergeCell ref="I17:J17"/>
    <mergeCell ref="C6:C8"/>
    <mergeCell ref="D6:F8"/>
    <mergeCell ref="D9:F9"/>
    <mergeCell ref="I9:N9"/>
    <mergeCell ref="I10:J10"/>
    <mergeCell ref="H11:H13"/>
    <mergeCell ref="I16:N16"/>
    <mergeCell ref="I11:N13"/>
    <mergeCell ref="D24:F24"/>
    <mergeCell ref="D19:F19"/>
    <mergeCell ref="D20:F20"/>
    <mergeCell ref="D21:F21"/>
    <mergeCell ref="D25:F25"/>
    <mergeCell ref="H18:H19"/>
    <mergeCell ref="I18:N19"/>
    <mergeCell ref="I21:N21"/>
    <mergeCell ref="H22:H23"/>
    <mergeCell ref="I22:N23"/>
  </mergeCells>
  <conditionalFormatting sqref="I26">
    <cfRule type="cellIs" dxfId="232" priority="1" operator="greaterThan">
      <formula>12</formula>
    </cfRule>
    <cfRule type="cellIs" dxfId="231" priority="2" operator="between">
      <formula>7</formula>
      <formula>12</formula>
    </cfRule>
    <cfRule type="cellIs" dxfId="230" priority="3" operator="lessThanOrEqual">
      <formula>6</formula>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List Box 1">
              <controlPr defaultSize="0" autoLine="0" autoPict="0">
                <anchor moveWithCells="1">
                  <from>
                    <xdr:col>0</xdr:col>
                    <xdr:colOff>219075</xdr:colOff>
                    <xdr:row>0</xdr:row>
                    <xdr:rowOff>66675</xdr:rowOff>
                  </from>
                  <to>
                    <xdr:col>2</xdr:col>
                    <xdr:colOff>904875</xdr:colOff>
                    <xdr:row>3</xdr:row>
                    <xdr:rowOff>85725</xdr:rowOff>
                  </to>
                </anchor>
              </controlPr>
            </control>
          </mc:Choice>
        </mc:AlternateContent>
        <mc:AlternateContent xmlns:mc="http://schemas.openxmlformats.org/markup-compatibility/2006">
          <mc:Choice Requires="x14">
            <control shapeId="3075" r:id="rId5" name="Spinner 3">
              <controlPr defaultSize="0" autoPict="0">
                <anchor moveWithCells="1" sizeWithCells="1">
                  <from>
                    <xdr:col>3</xdr:col>
                    <xdr:colOff>276225</xdr:colOff>
                    <xdr:row>0</xdr:row>
                    <xdr:rowOff>123825</xdr:rowOff>
                  </from>
                  <to>
                    <xdr:col>5</xdr:col>
                    <xdr:colOff>771525</xdr:colOff>
                    <xdr:row>3</xdr:row>
                    <xdr:rowOff>85725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3E7ED-7A90-4A4F-ACBB-3D83EF0B66EF}">
  <dimension ref="A2:S27"/>
  <sheetViews>
    <sheetView zoomScale="33" zoomScaleNormal="70" zoomScaleSheetLayoutView="46" zoomScalePageLayoutView="29" workbookViewId="0">
      <selection activeCell="C10" sqref="C10"/>
    </sheetView>
  </sheetViews>
  <sheetFormatPr defaultRowHeight="15" x14ac:dyDescent="0.25"/>
  <cols>
    <col min="1" max="1" width="8.140625" customWidth="1"/>
    <col min="2" max="2" width="66.140625" customWidth="1"/>
    <col min="3" max="3" width="137.5703125" style="136" customWidth="1"/>
    <col min="4" max="4" width="19.5703125" style="136" customWidth="1"/>
    <col min="5" max="5" width="31.28515625" style="136" customWidth="1"/>
    <col min="6" max="6" width="16.140625" style="136" customWidth="1"/>
    <col min="7" max="7" width="7.140625" style="141" customWidth="1"/>
    <col min="8" max="8" width="35.5703125" customWidth="1"/>
    <col min="9" max="9" width="25.5703125" customWidth="1"/>
    <col min="10" max="14" width="19.5703125" customWidth="1"/>
    <col min="15" max="15" width="7.7109375" customWidth="1"/>
    <col min="16" max="16" width="14.7109375" customWidth="1"/>
    <col min="17" max="17" width="55.28515625" customWidth="1"/>
    <col min="18" max="18" width="26.140625" customWidth="1"/>
    <col min="19" max="19" width="14.5703125" customWidth="1"/>
  </cols>
  <sheetData>
    <row r="2" spans="1:19" x14ac:dyDescent="0.25">
      <c r="A2" s="34"/>
      <c r="B2" s="34"/>
      <c r="C2" s="138"/>
      <c r="D2" s="138"/>
      <c r="E2" s="138"/>
      <c r="F2" s="138"/>
      <c r="G2" s="143"/>
    </row>
    <row r="3" spans="1:19" x14ac:dyDescent="0.25">
      <c r="A3" s="34"/>
      <c r="B3" s="34"/>
      <c r="C3" s="138"/>
      <c r="D3" s="138"/>
      <c r="E3" s="138"/>
      <c r="F3" s="138"/>
      <c r="G3" s="143"/>
    </row>
    <row r="4" spans="1:19" x14ac:dyDescent="0.25">
      <c r="A4" s="34"/>
      <c r="B4" s="34"/>
      <c r="C4" s="138"/>
      <c r="D4" s="138"/>
      <c r="E4" s="138"/>
      <c r="F4" s="138"/>
      <c r="G4" s="143"/>
    </row>
    <row r="5" spans="1:19" x14ac:dyDescent="0.25">
      <c r="A5" s="34"/>
      <c r="B5" s="34"/>
      <c r="C5" s="146">
        <v>21</v>
      </c>
      <c r="D5" s="138"/>
      <c r="E5" s="138"/>
      <c r="F5" s="138"/>
      <c r="G5" s="143"/>
      <c r="S5" s="34"/>
    </row>
    <row r="6" spans="1:19" ht="41.25" customHeight="1" x14ac:dyDescent="0.45">
      <c r="A6" s="34"/>
      <c r="B6" s="77"/>
      <c r="C6" s="147" t="str">
        <f>INDEX(Table3[Strain Name],MATCH(C8,Table3[Phenotype],0))</f>
        <v>SUNSHINE LIME</v>
      </c>
      <c r="D6" s="141"/>
      <c r="E6" s="148"/>
      <c r="F6" s="148"/>
      <c r="G6" s="149"/>
      <c r="S6" s="34"/>
    </row>
    <row r="7" spans="1:19" ht="59.25" x14ac:dyDescent="0.25">
      <c r="A7" s="34"/>
      <c r="B7" s="77"/>
      <c r="G7" s="149"/>
      <c r="L7" s="148"/>
      <c r="S7" s="34"/>
    </row>
    <row r="8" spans="1:19" ht="28.5" customHeight="1" x14ac:dyDescent="0.25">
      <c r="A8" s="136"/>
      <c r="B8" s="139" t="s">
        <v>533</v>
      </c>
      <c r="C8" s="244" t="str">
        <f>INDEX(Table3[Phenotype],C5,0)</f>
        <v>SUNL006</v>
      </c>
      <c r="D8"/>
      <c r="G8" s="136"/>
    </row>
    <row r="10" spans="1:19" ht="60" x14ac:dyDescent="0.25">
      <c r="B10" s="170" t="s">
        <v>614</v>
      </c>
      <c r="C10" s="183" t="str">
        <f>INDEX(Table3[Lineage],MATCH(C8,Table3[Phenotype],0))</f>
        <v>Sherbet x citrusy indica-dominant strain</v>
      </c>
      <c r="D10"/>
    </row>
    <row r="11" spans="1:19" ht="60" x14ac:dyDescent="0.25">
      <c r="B11" s="170" t="s">
        <v>615</v>
      </c>
      <c r="C11" s="172" t="str">
        <f>INDEX(Table3[Classification],MATCH(C8,Table3[Phenotype],0))</f>
        <v>Sativa-dominant</v>
      </c>
      <c r="D11"/>
    </row>
    <row r="12" spans="1:19" ht="60" x14ac:dyDescent="0.25">
      <c r="B12" s="214"/>
      <c r="C12" s="172"/>
      <c r="D12"/>
    </row>
    <row r="13" spans="1:19" ht="60" x14ac:dyDescent="0.25">
      <c r="B13" s="170" t="s">
        <v>669</v>
      </c>
      <c r="C13" s="172" t="str">
        <f>INDEX(Table3[Dry Time],MATCH(C8,Table3[Phenotype],0))</f>
        <v>8-10days</v>
      </c>
      <c r="D13"/>
    </row>
    <row r="14" spans="1:19" ht="60" x14ac:dyDescent="0.25">
      <c r="B14" s="170" t="s">
        <v>647</v>
      </c>
      <c r="C14" s="172" t="str">
        <f>INDEX(Table3[Yield Category],MATCH(C8,Table3[Phenotype],0))</f>
        <v>Below 30 g/sq.ft tested flower</v>
      </c>
      <c r="D14"/>
    </row>
    <row r="15" spans="1:19" ht="45" x14ac:dyDescent="0.25">
      <c r="B15" s="207" t="s">
        <v>623</v>
      </c>
      <c r="C15" s="208" t="str">
        <f>_xlfn.CONCAT((_xlfn.NUMBERVALUE(INDEX(Table3[Average THC Potency],MATCH(C8,Table3[Phenotype],0)))*100),"%)")</f>
        <v>18.5%)</v>
      </c>
      <c r="D15"/>
    </row>
    <row r="16" spans="1:19" x14ac:dyDescent="0.25">
      <c r="B16" s="141"/>
      <c r="C16"/>
      <c r="D16"/>
    </row>
    <row r="17" spans="1:7" ht="59.25" x14ac:dyDescent="0.75">
      <c r="B17" s="184" t="str">
        <f>INDEX(Table3[Strain Book  Description],MATCH($C$8,Table3[Phenotype],0))</f>
        <v xml:space="preserve">Citrus, sweet, and fruity. Large, dense buds have light mint green hue with sparkling trichomes coating nearly every surface of the flower. Aroma calls to mind a tropical breeze with a diesel undertone. </v>
      </c>
      <c r="C17"/>
      <c r="D17"/>
    </row>
    <row r="18" spans="1:7" ht="59.25" x14ac:dyDescent="0.75">
      <c r="B18" s="184" t="str">
        <f>_xlfn.CONCAT("Primary terpenes include ",INDEX(Table3[Primary Terpenes],MATCH($C$8,Table3[Phenotype],0)))</f>
        <v>Primary terpenes include Myrcene, beta-Pinene, Limonene, Linalool, beta-Caryophyllene</v>
      </c>
      <c r="D18"/>
    </row>
    <row r="20" spans="1:7" x14ac:dyDescent="0.25">
      <c r="G20" s="136"/>
    </row>
    <row r="21" spans="1:7" x14ac:dyDescent="0.25">
      <c r="G21" s="136"/>
    </row>
    <row r="22" spans="1:7" x14ac:dyDescent="0.25">
      <c r="A22" s="34"/>
    </row>
    <row r="23" spans="1:7" x14ac:dyDescent="0.25">
      <c r="A23" s="34"/>
    </row>
    <row r="24" spans="1:7" x14ac:dyDescent="0.25">
      <c r="A24" s="34"/>
    </row>
    <row r="25" spans="1:7" x14ac:dyDescent="0.25">
      <c r="A25" s="34"/>
    </row>
    <row r="26" spans="1:7" x14ac:dyDescent="0.25">
      <c r="A26" s="34"/>
    </row>
    <row r="27" spans="1:7" x14ac:dyDescent="0.25">
      <c r="A27" s="34"/>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3553" r:id="rId4" name="List Box 1">
              <controlPr defaultSize="0" autoLine="0" autoPict="0">
                <anchor moveWithCells="1">
                  <from>
                    <xdr:col>0</xdr:col>
                    <xdr:colOff>219075</xdr:colOff>
                    <xdr:row>0</xdr:row>
                    <xdr:rowOff>66675</xdr:rowOff>
                  </from>
                  <to>
                    <xdr:col>1</xdr:col>
                    <xdr:colOff>1428750</xdr:colOff>
                    <xdr:row>3</xdr:row>
                    <xdr:rowOff>85725</xdr:rowOff>
                  </to>
                </anchor>
              </controlPr>
            </control>
          </mc:Choice>
        </mc:AlternateContent>
        <mc:AlternateContent xmlns:mc="http://schemas.openxmlformats.org/markup-compatibility/2006">
          <mc:Choice Requires="x14">
            <control shapeId="23554" r:id="rId5" name="Spinner 2">
              <controlPr defaultSize="0" autoPict="0">
                <anchor moveWithCells="1" sizeWithCells="1">
                  <from>
                    <xdr:col>3</xdr:col>
                    <xdr:colOff>276225</xdr:colOff>
                    <xdr:row>0</xdr:row>
                    <xdr:rowOff>123825</xdr:rowOff>
                  </from>
                  <to>
                    <xdr:col>5</xdr:col>
                    <xdr:colOff>771525</xdr:colOff>
                    <xdr:row>3</xdr:row>
                    <xdr:rowOff>85725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BADE-98C0-4A54-BEF5-F6A06E757262}">
  <sheetPr codeName="Sheet1"/>
  <dimension ref="A3:AA29"/>
  <sheetViews>
    <sheetView zoomScale="90" workbookViewId="0">
      <selection activeCell="B12" sqref="B12"/>
    </sheetView>
  </sheetViews>
  <sheetFormatPr defaultRowHeight="15" x14ac:dyDescent="0.25"/>
  <cols>
    <col min="1" max="1" width="13.42578125" bestFit="1" customWidth="1"/>
    <col min="2" max="2" width="19" customWidth="1"/>
    <col min="3" max="3" width="20" customWidth="1"/>
    <col min="4" max="4" width="19" customWidth="1"/>
    <col min="5" max="5" width="19.85546875" customWidth="1"/>
    <col min="6" max="6" width="19" customWidth="1"/>
    <col min="7" max="8" width="19" bestFit="1" customWidth="1"/>
    <col min="9" max="12" width="51.5703125" bestFit="1" customWidth="1"/>
    <col min="13" max="14" width="22" customWidth="1"/>
  </cols>
  <sheetData>
    <row r="3" spans="1:27" ht="23.25" x14ac:dyDescent="0.25">
      <c r="B3" s="3" t="s">
        <v>568</v>
      </c>
      <c r="T3" s="195" t="s">
        <v>368</v>
      </c>
      <c r="U3" s="194"/>
      <c r="V3" s="194"/>
      <c r="W3" s="194" t="s">
        <v>352</v>
      </c>
      <c r="X3" s="194"/>
      <c r="Y3" s="196"/>
    </row>
    <row r="4" spans="1:27" ht="21" customHeight="1" x14ac:dyDescent="0.25">
      <c r="B4" t="s">
        <v>681</v>
      </c>
      <c r="C4" t="s">
        <v>682</v>
      </c>
      <c r="D4" t="s">
        <v>683</v>
      </c>
      <c r="E4" t="s">
        <v>684</v>
      </c>
      <c r="F4" t="s">
        <v>685</v>
      </c>
      <c r="T4" s="185" t="s">
        <v>339</v>
      </c>
      <c r="U4" s="189" t="s">
        <v>77</v>
      </c>
      <c r="V4" s="190" t="s">
        <v>80</v>
      </c>
      <c r="W4" s="191" t="s">
        <v>73</v>
      </c>
      <c r="X4" s="192" t="s">
        <v>74</v>
      </c>
      <c r="Y4" s="193" t="s">
        <v>75</v>
      </c>
    </row>
    <row r="5" spans="1:27" s="21" customFormat="1" ht="75" x14ac:dyDescent="0.25">
      <c r="A5" t="s">
        <v>690</v>
      </c>
      <c r="B5" s="155" t="s">
        <v>694</v>
      </c>
      <c r="C5" s="155" t="s">
        <v>695</v>
      </c>
      <c r="D5" s="155" t="s">
        <v>691</v>
      </c>
      <c r="E5" s="155" t="s">
        <v>692</v>
      </c>
      <c r="F5" s="155" t="s">
        <v>693</v>
      </c>
      <c r="G5"/>
      <c r="H5"/>
      <c r="I5"/>
      <c r="J5"/>
      <c r="K5"/>
      <c r="L5"/>
      <c r="S5"/>
      <c r="T5" s="197" t="s">
        <v>64</v>
      </c>
      <c r="U5" s="198"/>
      <c r="V5" s="198"/>
      <c r="W5" s="198"/>
      <c r="X5" s="198"/>
      <c r="Y5" s="199"/>
      <c r="Z5"/>
      <c r="AA5"/>
    </row>
    <row r="6" spans="1:27" ht="15" customHeight="1" x14ac:dyDescent="0.25">
      <c r="T6" s="188" t="s">
        <v>62</v>
      </c>
      <c r="U6" s="186"/>
      <c r="V6" s="186"/>
      <c r="W6" s="186"/>
      <c r="X6" s="186" t="s">
        <v>62</v>
      </c>
      <c r="Y6" s="187"/>
    </row>
    <row r="7" spans="1:27" ht="15" customHeight="1" x14ac:dyDescent="0.25">
      <c r="T7" s="200" t="s">
        <v>584</v>
      </c>
      <c r="U7" s="201"/>
      <c r="V7" s="201" t="s">
        <v>584</v>
      </c>
      <c r="W7" s="201"/>
      <c r="X7" s="201"/>
      <c r="Y7" s="202"/>
    </row>
    <row r="8" spans="1:27" ht="15" customHeight="1" x14ac:dyDescent="0.25">
      <c r="T8" s="200" t="s">
        <v>588</v>
      </c>
      <c r="U8" s="201" t="s">
        <v>588</v>
      </c>
      <c r="V8" s="201"/>
      <c r="W8" s="201"/>
      <c r="X8" s="201"/>
      <c r="Y8" s="202"/>
    </row>
    <row r="9" spans="1:27" ht="15" customHeight="1" x14ac:dyDescent="0.25">
      <c r="T9" s="200" t="s">
        <v>589</v>
      </c>
      <c r="U9" s="201" t="s">
        <v>589</v>
      </c>
      <c r="V9" s="201"/>
      <c r="W9" s="201"/>
      <c r="X9" s="201"/>
      <c r="Y9" s="202"/>
    </row>
    <row r="10" spans="1:27" ht="15" customHeight="1" x14ac:dyDescent="0.25">
      <c r="O10" s="3"/>
      <c r="P10" s="3"/>
      <c r="Q10" s="3"/>
      <c r="R10" s="3"/>
      <c r="T10" s="200" t="s">
        <v>469</v>
      </c>
      <c r="U10" s="201" t="s">
        <v>469</v>
      </c>
      <c r="V10" s="201"/>
      <c r="W10" s="201"/>
      <c r="X10" s="201"/>
      <c r="Y10" s="202"/>
    </row>
    <row r="11" spans="1:27" ht="15" customHeight="1" x14ac:dyDescent="0.25">
      <c r="T11" s="200" t="s">
        <v>572</v>
      </c>
      <c r="U11" s="201"/>
      <c r="V11" s="201" t="s">
        <v>572</v>
      </c>
      <c r="W11" s="201"/>
      <c r="X11" s="201"/>
      <c r="Y11" s="202"/>
    </row>
    <row r="12" spans="1:27" ht="15" customHeight="1" x14ac:dyDescent="0.25">
      <c r="T12" s="200" t="s">
        <v>28</v>
      </c>
      <c r="U12" s="201" t="s">
        <v>28</v>
      </c>
      <c r="V12" s="201"/>
      <c r="W12" s="201"/>
      <c r="X12" s="201"/>
      <c r="Y12" s="202"/>
    </row>
    <row r="13" spans="1:27" ht="15" customHeight="1" x14ac:dyDescent="0.25">
      <c r="T13" s="200" t="s">
        <v>23</v>
      </c>
      <c r="U13" s="201"/>
      <c r="V13" s="201"/>
      <c r="W13" s="201"/>
      <c r="X13" s="201"/>
      <c r="Y13" s="202" t="s">
        <v>23</v>
      </c>
    </row>
    <row r="14" spans="1:27" ht="15" customHeight="1" x14ac:dyDescent="0.25">
      <c r="T14" s="200" t="s">
        <v>569</v>
      </c>
      <c r="U14" s="201"/>
      <c r="V14" s="201" t="s">
        <v>569</v>
      </c>
      <c r="W14" s="201"/>
      <c r="X14" s="201"/>
      <c r="Y14" s="202"/>
    </row>
    <row r="15" spans="1:27" ht="15" customHeight="1" x14ac:dyDescent="0.25">
      <c r="T15" s="197" t="s">
        <v>76</v>
      </c>
      <c r="U15" s="198"/>
      <c r="V15" s="198"/>
      <c r="W15" s="198"/>
      <c r="X15" s="198"/>
      <c r="Y15" s="199"/>
    </row>
    <row r="16" spans="1:27" ht="15" customHeight="1" x14ac:dyDescent="0.25">
      <c r="T16" s="188" t="s">
        <v>579</v>
      </c>
      <c r="U16" s="201"/>
      <c r="V16" s="201"/>
      <c r="W16" s="201" t="s">
        <v>579</v>
      </c>
      <c r="X16" s="201"/>
      <c r="Y16" s="202"/>
    </row>
    <row r="17" spans="20:25" ht="15" customHeight="1" x14ac:dyDescent="0.25">
      <c r="T17" s="200" t="s">
        <v>47</v>
      </c>
      <c r="U17" s="201" t="s">
        <v>47</v>
      </c>
      <c r="V17" s="201"/>
      <c r="W17" s="201"/>
      <c r="X17" s="201"/>
      <c r="Y17" s="202"/>
    </row>
    <row r="18" spans="20:25" ht="15" customHeight="1" x14ac:dyDescent="0.25">
      <c r="T18" s="200" t="s">
        <v>39</v>
      </c>
      <c r="U18" s="201"/>
      <c r="V18" s="201"/>
      <c r="W18" s="201"/>
      <c r="X18" s="201" t="s">
        <v>39</v>
      </c>
      <c r="Y18" s="202"/>
    </row>
    <row r="19" spans="20:25" ht="15" customHeight="1" x14ac:dyDescent="0.25">
      <c r="T19" s="200" t="s">
        <v>33</v>
      </c>
      <c r="U19" s="201"/>
      <c r="V19" s="201"/>
      <c r="W19" s="201" t="s">
        <v>33</v>
      </c>
      <c r="X19" s="201"/>
      <c r="Y19" s="202"/>
    </row>
    <row r="20" spans="20:25" ht="15" customHeight="1" x14ac:dyDescent="0.25">
      <c r="T20" s="200" t="s">
        <v>582</v>
      </c>
      <c r="U20" s="201"/>
      <c r="V20" s="201" t="s">
        <v>582</v>
      </c>
      <c r="W20" s="201"/>
      <c r="X20" s="201"/>
      <c r="Y20" s="202"/>
    </row>
    <row r="21" spans="20:25" ht="15" customHeight="1" x14ac:dyDescent="0.25">
      <c r="T21" s="200" t="s">
        <v>7</v>
      </c>
      <c r="U21" s="201"/>
      <c r="V21" s="201"/>
      <c r="W21" s="201" t="s">
        <v>7</v>
      </c>
      <c r="X21" s="201"/>
      <c r="Y21" s="202"/>
    </row>
    <row r="22" spans="20:25" ht="15" customHeight="1" x14ac:dyDescent="0.25">
      <c r="T22" s="200" t="s">
        <v>6</v>
      </c>
      <c r="U22" s="201"/>
      <c r="V22" s="201" t="s">
        <v>6</v>
      </c>
      <c r="W22" s="201"/>
      <c r="X22" s="201"/>
      <c r="Y22" s="202"/>
    </row>
    <row r="23" spans="20:25" ht="15" customHeight="1" x14ac:dyDescent="0.25">
      <c r="T23" s="197" t="s">
        <v>69</v>
      </c>
      <c r="U23" s="198"/>
      <c r="V23" s="198"/>
      <c r="W23" s="198"/>
      <c r="X23" s="198"/>
      <c r="Y23" s="199"/>
    </row>
    <row r="24" spans="20:25" ht="15" customHeight="1" x14ac:dyDescent="0.25">
      <c r="T24" s="188" t="s">
        <v>603</v>
      </c>
      <c r="U24" s="201"/>
      <c r="V24" s="201" t="s">
        <v>603</v>
      </c>
      <c r="W24" s="201"/>
      <c r="X24" s="201"/>
      <c r="Y24" s="202"/>
    </row>
    <row r="25" spans="20:25" ht="15" customHeight="1" x14ac:dyDescent="0.25">
      <c r="T25" s="200" t="s">
        <v>25</v>
      </c>
      <c r="U25" s="201"/>
      <c r="V25" s="201"/>
      <c r="W25" s="201" t="s">
        <v>25</v>
      </c>
      <c r="X25" s="201"/>
      <c r="Y25" s="202"/>
    </row>
    <row r="26" spans="20:25" ht="15" customHeight="1" x14ac:dyDescent="0.25">
      <c r="T26" s="200" t="s">
        <v>21</v>
      </c>
      <c r="U26" s="201"/>
      <c r="V26" s="201"/>
      <c r="W26" s="201" t="s">
        <v>21</v>
      </c>
      <c r="X26" s="201"/>
      <c r="Y26" s="202"/>
    </row>
    <row r="27" spans="20:25" ht="15" customHeight="1" x14ac:dyDescent="0.25">
      <c r="T27" s="200" t="s">
        <v>593</v>
      </c>
      <c r="U27" s="201" t="s">
        <v>593</v>
      </c>
      <c r="V27" s="201"/>
      <c r="W27" s="201"/>
      <c r="X27" s="201"/>
      <c r="Y27" s="202"/>
    </row>
    <row r="28" spans="20:25" ht="15" customHeight="1" x14ac:dyDescent="0.25">
      <c r="T28" s="200" t="s">
        <v>10</v>
      </c>
      <c r="U28" s="201"/>
      <c r="V28" s="201"/>
      <c r="W28" s="201"/>
      <c r="X28" s="201" t="s">
        <v>10</v>
      </c>
      <c r="Y28" s="202"/>
    </row>
    <row r="29" spans="20:25" ht="15" customHeight="1" x14ac:dyDescent="0.25">
      <c r="T29" s="203" t="s">
        <v>9</v>
      </c>
      <c r="U29" s="204"/>
      <c r="V29" s="204"/>
      <c r="W29" s="204"/>
      <c r="X29" s="204" t="s">
        <v>9</v>
      </c>
      <c r="Y29" s="205"/>
    </row>
  </sheetData>
  <phoneticPr fontId="1" type="noConversion"/>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2AD9B-4FC3-4A27-9980-043202E968FB}">
  <sheetPr codeName="Sheet2"/>
  <dimension ref="A1:AK69"/>
  <sheetViews>
    <sheetView tabSelected="1" zoomScale="70" zoomScaleNormal="70" workbookViewId="0">
      <pane xSplit="1" ySplit="1" topLeftCell="H4" activePane="bottomRight" state="frozen"/>
      <selection pane="topRight" activeCell="B1" sqref="B1"/>
      <selection pane="bottomLeft" activeCell="A2" sqref="A2"/>
      <selection pane="bottomRight" activeCell="AC32" sqref="AC32"/>
    </sheetView>
  </sheetViews>
  <sheetFormatPr defaultRowHeight="15" x14ac:dyDescent="0.25"/>
  <cols>
    <col min="1" max="5" width="20.7109375" customWidth="1"/>
    <col min="6" max="6" width="18.85546875" customWidth="1"/>
    <col min="7" max="11" width="22" customWidth="1"/>
    <col min="12" max="13" width="20.7109375" customWidth="1"/>
    <col min="14" max="14" width="25.7109375" customWidth="1"/>
    <col min="15" max="15" width="17.5703125" customWidth="1"/>
    <col min="16" max="17" width="22.28515625" customWidth="1"/>
    <col min="18" max="18" width="16" customWidth="1"/>
    <col min="19" max="19" width="22" bestFit="1" customWidth="1"/>
    <col min="20" max="20" width="14.7109375" customWidth="1"/>
    <col min="21" max="21" width="17.85546875" bestFit="1" customWidth="1"/>
    <col min="22" max="22" width="17.140625" customWidth="1"/>
    <col min="23" max="23" width="16.7109375" customWidth="1"/>
    <col min="24" max="24" width="17.28515625" customWidth="1"/>
    <col min="25" max="25" width="29" customWidth="1"/>
    <col min="26" max="26" width="21.140625" customWidth="1"/>
    <col min="27" max="27" width="11.85546875" customWidth="1"/>
    <col min="28" max="28" width="19.28515625" customWidth="1"/>
    <col min="29" max="29" width="12.42578125" customWidth="1"/>
    <col min="30" max="33" width="18.28515625" customWidth="1"/>
  </cols>
  <sheetData>
    <row r="1" spans="1:37" ht="56.25" customHeight="1" x14ac:dyDescent="0.25">
      <c r="A1" s="1" t="s">
        <v>337</v>
      </c>
      <c r="B1" s="1" t="s">
        <v>415</v>
      </c>
      <c r="C1" s="1" t="s">
        <v>404</v>
      </c>
      <c r="D1" s="1" t="s">
        <v>405</v>
      </c>
      <c r="E1" s="1" t="s">
        <v>616</v>
      </c>
      <c r="F1" s="1" t="s">
        <v>624</v>
      </c>
      <c r="G1" s="1" t="s">
        <v>408</v>
      </c>
      <c r="H1" s="1" t="s">
        <v>646</v>
      </c>
      <c r="I1" s="1" t="s">
        <v>669</v>
      </c>
      <c r="J1" s="12" t="s">
        <v>617</v>
      </c>
      <c r="K1" s="12" t="s">
        <v>348</v>
      </c>
      <c r="L1" s="12" t="s">
        <v>618</v>
      </c>
      <c r="M1" s="12" t="s">
        <v>349</v>
      </c>
      <c r="N1" s="25" t="s">
        <v>339</v>
      </c>
      <c r="O1" s="25" t="s">
        <v>340</v>
      </c>
      <c r="P1" s="25" t="s">
        <v>350</v>
      </c>
      <c r="Q1" s="144" t="s">
        <v>559</v>
      </c>
      <c r="R1" s="144" t="s">
        <v>560</v>
      </c>
      <c r="S1" s="151" t="s">
        <v>620</v>
      </c>
      <c r="T1" s="151" t="s">
        <v>564</v>
      </c>
      <c r="U1" s="26" t="s">
        <v>356</v>
      </c>
      <c r="V1" s="26" t="s">
        <v>341</v>
      </c>
      <c r="W1" s="26" t="s">
        <v>351</v>
      </c>
      <c r="X1" s="26" t="s">
        <v>352</v>
      </c>
      <c r="Y1" s="26" t="s">
        <v>342</v>
      </c>
      <c r="Z1" s="26" t="s">
        <v>568</v>
      </c>
      <c r="AA1" s="13" t="s">
        <v>361</v>
      </c>
      <c r="AB1" s="13" t="s">
        <v>402</v>
      </c>
      <c r="AC1" s="13" t="s">
        <v>576</v>
      </c>
      <c r="AD1" s="13" t="s">
        <v>575</v>
      </c>
      <c r="AE1" s="13" t="s">
        <v>345</v>
      </c>
      <c r="AF1" s="14" t="s">
        <v>346</v>
      </c>
      <c r="AG1" s="14" t="s">
        <v>353</v>
      </c>
      <c r="AH1" s="24" t="s">
        <v>354</v>
      </c>
      <c r="AI1" s="24" t="s">
        <v>403</v>
      </c>
      <c r="AJ1" s="24" t="s">
        <v>347</v>
      </c>
      <c r="AK1" s="1" t="s">
        <v>355</v>
      </c>
    </row>
    <row r="2" spans="1:37" ht="35.1" hidden="1" customHeight="1" x14ac:dyDescent="0.25">
      <c r="A2" s="126" t="s">
        <v>62</v>
      </c>
      <c r="B2" s="126" t="s">
        <v>410</v>
      </c>
      <c r="C2" s="126" t="s">
        <v>412</v>
      </c>
      <c r="D2" s="126" t="s">
        <v>409</v>
      </c>
      <c r="E2" s="209">
        <v>0.24399999999999999</v>
      </c>
      <c r="F2" s="126" t="s">
        <v>419</v>
      </c>
      <c r="G2" s="126" t="s">
        <v>519</v>
      </c>
      <c r="H2" s="126" t="str">
        <f>_xlfn.IFNA(INDEX(Table8[bin],MATCH(LEFT(Table3[[#This Row],[Phenotype]],4),Table8[Strain],0)),"not yet determined")</f>
        <v>Below 30 g/sq.ft tested flower</v>
      </c>
      <c r="I2" s="126" t="s">
        <v>670</v>
      </c>
      <c r="J2" s="18">
        <v>22.083769633507853</v>
      </c>
      <c r="K2" s="18">
        <v>4.0911712940401701</v>
      </c>
      <c r="L2" s="19">
        <v>51.58064516129032</v>
      </c>
      <c r="M2" s="19">
        <v>5.0615669256648657</v>
      </c>
      <c r="N2" s="1" t="s">
        <v>64</v>
      </c>
      <c r="O2" s="1" t="s">
        <v>65</v>
      </c>
      <c r="P2" s="1" t="s">
        <v>374</v>
      </c>
      <c r="Q2" s="1" t="s">
        <v>561</v>
      </c>
      <c r="R2" s="1" t="s">
        <v>561</v>
      </c>
      <c r="S2" s="152">
        <v>0.14643995504675106</v>
      </c>
      <c r="T2" s="153">
        <v>32.888888888888886</v>
      </c>
      <c r="U2" s="1" t="s">
        <v>357</v>
      </c>
      <c r="V2" s="1" t="s">
        <v>363</v>
      </c>
      <c r="W2" s="166" t="s">
        <v>363</v>
      </c>
      <c r="X2" s="166" t="s">
        <v>74</v>
      </c>
      <c r="Y2" s="1" t="s">
        <v>303</v>
      </c>
      <c r="Z2" s="17" t="str">
        <f>_xlfn.IFNA(INDEX(Table17[Category],MATCH(Table3[[#This Row],[Phenotype]],Table17[Pheno],0)),"")</f>
        <v>Long Time</v>
      </c>
      <c r="AA2" s="2">
        <v>3</v>
      </c>
      <c r="AB2" s="2" t="s">
        <v>400</v>
      </c>
      <c r="AC2" s="2" t="s">
        <v>577</v>
      </c>
      <c r="AD2" s="21" t="s">
        <v>369</v>
      </c>
      <c r="AE2" s="1" t="s">
        <v>372</v>
      </c>
      <c r="AF2" s="1" t="s">
        <v>327</v>
      </c>
      <c r="AG2" s="1" t="s">
        <v>324</v>
      </c>
      <c r="AH2" s="28">
        <v>12</v>
      </c>
      <c r="AI2" s="28"/>
      <c r="AJ2" s="28">
        <f>_xlfn.IFNA(VLOOKUP(Table3[[#This Row],[Phenotype]],Table2[],6,FALSE),"no index value")</f>
        <v>11</v>
      </c>
      <c r="AK2" s="1" t="s">
        <v>365</v>
      </c>
    </row>
    <row r="3" spans="1:37" ht="35.1" hidden="1" customHeight="1" x14ac:dyDescent="0.25">
      <c r="A3" s="127" t="s">
        <v>584</v>
      </c>
      <c r="B3" s="127" t="s">
        <v>585</v>
      </c>
      <c r="C3" s="212" t="s">
        <v>461</v>
      </c>
      <c r="D3" s="127" t="s">
        <v>409</v>
      </c>
      <c r="E3" s="209">
        <v>0.22500000000000001</v>
      </c>
      <c r="F3" s="211" t="s">
        <v>463</v>
      </c>
      <c r="G3" s="127"/>
      <c r="H3" s="127" t="str">
        <f>_xlfn.IFNA(INDEX(Table8[bin],MATCH(LEFT(Table3[[#This Row],[Phenotype]],4),Table8[Strain],0)),"not yet determined")</f>
        <v>not yet determined</v>
      </c>
      <c r="I3" s="127" t="s">
        <v>671</v>
      </c>
      <c r="J3" s="18">
        <v>22.917721518987342</v>
      </c>
      <c r="K3" s="20">
        <v>4.1710485169644738</v>
      </c>
      <c r="L3" s="19">
        <v>43.4375</v>
      </c>
      <c r="M3" s="19">
        <v>3.0014500714897072</v>
      </c>
      <c r="N3" s="1" t="s">
        <v>64</v>
      </c>
      <c r="O3" s="1" t="s">
        <v>70</v>
      </c>
      <c r="P3" s="1" t="s">
        <v>375</v>
      </c>
      <c r="Q3" s="1" t="s">
        <v>561</v>
      </c>
      <c r="R3" s="1" t="s">
        <v>561</v>
      </c>
      <c r="S3" s="152">
        <v>7.315742846337675E-2</v>
      </c>
      <c r="T3" s="153">
        <v>41.125</v>
      </c>
      <c r="U3" s="1" t="s">
        <v>358</v>
      </c>
      <c r="V3" s="1" t="s">
        <v>219</v>
      </c>
      <c r="W3" s="166" t="s">
        <v>73</v>
      </c>
      <c r="X3" s="166" t="s">
        <v>80</v>
      </c>
      <c r="Y3" s="1" t="s">
        <v>312</v>
      </c>
      <c r="Z3" s="17" t="str">
        <f>_xlfn.IFNA(INDEX(Table17[Category],MATCH(Table3[[#This Row],[Phenotype]],Table17[Pheno],0)),"")</f>
        <v>Short Time</v>
      </c>
      <c r="AA3" s="2" t="s">
        <v>595</v>
      </c>
      <c r="AB3" s="2" t="s">
        <v>401</v>
      </c>
      <c r="AC3" s="2" t="s">
        <v>577</v>
      </c>
      <c r="AD3" s="23" t="s">
        <v>179</v>
      </c>
      <c r="AE3" s="1" t="s">
        <v>264</v>
      </c>
      <c r="AF3" s="1" t="s">
        <v>206</v>
      </c>
      <c r="AG3" s="1" t="s">
        <v>325</v>
      </c>
      <c r="AH3" s="28">
        <v>12</v>
      </c>
      <c r="AI3" s="28"/>
      <c r="AJ3" s="28">
        <f>_xlfn.IFNA(VLOOKUP(Table3[[#This Row],[Phenotype]],Table2[],6,FALSE),"no index value")</f>
        <v>6</v>
      </c>
      <c r="AK3" s="1" t="s">
        <v>237</v>
      </c>
    </row>
    <row r="4" spans="1:37" ht="35.1" customHeight="1" x14ac:dyDescent="0.25">
      <c r="A4" s="157" t="s">
        <v>579</v>
      </c>
      <c r="B4" s="157" t="s">
        <v>581</v>
      </c>
      <c r="C4" s="126" t="s">
        <v>422</v>
      </c>
      <c r="D4" s="157" t="s">
        <v>409</v>
      </c>
      <c r="E4" s="209">
        <v>0.223</v>
      </c>
      <c r="F4" s="211" t="s">
        <v>628</v>
      </c>
      <c r="G4" s="157" t="s">
        <v>521</v>
      </c>
      <c r="H4" s="157" t="str">
        <f>_xlfn.IFNA(INDEX(Table8[bin],MATCH(LEFT(Table3[[#This Row],[Phenotype]],4),Table8[Strain],0)),"not yet determined")</f>
        <v>not yet determined</v>
      </c>
      <c r="I4" s="157" t="s">
        <v>670</v>
      </c>
      <c r="J4" s="159">
        <v>16.618421052631579</v>
      </c>
      <c r="K4" s="159">
        <v>2.6342214802513393</v>
      </c>
      <c r="L4" s="159">
        <v>35.32692307692308</v>
      </c>
      <c r="M4" s="19">
        <v>2.6942245923170729</v>
      </c>
      <c r="N4" s="158" t="s">
        <v>76</v>
      </c>
      <c r="O4" s="158" t="s">
        <v>70</v>
      </c>
      <c r="P4" s="158" t="s">
        <v>376</v>
      </c>
      <c r="Q4" s="158" t="s">
        <v>571</v>
      </c>
      <c r="R4" s="158" t="s">
        <v>571</v>
      </c>
      <c r="S4" s="160">
        <v>0.11420395243942764</v>
      </c>
      <c r="T4" s="161">
        <v>30</v>
      </c>
      <c r="U4" s="158" t="s">
        <v>358</v>
      </c>
      <c r="V4" s="158" t="s">
        <v>363</v>
      </c>
      <c r="W4" s="166" t="s">
        <v>363</v>
      </c>
      <c r="X4" s="166" t="s">
        <v>73</v>
      </c>
      <c r="Y4" s="158" t="s">
        <v>304</v>
      </c>
      <c r="Z4" s="158" t="str">
        <f>_xlfn.IFNA(INDEX(Table17[Category],MATCH(Table3[[#This Row],[Phenotype]],Table17[Pheno],0)),"")</f>
        <v>Average Time</v>
      </c>
      <c r="AA4" s="162">
        <v>1</v>
      </c>
      <c r="AB4" s="162" t="s">
        <v>401</v>
      </c>
      <c r="AC4" s="162" t="s">
        <v>706</v>
      </c>
      <c r="AD4" s="163" t="s">
        <v>198</v>
      </c>
      <c r="AE4" s="158" t="s">
        <v>170</v>
      </c>
      <c r="AF4" s="158" t="s">
        <v>171</v>
      </c>
      <c r="AG4" s="158" t="s">
        <v>297</v>
      </c>
      <c r="AH4" s="28">
        <v>16</v>
      </c>
      <c r="AI4" s="164"/>
      <c r="AJ4" s="164">
        <f>_xlfn.IFNA(VLOOKUP(Table3[[#This Row],[Phenotype]],Table2[],6,FALSE),"no index value")</f>
        <v>14</v>
      </c>
      <c r="AK4" s="158" t="s">
        <v>365</v>
      </c>
    </row>
    <row r="5" spans="1:37" ht="35.1" hidden="1" customHeight="1" x14ac:dyDescent="0.25">
      <c r="A5" s="126" t="s">
        <v>469</v>
      </c>
      <c r="B5" s="126" t="s">
        <v>580</v>
      </c>
      <c r="C5" s="126" t="s">
        <v>416</v>
      </c>
      <c r="D5" s="126" t="s">
        <v>417</v>
      </c>
      <c r="E5" s="209">
        <v>0.24</v>
      </c>
      <c r="F5" s="126" t="s">
        <v>420</v>
      </c>
      <c r="G5" s="126" t="s">
        <v>520</v>
      </c>
      <c r="H5" s="126" t="str">
        <f>_xlfn.IFNA(INDEX(Table8[bin],MATCH(LEFT(Table3[[#This Row],[Phenotype]],4),Table8[Strain],0)),"not yet determined")</f>
        <v>not yet determined</v>
      </c>
      <c r="I5" s="126" t="s">
        <v>670</v>
      </c>
      <c r="J5" s="18">
        <v>20.464285714285715</v>
      </c>
      <c r="K5" s="18">
        <v>1.2628460792116512</v>
      </c>
      <c r="L5" s="19">
        <v>35.5</v>
      </c>
      <c r="M5" s="19">
        <v>0.70710678118654757</v>
      </c>
      <c r="N5" s="1" t="s">
        <v>64</v>
      </c>
      <c r="O5" s="1" t="s">
        <v>70</v>
      </c>
      <c r="P5" s="1" t="s">
        <v>375</v>
      </c>
      <c r="Q5" s="1" t="s">
        <v>570</v>
      </c>
      <c r="R5" s="1" t="s">
        <v>570</v>
      </c>
      <c r="S5" s="152">
        <v>0.15627672121480171</v>
      </c>
      <c r="T5" s="153">
        <v>28.625</v>
      </c>
      <c r="U5" s="1" t="s">
        <v>363</v>
      </c>
      <c r="V5" s="1" t="s">
        <v>231</v>
      </c>
      <c r="W5" s="166" t="s">
        <v>77</v>
      </c>
      <c r="X5" s="166" t="s">
        <v>77</v>
      </c>
      <c r="Y5" s="1" t="s">
        <v>232</v>
      </c>
      <c r="Z5" s="17" t="str">
        <f>_xlfn.IFNA(INDEX(Table17[Category],MATCH(Table3[[#This Row],[Phenotype]],Table17[Pheno],0)),"")</f>
        <v>Short/Average Time</v>
      </c>
      <c r="AA5" s="2" t="s">
        <v>595</v>
      </c>
      <c r="AB5" s="2" t="s">
        <v>401</v>
      </c>
      <c r="AC5" s="2" t="s">
        <v>577</v>
      </c>
      <c r="AD5" s="21" t="s">
        <v>389</v>
      </c>
      <c r="AE5" s="1" t="s">
        <v>201</v>
      </c>
      <c r="AF5" s="1" t="s">
        <v>328</v>
      </c>
      <c r="AG5" s="1" t="s">
        <v>325</v>
      </c>
      <c r="AH5" s="28">
        <v>16</v>
      </c>
      <c r="AI5" s="28"/>
      <c r="AJ5" s="1" t="str">
        <f>_xlfn.IFNA(VLOOKUP(Table3[[#This Row],[Phenotype]],Table2[],6,FALSE),"no index value")</f>
        <v>no index value</v>
      </c>
      <c r="AK5" s="1" t="s">
        <v>365</v>
      </c>
    </row>
    <row r="6" spans="1:37" ht="35.1" hidden="1" customHeight="1" x14ac:dyDescent="0.25">
      <c r="A6" s="126" t="s">
        <v>572</v>
      </c>
      <c r="B6" s="126" t="s">
        <v>573</v>
      </c>
      <c r="C6" s="212" t="s">
        <v>627</v>
      </c>
      <c r="D6" s="126" t="s">
        <v>428</v>
      </c>
      <c r="E6" s="209" t="s">
        <v>563</v>
      </c>
      <c r="F6" s="126"/>
      <c r="G6" s="126"/>
      <c r="H6" s="126" t="str">
        <f>_xlfn.IFNA(INDEX(Table8[bin],MATCH(LEFT(Table3[[#This Row],[Phenotype]],4),Table8[Strain],0)),"not yet determined")</f>
        <v>Around 30 g/sq.ft. tested flower</v>
      </c>
      <c r="I6" s="126" t="s">
        <v>670</v>
      </c>
      <c r="J6" s="18">
        <v>12.916666666666666</v>
      </c>
      <c r="K6" s="18">
        <v>0.86120071218425864</v>
      </c>
      <c r="L6" s="19">
        <v>23.727272727272727</v>
      </c>
      <c r="M6" s="19">
        <v>1.1481209945740918</v>
      </c>
      <c r="N6" s="1" t="s">
        <v>64</v>
      </c>
      <c r="O6" s="1" t="s">
        <v>70</v>
      </c>
      <c r="P6" s="1" t="s">
        <v>376</v>
      </c>
      <c r="Q6" s="155"/>
      <c r="R6" s="155"/>
      <c r="S6" s="152">
        <v>5.913159510208086E-2</v>
      </c>
      <c r="T6" s="153">
        <v>25</v>
      </c>
      <c r="U6" s="1" t="s">
        <v>358</v>
      </c>
      <c r="V6" s="1"/>
      <c r="W6" s="166"/>
      <c r="X6" s="166" t="s">
        <v>80</v>
      </c>
      <c r="Y6" s="1"/>
      <c r="Z6" s="17" t="str">
        <f>_xlfn.IFNA(INDEX(Table17[Category],MATCH(Table3[[#This Row],[Phenotype]],Table17[Pheno],0)),"")</f>
        <v>Long Time</v>
      </c>
      <c r="AA6" s="2" t="s">
        <v>595</v>
      </c>
      <c r="AB6" s="2" t="s">
        <v>401</v>
      </c>
      <c r="AC6" s="2" t="s">
        <v>577</v>
      </c>
      <c r="AD6" s="156" t="s">
        <v>180</v>
      </c>
      <c r="AE6" s="1" t="s">
        <v>574</v>
      </c>
      <c r="AF6" s="1"/>
      <c r="AG6" s="1"/>
      <c r="AH6" s="28">
        <v>16</v>
      </c>
      <c r="AI6" s="28"/>
      <c r="AJ6" s="155" t="str">
        <f>_xlfn.IFNA(VLOOKUP(Table3[[#This Row],[Phenotype]],Table2[],6,FALSE),"no index value")</f>
        <v>no index value</v>
      </c>
      <c r="AK6" s="1"/>
    </row>
    <row r="7" spans="1:37" ht="35.1" customHeight="1" x14ac:dyDescent="0.25">
      <c r="A7" s="126" t="s">
        <v>47</v>
      </c>
      <c r="B7" s="126" t="s">
        <v>411</v>
      </c>
      <c r="C7" s="126" t="s">
        <v>422</v>
      </c>
      <c r="D7" s="126" t="s">
        <v>409</v>
      </c>
      <c r="E7" s="209">
        <v>0.21299999999999999</v>
      </c>
      <c r="F7" s="126" t="s">
        <v>423</v>
      </c>
      <c r="G7" s="126" t="s">
        <v>531</v>
      </c>
      <c r="H7" s="126" t="str">
        <f>_xlfn.IFNA(INDEX(Table8[bin],MATCH(LEFT(Table3[[#This Row],[Phenotype]],4),Table8[Strain],0)),"not yet determined")</f>
        <v>Above 35 f/sq.ft. tested flower</v>
      </c>
      <c r="I7" s="126" t="s">
        <v>671</v>
      </c>
      <c r="J7" s="18">
        <v>16.116504854368934</v>
      </c>
      <c r="K7" s="18">
        <v>2.7486216541250674</v>
      </c>
      <c r="L7" s="19">
        <v>31.9375</v>
      </c>
      <c r="M7" s="19">
        <v>3.0596369400842649</v>
      </c>
      <c r="N7" s="1" t="s">
        <v>76</v>
      </c>
      <c r="O7" s="1" t="s">
        <v>70</v>
      </c>
      <c r="P7" s="1" t="s">
        <v>374</v>
      </c>
      <c r="Q7" s="1" t="s">
        <v>571</v>
      </c>
      <c r="R7" s="1" t="s">
        <v>571</v>
      </c>
      <c r="S7" s="152">
        <v>0.1452324651922183</v>
      </c>
      <c r="T7" s="153">
        <v>24.260869565217391</v>
      </c>
      <c r="U7" s="1" t="s">
        <v>358</v>
      </c>
      <c r="V7" s="1" t="s">
        <v>284</v>
      </c>
      <c r="W7" s="166" t="s">
        <v>230</v>
      </c>
      <c r="X7" s="166" t="s">
        <v>77</v>
      </c>
      <c r="Y7" s="1" t="s">
        <v>304</v>
      </c>
      <c r="Z7" s="17" t="str">
        <f>_xlfn.IFNA(INDEX(Table17[Category],MATCH(Table3[[#This Row],[Phenotype]],Table17[Pheno],0)),"")</f>
        <v>Average Time</v>
      </c>
      <c r="AA7" s="2">
        <v>1</v>
      </c>
      <c r="AB7" s="2" t="s">
        <v>401</v>
      </c>
      <c r="AC7" s="27" t="s">
        <v>706</v>
      </c>
      <c r="AD7" s="21" t="s">
        <v>198</v>
      </c>
      <c r="AE7" s="1" t="s">
        <v>165</v>
      </c>
      <c r="AF7" s="1" t="s">
        <v>166</v>
      </c>
      <c r="AG7" s="1" t="s">
        <v>297</v>
      </c>
      <c r="AH7" s="28">
        <v>16</v>
      </c>
      <c r="AI7" s="28"/>
      <c r="AJ7" s="28">
        <f>_xlfn.IFNA(VLOOKUP(Table3[[#This Row],[Phenotype]],Table2[],6,FALSE),"no index value")</f>
        <v>13</v>
      </c>
      <c r="AK7" s="1" t="s">
        <v>237</v>
      </c>
    </row>
    <row r="8" spans="1:37" ht="35.1" hidden="1" customHeight="1" x14ac:dyDescent="0.25">
      <c r="A8" s="126" t="s">
        <v>39</v>
      </c>
      <c r="B8" s="126" t="s">
        <v>427</v>
      </c>
      <c r="C8" s="126" t="s">
        <v>424</v>
      </c>
      <c r="D8" s="126" t="s">
        <v>417</v>
      </c>
      <c r="E8" s="209">
        <v>0.3</v>
      </c>
      <c r="F8" s="126" t="s">
        <v>426</v>
      </c>
      <c r="G8" s="126" t="s">
        <v>521</v>
      </c>
      <c r="H8" s="126" t="str">
        <f>_xlfn.IFNA(INDEX(Table8[bin],MATCH(LEFT(Table3[[#This Row],[Phenotype]],4),Table8[Strain],0)),"not yet determined")</f>
        <v>Below 30 g/sq.ft tested flower</v>
      </c>
      <c r="I8" s="126" t="s">
        <v>670</v>
      </c>
      <c r="J8" s="18">
        <v>15.808510638297872</v>
      </c>
      <c r="K8" s="18">
        <v>1.7862798100149304</v>
      </c>
      <c r="L8" s="19">
        <v>31.583333333333332</v>
      </c>
      <c r="M8" s="19">
        <v>1.4508222005026343</v>
      </c>
      <c r="N8" s="1" t="s">
        <v>76</v>
      </c>
      <c r="O8" s="1" t="s">
        <v>70</v>
      </c>
      <c r="P8" s="1" t="s">
        <v>376</v>
      </c>
      <c r="Q8" s="1" t="s">
        <v>571</v>
      </c>
      <c r="R8" s="1" t="s">
        <v>571</v>
      </c>
      <c r="S8" s="152">
        <v>0.1791267439241607</v>
      </c>
      <c r="T8" s="153">
        <v>24.692307692307693</v>
      </c>
      <c r="U8" s="1" t="s">
        <v>358</v>
      </c>
      <c r="V8" s="1" t="s">
        <v>231</v>
      </c>
      <c r="W8" s="166" t="s">
        <v>252</v>
      </c>
      <c r="X8" s="166" t="s">
        <v>74</v>
      </c>
      <c r="Y8" s="1" t="s">
        <v>306</v>
      </c>
      <c r="Z8" s="17" t="str">
        <f>_xlfn.IFNA(INDEX(Table17[Category],MATCH(Table3[[#This Row],[Phenotype]],Table17[Pheno],0)),"")</f>
        <v>Short/Average Time</v>
      </c>
      <c r="AA8" s="2" t="s">
        <v>595</v>
      </c>
      <c r="AB8" s="2" t="s">
        <v>401</v>
      </c>
      <c r="AC8" s="2" t="s">
        <v>577</v>
      </c>
      <c r="AD8" s="21" t="s">
        <v>180</v>
      </c>
      <c r="AE8" s="1" t="s">
        <v>277</v>
      </c>
      <c r="AF8" s="1" t="s">
        <v>329</v>
      </c>
      <c r="AG8" s="1" t="s">
        <v>324</v>
      </c>
      <c r="AH8" s="28">
        <v>16</v>
      </c>
      <c r="AI8" s="28"/>
      <c r="AJ8" s="28">
        <f>_xlfn.IFNA(VLOOKUP(Table3[[#This Row],[Phenotype]],Table2[],6,FALSE),"no index value")</f>
        <v>7</v>
      </c>
      <c r="AK8" s="1" t="s">
        <v>237</v>
      </c>
    </row>
    <row r="9" spans="1:37" ht="35.1" hidden="1" customHeight="1" x14ac:dyDescent="0.25">
      <c r="A9" s="126" t="s">
        <v>33</v>
      </c>
      <c r="B9" s="126" t="s">
        <v>429</v>
      </c>
      <c r="C9" s="126" t="s">
        <v>430</v>
      </c>
      <c r="D9" s="126" t="s">
        <v>428</v>
      </c>
      <c r="E9" s="209">
        <v>0.23899999999999999</v>
      </c>
      <c r="F9" s="126" t="s">
        <v>432</v>
      </c>
      <c r="G9" s="126" t="s">
        <v>522</v>
      </c>
      <c r="H9" s="126" t="str">
        <f>_xlfn.IFNA(INDEX(Table8[bin],MATCH(LEFT(Table3[[#This Row],[Phenotype]],4),Table8[Strain],0)),"not yet determined")</f>
        <v>30-35 g/sq.ft. tested flower</v>
      </c>
      <c r="I9" s="126" t="s">
        <v>671</v>
      </c>
      <c r="J9" s="18">
        <v>24.438848920863311</v>
      </c>
      <c r="K9" s="18">
        <v>4.8216226565573423</v>
      </c>
      <c r="L9" s="19">
        <v>47</v>
      </c>
      <c r="M9" s="19">
        <v>3.9345918032532738</v>
      </c>
      <c r="N9" s="1" t="s">
        <v>76</v>
      </c>
      <c r="O9" s="1" t="s">
        <v>65</v>
      </c>
      <c r="P9" s="1" t="s">
        <v>374</v>
      </c>
      <c r="Q9" s="1" t="s">
        <v>561</v>
      </c>
      <c r="R9" s="1" t="s">
        <v>561</v>
      </c>
      <c r="S9" s="152">
        <v>5.135101053839379E-2</v>
      </c>
      <c r="T9" s="153">
        <v>50</v>
      </c>
      <c r="U9" s="1" t="s">
        <v>357</v>
      </c>
      <c r="V9" s="1" t="s">
        <v>217</v>
      </c>
      <c r="W9" s="166" t="s">
        <v>363</v>
      </c>
      <c r="X9" s="166" t="s">
        <v>73</v>
      </c>
      <c r="Y9" s="1" t="s">
        <v>320</v>
      </c>
      <c r="Z9" s="17" t="str">
        <f>_xlfn.IFNA(INDEX(Table17[Category],MATCH(Table3[[#This Row],[Phenotype]],Table17[Pheno],0)),"")</f>
        <v>Average Time</v>
      </c>
      <c r="AA9" s="2">
        <v>3</v>
      </c>
      <c r="AB9" s="2" t="s">
        <v>400</v>
      </c>
      <c r="AC9" s="2" t="s">
        <v>577</v>
      </c>
      <c r="AD9" s="21" t="s">
        <v>373</v>
      </c>
      <c r="AE9" s="1" t="s">
        <v>322</v>
      </c>
      <c r="AF9" s="1" t="s">
        <v>330</v>
      </c>
      <c r="AG9" s="1" t="s">
        <v>324</v>
      </c>
      <c r="AH9" s="28">
        <v>12</v>
      </c>
      <c r="AI9" s="28"/>
      <c r="AJ9" s="28">
        <f>_xlfn.IFNA(VLOOKUP(Table3[[#This Row],[Phenotype]],Table2[],6,FALSE),"no index value")</f>
        <v>2</v>
      </c>
      <c r="AK9" s="1" t="s">
        <v>365</v>
      </c>
    </row>
    <row r="10" spans="1:37" ht="35.1" hidden="1" customHeight="1" x14ac:dyDescent="0.25">
      <c r="A10" s="126" t="s">
        <v>28</v>
      </c>
      <c r="B10" s="126" t="s">
        <v>433</v>
      </c>
      <c r="C10" s="126" t="s">
        <v>434</v>
      </c>
      <c r="D10" s="126" t="s">
        <v>417</v>
      </c>
      <c r="E10" s="209">
        <v>0.192</v>
      </c>
      <c r="F10" s="126" t="s">
        <v>436</v>
      </c>
      <c r="G10" s="126" t="s">
        <v>523</v>
      </c>
      <c r="H10" s="126" t="str">
        <f>_xlfn.IFNA(INDEX(Table8[bin],MATCH(LEFT(Table3[[#This Row],[Phenotype]],4),Table8[Strain],0)),"not yet determined")</f>
        <v>Around 30 g/sq.ft. tested flower</v>
      </c>
      <c r="I10" s="126" t="s">
        <v>671</v>
      </c>
      <c r="J10" s="18">
        <v>23.964285714285715</v>
      </c>
      <c r="K10" s="18">
        <v>2.9356892242763259</v>
      </c>
      <c r="L10" s="19">
        <v>48.734375</v>
      </c>
      <c r="M10" s="19">
        <v>3.6211394905025989</v>
      </c>
      <c r="N10" s="1" t="s">
        <v>64</v>
      </c>
      <c r="O10" s="1" t="s">
        <v>70</v>
      </c>
      <c r="P10" s="1" t="s">
        <v>375</v>
      </c>
      <c r="Q10" s="1" t="s">
        <v>561</v>
      </c>
      <c r="R10" s="1" t="s">
        <v>571</v>
      </c>
      <c r="S10" s="152">
        <v>6.9964962730700964E-2</v>
      </c>
      <c r="T10" s="153">
        <v>25.428571428571427</v>
      </c>
      <c r="U10" s="1" t="s">
        <v>357</v>
      </c>
      <c r="V10" s="1" t="s">
        <v>265</v>
      </c>
      <c r="W10" s="166" t="s">
        <v>77</v>
      </c>
      <c r="X10" s="166" t="s">
        <v>77</v>
      </c>
      <c r="Y10" s="1" t="s">
        <v>319</v>
      </c>
      <c r="Z10" s="17" t="str">
        <f>_xlfn.IFNA(INDEX(Table17[Category],MATCH(Table3[[#This Row],[Phenotype]],Table17[Pheno],0)),"")</f>
        <v>Short Time</v>
      </c>
      <c r="AA10" s="2" t="s">
        <v>595</v>
      </c>
      <c r="AB10" s="2" t="s">
        <v>401</v>
      </c>
      <c r="AC10" s="2" t="s">
        <v>577</v>
      </c>
      <c r="AD10" s="23" t="s">
        <v>179</v>
      </c>
      <c r="AE10" s="1" t="s">
        <v>205</v>
      </c>
      <c r="AF10" s="1" t="s">
        <v>206</v>
      </c>
      <c r="AG10" s="1" t="s">
        <v>324</v>
      </c>
      <c r="AH10" s="28">
        <v>12</v>
      </c>
      <c r="AI10" s="28"/>
      <c r="AJ10" s="28">
        <f>_xlfn.IFNA(VLOOKUP(Table3[[#This Row],[Phenotype]],Table2[],6,FALSE),"no index value")</f>
        <v>8</v>
      </c>
      <c r="AK10" s="1" t="s">
        <v>237</v>
      </c>
    </row>
    <row r="11" spans="1:37" ht="35.1" hidden="1" customHeight="1" x14ac:dyDescent="0.25">
      <c r="A11" s="127" t="s">
        <v>25</v>
      </c>
      <c r="B11" s="127" t="s">
        <v>440</v>
      </c>
      <c r="C11" s="126" t="s">
        <v>437</v>
      </c>
      <c r="D11" s="127" t="s">
        <v>428</v>
      </c>
      <c r="E11" s="209">
        <v>0.22500000000000001</v>
      </c>
      <c r="F11" s="126" t="s">
        <v>439</v>
      </c>
      <c r="G11" s="126" t="s">
        <v>524</v>
      </c>
      <c r="H11" s="126" t="str">
        <f>_xlfn.IFNA(INDEX(Table8[bin],MATCH(LEFT(Table3[[#This Row],[Phenotype]],4),Table8[Strain],0)),"not yet determined")</f>
        <v>Below 30 g/sq.ft tested flower</v>
      </c>
      <c r="I11" s="126" t="s">
        <v>672</v>
      </c>
      <c r="J11" s="19">
        <v>21.702970297029704</v>
      </c>
      <c r="K11" s="19">
        <v>3.1860463099441785</v>
      </c>
      <c r="L11" s="19">
        <v>39.820512820512818</v>
      </c>
      <c r="M11" s="19">
        <v>3.1571135499639342</v>
      </c>
      <c r="N11" s="17" t="s">
        <v>69</v>
      </c>
      <c r="O11" s="17" t="s">
        <v>65</v>
      </c>
      <c r="P11" s="1" t="s">
        <v>374</v>
      </c>
      <c r="Q11" s="1" t="s">
        <v>561</v>
      </c>
      <c r="R11" s="1" t="s">
        <v>561</v>
      </c>
      <c r="S11" s="152">
        <v>0.1492974333316906</v>
      </c>
      <c r="T11" s="153">
        <v>31.90909090909091</v>
      </c>
      <c r="U11" s="1" t="s">
        <v>358</v>
      </c>
      <c r="V11" s="17" t="s">
        <v>231</v>
      </c>
      <c r="W11" s="166" t="s">
        <v>262</v>
      </c>
      <c r="X11" s="166" t="s">
        <v>73</v>
      </c>
      <c r="Y11" s="17" t="s">
        <v>263</v>
      </c>
      <c r="Z11" s="17" t="str">
        <f>_xlfn.IFNA(INDEX(Table17[Category],MATCH(Table3[[#This Row],[Phenotype]],Table17[Pheno],0)),"")</f>
        <v>Average/Long Time</v>
      </c>
      <c r="AA11" s="27" t="s">
        <v>595</v>
      </c>
      <c r="AB11" s="27" t="s">
        <v>401</v>
      </c>
      <c r="AC11" s="27" t="s">
        <v>577</v>
      </c>
      <c r="AD11" s="23" t="s">
        <v>389</v>
      </c>
      <c r="AE11" s="17" t="s">
        <v>260</v>
      </c>
      <c r="AF11" s="17" t="s">
        <v>331</v>
      </c>
      <c r="AG11" s="17" t="s">
        <v>324</v>
      </c>
      <c r="AH11" s="28">
        <v>12</v>
      </c>
      <c r="AI11" s="29"/>
      <c r="AJ11" s="29">
        <f>_xlfn.IFNA(VLOOKUP(Table3[[#This Row],[Phenotype]],Table2[],6,FALSE),"no index value")</f>
        <v>12</v>
      </c>
      <c r="AK11" s="17" t="s">
        <v>237</v>
      </c>
    </row>
    <row r="12" spans="1:37" ht="35.1" hidden="1" customHeight="1" x14ac:dyDescent="0.25">
      <c r="A12" s="126" t="s">
        <v>23</v>
      </c>
      <c r="B12" s="126" t="s">
        <v>441</v>
      </c>
      <c r="C12" s="126" t="s">
        <v>442</v>
      </c>
      <c r="D12" s="126" t="s">
        <v>417</v>
      </c>
      <c r="E12" s="209">
        <v>0.188</v>
      </c>
      <c r="F12" s="126" t="s">
        <v>444</v>
      </c>
      <c r="G12" s="126" t="s">
        <v>525</v>
      </c>
      <c r="H12" s="126" t="str">
        <f>_xlfn.IFNA(INDEX(Table8[bin],MATCH(LEFT(Table3[[#This Row],[Phenotype]],4),Table8[Strain],0)),"not yet determined")</f>
        <v>Around 30 g/sq.ft. tested flower</v>
      </c>
      <c r="I12" s="126" t="s">
        <v>672</v>
      </c>
      <c r="J12" s="18">
        <v>24.285714285714285</v>
      </c>
      <c r="K12" s="18">
        <v>4.3913832189120621</v>
      </c>
      <c r="L12" s="19">
        <v>51.145000000000003</v>
      </c>
      <c r="M12" s="19">
        <v>5.1729165522522758</v>
      </c>
      <c r="N12" s="1" t="s">
        <v>64</v>
      </c>
      <c r="O12" s="1" t="s">
        <v>70</v>
      </c>
      <c r="P12" s="1" t="s">
        <v>376</v>
      </c>
      <c r="Q12" s="1" t="s">
        <v>561</v>
      </c>
      <c r="R12" s="1" t="s">
        <v>561</v>
      </c>
      <c r="S12" s="152">
        <v>3.4673127348811485E-2</v>
      </c>
      <c r="T12" s="153">
        <v>37.444444444444443</v>
      </c>
      <c r="U12" s="1" t="s">
        <v>357</v>
      </c>
      <c r="V12" s="1" t="s">
        <v>363</v>
      </c>
      <c r="W12" s="166" t="s">
        <v>363</v>
      </c>
      <c r="X12" s="166" t="s">
        <v>75</v>
      </c>
      <c r="Y12" s="1" t="s">
        <v>307</v>
      </c>
      <c r="Z12" s="17" t="str">
        <f>_xlfn.IFNA(INDEX(Table17[Category],MATCH(Table3[[#This Row],[Phenotype]],Table17[Pheno],0)),"")</f>
        <v>Long Time</v>
      </c>
      <c r="AA12" s="2">
        <v>3</v>
      </c>
      <c r="AB12" s="2" t="s">
        <v>400</v>
      </c>
      <c r="AC12" s="2" t="s">
        <v>577</v>
      </c>
      <c r="AD12" s="21" t="s">
        <v>370</v>
      </c>
      <c r="AE12" s="1" t="s">
        <v>323</v>
      </c>
      <c r="AF12" s="1" t="s">
        <v>363</v>
      </c>
      <c r="AG12" s="1" t="s">
        <v>363</v>
      </c>
      <c r="AH12" s="28">
        <v>12</v>
      </c>
      <c r="AI12" s="28"/>
      <c r="AJ12" s="28">
        <f>_xlfn.IFNA(VLOOKUP(Table3[[#This Row],[Phenotype]],Table2[],6,FALSE),"no index value")</f>
        <v>1</v>
      </c>
      <c r="AK12" s="1" t="s">
        <v>365</v>
      </c>
    </row>
    <row r="13" spans="1:37" ht="35.1" hidden="1" customHeight="1" x14ac:dyDescent="0.25">
      <c r="A13" s="126" t="s">
        <v>569</v>
      </c>
      <c r="B13" s="126" t="s">
        <v>587</v>
      </c>
      <c r="C13" s="211" t="s">
        <v>626</v>
      </c>
      <c r="D13" s="126" t="s">
        <v>428</v>
      </c>
      <c r="E13" s="209" t="s">
        <v>563</v>
      </c>
      <c r="F13" s="126"/>
      <c r="G13" s="126"/>
      <c r="H13" s="126" t="str">
        <f>_xlfn.IFNA(INDEX(Table8[bin],MATCH(LEFT(Table3[[#This Row],[Phenotype]],4),Table8[Strain],0)),"not yet determined")</f>
        <v>not yet determined</v>
      </c>
      <c r="I13" s="126" t="s">
        <v>670</v>
      </c>
      <c r="J13" s="18">
        <v>21.528571428571428</v>
      </c>
      <c r="K13" s="18">
        <v>2.4282130234794002</v>
      </c>
      <c r="L13" s="19">
        <v>39.263157894736842</v>
      </c>
      <c r="M13" s="19">
        <v>2.5839699272234911</v>
      </c>
      <c r="N13" s="1" t="s">
        <v>64</v>
      </c>
      <c r="O13" s="1" t="s">
        <v>70</v>
      </c>
      <c r="P13" s="1" t="s">
        <v>376</v>
      </c>
      <c r="Q13" s="1" t="s">
        <v>570</v>
      </c>
      <c r="R13" s="1" t="s">
        <v>570</v>
      </c>
      <c r="S13" s="152">
        <v>8.5903845328874212E-2</v>
      </c>
      <c r="T13" s="153">
        <v>46</v>
      </c>
      <c r="U13" s="1" t="s">
        <v>363</v>
      </c>
      <c r="V13" s="1"/>
      <c r="W13" s="166"/>
      <c r="X13" s="166" t="s">
        <v>80</v>
      </c>
      <c r="Y13" s="1" t="s">
        <v>594</v>
      </c>
      <c r="Z13" s="17" t="s">
        <v>686</v>
      </c>
      <c r="AA13" s="2">
        <v>2</v>
      </c>
      <c r="AB13" s="2" t="s">
        <v>401</v>
      </c>
      <c r="AC13" s="2" t="s">
        <v>577</v>
      </c>
      <c r="AD13" s="21" t="s">
        <v>179</v>
      </c>
      <c r="AE13" s="1" t="s">
        <v>602</v>
      </c>
      <c r="AF13" s="1" t="s">
        <v>597</v>
      </c>
      <c r="AG13" s="1" t="s">
        <v>325</v>
      </c>
      <c r="AH13" s="28">
        <v>16</v>
      </c>
      <c r="AI13" s="28"/>
      <c r="AJ13" s="155" t="str">
        <f>_xlfn.IFNA(VLOOKUP(Table3[[#This Row],[Phenotype]],Table2[],6,FALSE),"no index value")</f>
        <v>no index value</v>
      </c>
      <c r="AK13" s="1"/>
    </row>
    <row r="14" spans="1:37" ht="35.1" hidden="1" customHeight="1" x14ac:dyDescent="0.25">
      <c r="A14" s="127" t="s">
        <v>21</v>
      </c>
      <c r="B14" s="127" t="s">
        <v>448</v>
      </c>
      <c r="C14" s="126" t="s">
        <v>445</v>
      </c>
      <c r="D14" s="127" t="s">
        <v>428</v>
      </c>
      <c r="E14" s="209">
        <v>0.28299999999999997</v>
      </c>
      <c r="F14" s="126" t="s">
        <v>447</v>
      </c>
      <c r="G14" s="126" t="s">
        <v>526</v>
      </c>
      <c r="H14" s="126" t="str">
        <f>_xlfn.IFNA(INDEX(Table8[bin],MATCH(LEFT(Table3[[#This Row],[Phenotype]],4),Table8[Strain],0)),"not yet determined")</f>
        <v>Above 35 f/sq.ft. tested flower</v>
      </c>
      <c r="I14" s="126" t="s">
        <v>671</v>
      </c>
      <c r="J14" s="18">
        <v>17.078125</v>
      </c>
      <c r="K14" s="18">
        <v>3.4782953161644588</v>
      </c>
      <c r="L14" s="19">
        <v>34.916666666666664</v>
      </c>
      <c r="M14" s="19">
        <v>1.7424786610050405</v>
      </c>
      <c r="N14" s="1" t="s">
        <v>69</v>
      </c>
      <c r="O14" s="1" t="s">
        <v>70</v>
      </c>
      <c r="P14" s="1" t="s">
        <v>376</v>
      </c>
      <c r="Q14" s="1" t="s">
        <v>571</v>
      </c>
      <c r="R14" s="1" t="s">
        <v>571</v>
      </c>
      <c r="S14" s="152">
        <v>0.11133782850844098</v>
      </c>
      <c r="T14" s="153">
        <v>27.285714285714285</v>
      </c>
      <c r="U14" s="1" t="s">
        <v>358</v>
      </c>
      <c r="V14" s="1" t="s">
        <v>363</v>
      </c>
      <c r="W14" s="166" t="s">
        <v>363</v>
      </c>
      <c r="X14" s="166" t="s">
        <v>73</v>
      </c>
      <c r="Y14" s="1" t="s">
        <v>314</v>
      </c>
      <c r="Z14" s="17" t="str">
        <f>_xlfn.IFNA(INDEX(Table17[Category],MATCH(Table3[[#This Row],[Phenotype]],Table17[Pheno],0)),"")</f>
        <v>Average/Long Time</v>
      </c>
      <c r="AA14" s="2" t="s">
        <v>595</v>
      </c>
      <c r="AB14" s="2" t="s">
        <v>401</v>
      </c>
      <c r="AC14" s="2" t="s">
        <v>577</v>
      </c>
      <c r="AD14" s="23" t="s">
        <v>180</v>
      </c>
      <c r="AE14" s="1" t="s">
        <v>315</v>
      </c>
      <c r="AF14" s="1" t="s">
        <v>316</v>
      </c>
      <c r="AG14" s="1" t="s">
        <v>325</v>
      </c>
      <c r="AH14" s="28" t="s">
        <v>619</v>
      </c>
      <c r="AI14" s="28"/>
      <c r="AJ14" s="28">
        <f>_xlfn.IFNA(VLOOKUP(Table3[[#This Row],[Phenotype]],Table2[],6,FALSE),"no index value")</f>
        <v>5</v>
      </c>
      <c r="AK14" s="1" t="s">
        <v>365</v>
      </c>
    </row>
    <row r="15" spans="1:37" ht="35.1" hidden="1" customHeight="1" x14ac:dyDescent="0.25">
      <c r="A15" s="126" t="s">
        <v>582</v>
      </c>
      <c r="B15" s="126" t="s">
        <v>583</v>
      </c>
      <c r="C15" s="126" t="s">
        <v>453</v>
      </c>
      <c r="D15" s="126" t="s">
        <v>409</v>
      </c>
      <c r="E15" s="209">
        <v>0.24</v>
      </c>
      <c r="F15" s="126" t="s">
        <v>455</v>
      </c>
      <c r="G15" s="126" t="s">
        <v>532</v>
      </c>
      <c r="H15" s="126" t="str">
        <f>_xlfn.IFNA(INDEX(Table8[bin],MATCH(LEFT(Table3[[#This Row],[Phenotype]],4),Table8[Strain],0)),"not yet determined")</f>
        <v>not yet determined</v>
      </c>
      <c r="I15" s="126" t="s">
        <v>672</v>
      </c>
      <c r="J15" s="18">
        <v>14.84297520661157</v>
      </c>
      <c r="K15" s="18">
        <v>2.2360987771220704</v>
      </c>
      <c r="L15" s="19">
        <v>31.96875</v>
      </c>
      <c r="M15" s="19">
        <v>4.2268219664625351</v>
      </c>
      <c r="N15" s="1" t="s">
        <v>76</v>
      </c>
      <c r="O15" s="1" t="s">
        <v>70</v>
      </c>
      <c r="P15" s="1" t="s">
        <v>374</v>
      </c>
      <c r="Q15" s="1" t="s">
        <v>571</v>
      </c>
      <c r="R15" s="1" t="s">
        <v>571</v>
      </c>
      <c r="S15" s="152">
        <v>0.11655198312963361</v>
      </c>
      <c r="T15" s="153">
        <v>30.46153846153846</v>
      </c>
      <c r="U15" s="1" t="s">
        <v>358</v>
      </c>
      <c r="V15" s="1" t="s">
        <v>231</v>
      </c>
      <c r="W15" s="166" t="s">
        <v>233</v>
      </c>
      <c r="X15" s="166" t="s">
        <v>80</v>
      </c>
      <c r="Y15" s="1" t="s">
        <v>310</v>
      </c>
      <c r="Z15" s="17" t="str">
        <f>_xlfn.IFNA(INDEX(Table17[Category],MATCH(Table3[[#This Row],[Phenotype]],Table17[Pheno],0)),"")</f>
        <v>Average Time</v>
      </c>
      <c r="AA15" s="165">
        <v>1</v>
      </c>
      <c r="AB15" s="2" t="s">
        <v>401</v>
      </c>
      <c r="AC15" s="2" t="s">
        <v>577</v>
      </c>
      <c r="AD15" s="22" t="s">
        <v>198</v>
      </c>
      <c r="AE15" s="1" t="s">
        <v>318</v>
      </c>
      <c r="AF15" s="1" t="s">
        <v>335</v>
      </c>
      <c r="AG15" s="1" t="s">
        <v>324</v>
      </c>
      <c r="AH15" s="28">
        <v>16</v>
      </c>
      <c r="AI15" s="28"/>
      <c r="AJ15" s="28">
        <f>_xlfn.IFNA(VLOOKUP(Table3[[#This Row],[Phenotype]],Table2[],6,FALSE),"no index value")</f>
        <v>9</v>
      </c>
      <c r="AK15" s="1" t="s">
        <v>237</v>
      </c>
    </row>
    <row r="16" spans="1:37" ht="35.1" hidden="1" customHeight="1" x14ac:dyDescent="0.25">
      <c r="A16" s="157" t="s">
        <v>621</v>
      </c>
      <c r="B16" s="157" t="s">
        <v>622</v>
      </c>
      <c r="C16" s="157" t="s">
        <v>457</v>
      </c>
      <c r="D16" s="157" t="s">
        <v>428</v>
      </c>
      <c r="E16" s="209">
        <v>0.246</v>
      </c>
      <c r="F16" s="157" t="s">
        <v>459</v>
      </c>
      <c r="G16" s="157" t="s">
        <v>528</v>
      </c>
      <c r="H16" s="157" t="str">
        <f>_xlfn.IFNA(INDEX(Table8[bin],MATCH(LEFT(Table3[[#This Row],[Phenotype]],4),Table8[Strain],0)),"not yet determined")</f>
        <v>not yet determined</v>
      </c>
      <c r="I16" s="157" t="s">
        <v>672</v>
      </c>
      <c r="J16" s="159">
        <v>17.886029411764707</v>
      </c>
      <c r="K16" s="159">
        <v>3.0635049593832147</v>
      </c>
      <c r="L16" s="159">
        <v>34.098484848484851</v>
      </c>
      <c r="M16" s="19">
        <v>2.9524692364315306</v>
      </c>
      <c r="N16" s="158" t="s">
        <v>69</v>
      </c>
      <c r="O16" s="158" t="s">
        <v>65</v>
      </c>
      <c r="P16" s="158" t="s">
        <v>374</v>
      </c>
      <c r="Q16" s="158" t="s">
        <v>561</v>
      </c>
      <c r="R16" s="158" t="s">
        <v>571</v>
      </c>
      <c r="S16" s="160">
        <v>8.8598199267324526E-2</v>
      </c>
      <c r="T16" s="161">
        <v>33.555555555555557</v>
      </c>
      <c r="U16" s="158" t="s">
        <v>358</v>
      </c>
      <c r="V16" s="158" t="s">
        <v>231</v>
      </c>
      <c r="W16" s="21" t="s">
        <v>233</v>
      </c>
      <c r="X16" s="21" t="s">
        <v>74</v>
      </c>
      <c r="Y16" s="158" t="s">
        <v>309</v>
      </c>
      <c r="Z16" s="158" t="str">
        <f>_xlfn.IFNA(INDEX(Table17[Category],MATCH(Table3[[#This Row],[Phenotype]],Table17[Pheno],0)),"")</f>
        <v>Long Time</v>
      </c>
      <c r="AA16" s="162" t="s">
        <v>595</v>
      </c>
      <c r="AB16" s="162" t="s">
        <v>401</v>
      </c>
      <c r="AC16" s="162" t="s">
        <v>577</v>
      </c>
      <c r="AD16" s="163" t="s">
        <v>389</v>
      </c>
      <c r="AE16" s="158" t="s">
        <v>296</v>
      </c>
      <c r="AF16" s="158" t="s">
        <v>334</v>
      </c>
      <c r="AG16" s="158" t="s">
        <v>324</v>
      </c>
      <c r="AH16" s="28" t="s">
        <v>619</v>
      </c>
      <c r="AI16" s="164"/>
      <c r="AJ16" s="164" t="str">
        <f>_xlfn.IFNA(VLOOKUP(Table3[[#This Row],[Phenotype]],Table2[],6,FALSE),"no index value")</f>
        <v>no index value</v>
      </c>
      <c r="AK16" s="158" t="s">
        <v>237</v>
      </c>
    </row>
    <row r="17" spans="1:37" ht="35.1" hidden="1" customHeight="1" x14ac:dyDescent="0.25">
      <c r="A17" s="127" t="s">
        <v>10</v>
      </c>
      <c r="B17" s="127" t="s">
        <v>456</v>
      </c>
      <c r="C17" s="126" t="s">
        <v>457</v>
      </c>
      <c r="D17" s="127" t="s">
        <v>428</v>
      </c>
      <c r="E17" s="209">
        <v>0.246</v>
      </c>
      <c r="F17" s="126" t="s">
        <v>459</v>
      </c>
      <c r="G17" s="126" t="s">
        <v>528</v>
      </c>
      <c r="H17" s="126" t="str">
        <f>_xlfn.IFNA(INDEX(Table8[bin],MATCH(LEFT(Table3[[#This Row],[Phenotype]],4),Table8[Strain],0)),"not yet determined")</f>
        <v>Around 30 g/sq.ft. tested flower</v>
      </c>
      <c r="I17" s="126" t="s">
        <v>672</v>
      </c>
      <c r="J17" s="18">
        <v>15.651162790697674</v>
      </c>
      <c r="K17" s="18">
        <v>3.5127910550839418</v>
      </c>
      <c r="L17" s="19">
        <v>28.85</v>
      </c>
      <c r="M17" s="19">
        <v>1.850320029218264</v>
      </c>
      <c r="N17" s="1" t="s">
        <v>69</v>
      </c>
      <c r="O17" s="1" t="s">
        <v>70</v>
      </c>
      <c r="P17" s="1" t="s">
        <v>374</v>
      </c>
      <c r="Q17" s="1" t="s">
        <v>571</v>
      </c>
      <c r="R17" s="1" t="s">
        <v>571</v>
      </c>
      <c r="S17" s="152">
        <v>0.14742659959999113</v>
      </c>
      <c r="T17" s="153">
        <v>48</v>
      </c>
      <c r="U17" s="1" t="s">
        <v>358</v>
      </c>
      <c r="V17" s="1" t="s">
        <v>231</v>
      </c>
      <c r="W17" s="21" t="s">
        <v>266</v>
      </c>
      <c r="X17" s="21" t="s">
        <v>74</v>
      </c>
      <c r="Y17" s="1" t="s">
        <v>321</v>
      </c>
      <c r="Z17" s="17" t="str">
        <f>_xlfn.IFNA(INDEX(Table17[Category],MATCH(Table3[[#This Row],[Phenotype]],Table17[Pheno],0)),"")</f>
        <v>Long Time</v>
      </c>
      <c r="AA17" s="2" t="s">
        <v>595</v>
      </c>
      <c r="AB17" s="2" t="s">
        <v>401</v>
      </c>
      <c r="AC17" s="2" t="s">
        <v>577</v>
      </c>
      <c r="AD17" s="23" t="s">
        <v>389</v>
      </c>
      <c r="AE17" s="1" t="s">
        <v>275</v>
      </c>
      <c r="AF17" s="1" t="s">
        <v>276</v>
      </c>
      <c r="AG17" s="1" t="s">
        <v>325</v>
      </c>
      <c r="AH17" s="28" t="s">
        <v>619</v>
      </c>
      <c r="AI17" s="28"/>
      <c r="AJ17" s="28">
        <f>_xlfn.IFNA(VLOOKUP(Table3[[#This Row],[Phenotype]],Table2[],6,FALSE),"no index value")</f>
        <v>10</v>
      </c>
      <c r="AK17" s="1" t="s">
        <v>237</v>
      </c>
    </row>
    <row r="18" spans="1:37" ht="35.1" hidden="1" customHeight="1" x14ac:dyDescent="0.25">
      <c r="A18" s="126" t="s">
        <v>588</v>
      </c>
      <c r="B18" s="126"/>
      <c r="C18" s="126"/>
      <c r="D18" s="126"/>
      <c r="E18" s="209" t="s">
        <v>563</v>
      </c>
      <c r="F18" s="126"/>
      <c r="G18" s="126"/>
      <c r="H18" s="126" t="str">
        <f>_xlfn.IFNA(INDEX(Table8[bin],MATCH(LEFT(Table3[[#This Row],[Phenotype]],4),Table8[Strain],0)),"not yet determined")</f>
        <v>Below 30 g/sq.ft tested flower</v>
      </c>
      <c r="I18" s="126" t="s">
        <v>178</v>
      </c>
      <c r="J18" s="18">
        <v>20.5</v>
      </c>
      <c r="K18" s="18">
        <v>2.2912878474779199</v>
      </c>
      <c r="L18" s="19">
        <v>36</v>
      </c>
      <c r="M18" s="19"/>
      <c r="N18" s="1" t="s">
        <v>64</v>
      </c>
      <c r="O18" s="1" t="s">
        <v>70</v>
      </c>
      <c r="P18" s="1" t="s">
        <v>375</v>
      </c>
      <c r="Q18" s="155"/>
      <c r="R18" s="155"/>
      <c r="S18" s="152">
        <v>0.14635031635031634</v>
      </c>
      <c r="T18" s="153"/>
      <c r="U18" s="1"/>
      <c r="V18" s="1"/>
      <c r="W18" s="21"/>
      <c r="X18" s="21" t="s">
        <v>77</v>
      </c>
      <c r="Y18" s="1"/>
      <c r="Z18" s="17" t="str">
        <f>_xlfn.IFNA(INDEX(Table17[Category],MATCH(Table3[[#This Row],[Phenotype]],Table17[Pheno],0)),"")</f>
        <v/>
      </c>
      <c r="AA18" s="2">
        <v>1</v>
      </c>
      <c r="AB18" s="2" t="s">
        <v>401</v>
      </c>
      <c r="AC18" s="2" t="s">
        <v>577</v>
      </c>
      <c r="AD18" s="156" t="s">
        <v>198</v>
      </c>
      <c r="AE18" s="1" t="s">
        <v>596</v>
      </c>
      <c r="AF18" s="1" t="s">
        <v>598</v>
      </c>
      <c r="AG18" s="1" t="s">
        <v>325</v>
      </c>
      <c r="AH18" s="28">
        <v>16</v>
      </c>
      <c r="AI18" s="28"/>
      <c r="AJ18" s="155" t="str">
        <f>_xlfn.IFNA(VLOOKUP(Table3[[#This Row],[Phenotype]],Table2[],6,FALSE),"no index value")</f>
        <v>no index value</v>
      </c>
      <c r="AK18" s="1"/>
    </row>
    <row r="19" spans="1:37" ht="35.1" hidden="1" customHeight="1" x14ac:dyDescent="0.25">
      <c r="A19" s="126" t="s">
        <v>589</v>
      </c>
      <c r="B19" s="126"/>
      <c r="C19" s="126"/>
      <c r="D19" s="126"/>
      <c r="E19" s="209" t="s">
        <v>563</v>
      </c>
      <c r="F19" s="126"/>
      <c r="G19" s="126"/>
      <c r="H19" s="126" t="str">
        <f>_xlfn.IFNA(INDEX(Table8[bin],MATCH(LEFT(Table3[[#This Row],[Phenotype]],4),Table8[Strain],0)),"not yet determined")</f>
        <v>Below 30 g/sq.ft tested flower</v>
      </c>
      <c r="I19" s="126" t="s">
        <v>178</v>
      </c>
      <c r="J19" s="18">
        <v>22.5</v>
      </c>
      <c r="K19" s="18">
        <v>3.5590260840104371</v>
      </c>
      <c r="L19" s="19">
        <v>41.25</v>
      </c>
      <c r="M19" s="19">
        <v>4.5961940777125587</v>
      </c>
      <c r="N19" s="1" t="s">
        <v>64</v>
      </c>
      <c r="O19" s="1" t="s">
        <v>70</v>
      </c>
      <c r="P19" s="1" t="s">
        <v>375</v>
      </c>
      <c r="Q19" s="155"/>
      <c r="R19" s="155"/>
      <c r="S19" s="152">
        <v>0.18253968253968256</v>
      </c>
      <c r="T19" s="153"/>
      <c r="U19" s="1"/>
      <c r="V19" s="1"/>
      <c r="W19" s="21"/>
      <c r="X19" s="21" t="s">
        <v>77</v>
      </c>
      <c r="Y19" s="1"/>
      <c r="Z19" s="17" t="str">
        <f>_xlfn.IFNA(INDEX(Table17[Category],MATCH(Table3[[#This Row],[Phenotype]],Table17[Pheno],0)),"")</f>
        <v/>
      </c>
      <c r="AA19" s="2" t="s">
        <v>595</v>
      </c>
      <c r="AB19" s="2" t="s">
        <v>401</v>
      </c>
      <c r="AC19" s="2" t="s">
        <v>577</v>
      </c>
      <c r="AD19" s="156" t="s">
        <v>179</v>
      </c>
      <c r="AE19" s="1" t="s">
        <v>599</v>
      </c>
      <c r="AF19" s="1" t="s">
        <v>600</v>
      </c>
      <c r="AG19" s="1" t="s">
        <v>324</v>
      </c>
      <c r="AH19" s="28">
        <v>16</v>
      </c>
      <c r="AI19" s="28"/>
      <c r="AJ19" s="155" t="str">
        <f>_xlfn.IFNA(VLOOKUP(Table3[[#This Row],[Phenotype]],Table2[],6,FALSE),"no index value")</f>
        <v>no index value</v>
      </c>
      <c r="AK19" s="1"/>
    </row>
    <row r="20" spans="1:37" ht="35.1" hidden="1" customHeight="1" x14ac:dyDescent="0.25">
      <c r="A20" s="126" t="s">
        <v>593</v>
      </c>
      <c r="B20" s="126"/>
      <c r="C20" s="126"/>
      <c r="D20" s="126"/>
      <c r="E20" s="209" t="s">
        <v>563</v>
      </c>
      <c r="F20" s="126"/>
      <c r="G20" s="126"/>
      <c r="H20" s="126" t="str">
        <f>_xlfn.IFNA(INDEX(Table8[bin],MATCH(LEFT(Table3[[#This Row],[Phenotype]],4),Table8[Strain],0)),"not yet determined")</f>
        <v>Below 30 g/sq.ft tested flower</v>
      </c>
      <c r="I20" s="126" t="s">
        <v>178</v>
      </c>
      <c r="J20" s="18">
        <v>17.5</v>
      </c>
      <c r="K20" s="18"/>
      <c r="L20" s="19">
        <v>29.5</v>
      </c>
      <c r="M20" s="19"/>
      <c r="N20" s="1" t="s">
        <v>69</v>
      </c>
      <c r="O20" s="1" t="s">
        <v>65</v>
      </c>
      <c r="P20" s="1" t="s">
        <v>376</v>
      </c>
      <c r="Q20" s="155"/>
      <c r="R20" s="155"/>
      <c r="S20" s="152">
        <v>2.2088229231086373E-2</v>
      </c>
      <c r="T20" s="153"/>
      <c r="U20" s="1"/>
      <c r="V20" s="1"/>
      <c r="W20" s="166"/>
      <c r="X20" s="166" t="s">
        <v>77</v>
      </c>
      <c r="Y20" s="1"/>
      <c r="Z20" s="17" t="str">
        <f>_xlfn.IFNA(INDEX(Table17[Category],MATCH(Table3[[#This Row],[Phenotype]],Table17[Pheno],0)),"")</f>
        <v/>
      </c>
      <c r="AA20" s="2" t="s">
        <v>595</v>
      </c>
      <c r="AB20" s="2" t="s">
        <v>401</v>
      </c>
      <c r="AC20" s="2" t="s">
        <v>577</v>
      </c>
      <c r="AD20" s="156" t="s">
        <v>389</v>
      </c>
      <c r="AE20" s="1"/>
      <c r="AF20" s="1" t="s">
        <v>601</v>
      </c>
      <c r="AG20" s="1"/>
      <c r="AH20" s="28">
        <v>16</v>
      </c>
      <c r="AI20" s="28"/>
      <c r="AJ20" s="155" t="str">
        <f>_xlfn.IFNA(VLOOKUP(Table3[[#This Row],[Phenotype]],Table2[],6,FALSE),"no index value")</f>
        <v>no index value</v>
      </c>
      <c r="AK20" s="1"/>
    </row>
    <row r="21" spans="1:37" ht="35.1" hidden="1" customHeight="1" x14ac:dyDescent="0.25">
      <c r="A21" s="129" t="s">
        <v>7</v>
      </c>
      <c r="B21" s="129" t="s">
        <v>586</v>
      </c>
      <c r="C21" s="212" t="s">
        <v>453</v>
      </c>
      <c r="D21" s="129" t="s">
        <v>409</v>
      </c>
      <c r="E21" s="209">
        <v>0.24299999999999999</v>
      </c>
      <c r="F21" s="129" t="s">
        <v>625</v>
      </c>
      <c r="G21" s="129" t="s">
        <v>532</v>
      </c>
      <c r="H21" s="129" t="str">
        <f>_xlfn.IFNA(INDEX(Table8[bin],MATCH(LEFT(Table3[[#This Row],[Phenotype]],4),Table8[Strain],0)),"not yet determined")</f>
        <v>Below 30 g/sq.ft tested flower</v>
      </c>
      <c r="I21" s="129" t="s">
        <v>672</v>
      </c>
      <c r="J21" s="18">
        <v>22.372093023255815</v>
      </c>
      <c r="K21" s="18">
        <v>5.7451698620829372</v>
      </c>
      <c r="L21" s="19">
        <v>50.651515151515149</v>
      </c>
      <c r="M21" s="19">
        <v>3.8088658689246886</v>
      </c>
      <c r="N21" s="1" t="s">
        <v>76</v>
      </c>
      <c r="O21" s="1" t="s">
        <v>70</v>
      </c>
      <c r="P21" s="1" t="s">
        <v>375</v>
      </c>
      <c r="Q21" s="1" t="s">
        <v>561</v>
      </c>
      <c r="R21" s="1" t="s">
        <v>561</v>
      </c>
      <c r="S21" s="152">
        <v>8.0789265978750205E-2</v>
      </c>
      <c r="T21" s="153">
        <v>55.666666666666664</v>
      </c>
      <c r="U21" s="1" t="s">
        <v>357</v>
      </c>
      <c r="V21" s="1" t="s">
        <v>247</v>
      </c>
      <c r="W21" s="21" t="s">
        <v>363</v>
      </c>
      <c r="X21" s="21" t="s">
        <v>73</v>
      </c>
      <c r="Y21" s="1" t="s">
        <v>367</v>
      </c>
      <c r="Z21" s="17" t="str">
        <f>_xlfn.IFNA(INDEX(Table17[Category],MATCH(Table3[[#This Row],[Phenotype]],Table17[Pheno],0)),"")</f>
        <v>Average/Long Time</v>
      </c>
      <c r="AA21" s="2" t="s">
        <v>595</v>
      </c>
      <c r="AB21" s="2" t="s">
        <v>400</v>
      </c>
      <c r="AC21" s="2" t="s">
        <v>577</v>
      </c>
      <c r="AD21" s="23" t="s">
        <v>578</v>
      </c>
      <c r="AE21" s="1" t="s">
        <v>248</v>
      </c>
      <c r="AF21" s="1" t="s">
        <v>336</v>
      </c>
      <c r="AG21" s="1" t="s">
        <v>324</v>
      </c>
      <c r="AH21" s="28">
        <v>12</v>
      </c>
      <c r="AI21" s="28"/>
      <c r="AJ21" s="28" t="str">
        <f>_xlfn.IFNA(VLOOKUP(Table3[[#This Row],[Phenotype]],Table2[],6,FALSE),"no index value")</f>
        <v>no index value</v>
      </c>
      <c r="AK21" s="1" t="s">
        <v>365</v>
      </c>
    </row>
    <row r="22" spans="1:37" ht="35.1" hidden="1" customHeight="1" x14ac:dyDescent="0.25">
      <c r="A22" s="126" t="s">
        <v>6</v>
      </c>
      <c r="B22" s="126" t="s">
        <v>460</v>
      </c>
      <c r="C22" s="126" t="s">
        <v>461</v>
      </c>
      <c r="D22" s="126" t="s">
        <v>409</v>
      </c>
      <c r="E22" s="209">
        <v>0.185</v>
      </c>
      <c r="F22" s="126" t="s">
        <v>463</v>
      </c>
      <c r="G22" s="126" t="s">
        <v>529</v>
      </c>
      <c r="H22" s="126" t="str">
        <f>_xlfn.IFNA(INDEX(Table8[bin],MATCH(LEFT(Table3[[#This Row],[Phenotype]],4),Table8[Strain],0)),"not yet determined")</f>
        <v>Below 30 g/sq.ft tested flower</v>
      </c>
      <c r="I22" s="126" t="s">
        <v>671</v>
      </c>
      <c r="J22" s="18">
        <v>17.956896551724139</v>
      </c>
      <c r="K22" s="18">
        <v>3.0697798120343891</v>
      </c>
      <c r="L22" s="19">
        <v>29.5</v>
      </c>
      <c r="M22" s="19">
        <v>1.1547005383792515</v>
      </c>
      <c r="N22" s="1" t="s">
        <v>76</v>
      </c>
      <c r="O22" s="1" t="s">
        <v>70</v>
      </c>
      <c r="P22" s="1" t="s">
        <v>376</v>
      </c>
      <c r="Q22" s="1" t="s">
        <v>571</v>
      </c>
      <c r="R22" s="1" t="s">
        <v>571</v>
      </c>
      <c r="S22" s="152">
        <v>0.12464800847641717</v>
      </c>
      <c r="T22" s="153">
        <v>25.90909090909091</v>
      </c>
      <c r="U22" s="1" t="s">
        <v>358</v>
      </c>
      <c r="V22" s="1" t="s">
        <v>223</v>
      </c>
      <c r="W22" s="21" t="s">
        <v>224</v>
      </c>
      <c r="X22" s="21" t="s">
        <v>80</v>
      </c>
      <c r="Y22" s="1" t="s">
        <v>311</v>
      </c>
      <c r="Z22" s="17" t="str">
        <f>_xlfn.IFNA(INDEX(Table17[Category],MATCH(Table3[[#This Row],[Phenotype]],Table17[Pheno],0)),"")</f>
        <v>Short/Average Time</v>
      </c>
      <c r="AA22" s="2">
        <v>2</v>
      </c>
      <c r="AB22" s="2" t="s">
        <v>401</v>
      </c>
      <c r="AC22" s="2" t="s">
        <v>577</v>
      </c>
      <c r="AD22" s="21" t="s">
        <v>389</v>
      </c>
      <c r="AE22" s="1" t="s">
        <v>271</v>
      </c>
      <c r="AF22" s="1" t="s">
        <v>184</v>
      </c>
      <c r="AG22" s="1" t="s">
        <v>326</v>
      </c>
      <c r="AH22" s="28">
        <v>16</v>
      </c>
      <c r="AI22" s="28"/>
      <c r="AJ22" s="28">
        <f>_xlfn.IFNA(VLOOKUP(Table3[[#This Row],[Phenotype]],Table2[],6,FALSE),"no index value")</f>
        <v>4</v>
      </c>
      <c r="AK22" s="1" t="s">
        <v>237</v>
      </c>
    </row>
    <row r="23" spans="1:37" ht="35.1" hidden="1" customHeight="1" x14ac:dyDescent="0.25">
      <c r="A23" s="126" t="s">
        <v>590</v>
      </c>
      <c r="B23" s="126"/>
      <c r="C23" s="126"/>
      <c r="D23" s="126"/>
      <c r="E23" s="209" t="s">
        <v>563</v>
      </c>
      <c r="F23" s="126"/>
      <c r="G23" s="126"/>
      <c r="H23" s="126" t="str">
        <f>_xlfn.IFNA(INDEX(Table8[bin],MATCH(LEFT(Table3[[#This Row],[Phenotype]],4),Table8[Strain],0)),"not yet determined")</f>
        <v>Below 30 g/sq.ft tested flower</v>
      </c>
      <c r="I23" s="126" t="s">
        <v>178</v>
      </c>
      <c r="J23" s="18">
        <v>15.5</v>
      </c>
      <c r="K23" s="18"/>
      <c r="L23" s="19">
        <v>27</v>
      </c>
      <c r="M23" s="19">
        <v>2.8284271247461903</v>
      </c>
      <c r="N23" s="1"/>
      <c r="O23" s="1"/>
      <c r="P23" s="1"/>
      <c r="Q23" s="155"/>
      <c r="R23" s="155"/>
      <c r="S23" s="152">
        <v>7.6190476190476197E-2</v>
      </c>
      <c r="T23" s="153"/>
      <c r="U23" s="1"/>
      <c r="V23" s="1"/>
      <c r="W23" s="21"/>
      <c r="X23" s="21"/>
      <c r="Y23" s="1"/>
      <c r="Z23" s="17" t="str">
        <f>_xlfn.IFNA(INDEX(Table17[Category],MATCH(Table3[[#This Row],[Phenotype]],Table17[Pheno],0)),"")</f>
        <v/>
      </c>
      <c r="AA23" s="2" t="s">
        <v>595</v>
      </c>
      <c r="AB23" s="2"/>
      <c r="AC23" s="2" t="s">
        <v>577</v>
      </c>
      <c r="AD23" s="156"/>
      <c r="AE23" s="1"/>
      <c r="AF23" s="1"/>
      <c r="AG23" s="1"/>
      <c r="AH23" s="28">
        <v>16</v>
      </c>
      <c r="AI23" s="28"/>
      <c r="AJ23" s="155" t="str">
        <f>_xlfn.IFNA(VLOOKUP(Table3[[#This Row],[Phenotype]],Table2[],6,FALSE),"no index value")</f>
        <v>no index value</v>
      </c>
      <c r="AK23" s="1"/>
    </row>
    <row r="24" spans="1:37" ht="35.1" hidden="1" customHeight="1" x14ac:dyDescent="0.25">
      <c r="A24" s="126" t="s">
        <v>591</v>
      </c>
      <c r="B24" s="126"/>
      <c r="C24" s="126"/>
      <c r="D24" s="126"/>
      <c r="E24" s="209" t="s">
        <v>563</v>
      </c>
      <c r="F24" s="126"/>
      <c r="G24" s="126"/>
      <c r="H24" s="126" t="str">
        <f>_xlfn.IFNA(INDEX(Table8[bin],MATCH(LEFT(Table3[[#This Row],[Phenotype]],4),Table8[Strain],0)),"not yet determined")</f>
        <v>Below 30 g/sq.ft tested flower</v>
      </c>
      <c r="I24" s="126" t="s">
        <v>178</v>
      </c>
      <c r="J24" s="18">
        <v>18.5</v>
      </c>
      <c r="K24" s="18"/>
      <c r="L24" s="19">
        <v>32</v>
      </c>
      <c r="M24" s="19"/>
      <c r="N24" s="1"/>
      <c r="O24" s="1"/>
      <c r="P24" s="1"/>
      <c r="Q24" s="155"/>
      <c r="R24" s="155"/>
      <c r="S24" s="152">
        <v>0.25190476190476191</v>
      </c>
      <c r="T24" s="153"/>
      <c r="U24" s="1"/>
      <c r="V24" s="1"/>
      <c r="W24" s="21"/>
      <c r="X24" s="21"/>
      <c r="Y24" s="1"/>
      <c r="Z24" s="17" t="str">
        <f>_xlfn.IFNA(INDEX(Table17[Category],MATCH(Table3[[#This Row],[Phenotype]],Table17[Pheno],0)),"")</f>
        <v/>
      </c>
      <c r="AA24" s="2" t="s">
        <v>595</v>
      </c>
      <c r="AB24" s="2"/>
      <c r="AC24" s="2" t="s">
        <v>577</v>
      </c>
      <c r="AD24" s="156"/>
      <c r="AE24" s="1"/>
      <c r="AF24" s="1"/>
      <c r="AG24" s="1"/>
      <c r="AH24" s="28">
        <v>16</v>
      </c>
      <c r="AI24" s="28"/>
      <c r="AJ24" s="155" t="str">
        <f>_xlfn.IFNA(VLOOKUP(Table3[[#This Row],[Phenotype]],Table2[],6,FALSE),"no index value")</f>
        <v>no index value</v>
      </c>
      <c r="AK24" s="1"/>
    </row>
    <row r="25" spans="1:37" ht="35.1" hidden="1" customHeight="1" x14ac:dyDescent="0.25">
      <c r="A25" s="126" t="s">
        <v>592</v>
      </c>
      <c r="B25" s="126"/>
      <c r="C25" s="126"/>
      <c r="D25" s="126"/>
      <c r="E25" s="209" t="s">
        <v>563</v>
      </c>
      <c r="F25" s="126"/>
      <c r="G25" s="126"/>
      <c r="H25" s="126" t="str">
        <f>_xlfn.IFNA(INDEX(Table8[bin],MATCH(LEFT(Table3[[#This Row],[Phenotype]],4),Table8[Strain],0)),"not yet determined")</f>
        <v>Below 30 g/sq.ft tested flower</v>
      </c>
      <c r="I25" s="126" t="s">
        <v>178</v>
      </c>
      <c r="J25" s="18">
        <v>24.5</v>
      </c>
      <c r="K25" s="18"/>
      <c r="L25" s="19">
        <v>53.5</v>
      </c>
      <c r="M25" s="19"/>
      <c r="N25" s="1"/>
      <c r="O25" s="1"/>
      <c r="P25" s="1"/>
      <c r="Q25" s="155"/>
      <c r="R25" s="155"/>
      <c r="S25" s="152">
        <v>0.13244047619047619</v>
      </c>
      <c r="T25" s="153"/>
      <c r="U25" s="1"/>
      <c r="V25" s="1"/>
      <c r="W25" s="21"/>
      <c r="X25" s="21"/>
      <c r="Y25" s="1"/>
      <c r="Z25" s="17" t="str">
        <f>_xlfn.IFNA(INDEX(Table17[Category],MATCH(Table3[[#This Row],[Phenotype]],Table17[Pheno],0)),"")</f>
        <v/>
      </c>
      <c r="AA25" s="2" t="s">
        <v>595</v>
      </c>
      <c r="AB25" s="2"/>
      <c r="AC25" s="2" t="s">
        <v>577</v>
      </c>
      <c r="AD25" s="156"/>
      <c r="AE25" s="1"/>
      <c r="AF25" s="1"/>
      <c r="AG25" s="1"/>
      <c r="AH25" s="28">
        <v>16</v>
      </c>
      <c r="AI25" s="28"/>
      <c r="AJ25" s="155" t="str">
        <f>_xlfn.IFNA(VLOOKUP(Table3[[#This Row],[Phenotype]],Table2[],6,FALSE),"no index value")</f>
        <v>no index value</v>
      </c>
      <c r="AK25" s="1"/>
    </row>
    <row r="26" spans="1:37" ht="35.1" hidden="1" customHeight="1" x14ac:dyDescent="0.25">
      <c r="A26" s="126" t="s">
        <v>603</v>
      </c>
      <c r="B26" s="126"/>
      <c r="C26" s="126"/>
      <c r="D26" s="126"/>
      <c r="E26" s="209" t="s">
        <v>563</v>
      </c>
      <c r="F26" s="126"/>
      <c r="G26" s="126"/>
      <c r="H26" s="126" t="str">
        <f>_xlfn.IFNA(INDEX(Table8[bin],MATCH(LEFT(Table3[[#This Row],[Phenotype]],4),Table8[Strain],0)),"not yet determined")</f>
        <v>not yet determined</v>
      </c>
      <c r="I26" s="126" t="s">
        <v>178</v>
      </c>
      <c r="J26" s="18">
        <v>19</v>
      </c>
      <c r="K26" s="18"/>
      <c r="L26" s="19"/>
      <c r="M26" s="19"/>
      <c r="N26" s="1" t="s">
        <v>69</v>
      </c>
      <c r="O26" s="1" t="s">
        <v>65</v>
      </c>
      <c r="P26" s="1" t="s">
        <v>376</v>
      </c>
      <c r="Q26" s="155"/>
      <c r="R26" s="155"/>
      <c r="S26" s="152">
        <v>0.20297619047619048</v>
      </c>
      <c r="T26" s="153">
        <v>15</v>
      </c>
      <c r="U26" s="1"/>
      <c r="V26" s="1"/>
      <c r="W26" s="21"/>
      <c r="X26" s="21" t="s">
        <v>80</v>
      </c>
      <c r="Y26" s="1" t="s">
        <v>604</v>
      </c>
      <c r="Z26" s="17" t="str">
        <f>_xlfn.IFNA(INDEX(Table17[Category],MATCH(Table3[[#This Row],[Phenotype]],Table17[Pheno],0)),"")</f>
        <v/>
      </c>
      <c r="AA26" s="2">
        <v>2</v>
      </c>
      <c r="AB26" s="2" t="s">
        <v>401</v>
      </c>
      <c r="AC26" s="2" t="s">
        <v>577</v>
      </c>
      <c r="AD26" s="156" t="s">
        <v>180</v>
      </c>
      <c r="AE26" s="1" t="s">
        <v>605</v>
      </c>
      <c r="AF26" s="1" t="s">
        <v>601</v>
      </c>
      <c r="AG26" s="1"/>
      <c r="AH26" s="28">
        <v>16</v>
      </c>
      <c r="AI26" s="28"/>
      <c r="AJ26" s="155" t="str">
        <f>_xlfn.IFNA(VLOOKUP(Table3[[#This Row],[Phenotype]],Table2[],6,FALSE),"no index value")</f>
        <v>no index value</v>
      </c>
      <c r="AK26" s="1"/>
    </row>
    <row r="27" spans="1:37" ht="35.1" customHeight="1" x14ac:dyDescent="0.25"/>
    <row r="28" spans="1:37" ht="35.1" customHeight="1" x14ac:dyDescent="0.25"/>
    <row r="29" spans="1:37" ht="35.1" customHeight="1" x14ac:dyDescent="0.25"/>
    <row r="30" spans="1:37" ht="35.1" customHeight="1" x14ac:dyDescent="0.25"/>
    <row r="31" spans="1:37" ht="35.1" customHeight="1" x14ac:dyDescent="0.25"/>
    <row r="32" spans="1:37" ht="35.1" customHeight="1" x14ac:dyDescent="0.25"/>
    <row r="33" ht="35.1" customHeight="1" x14ac:dyDescent="0.25"/>
    <row r="34" ht="35.1" customHeight="1" x14ac:dyDescent="0.25"/>
    <row r="35" ht="35.1" customHeight="1" x14ac:dyDescent="0.25"/>
    <row r="36" ht="35.1" customHeight="1" x14ac:dyDescent="0.25"/>
    <row r="37" ht="35.1" customHeight="1" x14ac:dyDescent="0.25"/>
    <row r="38" ht="35.1" customHeight="1" x14ac:dyDescent="0.25"/>
    <row r="39" ht="35.1" customHeight="1" x14ac:dyDescent="0.25"/>
    <row r="40" ht="35.1" customHeight="1" x14ac:dyDescent="0.25"/>
    <row r="41" ht="35.1" customHeight="1" x14ac:dyDescent="0.25"/>
    <row r="42" ht="35.1" customHeight="1" x14ac:dyDescent="0.25"/>
    <row r="43" ht="35.1" customHeight="1" x14ac:dyDescent="0.25"/>
    <row r="44" ht="35.1" customHeight="1" x14ac:dyDescent="0.25"/>
    <row r="45" ht="35.1" customHeight="1" x14ac:dyDescent="0.25"/>
    <row r="46" ht="35.1" customHeight="1" x14ac:dyDescent="0.25"/>
    <row r="47" ht="35.1" customHeight="1" x14ac:dyDescent="0.25"/>
    <row r="48" ht="35.1" customHeight="1" x14ac:dyDescent="0.25"/>
    <row r="49" ht="35.1" customHeight="1" x14ac:dyDescent="0.25"/>
    <row r="50" ht="35.1" customHeight="1" x14ac:dyDescent="0.25"/>
    <row r="51" ht="35.1" customHeight="1" x14ac:dyDescent="0.25"/>
    <row r="52" ht="35.1" customHeight="1" x14ac:dyDescent="0.25"/>
    <row r="53" ht="35.1" customHeight="1" x14ac:dyDescent="0.25"/>
    <row r="54" ht="35.1" customHeight="1" x14ac:dyDescent="0.25"/>
    <row r="55" ht="35.1" customHeight="1" x14ac:dyDescent="0.25"/>
    <row r="56" ht="35.1" customHeight="1" x14ac:dyDescent="0.25"/>
    <row r="57" ht="35.1" customHeight="1" x14ac:dyDescent="0.25"/>
    <row r="58" ht="35.1" customHeight="1" x14ac:dyDescent="0.25"/>
    <row r="59" ht="35.1" customHeight="1" x14ac:dyDescent="0.25"/>
    <row r="60" ht="35.1" customHeight="1" x14ac:dyDescent="0.25"/>
    <row r="61" ht="35.1" customHeight="1" x14ac:dyDescent="0.25"/>
    <row r="62" ht="35.1" customHeight="1" x14ac:dyDescent="0.25"/>
    <row r="63" ht="35.1" customHeight="1" x14ac:dyDescent="0.25"/>
    <row r="64" ht="35.1" customHeight="1" x14ac:dyDescent="0.25"/>
    <row r="65" ht="35.1" customHeight="1" x14ac:dyDescent="0.25"/>
    <row r="66" ht="35.1" customHeight="1" x14ac:dyDescent="0.25"/>
    <row r="67" ht="35.1" customHeight="1" x14ac:dyDescent="0.25"/>
    <row r="68" ht="35.1" customHeight="1" x14ac:dyDescent="0.25"/>
    <row r="69" ht="35.1" customHeight="1" x14ac:dyDescent="0.25"/>
  </sheetData>
  <phoneticPr fontId="1" type="noConversion"/>
  <conditionalFormatting sqref="AJ2:AJ26">
    <cfRule type="cellIs" dxfId="228" priority="16" operator="between">
      <formula>11</formula>
      <formula>20</formula>
    </cfRule>
    <cfRule type="cellIs" dxfId="227" priority="17" operator="lessThanOrEqual">
      <formula>6</formula>
    </cfRule>
    <cfRule type="containsBlanks" dxfId="226" priority="18">
      <formula>LEN(TRIM(AJ2))=0</formula>
    </cfRule>
  </conditionalFormatting>
  <conditionalFormatting sqref="AJ2:AJ26">
    <cfRule type="cellIs" dxfId="225" priority="15" operator="between">
      <formula>21</formula>
      <formula>40</formula>
    </cfRule>
  </conditionalFormatting>
  <conditionalFormatting sqref="A2:A26">
    <cfRule type="duplicateValues" dxfId="224" priority="11"/>
  </conditionalFormatting>
  <conditionalFormatting sqref="X2:X26">
    <cfRule type="cellIs" dxfId="223" priority="6" operator="equal">
      <formula>"Heavy"</formula>
    </cfRule>
    <cfRule type="cellIs" dxfId="222" priority="7" operator="equal">
      <formula>"Moderate/Heavy"</formula>
    </cfRule>
    <cfRule type="cellIs" dxfId="221" priority="8" operator="equal">
      <formula>"Light/Moderate"</formula>
    </cfRule>
    <cfRule type="cellIs" dxfId="220" priority="9" operator="equal">
      <formula>"Light"</formula>
    </cfRule>
    <cfRule type="cellIs" dxfId="219" priority="10" operator="equal">
      <formula>"Moderate"</formula>
    </cfRule>
  </conditionalFormatting>
  <conditionalFormatting sqref="W2:W26">
    <cfRule type="cellIs" dxfId="218" priority="1" operator="equal">
      <formula>"Heavy"</formula>
    </cfRule>
    <cfRule type="cellIs" dxfId="217" priority="2" operator="equal">
      <formula>"Moderate/Heavy"</formula>
    </cfRule>
    <cfRule type="cellIs" dxfId="216" priority="3" operator="equal">
      <formula>"Light/Moderate"</formula>
    </cfRule>
    <cfRule type="cellIs" dxfId="215" priority="4" operator="equal">
      <formula>"Light"</formula>
    </cfRule>
    <cfRule type="cellIs" dxfId="214" priority="5" operator="equal">
      <formula>"Moderate"</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71866-20EC-4C26-B1AE-F2757379D295}">
  <dimension ref="A1:C7"/>
  <sheetViews>
    <sheetView workbookViewId="0">
      <selection activeCell="C12" sqref="C12"/>
    </sheetView>
  </sheetViews>
  <sheetFormatPr defaultRowHeight="15" x14ac:dyDescent="0.25"/>
  <cols>
    <col min="2" max="2" width="27.140625" customWidth="1"/>
    <col min="3" max="3" width="26.140625" customWidth="1"/>
  </cols>
  <sheetData>
    <row r="1" spans="1:3" x14ac:dyDescent="0.25">
      <c r="A1" t="s">
        <v>377</v>
      </c>
    </row>
    <row r="2" spans="1:3" x14ac:dyDescent="0.25">
      <c r="B2" s="167" t="s">
        <v>378</v>
      </c>
      <c r="C2" s="167" t="s">
        <v>384</v>
      </c>
    </row>
    <row r="3" spans="1:3" x14ac:dyDescent="0.25">
      <c r="B3" s="168" t="s">
        <v>379</v>
      </c>
      <c r="C3" s="168" t="s">
        <v>385</v>
      </c>
    </row>
    <row r="4" spans="1:3" x14ac:dyDescent="0.25">
      <c r="B4" s="168" t="s">
        <v>380</v>
      </c>
      <c r="C4" s="167" t="s">
        <v>386</v>
      </c>
    </row>
    <row r="5" spans="1:3" x14ac:dyDescent="0.25">
      <c r="B5" s="168" t="s">
        <v>381</v>
      </c>
      <c r="C5" s="167" t="s">
        <v>387</v>
      </c>
    </row>
    <row r="6" spans="1:3" x14ac:dyDescent="0.25">
      <c r="B6" s="167" t="s">
        <v>382</v>
      </c>
    </row>
    <row r="7" spans="1:3" x14ac:dyDescent="0.25">
      <c r="B7" s="167" t="s">
        <v>383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CD163-056F-4CF5-86D9-BB4BD2F14E67}">
  <dimension ref="A1:Q80"/>
  <sheetViews>
    <sheetView zoomScale="70" zoomScaleNormal="55" workbookViewId="0">
      <selection activeCell="O65" sqref="O65"/>
    </sheetView>
  </sheetViews>
  <sheetFormatPr defaultRowHeight="15" x14ac:dyDescent="0.25"/>
  <cols>
    <col min="1" max="1" width="24.28515625" customWidth="1"/>
    <col min="2" max="2" width="11" customWidth="1"/>
    <col min="3" max="3" width="76.5703125" style="1" customWidth="1"/>
    <col min="4" max="4" width="35.42578125" style="1" customWidth="1"/>
    <col min="5" max="5" width="17.85546875" customWidth="1"/>
    <col min="6" max="6" width="28.140625" bestFit="1" customWidth="1"/>
    <col min="7" max="8" width="39.5703125" bestFit="1" customWidth="1"/>
    <col min="9" max="9" width="19.5703125" bestFit="1" customWidth="1"/>
    <col min="10" max="10" width="38.42578125" bestFit="1" customWidth="1"/>
    <col min="11" max="11" width="34" bestFit="1" customWidth="1"/>
    <col min="12" max="12" width="38" bestFit="1" customWidth="1"/>
    <col min="13" max="13" width="16.140625" bestFit="1" customWidth="1"/>
    <col min="14" max="14" width="19.5703125" customWidth="1"/>
    <col min="15" max="15" width="55.42578125" style="1" customWidth="1"/>
  </cols>
  <sheetData>
    <row r="1" spans="1:4" x14ac:dyDescent="0.25">
      <c r="A1" t="s">
        <v>407</v>
      </c>
      <c r="B1" t="s">
        <v>506</v>
      </c>
      <c r="C1" s="1" t="s">
        <v>507</v>
      </c>
      <c r="D1" s="1" t="s">
        <v>508</v>
      </c>
    </row>
    <row r="2" spans="1:4" ht="30" x14ac:dyDescent="0.25">
      <c r="A2" t="s">
        <v>470</v>
      </c>
      <c r="B2" t="s">
        <v>488</v>
      </c>
      <c r="C2" s="1" t="s">
        <v>494</v>
      </c>
      <c r="D2" s="1" t="s">
        <v>496</v>
      </c>
    </row>
    <row r="3" spans="1:4" ht="30" x14ac:dyDescent="0.25">
      <c r="A3" t="s">
        <v>471</v>
      </c>
      <c r="B3" t="s">
        <v>485</v>
      </c>
      <c r="C3" s="1" t="s">
        <v>494</v>
      </c>
      <c r="D3" s="1" t="s">
        <v>496</v>
      </c>
    </row>
    <row r="4" spans="1:4" x14ac:dyDescent="0.25">
      <c r="A4" t="s">
        <v>473</v>
      </c>
      <c r="B4" t="s">
        <v>487</v>
      </c>
      <c r="C4" s="1" t="s">
        <v>498</v>
      </c>
      <c r="D4" s="1" t="s">
        <v>513</v>
      </c>
    </row>
    <row r="5" spans="1:4" ht="30" x14ac:dyDescent="0.25">
      <c r="A5" t="s">
        <v>475</v>
      </c>
      <c r="B5" t="s">
        <v>489</v>
      </c>
      <c r="C5" s="1" t="s">
        <v>500</v>
      </c>
      <c r="D5" s="1" t="s">
        <v>499</v>
      </c>
    </row>
    <row r="6" spans="1:4" x14ac:dyDescent="0.25">
      <c r="A6" t="s">
        <v>492</v>
      </c>
      <c r="B6" t="s">
        <v>486</v>
      </c>
      <c r="C6" s="1" t="s">
        <v>501</v>
      </c>
      <c r="D6" s="1" t="s">
        <v>502</v>
      </c>
    </row>
    <row r="7" spans="1:4" ht="30" x14ac:dyDescent="0.25">
      <c r="A7" t="s">
        <v>472</v>
      </c>
      <c r="B7" t="s">
        <v>484</v>
      </c>
      <c r="C7" s="1" t="s">
        <v>495</v>
      </c>
      <c r="D7" s="1" t="s">
        <v>497</v>
      </c>
    </row>
    <row r="8" spans="1:4" x14ac:dyDescent="0.25">
      <c r="A8" t="s">
        <v>493</v>
      </c>
      <c r="B8" t="s">
        <v>490</v>
      </c>
      <c r="C8" s="1" t="s">
        <v>504</v>
      </c>
      <c r="D8" s="1" t="s">
        <v>505</v>
      </c>
    </row>
    <row r="9" spans="1:4" x14ac:dyDescent="0.25">
      <c r="A9" t="s">
        <v>480</v>
      </c>
      <c r="B9" t="s">
        <v>491</v>
      </c>
      <c r="C9" s="1" t="s">
        <v>501</v>
      </c>
      <c r="D9" s="1" t="s">
        <v>503</v>
      </c>
    </row>
    <row r="10" spans="1:4" x14ac:dyDescent="0.25">
      <c r="A10" t="s">
        <v>474</v>
      </c>
    </row>
    <row r="11" spans="1:4" x14ac:dyDescent="0.25">
      <c r="A11" t="s">
        <v>476</v>
      </c>
    </row>
    <row r="12" spans="1:4" x14ac:dyDescent="0.25">
      <c r="A12" t="s">
        <v>477</v>
      </c>
    </row>
    <row r="13" spans="1:4" x14ac:dyDescent="0.25">
      <c r="A13" t="s">
        <v>478</v>
      </c>
    </row>
    <row r="14" spans="1:4" x14ac:dyDescent="0.25">
      <c r="A14" t="s">
        <v>479</v>
      </c>
    </row>
    <row r="15" spans="1:4" x14ac:dyDescent="0.25">
      <c r="A15" t="s">
        <v>481</v>
      </c>
    </row>
    <row r="16" spans="1:4" x14ac:dyDescent="0.25">
      <c r="A16" t="s">
        <v>482</v>
      </c>
    </row>
    <row r="17" spans="1:17" x14ac:dyDescent="0.25">
      <c r="A17" t="s">
        <v>483</v>
      </c>
      <c r="G17" t="s">
        <v>517</v>
      </c>
    </row>
    <row r="18" spans="1:17" x14ac:dyDescent="0.25">
      <c r="E18" t="s">
        <v>514</v>
      </c>
    </row>
    <row r="19" spans="1:17" x14ac:dyDescent="0.25">
      <c r="E19" s="1" t="s">
        <v>510</v>
      </c>
      <c r="F19" s="1" t="s">
        <v>511</v>
      </c>
      <c r="G19" s="130" t="s">
        <v>488</v>
      </c>
      <c r="H19" s="130" t="s">
        <v>485</v>
      </c>
      <c r="I19" s="130" t="s">
        <v>487</v>
      </c>
      <c r="J19" s="130" t="s">
        <v>489</v>
      </c>
      <c r="K19" s="130" t="s">
        <v>486</v>
      </c>
      <c r="L19" s="130" t="s">
        <v>484</v>
      </c>
      <c r="M19" s="130" t="s">
        <v>490</v>
      </c>
      <c r="N19" s="130" t="s">
        <v>491</v>
      </c>
      <c r="O19" s="131" t="s">
        <v>512</v>
      </c>
    </row>
    <row r="20" spans="1:17" ht="39" customHeight="1" x14ac:dyDescent="0.25">
      <c r="E20" s="1" t="s">
        <v>62</v>
      </c>
      <c r="F20" s="1" t="s">
        <v>414</v>
      </c>
      <c r="G20" s="1" t="s">
        <v>496</v>
      </c>
      <c r="H20" s="1" t="s">
        <v>178</v>
      </c>
      <c r="I20" s="1" t="s">
        <v>513</v>
      </c>
      <c r="J20" s="1" t="s">
        <v>178</v>
      </c>
      <c r="K20" s="1" t="s">
        <v>502</v>
      </c>
      <c r="L20" s="1" t="s">
        <v>497</v>
      </c>
      <c r="M20" s="1" t="s">
        <v>178</v>
      </c>
      <c r="N20" s="1" t="s">
        <v>178</v>
      </c>
      <c r="O20" s="1" t="s">
        <v>534</v>
      </c>
      <c r="Q20" t="s">
        <v>516</v>
      </c>
    </row>
    <row r="21" spans="1:17" ht="30" x14ac:dyDescent="0.25">
      <c r="E21" s="1" t="s">
        <v>469</v>
      </c>
      <c r="F21" s="1" t="s">
        <v>418</v>
      </c>
      <c r="G21" s="1" t="s">
        <v>178</v>
      </c>
      <c r="H21" s="1" t="s">
        <v>178</v>
      </c>
      <c r="I21" s="1" t="s">
        <v>513</v>
      </c>
      <c r="J21" s="1" t="s">
        <v>499</v>
      </c>
      <c r="K21" s="1" t="s">
        <v>502</v>
      </c>
      <c r="L21" s="1" t="s">
        <v>497</v>
      </c>
      <c r="M21" s="1" t="s">
        <v>178</v>
      </c>
      <c r="N21" s="1" t="s">
        <v>178</v>
      </c>
      <c r="O21" s="1" t="s">
        <v>535</v>
      </c>
    </row>
    <row r="22" spans="1:17" ht="45" x14ac:dyDescent="0.25">
      <c r="E22" s="1" t="s">
        <v>47</v>
      </c>
      <c r="F22" s="1" t="s">
        <v>421</v>
      </c>
      <c r="G22" s="1" t="s">
        <v>178</v>
      </c>
      <c r="H22" s="1" t="s">
        <v>178</v>
      </c>
      <c r="I22" s="1" t="s">
        <v>513</v>
      </c>
      <c r="J22" s="1" t="s">
        <v>178</v>
      </c>
      <c r="K22" s="1" t="s">
        <v>502</v>
      </c>
      <c r="L22" s="1" t="s">
        <v>497</v>
      </c>
      <c r="M22" s="1" t="s">
        <v>505</v>
      </c>
      <c r="N22" s="1" t="s">
        <v>503</v>
      </c>
      <c r="O22" s="1" t="s">
        <v>536</v>
      </c>
    </row>
    <row r="23" spans="1:17" ht="30" x14ac:dyDescent="0.25">
      <c r="E23" s="1" t="s">
        <v>45</v>
      </c>
      <c r="F23" s="1" t="s">
        <v>425</v>
      </c>
      <c r="G23" s="1" t="s">
        <v>496</v>
      </c>
      <c r="H23" s="1" t="s">
        <v>178</v>
      </c>
      <c r="I23" s="1" t="s">
        <v>513</v>
      </c>
      <c r="J23" s="1" t="s">
        <v>499</v>
      </c>
      <c r="K23" s="1" t="s">
        <v>502</v>
      </c>
      <c r="L23" s="1" t="s">
        <v>497</v>
      </c>
      <c r="M23" s="1" t="s">
        <v>178</v>
      </c>
      <c r="N23" s="1" t="s">
        <v>178</v>
      </c>
      <c r="O23" s="1" t="s">
        <v>535</v>
      </c>
    </row>
    <row r="24" spans="1:17" ht="30" x14ac:dyDescent="0.25">
      <c r="E24" s="1" t="s">
        <v>39</v>
      </c>
      <c r="F24" s="1" t="s">
        <v>425</v>
      </c>
      <c r="G24" s="1" t="s">
        <v>496</v>
      </c>
      <c r="H24" s="1" t="s">
        <v>178</v>
      </c>
      <c r="I24" s="1" t="s">
        <v>513</v>
      </c>
      <c r="J24" s="1" t="s">
        <v>499</v>
      </c>
      <c r="K24" s="1" t="s">
        <v>502</v>
      </c>
      <c r="L24" s="1" t="s">
        <v>497</v>
      </c>
      <c r="M24" s="1" t="s">
        <v>178</v>
      </c>
      <c r="N24" s="1" t="s">
        <v>178</v>
      </c>
      <c r="O24" s="1" t="s">
        <v>535</v>
      </c>
    </row>
    <row r="25" spans="1:17" ht="45" x14ac:dyDescent="0.25">
      <c r="E25" s="1" t="s">
        <v>33</v>
      </c>
      <c r="F25" s="1" t="s">
        <v>431</v>
      </c>
      <c r="G25" s="1" t="s">
        <v>178</v>
      </c>
      <c r="H25" s="1" t="s">
        <v>496</v>
      </c>
      <c r="I25" s="1" t="s">
        <v>178</v>
      </c>
      <c r="J25" s="1" t="s">
        <v>499</v>
      </c>
      <c r="K25" s="1" t="s">
        <v>502</v>
      </c>
      <c r="L25" s="1" t="s">
        <v>497</v>
      </c>
      <c r="M25" s="1" t="s">
        <v>178</v>
      </c>
      <c r="N25" s="1" t="s">
        <v>178</v>
      </c>
      <c r="O25" s="1" t="s">
        <v>537</v>
      </c>
    </row>
    <row r="26" spans="1:17" ht="45" x14ac:dyDescent="0.25">
      <c r="E26" s="1" t="s">
        <v>28</v>
      </c>
      <c r="F26" s="1" t="s">
        <v>435</v>
      </c>
      <c r="G26" s="1" t="s">
        <v>178</v>
      </c>
      <c r="H26" s="1" t="s">
        <v>496</v>
      </c>
      <c r="I26" s="1" t="s">
        <v>513</v>
      </c>
      <c r="J26" s="1" t="s">
        <v>499</v>
      </c>
      <c r="K26" s="1" t="s">
        <v>502</v>
      </c>
      <c r="L26" s="1" t="s">
        <v>497</v>
      </c>
      <c r="M26" s="1" t="s">
        <v>178</v>
      </c>
      <c r="N26" s="1" t="s">
        <v>178</v>
      </c>
      <c r="O26" s="1" t="s">
        <v>538</v>
      </c>
    </row>
    <row r="27" spans="1:17" ht="30" x14ac:dyDescent="0.25">
      <c r="E27" s="1" t="s">
        <v>25</v>
      </c>
      <c r="F27" s="1" t="s">
        <v>438</v>
      </c>
      <c r="G27" s="1" t="s">
        <v>496</v>
      </c>
      <c r="H27" s="1" t="s">
        <v>178</v>
      </c>
      <c r="I27" s="1" t="s">
        <v>513</v>
      </c>
      <c r="J27" s="1" t="s">
        <v>178</v>
      </c>
      <c r="K27" s="1" t="s">
        <v>502</v>
      </c>
      <c r="L27" s="1" t="s">
        <v>497</v>
      </c>
      <c r="M27" s="1" t="s">
        <v>178</v>
      </c>
      <c r="N27" s="1" t="s">
        <v>178</v>
      </c>
      <c r="O27" s="1" t="s">
        <v>534</v>
      </c>
    </row>
    <row r="28" spans="1:17" ht="45" x14ac:dyDescent="0.25">
      <c r="E28" s="1" t="s">
        <v>23</v>
      </c>
      <c r="F28" s="1" t="s">
        <v>443</v>
      </c>
      <c r="G28" s="1" t="s">
        <v>178</v>
      </c>
      <c r="H28" s="1" t="s">
        <v>496</v>
      </c>
      <c r="I28" s="1" t="s">
        <v>178</v>
      </c>
      <c r="J28" s="1" t="s">
        <v>499</v>
      </c>
      <c r="K28" s="1" t="s">
        <v>502</v>
      </c>
      <c r="L28" s="1" t="s">
        <v>497</v>
      </c>
      <c r="M28" s="1" t="s">
        <v>178</v>
      </c>
      <c r="N28" s="1" t="s">
        <v>178</v>
      </c>
      <c r="O28" s="1" t="s">
        <v>537</v>
      </c>
    </row>
    <row r="29" spans="1:17" ht="45" x14ac:dyDescent="0.25">
      <c r="E29" s="1" t="s">
        <v>22</v>
      </c>
      <c r="F29" s="1" t="s">
        <v>446</v>
      </c>
      <c r="G29" s="1" t="s">
        <v>178</v>
      </c>
      <c r="H29" s="1" t="s">
        <v>496</v>
      </c>
      <c r="I29" s="1" t="s">
        <v>513</v>
      </c>
      <c r="J29" s="1" t="s">
        <v>178</v>
      </c>
      <c r="K29" s="1" t="s">
        <v>502</v>
      </c>
      <c r="L29" s="1" t="s">
        <v>497</v>
      </c>
      <c r="M29" s="1" t="s">
        <v>178</v>
      </c>
      <c r="N29" s="1" t="s">
        <v>178</v>
      </c>
      <c r="O29" s="1" t="s">
        <v>539</v>
      </c>
    </row>
    <row r="30" spans="1:17" ht="45" x14ac:dyDescent="0.25">
      <c r="E30" s="1" t="s">
        <v>21</v>
      </c>
      <c r="F30" s="1" t="s">
        <v>446</v>
      </c>
      <c r="G30" s="1" t="s">
        <v>178</v>
      </c>
      <c r="H30" s="1" t="s">
        <v>496</v>
      </c>
      <c r="I30" s="1" t="s">
        <v>513</v>
      </c>
      <c r="J30" s="1" t="s">
        <v>178</v>
      </c>
      <c r="K30" s="1" t="s">
        <v>502</v>
      </c>
      <c r="L30" s="1" t="s">
        <v>497</v>
      </c>
      <c r="M30" s="1" t="s">
        <v>178</v>
      </c>
      <c r="N30" s="1" t="s">
        <v>178</v>
      </c>
      <c r="O30" s="1" t="s">
        <v>539</v>
      </c>
    </row>
    <row r="31" spans="1:17" x14ac:dyDescent="0.25">
      <c r="E31" s="1" t="s">
        <v>19</v>
      </c>
      <c r="F31" s="1" t="s">
        <v>452</v>
      </c>
      <c r="G31" s="1" t="s">
        <v>496</v>
      </c>
      <c r="H31" s="1" t="s">
        <v>178</v>
      </c>
      <c r="I31" s="1" t="s">
        <v>178</v>
      </c>
      <c r="J31" s="1" t="s">
        <v>178</v>
      </c>
      <c r="K31" s="1" t="s">
        <v>178</v>
      </c>
      <c r="L31" s="1" t="s">
        <v>497</v>
      </c>
      <c r="M31" s="1" t="s">
        <v>178</v>
      </c>
      <c r="N31" s="1" t="s">
        <v>178</v>
      </c>
      <c r="O31" s="1" t="s">
        <v>540</v>
      </c>
    </row>
    <row r="32" spans="1:17" ht="45" x14ac:dyDescent="0.25">
      <c r="E32" s="1" t="s">
        <v>10</v>
      </c>
      <c r="F32" s="1" t="s">
        <v>458</v>
      </c>
      <c r="G32" s="1" t="s">
        <v>178</v>
      </c>
      <c r="H32" s="1" t="s">
        <v>496</v>
      </c>
      <c r="I32" s="1" t="s">
        <v>513</v>
      </c>
      <c r="J32" s="1" t="s">
        <v>499</v>
      </c>
      <c r="K32" s="1" t="s">
        <v>502</v>
      </c>
      <c r="L32" s="1" t="s">
        <v>497</v>
      </c>
      <c r="M32" s="1" t="s">
        <v>178</v>
      </c>
      <c r="N32" s="1" t="s">
        <v>178</v>
      </c>
      <c r="O32" s="1" t="s">
        <v>538</v>
      </c>
    </row>
    <row r="33" spans="5:15" ht="45" x14ac:dyDescent="0.25">
      <c r="E33" s="1" t="s">
        <v>9</v>
      </c>
      <c r="F33" s="1" t="s">
        <v>458</v>
      </c>
      <c r="G33" s="1" t="s">
        <v>178</v>
      </c>
      <c r="H33" s="1" t="s">
        <v>496</v>
      </c>
      <c r="I33" s="1" t="s">
        <v>513</v>
      </c>
      <c r="J33" s="1" t="s">
        <v>499</v>
      </c>
      <c r="K33" s="1" t="s">
        <v>502</v>
      </c>
      <c r="L33" s="1" t="s">
        <v>497</v>
      </c>
      <c r="M33" s="1" t="s">
        <v>178</v>
      </c>
      <c r="N33" s="1" t="s">
        <v>178</v>
      </c>
      <c r="O33" s="1" t="s">
        <v>538</v>
      </c>
    </row>
    <row r="34" spans="5:15" ht="30" x14ac:dyDescent="0.25">
      <c r="E34" s="1" t="s">
        <v>8</v>
      </c>
      <c r="F34" s="1" t="s">
        <v>454</v>
      </c>
      <c r="G34" s="1" t="s">
        <v>496</v>
      </c>
      <c r="H34" s="1" t="s">
        <v>178</v>
      </c>
      <c r="I34" s="1" t="s">
        <v>178</v>
      </c>
      <c r="J34" s="1" t="s">
        <v>178</v>
      </c>
      <c r="K34" s="1" t="s">
        <v>502</v>
      </c>
      <c r="L34" s="1" t="s">
        <v>178</v>
      </c>
      <c r="M34" s="1" t="s">
        <v>505</v>
      </c>
      <c r="N34" s="1" t="s">
        <v>503</v>
      </c>
      <c r="O34" s="1" t="s">
        <v>541</v>
      </c>
    </row>
    <row r="35" spans="5:15" x14ac:dyDescent="0.25">
      <c r="E35" s="1" t="s">
        <v>7</v>
      </c>
      <c r="F35" s="1"/>
      <c r="G35" s="1" t="s">
        <v>178</v>
      </c>
      <c r="H35" s="1" t="s">
        <v>178</v>
      </c>
      <c r="I35" s="1" t="s">
        <v>178</v>
      </c>
      <c r="J35" s="1" t="s">
        <v>178</v>
      </c>
      <c r="K35" s="1" t="s">
        <v>178</v>
      </c>
      <c r="L35" s="1" t="s">
        <v>178</v>
      </c>
      <c r="M35" s="1" t="s">
        <v>178</v>
      </c>
      <c r="N35" s="1" t="s">
        <v>178</v>
      </c>
      <c r="O35" s="1" t="s">
        <v>178</v>
      </c>
    </row>
    <row r="36" spans="5:15" ht="45" x14ac:dyDescent="0.25">
      <c r="E36" s="1" t="s">
        <v>6</v>
      </c>
      <c r="F36" s="1" t="s">
        <v>462</v>
      </c>
      <c r="G36" s="1" t="s">
        <v>178</v>
      </c>
      <c r="H36" s="1" t="s">
        <v>496</v>
      </c>
      <c r="I36" s="1" t="s">
        <v>513</v>
      </c>
      <c r="J36" s="1" t="s">
        <v>499</v>
      </c>
      <c r="K36" s="1" t="s">
        <v>502</v>
      </c>
      <c r="L36" s="1" t="s">
        <v>497</v>
      </c>
      <c r="M36" s="1" t="s">
        <v>178</v>
      </c>
      <c r="N36" s="1" t="s">
        <v>178</v>
      </c>
      <c r="O36" s="1" t="s">
        <v>538</v>
      </c>
    </row>
    <row r="37" spans="5:15" x14ac:dyDescent="0.25">
      <c r="E37" s="1" t="s">
        <v>4</v>
      </c>
      <c r="F37" s="1"/>
      <c r="G37" s="1" t="s">
        <v>178</v>
      </c>
      <c r="H37" s="1" t="s">
        <v>178</v>
      </c>
      <c r="I37" s="1" t="s">
        <v>178</v>
      </c>
      <c r="J37" s="1" t="s">
        <v>178</v>
      </c>
      <c r="K37" s="1" t="s">
        <v>178</v>
      </c>
      <c r="L37" s="1" t="s">
        <v>178</v>
      </c>
      <c r="M37" s="1" t="s">
        <v>178</v>
      </c>
      <c r="N37" s="1" t="s">
        <v>178</v>
      </c>
      <c r="O37" s="1" t="s">
        <v>178</v>
      </c>
    </row>
    <row r="38" spans="5:15" ht="30" x14ac:dyDescent="0.25">
      <c r="E38" s="1" t="s">
        <v>1</v>
      </c>
      <c r="F38" s="1" t="s">
        <v>466</v>
      </c>
      <c r="G38" s="1" t="s">
        <v>496</v>
      </c>
      <c r="H38" s="1" t="s">
        <v>178</v>
      </c>
      <c r="I38" s="1" t="s">
        <v>513</v>
      </c>
      <c r="J38" s="1" t="s">
        <v>499</v>
      </c>
      <c r="K38" s="1" t="s">
        <v>502</v>
      </c>
      <c r="L38" s="1" t="s">
        <v>497</v>
      </c>
      <c r="M38" s="1" t="s">
        <v>178</v>
      </c>
      <c r="N38" s="1" t="s">
        <v>178</v>
      </c>
      <c r="O38" s="1" t="s">
        <v>535</v>
      </c>
    </row>
    <row r="40" spans="5:15" x14ac:dyDescent="0.25">
      <c r="E40" s="1" t="s">
        <v>510</v>
      </c>
      <c r="F40" s="1" t="s">
        <v>511</v>
      </c>
      <c r="G40" s="130" t="s">
        <v>488</v>
      </c>
      <c r="H40" s="130" t="s">
        <v>485</v>
      </c>
      <c r="I40" s="130" t="s">
        <v>487</v>
      </c>
      <c r="J40" s="130" t="s">
        <v>489</v>
      </c>
      <c r="K40" s="130" t="s">
        <v>486</v>
      </c>
      <c r="L40" s="130" t="s">
        <v>484</v>
      </c>
      <c r="M40" s="130" t="s">
        <v>490</v>
      </c>
      <c r="N40" s="130" t="s">
        <v>491</v>
      </c>
      <c r="O40" s="131" t="s">
        <v>512</v>
      </c>
    </row>
    <row r="41" spans="5:15" ht="45" x14ac:dyDescent="0.25">
      <c r="E41" s="1" t="s">
        <v>62</v>
      </c>
      <c r="F41" s="1" t="s">
        <v>414</v>
      </c>
      <c r="G41" s="1" t="s">
        <v>494</v>
      </c>
      <c r="H41" s="1" t="s">
        <v>494</v>
      </c>
      <c r="I41" s="1" t="s">
        <v>498</v>
      </c>
      <c r="J41" s="1" t="s">
        <v>178</v>
      </c>
      <c r="K41" s="1" t="s">
        <v>501</v>
      </c>
      <c r="L41" s="1" t="s">
        <v>495</v>
      </c>
      <c r="M41" s="1" t="s">
        <v>178</v>
      </c>
      <c r="N41" s="1" t="s">
        <v>178</v>
      </c>
      <c r="O41" s="1" t="s">
        <v>542</v>
      </c>
    </row>
    <row r="42" spans="5:15" ht="30" x14ac:dyDescent="0.25">
      <c r="E42" s="1" t="s">
        <v>469</v>
      </c>
      <c r="F42" s="1" t="s">
        <v>418</v>
      </c>
      <c r="G42" s="1" t="s">
        <v>178</v>
      </c>
      <c r="H42" s="1" t="s">
        <v>178</v>
      </c>
      <c r="I42" s="1" t="s">
        <v>498</v>
      </c>
      <c r="J42" s="1" t="s">
        <v>500</v>
      </c>
      <c r="K42" s="1" t="s">
        <v>501</v>
      </c>
      <c r="L42" s="1" t="s">
        <v>495</v>
      </c>
      <c r="M42" s="1" t="s">
        <v>178</v>
      </c>
      <c r="N42" s="1" t="s">
        <v>178</v>
      </c>
      <c r="O42" s="1" t="s">
        <v>542</v>
      </c>
    </row>
    <row r="43" spans="5:15" ht="60" x14ac:dyDescent="0.25">
      <c r="E43" s="1" t="s">
        <v>47</v>
      </c>
      <c r="F43" s="1" t="s">
        <v>421</v>
      </c>
      <c r="G43" s="1" t="s">
        <v>178</v>
      </c>
      <c r="H43" s="1" t="s">
        <v>178</v>
      </c>
      <c r="I43" s="1" t="s">
        <v>498</v>
      </c>
      <c r="J43" s="1" t="s">
        <v>178</v>
      </c>
      <c r="K43" s="1" t="s">
        <v>501</v>
      </c>
      <c r="L43" s="1" t="s">
        <v>495</v>
      </c>
      <c r="M43" s="1" t="s">
        <v>504</v>
      </c>
      <c r="N43" s="1" t="s">
        <v>501</v>
      </c>
      <c r="O43" s="1" t="s">
        <v>543</v>
      </c>
    </row>
    <row r="44" spans="5:15" ht="45" x14ac:dyDescent="0.25">
      <c r="E44" s="1" t="s">
        <v>45</v>
      </c>
      <c r="F44" s="1" t="s">
        <v>425</v>
      </c>
      <c r="G44" s="1" t="s">
        <v>494</v>
      </c>
      <c r="H44" s="1" t="s">
        <v>178</v>
      </c>
      <c r="I44" s="1" t="s">
        <v>498</v>
      </c>
      <c r="J44" s="1" t="s">
        <v>500</v>
      </c>
      <c r="K44" s="1" t="s">
        <v>501</v>
      </c>
      <c r="L44" s="1" t="s">
        <v>495</v>
      </c>
      <c r="M44" s="1" t="s">
        <v>178</v>
      </c>
      <c r="N44" s="1" t="s">
        <v>178</v>
      </c>
      <c r="O44" s="1" t="s">
        <v>544</v>
      </c>
    </row>
    <row r="45" spans="5:15" ht="45" x14ac:dyDescent="0.25">
      <c r="E45" s="1" t="s">
        <v>39</v>
      </c>
      <c r="F45" s="1" t="s">
        <v>425</v>
      </c>
      <c r="G45" s="1" t="s">
        <v>494</v>
      </c>
      <c r="H45" s="1" t="s">
        <v>178</v>
      </c>
      <c r="I45" s="1" t="s">
        <v>498</v>
      </c>
      <c r="J45" s="1" t="s">
        <v>500</v>
      </c>
      <c r="K45" s="1" t="s">
        <v>501</v>
      </c>
      <c r="L45" s="1" t="s">
        <v>495</v>
      </c>
      <c r="M45" s="1" t="s">
        <v>178</v>
      </c>
      <c r="N45" s="1" t="s">
        <v>178</v>
      </c>
      <c r="O45" s="1" t="s">
        <v>544</v>
      </c>
    </row>
    <row r="46" spans="5:15" ht="60" x14ac:dyDescent="0.25">
      <c r="E46" s="1" t="s">
        <v>33</v>
      </c>
      <c r="F46" s="1" t="s">
        <v>431</v>
      </c>
      <c r="G46" s="1" t="s">
        <v>178</v>
      </c>
      <c r="H46" s="1" t="s">
        <v>494</v>
      </c>
      <c r="I46" s="1" t="s">
        <v>178</v>
      </c>
      <c r="J46" s="1" t="s">
        <v>500</v>
      </c>
      <c r="K46" s="1" t="s">
        <v>501</v>
      </c>
      <c r="L46" s="1" t="s">
        <v>495</v>
      </c>
      <c r="M46" s="1" t="s">
        <v>178</v>
      </c>
      <c r="N46" s="1" t="s">
        <v>178</v>
      </c>
      <c r="O46" s="1" t="s">
        <v>545</v>
      </c>
    </row>
    <row r="47" spans="5:15" ht="60" x14ac:dyDescent="0.25">
      <c r="E47" s="1" t="s">
        <v>28</v>
      </c>
      <c r="F47" s="1" t="s">
        <v>435</v>
      </c>
      <c r="G47" s="1" t="s">
        <v>178</v>
      </c>
      <c r="H47" s="1" t="s">
        <v>494</v>
      </c>
      <c r="I47" s="1" t="s">
        <v>498</v>
      </c>
      <c r="J47" s="1" t="s">
        <v>500</v>
      </c>
      <c r="K47" s="1" t="s">
        <v>501</v>
      </c>
      <c r="L47" s="1" t="s">
        <v>495</v>
      </c>
      <c r="M47" s="1" t="s">
        <v>178</v>
      </c>
      <c r="N47" s="1" t="s">
        <v>178</v>
      </c>
      <c r="O47" s="1" t="s">
        <v>546</v>
      </c>
    </row>
    <row r="48" spans="5:15" ht="45" x14ac:dyDescent="0.25">
      <c r="E48" s="1" t="s">
        <v>25</v>
      </c>
      <c r="F48" s="1" t="s">
        <v>438</v>
      </c>
      <c r="G48" s="1" t="s">
        <v>494</v>
      </c>
      <c r="H48" s="1" t="s">
        <v>494</v>
      </c>
      <c r="I48" s="1" t="s">
        <v>498</v>
      </c>
      <c r="J48" s="1" t="s">
        <v>178</v>
      </c>
      <c r="K48" s="1" t="s">
        <v>501</v>
      </c>
      <c r="L48" s="1" t="s">
        <v>495</v>
      </c>
      <c r="M48" s="1" t="s">
        <v>178</v>
      </c>
      <c r="N48" s="1" t="s">
        <v>178</v>
      </c>
      <c r="O48" s="1" t="s">
        <v>542</v>
      </c>
    </row>
    <row r="49" spans="2:15" ht="45" x14ac:dyDescent="0.25">
      <c r="E49" s="1" t="s">
        <v>23</v>
      </c>
      <c r="F49" s="1" t="s">
        <v>443</v>
      </c>
      <c r="G49" s="1" t="s">
        <v>178</v>
      </c>
      <c r="H49" s="1" t="s">
        <v>494</v>
      </c>
      <c r="I49" s="1" t="s">
        <v>178</v>
      </c>
      <c r="J49" s="1" t="s">
        <v>500</v>
      </c>
      <c r="K49" s="1" t="s">
        <v>501</v>
      </c>
      <c r="L49" s="1" t="s">
        <v>495</v>
      </c>
      <c r="M49" s="1" t="s">
        <v>178</v>
      </c>
      <c r="N49" s="1" t="s">
        <v>178</v>
      </c>
      <c r="O49" s="1" t="s">
        <v>547</v>
      </c>
    </row>
    <row r="50" spans="2:15" ht="45" x14ac:dyDescent="0.25">
      <c r="E50" s="1" t="s">
        <v>22</v>
      </c>
      <c r="F50" s="1" t="s">
        <v>446</v>
      </c>
      <c r="G50" s="1" t="s">
        <v>178</v>
      </c>
      <c r="H50" s="1" t="s">
        <v>494</v>
      </c>
      <c r="I50" s="1" t="s">
        <v>498</v>
      </c>
      <c r="J50" s="1" t="s">
        <v>178</v>
      </c>
      <c r="K50" s="1" t="s">
        <v>501</v>
      </c>
      <c r="L50" s="1" t="s">
        <v>495</v>
      </c>
      <c r="M50" s="1" t="s">
        <v>178</v>
      </c>
      <c r="N50" s="1" t="s">
        <v>178</v>
      </c>
      <c r="O50" s="1" t="s">
        <v>548</v>
      </c>
    </row>
    <row r="51" spans="2:15" ht="45" x14ac:dyDescent="0.25">
      <c r="E51" s="1" t="s">
        <v>21</v>
      </c>
      <c r="F51" s="1" t="s">
        <v>446</v>
      </c>
      <c r="G51" s="1" t="s">
        <v>178</v>
      </c>
      <c r="H51" s="1" t="s">
        <v>494</v>
      </c>
      <c r="I51" s="1" t="s">
        <v>498</v>
      </c>
      <c r="J51" s="1" t="s">
        <v>178</v>
      </c>
      <c r="K51" s="1" t="s">
        <v>501</v>
      </c>
      <c r="L51" s="1" t="s">
        <v>495</v>
      </c>
      <c r="M51" s="1" t="s">
        <v>178</v>
      </c>
      <c r="N51" s="1" t="s">
        <v>178</v>
      </c>
      <c r="O51" s="1" t="s">
        <v>548</v>
      </c>
    </row>
    <row r="52" spans="2:15" ht="45" x14ac:dyDescent="0.25">
      <c r="E52" s="1" t="s">
        <v>19</v>
      </c>
      <c r="F52" s="1" t="s">
        <v>452</v>
      </c>
      <c r="G52" s="1" t="s">
        <v>494</v>
      </c>
      <c r="H52" s="1" t="s">
        <v>494</v>
      </c>
      <c r="I52" s="1" t="s">
        <v>178</v>
      </c>
      <c r="J52" s="1" t="s">
        <v>178</v>
      </c>
      <c r="K52" s="1" t="s">
        <v>178</v>
      </c>
      <c r="L52" s="1" t="s">
        <v>495</v>
      </c>
      <c r="M52" s="1" t="s">
        <v>178</v>
      </c>
      <c r="N52" s="1" t="s">
        <v>178</v>
      </c>
      <c r="O52" s="1" t="s">
        <v>549</v>
      </c>
    </row>
    <row r="53" spans="2:15" ht="45" x14ac:dyDescent="0.25">
      <c r="E53" s="1" t="s">
        <v>10</v>
      </c>
      <c r="F53" s="1" t="s">
        <v>458</v>
      </c>
      <c r="G53" s="1" t="s">
        <v>178</v>
      </c>
      <c r="H53" s="1" t="s">
        <v>494</v>
      </c>
      <c r="I53" s="1" t="s">
        <v>498</v>
      </c>
      <c r="J53" s="1" t="s">
        <v>500</v>
      </c>
      <c r="K53" s="1" t="s">
        <v>501</v>
      </c>
      <c r="L53" s="1" t="s">
        <v>495</v>
      </c>
      <c r="M53" s="1" t="s">
        <v>178</v>
      </c>
      <c r="N53" s="1" t="s">
        <v>178</v>
      </c>
      <c r="O53" s="1" t="s">
        <v>547</v>
      </c>
    </row>
    <row r="54" spans="2:15" ht="45" x14ac:dyDescent="0.25">
      <c r="E54" s="1" t="s">
        <v>9</v>
      </c>
      <c r="F54" s="1" t="s">
        <v>458</v>
      </c>
      <c r="G54" s="1" t="s">
        <v>178</v>
      </c>
      <c r="H54" s="1" t="s">
        <v>494</v>
      </c>
      <c r="I54" s="1" t="s">
        <v>498</v>
      </c>
      <c r="J54" s="1" t="s">
        <v>500</v>
      </c>
      <c r="K54" s="1" t="s">
        <v>501</v>
      </c>
      <c r="L54" s="1" t="s">
        <v>495</v>
      </c>
      <c r="M54" s="1" t="s">
        <v>178</v>
      </c>
      <c r="N54" s="1" t="s">
        <v>178</v>
      </c>
      <c r="O54" s="1" t="s">
        <v>550</v>
      </c>
    </row>
    <row r="55" spans="2:15" ht="60" x14ac:dyDescent="0.25">
      <c r="E55" s="1" t="s">
        <v>8</v>
      </c>
      <c r="F55" s="1" t="s">
        <v>454</v>
      </c>
      <c r="G55" s="1" t="s">
        <v>494</v>
      </c>
      <c r="H55" s="1" t="s">
        <v>494</v>
      </c>
      <c r="I55" s="1" t="s">
        <v>178</v>
      </c>
      <c r="J55" s="1" t="s">
        <v>178</v>
      </c>
      <c r="K55" s="1" t="s">
        <v>501</v>
      </c>
      <c r="L55" s="1" t="s">
        <v>178</v>
      </c>
      <c r="M55" s="1" t="s">
        <v>504</v>
      </c>
      <c r="N55" s="1" t="s">
        <v>501</v>
      </c>
      <c r="O55" s="1" t="s">
        <v>551</v>
      </c>
    </row>
    <row r="56" spans="2:15" x14ac:dyDescent="0.25">
      <c r="E56" s="1" t="s">
        <v>7</v>
      </c>
      <c r="F56" s="1"/>
      <c r="G56" s="1" t="s">
        <v>178</v>
      </c>
      <c r="H56" s="1" t="s">
        <v>178</v>
      </c>
      <c r="I56" s="1" t="s">
        <v>178</v>
      </c>
      <c r="J56" s="1" t="s">
        <v>178</v>
      </c>
      <c r="K56" s="1" t="s">
        <v>178</v>
      </c>
      <c r="L56" s="1" t="s">
        <v>178</v>
      </c>
      <c r="M56" s="1" t="s">
        <v>178</v>
      </c>
      <c r="N56" s="1" t="s">
        <v>178</v>
      </c>
      <c r="O56" s="1" t="s">
        <v>178</v>
      </c>
    </row>
    <row r="57" spans="2:15" ht="45" x14ac:dyDescent="0.25">
      <c r="E57" s="1" t="s">
        <v>6</v>
      </c>
      <c r="F57" s="1" t="s">
        <v>462</v>
      </c>
      <c r="G57" s="1" t="s">
        <v>178</v>
      </c>
      <c r="H57" s="1" t="s">
        <v>494</v>
      </c>
      <c r="I57" s="1" t="s">
        <v>498</v>
      </c>
      <c r="J57" s="1" t="s">
        <v>500</v>
      </c>
      <c r="K57" s="1" t="s">
        <v>501</v>
      </c>
      <c r="L57" s="1" t="s">
        <v>495</v>
      </c>
      <c r="M57" s="1" t="s">
        <v>178</v>
      </c>
      <c r="N57" s="1" t="s">
        <v>178</v>
      </c>
      <c r="O57" s="1" t="s">
        <v>547</v>
      </c>
    </row>
    <row r="58" spans="2:15" x14ac:dyDescent="0.25">
      <c r="E58" s="1" t="s">
        <v>4</v>
      </c>
      <c r="F58" s="1"/>
      <c r="G58" s="1" t="s">
        <v>178</v>
      </c>
      <c r="H58" s="1" t="s">
        <v>178</v>
      </c>
      <c r="I58" s="1" t="s">
        <v>178</v>
      </c>
      <c r="J58" s="1" t="s">
        <v>178</v>
      </c>
      <c r="K58" s="1" t="s">
        <v>178</v>
      </c>
      <c r="L58" s="1" t="s">
        <v>178</v>
      </c>
      <c r="M58" s="1" t="s">
        <v>178</v>
      </c>
      <c r="N58" s="1" t="s">
        <v>178</v>
      </c>
      <c r="O58" s="1" t="s">
        <v>178</v>
      </c>
    </row>
    <row r="59" spans="2:15" ht="45" x14ac:dyDescent="0.25">
      <c r="E59" s="1" t="s">
        <v>1</v>
      </c>
      <c r="F59" s="1" t="s">
        <v>466</v>
      </c>
      <c r="G59" s="1" t="s">
        <v>494</v>
      </c>
      <c r="H59" s="1" t="s">
        <v>178</v>
      </c>
      <c r="I59" s="1" t="s">
        <v>498</v>
      </c>
      <c r="J59" s="1" t="s">
        <v>500</v>
      </c>
      <c r="K59" s="1" t="s">
        <v>501</v>
      </c>
      <c r="L59" s="1" t="s">
        <v>495</v>
      </c>
      <c r="M59" s="1" t="s">
        <v>178</v>
      </c>
      <c r="N59" s="1" t="s">
        <v>178</v>
      </c>
      <c r="O59" s="1" t="s">
        <v>544</v>
      </c>
    </row>
    <row r="61" spans="2:15" x14ac:dyDescent="0.25">
      <c r="B61" s="134" t="s">
        <v>509</v>
      </c>
      <c r="C61" s="134" t="s">
        <v>515</v>
      </c>
    </row>
    <row r="62" spans="2:15" ht="45" x14ac:dyDescent="0.25">
      <c r="B62" s="132" t="s">
        <v>62</v>
      </c>
      <c r="C62" s="134" t="str">
        <f>_xlfn.TEXTJOIN(". ",TRUE,VLOOKUP(Table12[[#This Row],[Column1]],Table10[],11,FALSE),VLOOKUP(Table12[[#This Row],[Column1]],Table1012[],11,FALSE))</f>
        <v>Soothes aches, elevates mood, promotes relaxation, management of pain and sleep disorders. Anti-inflammatory, antifungal, antibacterial, antimutagenic, analgesic, and sedative effects</v>
      </c>
    </row>
    <row r="63" spans="2:15" ht="45" x14ac:dyDescent="0.25">
      <c r="B63" s="133" t="s">
        <v>469</v>
      </c>
      <c r="C63" s="132" t="str">
        <f>_xlfn.TEXTJOIN(". ",TRUE,VLOOKUP(Table12[[#This Row],[Column1]],Table10[],11,FALSE),VLOOKUP(Table12[[#This Row],[Column1]],Table1012[],11,FALSE))</f>
        <v>Soothes aches, promotes relaxation, has a calming effect, elevates mood, management of pain and sleep disorders. Anti-inflammatory, antifungal, antibacterial, antimutagenic, analgesic, and sedative effects</v>
      </c>
    </row>
    <row r="64" spans="2:15" ht="45" x14ac:dyDescent="0.25">
      <c r="B64" s="132" t="s">
        <v>47</v>
      </c>
      <c r="C64" s="132" t="str">
        <f>_xlfn.TEXTJOIN(". ",TRUE,VLOOKUP(Table12[[#This Row],[Column1]],Table10[],11,FALSE),VLOOKUP(Table12[[#This Row],[Column1]],Table1012[],11,FALSE))</f>
        <v>Soothes aches, elevates mood, promotes relaxation, management of pain and sleep disorders, congestion relief, uplifting. Anti-inflammatory, antifungal, antibacterial, , antiviral, antimutagenic, analgesic, and sedative effects.</v>
      </c>
    </row>
    <row r="65" spans="2:3" ht="45" x14ac:dyDescent="0.25">
      <c r="B65" s="133" t="s">
        <v>45</v>
      </c>
      <c r="C65" s="132" t="str">
        <f>_xlfn.TEXTJOIN(". ",TRUE,VLOOKUP(Table12[[#This Row],[Column1]],Table10[],11,FALSE),VLOOKUP(Table12[[#This Row],[Column1]],Table1012[],11,FALSE))</f>
        <v>Soothes aches, promotes relaxation, has a calming effect, elevates mood, management of pain and sleep disorders. Anti-inflammatory, antimicrobial, antifungal, antibacterial, antimutagenic, analgesic, and sedative effects</v>
      </c>
    </row>
    <row r="66" spans="2:3" ht="45" x14ac:dyDescent="0.25">
      <c r="B66" s="132" t="s">
        <v>39</v>
      </c>
      <c r="C66" s="132" t="str">
        <f>_xlfn.TEXTJOIN(". ",TRUE,VLOOKUP(Table12[[#This Row],[Column1]],Table10[],11,FALSE),VLOOKUP(Table12[[#This Row],[Column1]],Table1012[],11,FALSE))</f>
        <v>Soothes aches, promotes relaxation, has a calming effect, elevates mood, management of pain and sleep disorders. Anti-inflammatory, antimicrobial, antifungal, antibacterial, antimutagenic, analgesic, and sedative effects</v>
      </c>
    </row>
    <row r="67" spans="2:3" ht="60" x14ac:dyDescent="0.25">
      <c r="B67" s="133" t="s">
        <v>33</v>
      </c>
      <c r="C67" s="132" t="str">
        <f>_xlfn.TEXTJOIN(". ",TRUE,VLOOKUP(Table12[[#This Row],[Column1]],Table10[],11,FALSE),VLOOKUP(Table12[[#This Row],[Column1]],Table1012[],11,FALSE))</f>
        <v>Management of mental fatigue and moods, promotes relaxation, has a calming effect, elevates mood, management of pain and sleep disorders. Anti-inflammatory, antidepressant, antioxidant,  antimutagenic, mental clarity, memory retention, antimicrobial, antifungal, antibacterial, analgesic, and sedative effects</v>
      </c>
    </row>
    <row r="68" spans="2:3" ht="75" x14ac:dyDescent="0.25">
      <c r="B68" s="132" t="s">
        <v>28</v>
      </c>
      <c r="C68" s="132" t="str">
        <f>_xlfn.TEXTJOIN(". ",TRUE,VLOOKUP(Table12[[#This Row],[Column1]],Table10[],11,FALSE),VLOOKUP(Table12[[#This Row],[Column1]],Table1012[],11,FALSE))</f>
        <v>Management of mental fatigue and moods, soothes aches, promotes relaxation, has a calming effect, elevates mood, management of pain and sleep disorders. Anti-inflammatory, antidepressant, antioxidant, anti-inflammatory, antimutagenic, mental clarity, memory retention, antimicrobial, antifungal, antibacterial, analgesic, and sedative effects</v>
      </c>
    </row>
    <row r="69" spans="2:3" ht="45" x14ac:dyDescent="0.25">
      <c r="B69" s="133" t="s">
        <v>25</v>
      </c>
      <c r="C69" s="132" t="str">
        <f>_xlfn.TEXTJOIN(". ",TRUE,VLOOKUP(Table12[[#This Row],[Column1]],Table10[],11,FALSE),VLOOKUP(Table12[[#This Row],[Column1]],Table1012[],11,FALSE))</f>
        <v>Soothes aches, elevates mood, promotes relaxation, management of pain and sleep disorders. Anti-inflammatory, antifungal, antibacterial, antimutagenic, analgesic, and sedative effects</v>
      </c>
    </row>
    <row r="70" spans="2:3" ht="75" x14ac:dyDescent="0.25">
      <c r="B70" s="132" t="s">
        <v>23</v>
      </c>
      <c r="C70" s="132" t="str">
        <f>_xlfn.TEXTJOIN(". ",TRUE,VLOOKUP(Table12[[#This Row],[Column1]],Table10[],11,FALSE),VLOOKUP(Table12[[#This Row],[Column1]],Table1012[],11,FALSE))</f>
        <v>Management of mental fatigue and moods, promotes relaxation, has a calming effect, elevates mood, management of pain and sleep disorders. Anti-inflammatory, antidepressant, antioxidant, mental clarity, memory retention, antimicrobial, antifungal, antibacterial, antimutagenic, analgesic, and sedative effects</v>
      </c>
    </row>
    <row r="71" spans="2:3" ht="60" x14ac:dyDescent="0.25">
      <c r="B71" s="133" t="s">
        <v>22</v>
      </c>
      <c r="C71" s="132" t="str">
        <f>_xlfn.TEXTJOIN(". ",TRUE,VLOOKUP(Table12[[#This Row],[Column1]],Table10[],11,FALSE),VLOOKUP(Table12[[#This Row],[Column1]],Table1012[],11,FALSE))</f>
        <v>Management of mental fatigue and moods, soothes aches, elevates mood, promotes relaxation, management of pain and sleep disorders. Anti-inflammatory, antidepressant, antioxidant, mental clarity, memory retention, antifungal, antibacterial, antimutagenic, analgesic, and sedative effects</v>
      </c>
    </row>
    <row r="72" spans="2:3" ht="60" x14ac:dyDescent="0.25">
      <c r="B72" s="132" t="s">
        <v>21</v>
      </c>
      <c r="C72" s="132" t="str">
        <f>_xlfn.TEXTJOIN(". ",TRUE,VLOOKUP(Table12[[#This Row],[Column1]],Table10[],11,FALSE),VLOOKUP(Table12[[#This Row],[Column1]],Table1012[],11,FALSE))</f>
        <v>Management of mental fatigue and moods, soothes aches, elevates mood, promotes relaxation, management of pain and sleep disorders. Anti-inflammatory, antidepressant, antioxidant, mental clarity, memory retention, antifungal, antibacterial, antimutagenic, analgesic, and sedative effects</v>
      </c>
    </row>
    <row r="73" spans="2:3" ht="30" x14ac:dyDescent="0.25">
      <c r="B73" s="133" t="s">
        <v>19</v>
      </c>
      <c r="C73" s="132" t="str">
        <f>_xlfn.TEXTJOIN(". ",TRUE,VLOOKUP(Table12[[#This Row],[Column1]],Table10[],11,FALSE),VLOOKUP(Table12[[#This Row],[Column1]],Table1012[],11,FALSE))</f>
        <v>Management of pain and sleep disorders. Antibiotic, antimutagenic, analgesic, anti-inflammatory, and sedative effects</v>
      </c>
    </row>
    <row r="74" spans="2:3" ht="75" x14ac:dyDescent="0.25">
      <c r="B74" s="132" t="s">
        <v>10</v>
      </c>
      <c r="C74" s="132" t="str">
        <f>_xlfn.TEXTJOIN(". ",TRUE,VLOOKUP(Table12[[#This Row],[Column1]],Table10[],11,FALSE),VLOOKUP(Table12[[#This Row],[Column1]],Table1012[],11,FALSE))</f>
        <v>Management of mental fatigue and moods, soothes aches, promotes relaxation, has a calming effect, elevates mood, management of pain and sleep disorders. Anti-inflammatory, antidepressant, antioxidant, mental clarity, memory retention, antimicrobial, antifungal, antibacterial, antimutagenic, analgesic, and sedative effects</v>
      </c>
    </row>
    <row r="75" spans="2:3" ht="75" x14ac:dyDescent="0.25">
      <c r="B75" s="133" t="s">
        <v>9</v>
      </c>
      <c r="C75" s="132" t="str">
        <f>_xlfn.TEXTJOIN(". ",TRUE,VLOOKUP(Table12[[#This Row],[Column1]],Table10[],11,FALSE),VLOOKUP(Table12[[#This Row],[Column1]],Table1012[],11,FALSE))</f>
        <v>Management of mental fatigue and moods, soothes aches, promotes relaxation, has a calming effect, elevates mood, management of pain and sleep disorders. Anti-inflammatory, antidepressant, antiseptic, antioxidant, mental clarity, memory retention, antimicrobial, antifungal, antibacterial, antimutagenic, analgesic, and sedative effects</v>
      </c>
    </row>
    <row r="76" spans="2:3" ht="30" x14ac:dyDescent="0.25">
      <c r="B76" s="132" t="s">
        <v>8</v>
      </c>
      <c r="C76" s="132" t="str">
        <f>_xlfn.TEXTJOIN(". ",TRUE,VLOOKUP(Table12[[#This Row],[Column1]],Table10[],11,FALSE),VLOOKUP(Table12[[#This Row],[Column1]],Table1012[],11,FALSE))</f>
        <v>Elevates mood, promotes relaxation, congestion relief, uplifting. Antifungal, antibacterial, anti-inflammatory, antiviral effects</v>
      </c>
    </row>
    <row r="77" spans="2:3" x14ac:dyDescent="0.25">
      <c r="B77" s="133" t="s">
        <v>7</v>
      </c>
      <c r="C77" s="132" t="str">
        <f>_xlfn.TEXTJOIN(". ",TRUE,VLOOKUP(Table12[[#This Row],[Column1]],Table10[],11,FALSE),VLOOKUP(Table12[[#This Row],[Column1]],Table1012[],11,FALSE))</f>
        <v/>
      </c>
    </row>
    <row r="78" spans="2:3" ht="75" x14ac:dyDescent="0.25">
      <c r="B78" s="132" t="s">
        <v>6</v>
      </c>
      <c r="C78" s="132" t="str">
        <f>_xlfn.TEXTJOIN(". ",TRUE,VLOOKUP(Table12[[#This Row],[Column1]],Table10[],11,FALSE),VLOOKUP(Table12[[#This Row],[Column1]],Table1012[],11,FALSE))</f>
        <v>Management of mental fatigue and moods, soothes aches, promotes relaxation, has a calming effect, elevates mood, management of pain and sleep disorders. Anti-inflammatory, antidepressant, antioxidant, mental clarity, memory retention, antimicrobial, antifungal, antibacterial, antimutagenic, analgesic, and sedative effects</v>
      </c>
    </row>
    <row r="79" spans="2:3" x14ac:dyDescent="0.25">
      <c r="B79" s="133" t="s">
        <v>4</v>
      </c>
      <c r="C79" s="132" t="str">
        <f>_xlfn.TEXTJOIN(". ",TRUE,VLOOKUP(Table12[[#This Row],[Column1]],Table10[],11,FALSE),VLOOKUP(Table12[[#This Row],[Column1]],Table1012[],11,FALSE))</f>
        <v/>
      </c>
    </row>
    <row r="80" spans="2:3" ht="45" x14ac:dyDescent="0.25">
      <c r="B80" s="135" t="s">
        <v>1</v>
      </c>
      <c r="C80" s="135" t="str">
        <f>_xlfn.TEXTJOIN(". ",TRUE,VLOOKUP(Table12[[#This Row],[Column1]],Table10[],11,FALSE),VLOOKUP(Table12[[#This Row],[Column1]],Table1012[],11,FALSE))</f>
        <v>Soothes aches, promotes relaxation, has a calming effect, elevates mood, management of pain and sleep disorders. Anti-inflammatory, antimicrobial, antifungal, antibacterial, antimutagenic, analgesic, and sedative effects</v>
      </c>
    </row>
  </sheetData>
  <sortState xmlns:xlrd2="http://schemas.microsoft.com/office/spreadsheetml/2017/richdata2" ref="D8:D14">
    <sortCondition ref="D14"/>
  </sortState>
  <conditionalFormatting sqref="D8:D12 E1:E15 E39 D14 B17 E60:E1048576">
    <cfRule type="duplicateValues" dxfId="174" priority="1"/>
  </conditionalFormatting>
  <pageMargins left="0.7" right="0.7" top="0.75" bottom="0.75" header="0.3" footer="0.3"/>
  <tableParts count="4">
    <tablePart r:id="rId1"/>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673A3-9D7F-425A-9488-160E34124745}">
  <sheetPr codeName="Sheet3"/>
  <dimension ref="A1:N46"/>
  <sheetViews>
    <sheetView zoomScale="70" zoomScaleNormal="114" workbookViewId="0">
      <selection activeCell="K14" sqref="K14"/>
    </sheetView>
  </sheetViews>
  <sheetFormatPr defaultRowHeight="15" x14ac:dyDescent="0.25"/>
  <cols>
    <col min="1" max="1" width="11" customWidth="1"/>
    <col min="2" max="2" width="17.28515625" customWidth="1"/>
    <col min="3" max="3" width="18" customWidth="1"/>
    <col min="4" max="4" width="17.85546875" customWidth="1"/>
    <col min="5" max="5" width="9.7109375" customWidth="1"/>
    <col min="6" max="6" width="9" customWidth="1"/>
    <col min="7" max="7" width="6.140625" hidden="1" customWidth="1"/>
    <col min="8" max="9" width="2.42578125" customWidth="1"/>
    <col min="10" max="10" width="27.28515625" customWidth="1"/>
    <col min="11" max="11" width="28.7109375" customWidth="1"/>
    <col min="13" max="13" width="27.7109375" customWidth="1"/>
  </cols>
  <sheetData>
    <row r="1" spans="1:7" x14ac:dyDescent="0.25">
      <c r="A1" s="278" t="s">
        <v>279</v>
      </c>
      <c r="B1" s="279"/>
      <c r="D1" s="282" t="s">
        <v>283</v>
      </c>
      <c r="E1" s="282"/>
      <c r="F1" s="282"/>
    </row>
    <row r="2" spans="1:7" ht="15.75" thickBot="1" x14ac:dyDescent="0.3">
      <c r="A2" s="280">
        <v>44174</v>
      </c>
      <c r="B2" s="281"/>
    </row>
    <row r="3" spans="1:7" ht="30" x14ac:dyDescent="0.25">
      <c r="A3" s="11" t="s">
        <v>92</v>
      </c>
      <c r="B3" s="18" t="s">
        <v>278</v>
      </c>
      <c r="C3" s="1" t="s">
        <v>280</v>
      </c>
      <c r="D3" s="1" t="s">
        <v>298</v>
      </c>
      <c r="E3" s="1" t="s">
        <v>281</v>
      </c>
      <c r="F3" s="1" t="s">
        <v>282</v>
      </c>
      <c r="G3" s="1" t="s">
        <v>301</v>
      </c>
    </row>
    <row r="4" spans="1:7" ht="30" x14ac:dyDescent="0.25">
      <c r="A4" s="4" t="s">
        <v>23</v>
      </c>
      <c r="B4" s="31">
        <v>1.59375</v>
      </c>
      <c r="C4" s="31">
        <v>96</v>
      </c>
      <c r="D4" s="1" t="str">
        <f>IF(VLOOKUP(Table2[[#This Row],[Pheno]],Table4[],2,FALSE)=0,"",VLOOKUP(Table2[[#This Row],[Pheno]],Table4[],2,FALSE))</f>
        <v>very susceptible</v>
      </c>
      <c r="E4">
        <f>Table2[[#This Row],[Sum of Number of Infected Plants]]*Table2[[#This Row],[Average of Severity]]*_xlfn.IFNA(VLOOKUP(Table2[[#This Row],[Qualitative Factor]],Table6[],2,FALSE),"1")</f>
        <v>214.2</v>
      </c>
      <c r="F4" s="33">
        <f>MROUND(_xlfn.RANK.AVG(Table2[[#This Row],[Index]],Table2[Index],0),1)</f>
        <v>1</v>
      </c>
      <c r="G4" t="e">
        <f>_xlfn.IFNA(VLOOKUP(Table2[[#This Row],[Pheno]],[1]!Table1[#Data],2,FALSE),"DEAD")</f>
        <v>#REF!</v>
      </c>
    </row>
    <row r="5" spans="1:7" ht="45" x14ac:dyDescent="0.25">
      <c r="A5" s="4" t="s">
        <v>33</v>
      </c>
      <c r="B5" s="31">
        <v>1.1363636363636365</v>
      </c>
      <c r="C5" s="31">
        <v>116</v>
      </c>
      <c r="D5" s="1" t="str">
        <f>IF(VLOOKUP(Table2[[#This Row],[Pheno]],Table4[],2,FALSE)=0,"",VLOOKUP(Table2[[#This Row],[Pheno]],Table4[],2,FALSE))</f>
        <v>susceptible due to structure</v>
      </c>
      <c r="E5">
        <f>Table2[[#This Row],[Sum of Number of Infected Plants]]*Table2[[#This Row],[Average of Severity]]*_xlfn.IFNA(VLOOKUP(Table2[[#This Row],[Qualitative Factor]],Table6[],2,FALSE),"1")</f>
        <v>158.18181818181822</v>
      </c>
      <c r="F5" s="33">
        <f>MROUND(_xlfn.RANK.AVG(Table2[[#This Row],[Index]],Table2[Index],0),1)</f>
        <v>2</v>
      </c>
      <c r="G5" t="e">
        <f>_xlfn.IFNA(VLOOKUP(Table2[[#This Row],[Pheno]],[1]!Table1[#Data],2,FALSE),"DEAD")</f>
        <v>#REF!</v>
      </c>
    </row>
    <row r="6" spans="1:7" ht="30" x14ac:dyDescent="0.25">
      <c r="A6" s="4" t="s">
        <v>9</v>
      </c>
      <c r="B6" s="31">
        <v>1.1689189189189189</v>
      </c>
      <c r="C6" s="31">
        <v>78</v>
      </c>
      <c r="D6" s="1" t="str">
        <f>IF(VLOOKUP(Table2[[#This Row],[Pheno]],Table4[],2,FALSE)=0,"",VLOOKUP(Table2[[#This Row],[Pheno]],Table4[],2,FALSE))</f>
        <v>very susceptible</v>
      </c>
      <c r="E6">
        <f>Table2[[#This Row],[Sum of Number of Infected Plants]]*Table2[[#This Row],[Average of Severity]]*_xlfn.IFNA(VLOOKUP(Table2[[#This Row],[Qualitative Factor]],Table6[],2,FALSE),"1")</f>
        <v>127.64594594594594</v>
      </c>
      <c r="F6" s="33">
        <f>MROUND(_xlfn.RANK.AVG(Table2[[#This Row],[Index]],Table2[Index],0),1)</f>
        <v>3</v>
      </c>
      <c r="G6" t="e">
        <f>_xlfn.IFNA(VLOOKUP(Table2[[#This Row],[Pheno]],[1]!Table1[#Data],2,FALSE),"DEAD")</f>
        <v>#REF!</v>
      </c>
    </row>
    <row r="7" spans="1:7" x14ac:dyDescent="0.25">
      <c r="A7" s="4" t="s">
        <v>6</v>
      </c>
      <c r="B7" s="31">
        <v>1.0333333333333334</v>
      </c>
      <c r="C7" s="31">
        <v>92</v>
      </c>
      <c r="D7" s="1" t="str">
        <f>IF(VLOOKUP(Table2[[#This Row],[Pheno]],Table4[],2,FALSE)=0,"",VLOOKUP(Table2[[#This Row],[Pheno]],Table4[],2,FALSE))</f>
        <v/>
      </c>
      <c r="E7">
        <f>Table2[[#This Row],[Sum of Number of Infected Plants]]*Table2[[#This Row],[Average of Severity]]*_xlfn.IFNA(VLOOKUP(Table2[[#This Row],[Qualitative Factor]],Table6[],2,FALSE),"1")</f>
        <v>95.066666666666677</v>
      </c>
      <c r="F7" s="33">
        <f>MROUND(_xlfn.RANK.AVG(Table2[[#This Row],[Index]],Table2[Index],0),1)</f>
        <v>4</v>
      </c>
      <c r="G7" t="e">
        <f>_xlfn.IFNA(VLOOKUP(Table2[[#This Row],[Pheno]],[1]!Table1[#Data],2,FALSE),"DEAD")</f>
        <v>#REF!</v>
      </c>
    </row>
    <row r="8" spans="1:7" ht="45" x14ac:dyDescent="0.25">
      <c r="A8" s="4" t="s">
        <v>21</v>
      </c>
      <c r="B8" s="31">
        <v>1.2826086956521738</v>
      </c>
      <c r="C8" s="31">
        <v>49</v>
      </c>
      <c r="D8" s="1" t="str">
        <f>IF(VLOOKUP(Table2[[#This Row],[Pheno]],Table4[],2,FALSE)=0,"",VLOOKUP(Table2[[#This Row],[Pheno]],Table4[],2,FALSE))</f>
        <v>susceptible due to structure</v>
      </c>
      <c r="E8">
        <f>Table2[[#This Row],[Sum of Number of Infected Plants]]*Table2[[#This Row],[Average of Severity]]*_xlfn.IFNA(VLOOKUP(Table2[[#This Row],[Qualitative Factor]],Table6[],2,FALSE),"1")</f>
        <v>75.417391304347817</v>
      </c>
      <c r="F8" s="33">
        <f>MROUND(_xlfn.RANK.AVG(Table2[[#This Row],[Index]],Table2[Index],0),1)</f>
        <v>5</v>
      </c>
      <c r="G8" t="e">
        <f>_xlfn.IFNA(VLOOKUP(Table2[[#This Row],[Pheno]],[1]!Table1[#Data],2,FALSE),"DEAD")</f>
        <v>#REF!</v>
      </c>
    </row>
    <row r="9" spans="1:7" x14ac:dyDescent="0.25">
      <c r="A9" s="4" t="s">
        <v>584</v>
      </c>
      <c r="B9" s="31">
        <v>1.1982758620689655</v>
      </c>
      <c r="C9" s="31">
        <v>61</v>
      </c>
      <c r="D9" s="1" t="str">
        <f>IF(VLOOKUP(Table2[[#This Row],[Pheno]],Table4[],2,FALSE)=0,"",VLOOKUP(Table2[[#This Row],[Pheno]],Table4[],2,FALSE))</f>
        <v/>
      </c>
      <c r="E9">
        <f>Table2[[#This Row],[Sum of Number of Infected Plants]]*Table2[[#This Row],[Average of Severity]]*_xlfn.IFNA(VLOOKUP(Table2[[#This Row],[Qualitative Factor]],Table6[],2,FALSE),"1")</f>
        <v>73.094827586206904</v>
      </c>
      <c r="F9" s="33">
        <f>MROUND(_xlfn.RANK.AVG(Table2[[#This Row],[Index]],Table2[Index],0),1)</f>
        <v>6</v>
      </c>
      <c r="G9" t="e">
        <f>_xlfn.IFNA(VLOOKUP(Table2[[#This Row],[Pheno]],[1]!Table1[#Data],2,FALSE),"DEAD")</f>
        <v>#REF!</v>
      </c>
    </row>
    <row r="10" spans="1:7" ht="30" x14ac:dyDescent="0.25">
      <c r="A10" s="4" t="s">
        <v>39</v>
      </c>
      <c r="B10" s="31">
        <v>1.0714285714285714</v>
      </c>
      <c r="C10" s="31">
        <v>44</v>
      </c>
      <c r="D10" s="1" t="str">
        <f>IF(VLOOKUP(Table2[[#This Row],[Pheno]],Table4[],2,FALSE)=0,"",VLOOKUP(Table2[[#This Row],[Pheno]],Table4[],2,FALSE))</f>
        <v>very susceptible</v>
      </c>
      <c r="E10">
        <f>Table2[[#This Row],[Sum of Number of Infected Plants]]*Table2[[#This Row],[Average of Severity]]*_xlfn.IFNA(VLOOKUP(Table2[[#This Row],[Qualitative Factor]],Table6[],2,FALSE),"1")</f>
        <v>65.999999999999986</v>
      </c>
      <c r="F10" s="33">
        <f>MROUND(_xlfn.RANK.AVG(Table2[[#This Row],[Index]],Table2[Index],0),1)</f>
        <v>7</v>
      </c>
      <c r="G10" t="e">
        <f>_xlfn.IFNA(VLOOKUP(Table2[[#This Row],[Pheno]],[1]!Table1[#Data],2,FALSE),"DEAD")</f>
        <v>#REF!</v>
      </c>
    </row>
    <row r="11" spans="1:7" x14ac:dyDescent="0.25">
      <c r="A11" s="4" t="s">
        <v>28</v>
      </c>
      <c r="B11" s="31">
        <v>1</v>
      </c>
      <c r="C11" s="31">
        <v>48</v>
      </c>
      <c r="D11" s="1" t="str">
        <f>IF(VLOOKUP(Table2[[#This Row],[Pheno]],Table4[],2,FALSE)=0,"",VLOOKUP(Table2[[#This Row],[Pheno]],Table4[],2,FALSE))</f>
        <v/>
      </c>
      <c r="E11">
        <f>Table2[[#This Row],[Sum of Number of Infected Plants]]*Table2[[#This Row],[Average of Severity]]*_xlfn.IFNA(VLOOKUP(Table2[[#This Row],[Qualitative Factor]],Table6[],2,FALSE),"1")</f>
        <v>48</v>
      </c>
      <c r="F11" s="33">
        <f>MROUND(_xlfn.RANK.AVG(Table2[[#This Row],[Index]],Table2[Index],0),1)</f>
        <v>8</v>
      </c>
      <c r="G11" t="e">
        <f>_xlfn.IFNA(VLOOKUP(Table2[[#This Row],[Pheno]],[1]!Table1[#Data],2,FALSE),"DEAD")</f>
        <v>#REF!</v>
      </c>
    </row>
    <row r="12" spans="1:7" ht="45" x14ac:dyDescent="0.25">
      <c r="A12" s="4" t="s">
        <v>582</v>
      </c>
      <c r="B12" s="31">
        <v>1</v>
      </c>
      <c r="C12" s="31">
        <v>14</v>
      </c>
      <c r="D12" s="1" t="str">
        <f>IF(VLOOKUP(Table2[[#This Row],[Pheno]],Table4[],2,FALSE)=0,"",VLOOKUP(Table2[[#This Row],[Pheno]],Table4[],2,FALSE))</f>
        <v>susceptible due to structure</v>
      </c>
      <c r="E12">
        <f>Table2[[#This Row],[Sum of Number of Infected Plants]]*Table2[[#This Row],[Average of Severity]]*_xlfn.IFNA(VLOOKUP(Table2[[#This Row],[Qualitative Factor]],Table6[],2,FALSE),"1")</f>
        <v>16.8</v>
      </c>
      <c r="F12" s="33">
        <f>MROUND(_xlfn.RANK.AVG(Table2[[#This Row],[Index]],Table2[Index],0),1)</f>
        <v>9</v>
      </c>
      <c r="G12" t="e">
        <f>_xlfn.IFNA(VLOOKUP(Table2[[#This Row],[Pheno]],[1]!Table1[#Data],2,FALSE),"DEAD")</f>
        <v>#REF!</v>
      </c>
    </row>
    <row r="13" spans="1:7" ht="30" x14ac:dyDescent="0.25">
      <c r="A13" s="4" t="s">
        <v>10</v>
      </c>
      <c r="B13" s="31">
        <v>1</v>
      </c>
      <c r="C13" s="31">
        <v>7</v>
      </c>
      <c r="D13" s="1" t="s">
        <v>286</v>
      </c>
      <c r="E13">
        <f>Table2[[#This Row],[Sum of Number of Infected Plants]]*Table2[[#This Row],[Average of Severity]]*_xlfn.IFNA(VLOOKUP(Table2[[#This Row],[Qualitative Factor]],Table6[],2,FALSE),"1")</f>
        <v>9.7999999999999989</v>
      </c>
      <c r="F13" s="33">
        <f>MROUND(_xlfn.RANK.AVG(Table2[[#This Row],[Index]],Table2[Index],0),1)</f>
        <v>10</v>
      </c>
      <c r="G13" t="e">
        <f>_xlfn.IFNA(VLOOKUP(Table2[[#This Row],[Pheno]],[1]!Table1[#Data],2,FALSE),"DEAD")</f>
        <v>#REF!</v>
      </c>
    </row>
    <row r="14" spans="1:7" ht="45" x14ac:dyDescent="0.25">
      <c r="A14" s="4" t="s">
        <v>62</v>
      </c>
      <c r="B14" s="31">
        <v>1</v>
      </c>
      <c r="C14" s="31">
        <v>6</v>
      </c>
      <c r="D14" s="1" t="str">
        <f>IF(VLOOKUP(Table2[[#This Row],[Pheno]],Table4[],2,FALSE)=0,"",VLOOKUP(Table2[[#This Row],[Pheno]],Table4[],2,FALSE))</f>
        <v>susceptible due to structure</v>
      </c>
      <c r="E14">
        <f>Table2[[#This Row],[Sum of Number of Infected Plants]]*Table2[[#This Row],[Average of Severity]]*_xlfn.IFNA(VLOOKUP(Table2[[#This Row],[Qualitative Factor]],Table6[],2,FALSE),"1")</f>
        <v>7.1999999999999993</v>
      </c>
      <c r="F14" s="33">
        <f>MROUND(_xlfn.RANK.AVG(Table2[[#This Row],[Index]],Table2[Index],0),1)</f>
        <v>11</v>
      </c>
      <c r="G14" t="e">
        <f>_xlfn.IFNA(VLOOKUP(Table2[[#This Row],[Pheno]],[1]!Table1[#Data],2,FALSE),"DEAD")</f>
        <v>#REF!</v>
      </c>
    </row>
    <row r="15" spans="1:7" x14ac:dyDescent="0.25">
      <c r="A15" s="4" t="s">
        <v>25</v>
      </c>
      <c r="B15" s="31">
        <v>1</v>
      </c>
      <c r="C15" s="31">
        <v>5</v>
      </c>
      <c r="D15" s="1" t="str">
        <f>IF(VLOOKUP(Table2[[#This Row],[Pheno]],Table4[],2,FALSE)=0,"",VLOOKUP(Table2[[#This Row],[Pheno]],Table4[],2,FALSE))</f>
        <v>resistant</v>
      </c>
      <c r="E15">
        <f>Table2[[#This Row],[Sum of Number of Infected Plants]]*Table2[[#This Row],[Average of Severity]]*_xlfn.IFNA(VLOOKUP(Table2[[#This Row],[Qualitative Factor]],Table6[],2,FALSE),"1")</f>
        <v>4.75</v>
      </c>
      <c r="F15" s="33">
        <f>MROUND(_xlfn.RANK.AVG(Table2[[#This Row],[Index]],Table2[Index],0),1)</f>
        <v>12</v>
      </c>
      <c r="G15" t="e">
        <f>_xlfn.IFNA(VLOOKUP(Table2[[#This Row],[Pheno]],[1]!Table1[#Data],2,FALSE),"DEAD")</f>
        <v>#REF!</v>
      </c>
    </row>
    <row r="16" spans="1:7" x14ac:dyDescent="0.25">
      <c r="A16" s="4" t="s">
        <v>47</v>
      </c>
      <c r="B16" s="31">
        <v>1</v>
      </c>
      <c r="C16" s="31">
        <v>2</v>
      </c>
      <c r="D16" s="1" t="str">
        <f>IF(VLOOKUP(Table2[[#This Row],[Pheno]],Table4[],2,FALSE)=0,"",VLOOKUP(Table2[[#This Row],[Pheno]],Table4[],2,FALSE))</f>
        <v>very resistant</v>
      </c>
      <c r="E16">
        <f>Table2[[#This Row],[Sum of Number of Infected Plants]]*Table2[[#This Row],[Average of Severity]]*_xlfn.IFNA(VLOOKUP(Table2[[#This Row],[Qualitative Factor]],Table6[],2,FALSE),"1")</f>
        <v>1.7</v>
      </c>
      <c r="F16" s="33">
        <f>MROUND(_xlfn.RANK.AVG(Table2[[#This Row],[Index]],Table2[Index],0),1)</f>
        <v>13</v>
      </c>
      <c r="G16" t="e">
        <f>_xlfn.IFNA(VLOOKUP(Table2[[#This Row],[Pheno]],[1]!Table1[#Data],2,FALSE),"DEAD")</f>
        <v>#REF!</v>
      </c>
    </row>
    <row r="17" spans="1:14" x14ac:dyDescent="0.25">
      <c r="A17" s="4" t="s">
        <v>579</v>
      </c>
      <c r="B17" s="31">
        <v>1</v>
      </c>
      <c r="C17" s="31">
        <v>1</v>
      </c>
      <c r="D17" s="1" t="str">
        <f>IF(VLOOKUP(Table2[[#This Row],[Pheno]],Table4[],2,FALSE)=0,"",VLOOKUP(Table2[[#This Row],[Pheno]],Table4[],2,FALSE))</f>
        <v/>
      </c>
      <c r="E17">
        <f>Table2[[#This Row],[Sum of Number of Infected Plants]]*Table2[[#This Row],[Average of Severity]]*_xlfn.IFNA(VLOOKUP(Table2[[#This Row],[Qualitative Factor]],Table6[],2,FALSE),"1")</f>
        <v>1</v>
      </c>
      <c r="F17" s="33">
        <f>MROUND(_xlfn.RANK.AVG(Table2[[#This Row],[Index]],Table2[Index],0),1)</f>
        <v>14</v>
      </c>
      <c r="G17" t="e">
        <f>_xlfn.IFNA(VLOOKUP(Table2[[#This Row],[Pheno]],[1]!Table1[#Data],2,FALSE),"DEAD")</f>
        <v>#REF!</v>
      </c>
    </row>
    <row r="22" spans="1:14" x14ac:dyDescent="0.25">
      <c r="J22" t="s">
        <v>300</v>
      </c>
      <c r="M22" t="s">
        <v>302</v>
      </c>
    </row>
    <row r="23" spans="1:14" x14ac:dyDescent="0.25">
      <c r="J23" t="s">
        <v>92</v>
      </c>
      <c r="K23" t="s">
        <v>299</v>
      </c>
      <c r="M23" t="s">
        <v>290</v>
      </c>
      <c r="N23" t="s">
        <v>291</v>
      </c>
    </row>
    <row r="24" spans="1:14" x14ac:dyDescent="0.25">
      <c r="J24" t="s">
        <v>63</v>
      </c>
      <c r="K24" t="s">
        <v>286</v>
      </c>
      <c r="M24" s="9" t="s">
        <v>286</v>
      </c>
      <c r="N24">
        <v>1.4</v>
      </c>
    </row>
    <row r="25" spans="1:14" x14ac:dyDescent="0.25">
      <c r="J25" t="s">
        <v>62</v>
      </c>
      <c r="K25" t="s">
        <v>288</v>
      </c>
      <c r="M25" s="9" t="s">
        <v>288</v>
      </c>
      <c r="N25">
        <v>1.2</v>
      </c>
    </row>
    <row r="26" spans="1:14" x14ac:dyDescent="0.25">
      <c r="J26" t="s">
        <v>52</v>
      </c>
      <c r="M26" s="32" t="s">
        <v>289</v>
      </c>
      <c r="N26">
        <v>0.95</v>
      </c>
    </row>
    <row r="27" spans="1:14" x14ac:dyDescent="0.25">
      <c r="J27" t="s">
        <v>47</v>
      </c>
      <c r="K27" t="s">
        <v>287</v>
      </c>
      <c r="M27" s="9" t="s">
        <v>287</v>
      </c>
      <c r="N27">
        <v>0.85</v>
      </c>
    </row>
    <row r="28" spans="1:14" x14ac:dyDescent="0.25">
      <c r="J28" t="s">
        <v>579</v>
      </c>
    </row>
    <row r="29" spans="1:14" x14ac:dyDescent="0.25">
      <c r="J29" t="s">
        <v>39</v>
      </c>
      <c r="K29" t="s">
        <v>286</v>
      </c>
    </row>
    <row r="30" spans="1:14" x14ac:dyDescent="0.25">
      <c r="J30" t="s">
        <v>33</v>
      </c>
      <c r="K30" t="s">
        <v>288</v>
      </c>
    </row>
    <row r="31" spans="1:14" x14ac:dyDescent="0.25">
      <c r="J31" t="s">
        <v>29</v>
      </c>
    </row>
    <row r="32" spans="1:14" x14ac:dyDescent="0.25">
      <c r="J32" t="s">
        <v>28</v>
      </c>
    </row>
    <row r="33" spans="10:11" x14ac:dyDescent="0.25">
      <c r="J33" t="s">
        <v>26</v>
      </c>
    </row>
    <row r="34" spans="10:11" x14ac:dyDescent="0.25">
      <c r="J34" t="s">
        <v>25</v>
      </c>
      <c r="K34" t="s">
        <v>289</v>
      </c>
    </row>
    <row r="35" spans="10:11" x14ac:dyDescent="0.25">
      <c r="J35" t="s">
        <v>23</v>
      </c>
      <c r="K35" t="s">
        <v>286</v>
      </c>
    </row>
    <row r="36" spans="10:11" x14ac:dyDescent="0.25">
      <c r="J36" t="s">
        <v>22</v>
      </c>
      <c r="K36" t="s">
        <v>288</v>
      </c>
    </row>
    <row r="37" spans="10:11" x14ac:dyDescent="0.25">
      <c r="J37" t="s">
        <v>21</v>
      </c>
      <c r="K37" t="s">
        <v>288</v>
      </c>
    </row>
    <row r="38" spans="10:11" x14ac:dyDescent="0.25">
      <c r="J38" t="s">
        <v>20</v>
      </c>
    </row>
    <row r="39" spans="10:11" x14ac:dyDescent="0.25">
      <c r="J39" t="s">
        <v>19</v>
      </c>
    </row>
    <row r="40" spans="10:11" x14ac:dyDescent="0.25">
      <c r="J40" t="s">
        <v>10</v>
      </c>
      <c r="K40" t="s">
        <v>288</v>
      </c>
    </row>
    <row r="41" spans="10:11" x14ac:dyDescent="0.25">
      <c r="J41" t="s">
        <v>9</v>
      </c>
      <c r="K41" t="s">
        <v>286</v>
      </c>
    </row>
    <row r="42" spans="10:11" x14ac:dyDescent="0.25">
      <c r="J42" t="s">
        <v>582</v>
      </c>
      <c r="K42" t="s">
        <v>288</v>
      </c>
    </row>
    <row r="43" spans="10:11" x14ac:dyDescent="0.25">
      <c r="J43" t="s">
        <v>6</v>
      </c>
    </row>
    <row r="44" spans="10:11" x14ac:dyDescent="0.25">
      <c r="J44" t="s">
        <v>5</v>
      </c>
    </row>
    <row r="45" spans="10:11" x14ac:dyDescent="0.25">
      <c r="J45" t="s">
        <v>584</v>
      </c>
    </row>
    <row r="46" spans="10:11" x14ac:dyDescent="0.25">
      <c r="J46" t="s">
        <v>1</v>
      </c>
      <c r="K46" t="s">
        <v>286</v>
      </c>
    </row>
  </sheetData>
  <mergeCells count="3">
    <mergeCell ref="A1:B1"/>
    <mergeCell ref="A2:B2"/>
    <mergeCell ref="D1:F1"/>
  </mergeCells>
  <conditionalFormatting sqref="F4:F17">
    <cfRule type="cellIs" dxfId="138" priority="1" operator="between">
      <formula>10</formula>
      <formula>15</formula>
    </cfRule>
    <cfRule type="cellIs" dxfId="137" priority="2" operator="between">
      <formula>5</formula>
      <formula>9</formula>
    </cfRule>
    <cfRule type="cellIs" dxfId="136" priority="3" operator="between">
      <formula>1</formula>
      <formula>4</formula>
    </cfRule>
  </conditionalFormatting>
  <pageMargins left="0.7" right="0.7" top="0.75" bottom="0.75" header="0.3" footer="0.3"/>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FD5FA-497D-4541-B240-80231054A925}">
  <dimension ref="A1:N123"/>
  <sheetViews>
    <sheetView zoomScale="75" workbookViewId="0">
      <selection activeCell="C19" sqref="C19"/>
    </sheetView>
  </sheetViews>
  <sheetFormatPr defaultRowHeight="15" x14ac:dyDescent="0.25"/>
  <cols>
    <col min="1" max="1" width="14" bestFit="1" customWidth="1"/>
    <col min="2" max="2" width="20.85546875" customWidth="1"/>
    <col min="3" max="3" width="22.140625" customWidth="1"/>
    <col min="5" max="5" width="12" customWidth="1"/>
    <col min="6" max="6" width="16.85546875" customWidth="1"/>
    <col min="7" max="7" width="16.28515625" customWidth="1"/>
    <col min="8" max="8" width="11.28515625" customWidth="1"/>
    <col min="9" max="9" width="34.5703125" customWidth="1"/>
  </cols>
  <sheetData>
    <row r="1" spans="1:14" ht="39" customHeight="1" x14ac:dyDescent="0.25">
      <c r="A1" s="1" t="s">
        <v>629</v>
      </c>
      <c r="B1" s="1" t="s">
        <v>701</v>
      </c>
      <c r="C1" s="1" t="s">
        <v>630</v>
      </c>
    </row>
    <row r="2" spans="1:14" x14ac:dyDescent="0.25">
      <c r="A2" s="241" t="s">
        <v>639</v>
      </c>
      <c r="B2" s="213">
        <v>16.408639172335601</v>
      </c>
      <c r="C2" t="s">
        <v>702</v>
      </c>
    </row>
    <row r="3" spans="1:14" x14ac:dyDescent="0.25">
      <c r="A3" s="241" t="s">
        <v>634</v>
      </c>
      <c r="B3" s="213">
        <v>27.424622059184422</v>
      </c>
      <c r="C3" t="s">
        <v>702</v>
      </c>
    </row>
    <row r="4" spans="1:14" x14ac:dyDescent="0.25">
      <c r="A4" s="241" t="s">
        <v>641</v>
      </c>
      <c r="B4" s="213">
        <v>27.537014329805995</v>
      </c>
      <c r="C4" t="s">
        <v>702</v>
      </c>
    </row>
    <row r="5" spans="1:14" x14ac:dyDescent="0.25">
      <c r="A5" s="241" t="s">
        <v>636</v>
      </c>
      <c r="B5" s="213">
        <v>27.599372894340132</v>
      </c>
      <c r="C5" t="s">
        <v>702</v>
      </c>
    </row>
    <row r="6" spans="1:14" x14ac:dyDescent="0.25">
      <c r="A6" s="241" t="s">
        <v>632</v>
      </c>
      <c r="B6" s="213">
        <v>27.781483718011724</v>
      </c>
      <c r="C6" t="s">
        <v>702</v>
      </c>
    </row>
    <row r="7" spans="1:14" x14ac:dyDescent="0.25">
      <c r="A7" s="241" t="s">
        <v>631</v>
      </c>
      <c r="B7" s="213">
        <v>28.038766469416821</v>
      </c>
      <c r="C7" t="s">
        <v>702</v>
      </c>
    </row>
    <row r="8" spans="1:14" x14ac:dyDescent="0.25">
      <c r="A8" s="241" t="s">
        <v>645</v>
      </c>
      <c r="B8" s="213">
        <v>28.280751212522045</v>
      </c>
      <c r="C8" t="s">
        <v>702</v>
      </c>
    </row>
    <row r="9" spans="1:14" x14ac:dyDescent="0.25">
      <c r="A9" s="241" t="s">
        <v>637</v>
      </c>
      <c r="B9" s="213">
        <v>29.02890886648979</v>
      </c>
      <c r="C9" t="s">
        <v>702</v>
      </c>
    </row>
    <row r="10" spans="1:14" x14ac:dyDescent="0.25">
      <c r="A10" s="241" t="s">
        <v>661</v>
      </c>
      <c r="B10" s="213">
        <v>29.630727402998239</v>
      </c>
      <c r="C10" t="s">
        <v>702</v>
      </c>
    </row>
    <row r="11" spans="1:14" x14ac:dyDescent="0.25">
      <c r="A11" s="241" t="s">
        <v>649</v>
      </c>
      <c r="B11" s="213">
        <v>30.120475709754061</v>
      </c>
      <c r="C11" t="s">
        <v>703</v>
      </c>
    </row>
    <row r="12" spans="1:14" x14ac:dyDescent="0.25">
      <c r="A12" s="241" t="s">
        <v>642</v>
      </c>
      <c r="B12" s="213">
        <v>30.402254540112342</v>
      </c>
      <c r="C12" t="s">
        <v>703</v>
      </c>
      <c r="N12" t="s">
        <v>697</v>
      </c>
    </row>
    <row r="13" spans="1:14" x14ac:dyDescent="0.25">
      <c r="A13" s="241" t="s">
        <v>635</v>
      </c>
      <c r="B13" s="213">
        <v>30.945000648638327</v>
      </c>
      <c r="C13" t="s">
        <v>703</v>
      </c>
      <c r="N13" t="s">
        <v>698</v>
      </c>
    </row>
    <row r="14" spans="1:14" x14ac:dyDescent="0.25">
      <c r="A14" s="241" t="s">
        <v>650</v>
      </c>
      <c r="B14" s="213">
        <v>31.380791775216256</v>
      </c>
      <c r="C14" t="s">
        <v>703</v>
      </c>
      <c r="N14" t="s">
        <v>699</v>
      </c>
    </row>
    <row r="15" spans="1:14" x14ac:dyDescent="0.25">
      <c r="A15" s="241" t="s">
        <v>643</v>
      </c>
      <c r="B15" s="213">
        <v>32.206746329883416</v>
      </c>
      <c r="C15" t="s">
        <v>703</v>
      </c>
      <c r="N15" t="s">
        <v>696</v>
      </c>
    </row>
    <row r="16" spans="1:14" x14ac:dyDescent="0.25">
      <c r="A16" s="241" t="s">
        <v>638</v>
      </c>
      <c r="B16" s="213">
        <v>32.524426366843024</v>
      </c>
      <c r="C16" t="s">
        <v>703</v>
      </c>
    </row>
    <row r="17" spans="1:3" x14ac:dyDescent="0.25">
      <c r="A17" s="241" t="s">
        <v>651</v>
      </c>
      <c r="B17" s="213">
        <v>32.981345026600344</v>
      </c>
      <c r="C17" t="s">
        <v>703</v>
      </c>
    </row>
    <row r="18" spans="1:3" x14ac:dyDescent="0.25">
      <c r="A18" s="241" t="s">
        <v>429</v>
      </c>
      <c r="B18" s="213">
        <v>34.319028877724222</v>
      </c>
      <c r="C18" t="s">
        <v>704</v>
      </c>
    </row>
    <row r="19" spans="1:3" x14ac:dyDescent="0.25">
      <c r="A19" s="241" t="s">
        <v>655</v>
      </c>
      <c r="B19" s="213">
        <v>35.682183173500881</v>
      </c>
      <c r="C19" t="s">
        <v>705</v>
      </c>
    </row>
    <row r="20" spans="1:3" x14ac:dyDescent="0.25">
      <c r="A20" s="241" t="s">
        <v>644</v>
      </c>
      <c r="B20" s="213">
        <v>38.661763311151866</v>
      </c>
      <c r="C20" t="s">
        <v>705</v>
      </c>
    </row>
    <row r="21" spans="1:3" x14ac:dyDescent="0.25">
      <c r="A21" s="241" t="s">
        <v>653</v>
      </c>
      <c r="B21" s="213">
        <v>39.388888631687244</v>
      </c>
      <c r="C21" t="s">
        <v>705</v>
      </c>
    </row>
    <row r="22" spans="1:3" x14ac:dyDescent="0.25">
      <c r="A22" s="241" t="s">
        <v>640</v>
      </c>
      <c r="B22" s="213">
        <v>39.74235107400925</v>
      </c>
      <c r="C22" t="s">
        <v>705</v>
      </c>
    </row>
    <row r="23" spans="1:3" x14ac:dyDescent="0.25">
      <c r="A23" s="241" t="s">
        <v>654</v>
      </c>
      <c r="B23" s="213">
        <v>47.506037136243386</v>
      </c>
      <c r="C23" t="s">
        <v>705</v>
      </c>
    </row>
    <row r="35" spans="5:10" x14ac:dyDescent="0.25">
      <c r="E35" t="s">
        <v>648</v>
      </c>
      <c r="F35" t="s">
        <v>629</v>
      </c>
      <c r="G35" t="s">
        <v>700</v>
      </c>
    </row>
    <row r="36" spans="5:10" x14ac:dyDescent="0.25">
      <c r="E36" t="s">
        <v>656</v>
      </c>
      <c r="F36" t="s">
        <v>649</v>
      </c>
      <c r="G36" s="213">
        <v>22.95063688639036</v>
      </c>
    </row>
    <row r="37" spans="5:10" x14ac:dyDescent="0.25">
      <c r="E37" t="s">
        <v>656</v>
      </c>
      <c r="F37" t="s">
        <v>640</v>
      </c>
      <c r="G37" s="213">
        <v>39.852105099621696</v>
      </c>
    </row>
    <row r="38" spans="5:10" x14ac:dyDescent="0.25">
      <c r="E38" t="s">
        <v>656</v>
      </c>
      <c r="F38" t="s">
        <v>652</v>
      </c>
      <c r="G38" s="213">
        <v>26.525782164902996</v>
      </c>
    </row>
    <row r="39" spans="5:10" x14ac:dyDescent="0.25">
      <c r="E39" t="s">
        <v>656</v>
      </c>
      <c r="F39" t="s">
        <v>631</v>
      </c>
      <c r="G39" s="213">
        <v>20.683563775510201</v>
      </c>
      <c r="I39" s="240" t="s">
        <v>634</v>
      </c>
      <c r="J39" s="213">
        <v>27.424622059184422</v>
      </c>
    </row>
    <row r="40" spans="5:10" x14ac:dyDescent="0.25">
      <c r="E40" t="s">
        <v>656</v>
      </c>
      <c r="F40" t="s">
        <v>642</v>
      </c>
      <c r="G40" s="213">
        <v>37.08791730914588</v>
      </c>
      <c r="I40" s="240" t="s">
        <v>665</v>
      </c>
      <c r="J40" s="213">
        <v>19.624653880070543</v>
      </c>
    </row>
    <row r="41" spans="5:10" x14ac:dyDescent="0.25">
      <c r="E41" t="s">
        <v>656</v>
      </c>
      <c r="F41" t="s">
        <v>636</v>
      </c>
      <c r="G41" s="213">
        <v>23.794487744137435</v>
      </c>
      <c r="I41" s="240" t="s">
        <v>649</v>
      </c>
      <c r="J41" s="213">
        <v>30.120475709754061</v>
      </c>
    </row>
    <row r="42" spans="5:10" x14ac:dyDescent="0.25">
      <c r="E42" t="s">
        <v>656</v>
      </c>
      <c r="F42" t="s">
        <v>643</v>
      </c>
      <c r="G42" s="213">
        <v>45.330450507054664</v>
      </c>
      <c r="I42" s="240" t="s">
        <v>639</v>
      </c>
      <c r="J42" s="213">
        <v>16.408639172335601</v>
      </c>
    </row>
    <row r="43" spans="5:10" x14ac:dyDescent="0.25">
      <c r="E43" t="s">
        <v>656</v>
      </c>
      <c r="F43" t="s">
        <v>650</v>
      </c>
      <c r="G43" s="213">
        <v>51.30722009479716</v>
      </c>
      <c r="I43" s="240" t="s">
        <v>655</v>
      </c>
      <c r="J43" s="213">
        <v>35.682183173500881</v>
      </c>
    </row>
    <row r="44" spans="5:10" x14ac:dyDescent="0.25">
      <c r="E44" t="s">
        <v>656</v>
      </c>
      <c r="F44" t="s">
        <v>654</v>
      </c>
      <c r="G44" s="213">
        <v>47.506037136243386</v>
      </c>
      <c r="I44" s="240" t="s">
        <v>653</v>
      </c>
      <c r="J44" s="213">
        <v>39.388888631687244</v>
      </c>
    </row>
    <row r="45" spans="5:10" x14ac:dyDescent="0.25">
      <c r="E45" t="s">
        <v>656</v>
      </c>
      <c r="F45" t="s">
        <v>635</v>
      </c>
      <c r="G45" s="213">
        <v>35.243378412698405</v>
      </c>
      <c r="I45" s="240" t="s">
        <v>638</v>
      </c>
      <c r="J45" s="213">
        <v>32.524426366843024</v>
      </c>
    </row>
    <row r="46" spans="5:10" x14ac:dyDescent="0.25">
      <c r="E46" t="s">
        <v>656</v>
      </c>
      <c r="F46" t="s">
        <v>637</v>
      </c>
      <c r="G46" s="213">
        <v>32.469379260785509</v>
      </c>
      <c r="I46" s="240" t="s">
        <v>641</v>
      </c>
      <c r="J46" s="213">
        <v>27.537014329805995</v>
      </c>
    </row>
    <row r="47" spans="5:10" x14ac:dyDescent="0.25">
      <c r="E47" t="s">
        <v>656</v>
      </c>
      <c r="F47" t="s">
        <v>651</v>
      </c>
      <c r="G47" s="213">
        <v>43.647444475938528</v>
      </c>
      <c r="I47" s="240" t="s">
        <v>640</v>
      </c>
      <c r="J47" s="213">
        <v>39.74235107400925</v>
      </c>
    </row>
    <row r="48" spans="5:10" x14ac:dyDescent="0.25">
      <c r="E48" t="s">
        <v>657</v>
      </c>
      <c r="F48" t="s">
        <v>655</v>
      </c>
      <c r="G48" s="213">
        <v>35.682183173500881</v>
      </c>
      <c r="I48" s="240" t="s">
        <v>652</v>
      </c>
      <c r="J48" s="213">
        <v>26.525782164902996</v>
      </c>
    </row>
    <row r="49" spans="5:10" x14ac:dyDescent="0.25">
      <c r="E49" t="s">
        <v>657</v>
      </c>
      <c r="F49" t="s">
        <v>653</v>
      </c>
      <c r="G49" s="213">
        <v>39.388888631687244</v>
      </c>
      <c r="I49" s="240" t="s">
        <v>631</v>
      </c>
      <c r="J49" s="213">
        <v>28.038766469416821</v>
      </c>
    </row>
    <row r="50" spans="5:10" x14ac:dyDescent="0.25">
      <c r="E50" t="s">
        <v>657</v>
      </c>
      <c r="F50" t="s">
        <v>640</v>
      </c>
      <c r="G50" s="213">
        <v>42.608970728003136</v>
      </c>
      <c r="I50" s="240" t="s">
        <v>429</v>
      </c>
      <c r="J50" s="213">
        <v>34.319028877724222</v>
      </c>
    </row>
    <row r="51" spans="5:10" x14ac:dyDescent="0.25">
      <c r="E51" t="s">
        <v>657</v>
      </c>
      <c r="F51" t="s">
        <v>631</v>
      </c>
      <c r="G51" s="213">
        <v>36.013114836860666</v>
      </c>
      <c r="I51" s="240" t="s">
        <v>642</v>
      </c>
      <c r="J51" s="213">
        <v>30.402254540112342</v>
      </c>
    </row>
    <row r="52" spans="5:10" x14ac:dyDescent="0.25">
      <c r="E52" t="s">
        <v>657</v>
      </c>
      <c r="F52" t="s">
        <v>429</v>
      </c>
      <c r="G52" s="213">
        <v>42.434777893808594</v>
      </c>
      <c r="I52" s="240" t="s">
        <v>661</v>
      </c>
      <c r="J52" s="213">
        <v>29.630727402998239</v>
      </c>
    </row>
    <row r="53" spans="5:10" x14ac:dyDescent="0.25">
      <c r="E53" t="s">
        <v>657</v>
      </c>
      <c r="F53" t="s">
        <v>642</v>
      </c>
      <c r="G53" s="213">
        <v>36.96287420536207</v>
      </c>
      <c r="I53" s="240" t="s">
        <v>636</v>
      </c>
      <c r="J53" s="213">
        <v>27.599372894340132</v>
      </c>
    </row>
    <row r="54" spans="5:10" x14ac:dyDescent="0.25">
      <c r="E54" t="s">
        <v>657</v>
      </c>
      <c r="F54" t="s">
        <v>650</v>
      </c>
      <c r="G54" s="213">
        <v>35.243128417107584</v>
      </c>
      <c r="I54" s="240" t="s">
        <v>643</v>
      </c>
      <c r="J54" s="213">
        <v>32.206746329883416</v>
      </c>
    </row>
    <row r="55" spans="5:10" x14ac:dyDescent="0.25">
      <c r="E55" t="s">
        <v>657</v>
      </c>
      <c r="F55" t="s">
        <v>635</v>
      </c>
      <c r="G55" s="213">
        <v>28.836014856839725</v>
      </c>
      <c r="I55" s="240" t="s">
        <v>644</v>
      </c>
      <c r="J55" s="213">
        <v>38.661763311151866</v>
      </c>
    </row>
    <row r="56" spans="5:10" x14ac:dyDescent="0.25">
      <c r="E56" t="s">
        <v>657</v>
      </c>
      <c r="F56" t="s">
        <v>632</v>
      </c>
      <c r="G56" s="213">
        <v>36.192417230060741</v>
      </c>
      <c r="I56" s="240" t="s">
        <v>650</v>
      </c>
      <c r="J56" s="213">
        <v>31.380791775216256</v>
      </c>
    </row>
    <row r="57" spans="5:10" x14ac:dyDescent="0.25">
      <c r="E57" t="s">
        <v>657</v>
      </c>
      <c r="F57" t="s">
        <v>637</v>
      </c>
      <c r="G57" s="213">
        <v>30.525970234294224</v>
      </c>
      <c r="I57" s="240" t="s">
        <v>645</v>
      </c>
      <c r="J57" s="213">
        <v>28.280751212522045</v>
      </c>
    </row>
    <row r="58" spans="5:10" x14ac:dyDescent="0.25">
      <c r="E58" t="s">
        <v>657</v>
      </c>
      <c r="F58" t="s">
        <v>651</v>
      </c>
      <c r="G58" s="213">
        <v>35.169445506126429</v>
      </c>
      <c r="I58" s="240" t="s">
        <v>654</v>
      </c>
      <c r="J58" s="213">
        <v>47.506037136243386</v>
      </c>
    </row>
    <row r="59" spans="5:10" x14ac:dyDescent="0.25">
      <c r="E59" t="s">
        <v>658</v>
      </c>
      <c r="F59" t="s">
        <v>649</v>
      </c>
      <c r="G59" s="213">
        <v>37.290314533117765</v>
      </c>
      <c r="I59" s="240" t="s">
        <v>635</v>
      </c>
      <c r="J59" s="213">
        <v>30.945000648638327</v>
      </c>
    </row>
    <row r="60" spans="5:10" x14ac:dyDescent="0.25">
      <c r="E60" t="s">
        <v>658</v>
      </c>
      <c r="F60" t="s">
        <v>640</v>
      </c>
      <c r="G60" s="213">
        <v>41.910624458874452</v>
      </c>
      <c r="I60" s="240" t="s">
        <v>632</v>
      </c>
      <c r="J60" s="213">
        <v>27.781483718011724</v>
      </c>
    </row>
    <row r="61" spans="5:10" x14ac:dyDescent="0.25">
      <c r="E61" t="s">
        <v>658</v>
      </c>
      <c r="F61" t="s">
        <v>429</v>
      </c>
      <c r="G61" s="213">
        <v>27.824022254861539</v>
      </c>
      <c r="I61" s="240" t="s">
        <v>637</v>
      </c>
      <c r="J61" s="213">
        <v>29.02890886648979</v>
      </c>
    </row>
    <row r="62" spans="5:10" x14ac:dyDescent="0.25">
      <c r="E62" t="s">
        <v>658</v>
      </c>
      <c r="F62" t="s">
        <v>642</v>
      </c>
      <c r="G62" s="213">
        <v>33.016586361318296</v>
      </c>
      <c r="I62" s="240" t="s">
        <v>651</v>
      </c>
      <c r="J62" s="213">
        <v>32.981345026600344</v>
      </c>
    </row>
    <row r="63" spans="5:10" x14ac:dyDescent="0.25">
      <c r="E63" t="s">
        <v>658</v>
      </c>
      <c r="F63" t="s">
        <v>636</v>
      </c>
      <c r="G63" s="213">
        <v>42.693778260030861</v>
      </c>
    </row>
    <row r="64" spans="5:10" x14ac:dyDescent="0.25">
      <c r="E64" t="s">
        <v>658</v>
      </c>
      <c r="F64" t="s">
        <v>644</v>
      </c>
      <c r="G64" s="213">
        <v>38.274715574018956</v>
      </c>
    </row>
    <row r="65" spans="5:7" x14ac:dyDescent="0.25">
      <c r="E65" t="s">
        <v>658</v>
      </c>
      <c r="F65" t="s">
        <v>635</v>
      </c>
      <c r="G65" s="213">
        <v>27.632548359158474</v>
      </c>
    </row>
    <row r="66" spans="5:7" x14ac:dyDescent="0.25">
      <c r="E66" t="s">
        <v>658</v>
      </c>
      <c r="F66" t="s">
        <v>632</v>
      </c>
      <c r="G66" s="213">
        <v>34.260191207712033</v>
      </c>
    </row>
    <row r="67" spans="5:7" x14ac:dyDescent="0.25">
      <c r="E67" t="s">
        <v>658</v>
      </c>
      <c r="F67" t="s">
        <v>637</v>
      </c>
      <c r="G67" s="213">
        <v>28.639971067439323</v>
      </c>
    </row>
    <row r="68" spans="5:7" x14ac:dyDescent="0.25">
      <c r="E68" t="s">
        <v>658</v>
      </c>
      <c r="F68" t="s">
        <v>651</v>
      </c>
      <c r="G68" s="213">
        <v>36.095847752700621</v>
      </c>
    </row>
    <row r="69" spans="5:7" x14ac:dyDescent="0.25">
      <c r="E69" t="s">
        <v>659</v>
      </c>
      <c r="F69" t="s">
        <v>634</v>
      </c>
      <c r="G69" s="213">
        <v>31.754467120523728</v>
      </c>
    </row>
    <row r="70" spans="5:7" x14ac:dyDescent="0.25">
      <c r="E70" t="s">
        <v>659</v>
      </c>
      <c r="F70" t="s">
        <v>429</v>
      </c>
      <c r="G70" s="213">
        <v>36.458163805715884</v>
      </c>
    </row>
    <row r="71" spans="5:7" x14ac:dyDescent="0.25">
      <c r="E71" t="s">
        <v>659</v>
      </c>
      <c r="F71" t="s">
        <v>642</v>
      </c>
      <c r="G71" s="213">
        <v>20.334016369047614</v>
      </c>
    </row>
    <row r="72" spans="5:7" x14ac:dyDescent="0.25">
      <c r="E72" t="s">
        <v>659</v>
      </c>
      <c r="F72" t="s">
        <v>650</v>
      </c>
      <c r="G72" s="213">
        <v>15.867577286470141</v>
      </c>
    </row>
    <row r="73" spans="5:7" x14ac:dyDescent="0.25">
      <c r="E73" t="s">
        <v>659</v>
      </c>
      <c r="F73" t="s">
        <v>635</v>
      </c>
      <c r="G73" s="213">
        <v>27.245613219246028</v>
      </c>
    </row>
    <row r="74" spans="5:7" x14ac:dyDescent="0.25">
      <c r="E74" t="s">
        <v>659</v>
      </c>
      <c r="F74" t="s">
        <v>632</v>
      </c>
      <c r="G74" s="213">
        <v>18.366437434864515</v>
      </c>
    </row>
    <row r="75" spans="5:7" x14ac:dyDescent="0.25">
      <c r="E75" t="s">
        <v>659</v>
      </c>
      <c r="F75" t="s">
        <v>637</v>
      </c>
      <c r="G75" s="213">
        <v>24.481443220899465</v>
      </c>
    </row>
    <row r="76" spans="5:7" x14ac:dyDescent="0.25">
      <c r="E76" t="s">
        <v>660</v>
      </c>
      <c r="F76" t="s">
        <v>634</v>
      </c>
      <c r="G76" s="213">
        <v>31.692322987090922</v>
      </c>
    </row>
    <row r="77" spans="5:7" x14ac:dyDescent="0.25">
      <c r="E77" t="s">
        <v>660</v>
      </c>
      <c r="F77" t="s">
        <v>638</v>
      </c>
      <c r="G77" s="213">
        <v>32.524426366843024</v>
      </c>
    </row>
    <row r="78" spans="5:7" x14ac:dyDescent="0.25">
      <c r="E78" t="s">
        <v>660</v>
      </c>
      <c r="F78" t="s">
        <v>640</v>
      </c>
      <c r="G78" s="213">
        <v>42.00342585243974</v>
      </c>
    </row>
    <row r="79" spans="5:7" x14ac:dyDescent="0.25">
      <c r="E79" t="s">
        <v>660</v>
      </c>
      <c r="F79" t="s">
        <v>429</v>
      </c>
      <c r="G79" s="213">
        <v>33.457681965841886</v>
      </c>
    </row>
    <row r="80" spans="5:7" x14ac:dyDescent="0.25">
      <c r="E80" t="s">
        <v>660</v>
      </c>
      <c r="F80" t="s">
        <v>661</v>
      </c>
      <c r="G80" s="213">
        <v>28.380749448853617</v>
      </c>
    </row>
    <row r="81" spans="5:7" x14ac:dyDescent="0.25">
      <c r="E81" t="s">
        <v>660</v>
      </c>
      <c r="F81" t="s">
        <v>643</v>
      </c>
      <c r="G81" s="213">
        <v>25.63246458700764</v>
      </c>
    </row>
    <row r="82" spans="5:7" x14ac:dyDescent="0.25">
      <c r="E82" t="s">
        <v>660</v>
      </c>
      <c r="F82" t="s">
        <v>644</v>
      </c>
      <c r="G82" s="213">
        <v>55.50145167670977</v>
      </c>
    </row>
    <row r="83" spans="5:7" x14ac:dyDescent="0.25">
      <c r="E83" t="s">
        <v>660</v>
      </c>
      <c r="F83" t="s">
        <v>650</v>
      </c>
      <c r="G83" s="213">
        <v>27.198181020093219</v>
      </c>
    </row>
    <row r="84" spans="5:7" x14ac:dyDescent="0.25">
      <c r="E84" t="s">
        <v>660</v>
      </c>
      <c r="F84" t="s">
        <v>635</v>
      </c>
      <c r="G84" s="213">
        <v>31.173061311973349</v>
      </c>
    </row>
    <row r="85" spans="5:7" x14ac:dyDescent="0.25">
      <c r="E85" t="s">
        <v>660</v>
      </c>
      <c r="F85" t="s">
        <v>632</v>
      </c>
      <c r="G85" s="213">
        <v>26.381201381540269</v>
      </c>
    </row>
    <row r="86" spans="5:7" x14ac:dyDescent="0.25">
      <c r="E86" t="s">
        <v>660</v>
      </c>
      <c r="F86" t="s">
        <v>637</v>
      </c>
      <c r="G86" s="213">
        <v>25.353459091159618</v>
      </c>
    </row>
    <row r="87" spans="5:7" x14ac:dyDescent="0.25">
      <c r="E87" t="s">
        <v>660</v>
      </c>
      <c r="F87" t="s">
        <v>651</v>
      </c>
      <c r="G87" s="213">
        <v>30.289309537588181</v>
      </c>
    </row>
    <row r="88" spans="5:7" x14ac:dyDescent="0.25">
      <c r="E88" t="s">
        <v>663</v>
      </c>
      <c r="F88" t="s">
        <v>634</v>
      </c>
      <c r="G88" s="213">
        <v>23.365360931553415</v>
      </c>
    </row>
    <row r="89" spans="5:7" x14ac:dyDescent="0.25">
      <c r="E89" t="s">
        <v>663</v>
      </c>
      <c r="F89" t="s">
        <v>640</v>
      </c>
      <c r="G89" s="213">
        <v>34.106273467813054</v>
      </c>
    </row>
    <row r="90" spans="5:7" x14ac:dyDescent="0.25">
      <c r="E90" t="s">
        <v>663</v>
      </c>
      <c r="F90" t="s">
        <v>631</v>
      </c>
      <c r="G90" s="213">
        <v>30.148575412572431</v>
      </c>
    </row>
    <row r="91" spans="5:7" x14ac:dyDescent="0.25">
      <c r="E91" t="s">
        <v>663</v>
      </c>
      <c r="F91" t="s">
        <v>661</v>
      </c>
      <c r="G91" s="213">
        <v>30.880705357142858</v>
      </c>
    </row>
    <row r="92" spans="5:7" x14ac:dyDescent="0.25">
      <c r="E92" t="s">
        <v>663</v>
      </c>
      <c r="F92" t="s">
        <v>636</v>
      </c>
      <c r="G92" s="213">
        <v>15.70180640064668</v>
      </c>
    </row>
    <row r="93" spans="5:7" x14ac:dyDescent="0.25">
      <c r="E93" t="s">
        <v>663</v>
      </c>
      <c r="F93" t="s">
        <v>643</v>
      </c>
      <c r="G93" s="213">
        <v>29.446578865110858</v>
      </c>
    </row>
    <row r="94" spans="5:7" x14ac:dyDescent="0.25">
      <c r="E94" t="s">
        <v>663</v>
      </c>
      <c r="F94" t="s">
        <v>644</v>
      </c>
      <c r="G94" s="213">
        <v>30.222234827727384</v>
      </c>
    </row>
    <row r="95" spans="5:7" x14ac:dyDescent="0.25">
      <c r="E95" t="s">
        <v>663</v>
      </c>
      <c r="F95" t="s">
        <v>635</v>
      </c>
      <c r="G95" s="213">
        <v>38.18638007842025</v>
      </c>
    </row>
    <row r="96" spans="5:7" x14ac:dyDescent="0.25">
      <c r="E96" t="s">
        <v>663</v>
      </c>
      <c r="F96" t="s">
        <v>632</v>
      </c>
      <c r="G96" s="213">
        <v>27.795863931143444</v>
      </c>
    </row>
    <row r="97" spans="5:7" x14ac:dyDescent="0.25">
      <c r="E97" t="s">
        <v>663</v>
      </c>
      <c r="F97" t="s">
        <v>637</v>
      </c>
      <c r="G97" s="213">
        <v>25.135419781955989</v>
      </c>
    </row>
    <row r="98" spans="5:7" x14ac:dyDescent="0.25">
      <c r="E98" t="s">
        <v>663</v>
      </c>
      <c r="F98" t="s">
        <v>651</v>
      </c>
      <c r="G98" s="213">
        <v>25.693865019240015</v>
      </c>
    </row>
    <row r="99" spans="5:7" x14ac:dyDescent="0.25">
      <c r="E99" t="s">
        <v>664</v>
      </c>
      <c r="F99" t="s">
        <v>634</v>
      </c>
      <c r="G99" s="213">
        <v>22.232704472803427</v>
      </c>
    </row>
    <row r="100" spans="5:7" x14ac:dyDescent="0.25">
      <c r="E100" t="s">
        <v>664</v>
      </c>
      <c r="F100" t="s">
        <v>665</v>
      </c>
      <c r="G100" s="213">
        <v>19.624653880070543</v>
      </c>
    </row>
    <row r="101" spans="5:7" x14ac:dyDescent="0.25">
      <c r="E101" t="s">
        <v>664</v>
      </c>
      <c r="F101" t="s">
        <v>639</v>
      </c>
      <c r="G101" s="213">
        <v>16.408639172335601</v>
      </c>
    </row>
    <row r="102" spans="5:7" x14ac:dyDescent="0.25">
      <c r="E102" t="s">
        <v>664</v>
      </c>
      <c r="F102" t="s">
        <v>641</v>
      </c>
      <c r="G102" s="213">
        <v>27.537014329805995</v>
      </c>
    </row>
    <row r="103" spans="5:7" x14ac:dyDescent="0.25">
      <c r="E103" t="s">
        <v>664</v>
      </c>
      <c r="F103" t="s">
        <v>640</v>
      </c>
      <c r="G103" s="213">
        <v>35.422500253527332</v>
      </c>
    </row>
    <row r="104" spans="5:7" x14ac:dyDescent="0.25">
      <c r="E104" t="s">
        <v>664</v>
      </c>
      <c r="F104" t="s">
        <v>631</v>
      </c>
      <c r="G104" s="213">
        <v>31.455214455297785</v>
      </c>
    </row>
    <row r="105" spans="5:7" x14ac:dyDescent="0.25">
      <c r="E105" t="s">
        <v>664</v>
      </c>
      <c r="F105" t="s">
        <v>643</v>
      </c>
      <c r="G105" s="213">
        <v>29.3269381180713</v>
      </c>
    </row>
    <row r="106" spans="5:7" x14ac:dyDescent="0.25">
      <c r="E106" t="s">
        <v>664</v>
      </c>
      <c r="F106" t="s">
        <v>644</v>
      </c>
      <c r="G106" s="213">
        <v>31.383404824368014</v>
      </c>
    </row>
    <row r="107" spans="5:7" x14ac:dyDescent="0.25">
      <c r="E107" t="s">
        <v>664</v>
      </c>
      <c r="F107" t="s">
        <v>650</v>
      </c>
      <c r="G107" s="213">
        <v>27.287852057613165</v>
      </c>
    </row>
    <row r="108" spans="5:7" x14ac:dyDescent="0.25">
      <c r="E108" t="s">
        <v>664</v>
      </c>
      <c r="F108" t="s">
        <v>645</v>
      </c>
      <c r="G108" s="213">
        <v>28.280751212522045</v>
      </c>
    </row>
    <row r="109" spans="5:7" x14ac:dyDescent="0.25">
      <c r="E109" t="s">
        <v>664</v>
      </c>
      <c r="F109" t="s">
        <v>635</v>
      </c>
      <c r="G109" s="213">
        <v>31.193894277875756</v>
      </c>
    </row>
    <row r="110" spans="5:7" x14ac:dyDescent="0.25">
      <c r="E110" t="s">
        <v>664</v>
      </c>
      <c r="F110" t="s">
        <v>632</v>
      </c>
      <c r="G110" s="213">
        <v>29.560536333265496</v>
      </c>
    </row>
    <row r="111" spans="5:7" x14ac:dyDescent="0.25">
      <c r="E111" t="s">
        <v>664</v>
      </c>
      <c r="F111" t="s">
        <v>637</v>
      </c>
      <c r="G111" s="213">
        <v>34.451178099017383</v>
      </c>
    </row>
    <row r="112" spans="5:7" x14ac:dyDescent="0.25">
      <c r="E112" t="s">
        <v>664</v>
      </c>
      <c r="F112" t="s">
        <v>651</v>
      </c>
      <c r="G112" s="213">
        <v>26.992157868008317</v>
      </c>
    </row>
    <row r="113" spans="5:7" x14ac:dyDescent="0.25">
      <c r="E113" t="s">
        <v>666</v>
      </c>
      <c r="F113" t="s">
        <v>634</v>
      </c>
      <c r="G113" s="213">
        <v>28.078254783950612</v>
      </c>
    </row>
    <row r="114" spans="5:7" x14ac:dyDescent="0.25">
      <c r="E114" t="s">
        <v>666</v>
      </c>
      <c r="F114" t="s">
        <v>640</v>
      </c>
      <c r="G114" s="213">
        <v>42.292557657785338</v>
      </c>
    </row>
    <row r="115" spans="5:7" x14ac:dyDescent="0.25">
      <c r="E115" t="s">
        <v>666</v>
      </c>
      <c r="F115" t="s">
        <v>631</v>
      </c>
      <c r="G115" s="213">
        <v>21.893363866843032</v>
      </c>
    </row>
    <row r="116" spans="5:7" x14ac:dyDescent="0.25">
      <c r="E116" t="s">
        <v>666</v>
      </c>
      <c r="F116" t="s">
        <v>429</v>
      </c>
      <c r="G116" s="213">
        <v>31.420498468393202</v>
      </c>
    </row>
    <row r="117" spans="5:7" x14ac:dyDescent="0.25">
      <c r="E117" t="s">
        <v>666</v>
      </c>
      <c r="F117" t="s">
        <v>642</v>
      </c>
      <c r="G117" s="213">
        <v>24.609878455687827</v>
      </c>
    </row>
    <row r="118" spans="5:7" x14ac:dyDescent="0.25">
      <c r="E118" t="s">
        <v>666</v>
      </c>
      <c r="F118" t="s">
        <v>636</v>
      </c>
      <c r="G118" s="213">
        <v>28.207419172545556</v>
      </c>
    </row>
    <row r="119" spans="5:7" x14ac:dyDescent="0.25">
      <c r="E119" t="s">
        <v>666</v>
      </c>
      <c r="F119" t="s">
        <v>643</v>
      </c>
      <c r="G119" s="213">
        <v>31.297299572172616</v>
      </c>
    </row>
    <row r="120" spans="5:7" x14ac:dyDescent="0.25">
      <c r="E120" t="s">
        <v>666</v>
      </c>
      <c r="F120" t="s">
        <v>644</v>
      </c>
      <c r="G120" s="213">
        <v>37.92700965293524</v>
      </c>
    </row>
    <row r="121" spans="5:7" x14ac:dyDescent="0.25">
      <c r="E121" t="s">
        <v>666</v>
      </c>
      <c r="F121" t="s">
        <v>635</v>
      </c>
      <c r="G121" s="213">
        <v>28.049114672894618</v>
      </c>
    </row>
    <row r="122" spans="5:7" x14ac:dyDescent="0.25">
      <c r="E122" t="s">
        <v>666</v>
      </c>
      <c r="F122" t="s">
        <v>632</v>
      </c>
      <c r="G122" s="213">
        <v>21.913738507495587</v>
      </c>
    </row>
    <row r="123" spans="5:7" x14ac:dyDescent="0.25">
      <c r="E123" t="s">
        <v>666</v>
      </c>
      <c r="F123" t="s">
        <v>637</v>
      </c>
      <c r="G123" s="213">
        <v>31.17445017636684</v>
      </c>
    </row>
  </sheetData>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15</vt:i4>
      </vt:variant>
      <vt:variant>
        <vt:lpstr>Named Ranges</vt:lpstr>
      </vt:variant>
      <vt:variant>
        <vt:i4>6</vt:i4>
      </vt:variant>
    </vt:vector>
  </HeadingPairs>
  <TitlesOfParts>
    <vt:vector size="21" baseType="lpstr">
      <vt:lpstr>Booklet.cult</vt:lpstr>
      <vt:lpstr>InfoSheets</vt:lpstr>
      <vt:lpstr>Booklet.post</vt:lpstr>
      <vt:lpstr>Pivot</vt:lpstr>
      <vt:lpstr>Master</vt:lpstr>
      <vt:lpstr>IDEAS</vt:lpstr>
      <vt:lpstr>TerpeneList</vt:lpstr>
      <vt:lpstr>PMindex</vt:lpstr>
      <vt:lpstr>YieldBins</vt:lpstr>
      <vt:lpstr>TimeBins</vt:lpstr>
      <vt:lpstr>DryTimes</vt:lpstr>
      <vt:lpstr>RetiredPhenos2</vt:lpstr>
      <vt:lpstr>RetiredPhenos1</vt:lpstr>
      <vt:lpstr>FinalBins</vt:lpstr>
      <vt:lpstr>AvgV2F</vt:lpstr>
      <vt:lpstr>Master!_Hlk1478226</vt:lpstr>
      <vt:lpstr>Master!_Hlk38631411</vt:lpstr>
      <vt:lpstr>Master!_Hlk38631434</vt:lpstr>
      <vt:lpstr>Master!_Hlk8307326</vt:lpstr>
      <vt:lpstr>RetiredPhenos2!_Hlk8307326</vt:lpstr>
      <vt:lpstr>Master!_Hlk8307373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Blice</dc:creator>
  <cp:lastModifiedBy>Hannah Blice</cp:lastModifiedBy>
  <cp:lastPrinted>2020-12-14T19:10:04Z</cp:lastPrinted>
  <dcterms:created xsi:type="dcterms:W3CDTF">2020-03-05T16:32:23Z</dcterms:created>
  <dcterms:modified xsi:type="dcterms:W3CDTF">2020-12-30T14:04:34Z</dcterms:modified>
</cp:coreProperties>
</file>